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0" yWindow="0" windowWidth="28800" windowHeight="11840" firstSheet="2" activeTab="9"/>
  </bookViews>
  <sheets>
    <sheet name="INDEX M" sheetId="24" r:id="rId1"/>
    <sheet name="Input" sheetId="1" r:id="rId2"/>
    <sheet name="A" sheetId="23" r:id="rId3"/>
    <sheet name="B" sheetId="2" r:id="rId4"/>
    <sheet name="C" sheetId="3" r:id="rId5"/>
    <sheet name="D pg 1" sheetId="5" r:id="rId6"/>
    <sheet name="D pg 2" sheetId="15" r:id="rId7"/>
    <sheet name="Sch M" sheetId="22" r:id="rId8"/>
    <sheet name="Sch M 2.1" sheetId="14" r:id="rId9"/>
    <sheet name="Sch M 2.2" sheetId="8" r:id="rId10"/>
    <sheet name="Sch M 2.3" sheetId="20" r:id="rId11"/>
    <sheet name="Rate Design KLJ-RDES-1" sheetId="26" r:id="rId12"/>
    <sheet name="Late Payment KLJ-RDES-2" sheetId="19" r:id="rId13"/>
    <sheet name="KLJ-RDES-3" sheetId="27" r:id="rId14"/>
    <sheet name="KLJ-RDES-4" sheetId="28" r:id="rId15"/>
    <sheet name="Macros" sheetId="16" state="very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P" localSheetId="11">'[1]SCHEDULE 33 A REV.'!$B$83:$B$87</definedName>
    <definedName name="__SCH33">'[2]SCHEDULE 33 A REV.'!$A$1:$H$67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Int" localSheetId="0" hidden="1">1</definedName>
    <definedName name="_Regression_Int" hidden="1">1</definedName>
    <definedName name="_SCH33">'[1]SCHEDULE 33 A REV.'!$A$1:$H$67</definedName>
    <definedName name="_Sort" hidden="1">#REF!</definedName>
    <definedName name="a" hidden="1">{"'Server Configuration'!$A$1:$DB$281"}</definedName>
    <definedName name="a_1" hidden="1">{"'Server Configuration'!$A$1:$DB$281"}</definedName>
    <definedName name="Active">[3]Inputs!$B$4</definedName>
    <definedName name="adjno">[4]Sch1!$G$1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'[5]L Graph (Data)'!$A$6:$DS$21</definedName>
    <definedName name="Ainputvol">'[6]L Graph (Data)'!$A$6:$DS$17</definedName>
    <definedName name="ali" hidden="1">{"'Server Configuration'!$A$1:$DB$281"}</definedName>
    <definedName name="AllData">OFFSET('[7]SLCs Due &amp; Recd'!$A$11,0,0,COUNTA('[7]SLCs Due &amp; Recd'!$B$1:$B$65536),COUNTA('[7]SLCs Due &amp; Recd'!$A$11:$IV$11))</definedName>
    <definedName name="ALLOC">[8]VLOOKUP!$A$2:$S$26</definedName>
    <definedName name="Application_Fees">[3]Inputs!$B$50</definedName>
    <definedName name="AVG_BANK_BAL">[9]EXH10!$A$1:$J$47</definedName>
    <definedName name="Avg_Mo_pmt">[3]Inputs!$B$7</definedName>
    <definedName name="AVGrate">'[10]AVG FXrates'!$B$4:$F$47</definedName>
    <definedName name="b" hidden="1">{"'Server Configuration'!$A$1:$DB$281"}</definedName>
    <definedName name="b_1" hidden="1">{"'Server Configuration'!$A$1:$DB$281"}</definedName>
    <definedName name="bdate">'[11]Oper Rev&amp;Exp by Accts C2.1A'!$A$4</definedName>
    <definedName name="Binputrusum">'[5]L Graph (Data)'!$A$97:$DS$109</definedName>
    <definedName name="binputsum">'[6]L Graph (Data)'!$A$19:$DS$29</definedName>
    <definedName name="binputsumru">'[12]L Graph (Data)'!$A$91:$DS$105</definedName>
    <definedName name="binputvol">'[12]L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MSGRADE">[13]Assumptions!$J$8:$J$21</definedName>
    <definedName name="BTU">[14]Input!$B$11</definedName>
    <definedName name="case" localSheetId="2">[15]Input!$B$12</definedName>
    <definedName name="case" localSheetId="0">'[11]Operating Income Summary C-1'!$A$2</definedName>
    <definedName name="case" localSheetId="7">[15]Input!$B$12</definedName>
    <definedName name="case">Input!$B$3</definedName>
    <definedName name="CCCfeeadj">'[6]L Graph (Data)'!$A$410:$DS$457</definedName>
    <definedName name="CCCvoladj">'[6]L Graph (Data)'!$A$359:$DS$406</definedName>
    <definedName name="Central_Call_Handling_Charge">'[16]Router Configuration'!$S$1</definedName>
    <definedName name="CInputChg">'[5]L Graph (Data)'!$A$41:$IV$56</definedName>
    <definedName name="Cinputvol">'[12]L Graph (Data)'!$A$38:$DS$51</definedName>
    <definedName name="Commodity" localSheetId="2">[15]Input!$C$16</definedName>
    <definedName name="Commodity" localSheetId="0">[15]Input!$C$16</definedName>
    <definedName name="Commodity" localSheetId="7">[15]Input!$C$16</definedName>
    <definedName name="Commodity">Input!$C$7</definedName>
    <definedName name="company">'[11]Operating Income Summary C-1'!$A$1</definedName>
    <definedName name="CONAME" localSheetId="2">[15]B!$A$1</definedName>
    <definedName name="CONAME" localSheetId="0">[15]B!$A$1</definedName>
    <definedName name="coname" localSheetId="11">'[17]4-B'!$A$1</definedName>
    <definedName name="CONAME" localSheetId="7">[15]B!$A$1</definedName>
    <definedName name="CONAME">B!$A$1</definedName>
    <definedName name="curr_cust_pmts">'[3]Payment Calculation'!$C$24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e">'[18]Operating Income Summary C-1'!$A$4</definedName>
    <definedName name="DEBT">[19]RORB!$B$2:$F$24</definedName>
    <definedName name="E_factor_amt">[3]Inputs!$B$32</definedName>
    <definedName name="EA">[3]Inputs!$B$8</definedName>
    <definedName name="EGC">Input!$C$8</definedName>
    <definedName name="EGCC">Input!$C$7</definedName>
    <definedName name="EGCDATE" localSheetId="2">[15]Input!$C$20</definedName>
    <definedName name="EGCDATE" localSheetId="0">[15]Input!$C$20</definedName>
    <definedName name="EGCDATE" localSheetId="7">[15]Input!$C$20</definedName>
    <definedName name="EGCDATE">Input!$C$11</definedName>
    <definedName name="ENDrate">'[10]END FXrates'!$B$4:$F$46</definedName>
    <definedName name="Enrolled">[3]Inputs!$B$5</definedName>
    <definedName name="EQUITY">[19]RORB!$A$25:$G$49</definedName>
    <definedName name="Est_Enrollment">[3]Inputs!$B$17</definedName>
    <definedName name="fbdate">'[11]Operating Income Summary C-1'!$A$4</definedName>
    <definedName name="FDATE">'[11]Oper Rev&amp;Exp by Accts C2.1B'!$A$4</definedName>
    <definedName name="FICA">[20]Sheet1!$A$2:$R$48</definedName>
    <definedName name="FindRef">OFFSET('[7]% Invoice'!$A$1,0,0,COUNTA('[7]% Invoice'!$A$1:$A$65536),1)</definedName>
    <definedName name="firmcom">Input!$C$9</definedName>
    <definedName name="firmdem">Input!$C$10</definedName>
    <definedName name="Grade">[13]Assumptions!$J$8:$J$21</definedName>
    <definedName name="HEAD">Input!$A$1:$C$12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'[12]L Graph (Data)'!$A$71:$DS$84</definedName>
    <definedName name="IBM">{"'Server Configuration'!$A$1:$DB$281"}</definedName>
    <definedName name="IC">{"'Server Configuration'!$A$1:$DB$281"}</definedName>
    <definedName name="IRefbase">'[5]L Graph (Data)'!$A$113:$DS$126</definedName>
    <definedName name="Irefbaseunits">'[12]L Graph (Data)'!$A$109:$DS$125</definedName>
    <definedName name="ITARCRRCCHARGE">'[6]L Graph (Data)'!$A$187:$DS$233</definedName>
    <definedName name="ITbasefee">'[6]L Graph (Data)'!$A$49:$DS$60</definedName>
    <definedName name="ITbaseRUFee">'[6]L Graph (Data)'!$A$239:$DS$286</definedName>
    <definedName name="ITbinputsumru">'[6]L Graph (Data)'!$A$81:$DS$128</definedName>
    <definedName name="ITbinputvol">'[6]L Graph (Data)'!$A$19:$DS$30</definedName>
    <definedName name="ITCinputvol">'[6]L Graph (Data)'!$A$34:$DS$45</definedName>
    <definedName name="ITIbaselineunits">'[6]L Graph (Data)'!$A$63:$DS$74</definedName>
    <definedName name="ITNetArcCharge">'[6]L Graph (Data)'!$A$293:$DS$339</definedName>
    <definedName name="ITnetservfee">'[6]L Graph (Data)'!$A$344:$DS$355</definedName>
    <definedName name="ITrefbaselineunits">'[6]L Graph (Data)'!$A$132:$DS$181</definedName>
    <definedName name="lookup">'[21]Input Sheet'!$A$9:$BM$140</definedName>
    <definedName name="NCSCLB" hidden="1">{"'Server Configuration'!$A$1:$DB$281"}</definedName>
    <definedName name="NvsAnswerCol">"'[PYR_SVC_BLUERI_AP IMAGES.xls]AVG FXrates'!$A$4:$A$21"</definedName>
    <definedName name="NvsASD">"V2007-09-30"</definedName>
    <definedName name="NvsASD_1">"V2007-09-30"</definedName>
    <definedName name="NvsASD_1_1">"V2012-06-30"</definedName>
    <definedName name="NvsAutoDrillOk">"VN"</definedName>
    <definedName name="NvsElapsedTime">0.000219907407881692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39363.4914467593</definedName>
    <definedName name="NvsEndTime_1">39363.4914467593</definedName>
    <definedName name="NvsEndTime_1_1">41099.6144444444</definedName>
    <definedName name="NvsEndTime_2">39363.4914467593</definedName>
    <definedName name="NvsInstLang">"VENG"</definedName>
    <definedName name="NvsInstSpec">"%"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_1">"V00012"</definedName>
    <definedName name="NvsReqBUOnly">"VY"</definedName>
    <definedName name="NvsReqBUOnly_1">"VY"</definedName>
    <definedName name="NvsStyleNme">"NiSource Corporate.xls"</definedName>
    <definedName name="NvsTransLed">"VN"</definedName>
    <definedName name="NvsTreeASD">"V2007-09-30"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[3]Inputs!$B$34</definedName>
    <definedName name="PerInvoiceLookup">OFFSET('[7]% Invoice'!$A$1,0,0,COUNTA('[7]% Invoice'!$A$1:$A$65536),COUNTA('[7]% Invoice'!$A$1:$IV$1))</definedName>
    <definedName name="_xlnm.Print_Area" localSheetId="2">A!$A$1:$P$58</definedName>
    <definedName name="_xlnm.Print_Area" localSheetId="3">B!$A$1:$P$302</definedName>
    <definedName name="_xlnm.Print_Area" localSheetId="4">'C'!$A$1:$P$446</definedName>
    <definedName name="_xlnm.Print_Area" localSheetId="5">'D pg 1'!$A$1:$P$68</definedName>
    <definedName name="_xlnm.Print_Area" localSheetId="6">'D pg 2'!$A$1:$R$61</definedName>
    <definedName name="_xlnm.Print_Area" localSheetId="0">'INDEX M'!$A$1:$C$26</definedName>
    <definedName name="_xlnm.Print_Area" localSheetId="1">Input!$A$14:$P$52</definedName>
    <definedName name="_xlnm.Print_Area" localSheetId="13">'KLJ-RDES-3'!$A$1:$F$36</definedName>
    <definedName name="_xlnm.Print_Area" localSheetId="14">'KLJ-RDES-4'!$A$1:$F$225</definedName>
    <definedName name="_xlnm.Print_Area" localSheetId="12">'Late Payment KLJ-RDES-2'!$A$1:$G$59</definedName>
    <definedName name="_xlnm.Print_Area" localSheetId="11">'Rate Design KLJ-RDES-1'!$A$1:$K$295</definedName>
    <definedName name="_xlnm.Print_Area" localSheetId="7">'Sch M'!$A$1:$O$93</definedName>
    <definedName name="_xlnm.Print_Area" localSheetId="8">'Sch M 2.1'!$A$1:$J$64</definedName>
    <definedName name="_xlnm.Print_Area" localSheetId="9">'Sch M 2.2'!$A$1:$Q$1269</definedName>
    <definedName name="_xlnm.Print_Area" localSheetId="10">'Sch M 2.3'!$A$1:$Q$1269</definedName>
    <definedName name="Print_Area_MI">'INDEX M'!$A$1:$N$41</definedName>
    <definedName name="productlist">'[22]Product List'!$A$1:$E$23153</definedName>
    <definedName name="proj_cust_pmts">'[3]Payment Calculation'!$C$25</definedName>
    <definedName name="RefFunction">[13]Assumptions!$F$34:$F$39</definedName>
    <definedName name="RefGrade">[13]Assumptions!$F$7:$F$16</definedName>
    <definedName name="RefJobTitle">[13]Assumptions!$F$18:$F$31</definedName>
    <definedName name="REVALLOC">'[1]ATTACH REH-5A REV'!$A$1:$J$39</definedName>
    <definedName name="Rusty" hidden="1">{"'Server Configuration'!$A$1:$DB$281"}</definedName>
    <definedName name="tol">0.001</definedName>
    <definedName name="TYDESC" localSheetId="2">[15]B!$A$3</definedName>
    <definedName name="TYDESC" localSheetId="0">[15]B!$A$3</definedName>
    <definedName name="TYDESC" localSheetId="11">[23]Summary!$A$3</definedName>
    <definedName name="TYDESC" localSheetId="7">[15]B!$A$3</definedName>
    <definedName name="TYDESC">B!$A$3</definedName>
    <definedName name="Usage_per_Cust">[3]Inputs!$B$12</definedName>
    <definedName name="usd">[24]Assumptions!$C$13</definedName>
    <definedName name="Witness" localSheetId="11">[4]Sch1!$G$4</definedName>
    <definedName name="Witness">Input!$B$5</definedName>
    <definedName name="WORKAREA">'[1]ATTACH REH-5A REV'!$B$52:$K$169</definedName>
    <definedName name="WorkingDaysPerYear">210</definedName>
  </definedNames>
  <calcPr calcId="152511"/>
</workbook>
</file>

<file path=xl/calcChain.xml><?xml version="1.0" encoding="utf-8"?>
<calcChain xmlns="http://schemas.openxmlformats.org/spreadsheetml/2006/main">
  <c r="C215" i="28" l="1"/>
  <c r="A215" i="28"/>
  <c r="A212" i="26" l="1"/>
  <c r="A243" i="26"/>
  <c r="D86" i="28"/>
  <c r="D71" i="28"/>
  <c r="D160" i="28" l="1"/>
  <c r="D115" i="28"/>
  <c r="D174" i="28"/>
  <c r="D127" i="28"/>
  <c r="B171" i="28"/>
  <c r="B172" i="28"/>
  <c r="B170" i="28"/>
  <c r="B82" i="28"/>
  <c r="B83" i="28"/>
  <c r="B84" i="28"/>
  <c r="B81" i="28"/>
  <c r="B71" i="28"/>
  <c r="B86" i="28" s="1"/>
  <c r="B70" i="28"/>
  <c r="B85" i="28" s="1"/>
  <c r="B64" i="28"/>
  <c r="B62" i="28"/>
  <c r="B36" i="28"/>
  <c r="B37" i="28"/>
  <c r="B35" i="28"/>
  <c r="B34" i="28"/>
  <c r="B32" i="28"/>
  <c r="B31" i="28"/>
  <c r="B29" i="28"/>
  <c r="C213" i="26"/>
  <c r="C244" i="26" s="1"/>
  <c r="C273" i="26" s="1"/>
  <c r="C212" i="26"/>
  <c r="C243" i="26" s="1"/>
  <c r="C272" i="26" s="1"/>
  <c r="C205" i="26"/>
  <c r="B79" i="28" l="1"/>
  <c r="D215" i="28"/>
  <c r="B160" i="28"/>
  <c r="B174" i="28" s="1"/>
  <c r="B77" i="28"/>
  <c r="B152" i="28"/>
  <c r="B166" i="28" s="1"/>
  <c r="B159" i="28"/>
  <c r="B173" i="28" s="1"/>
  <c r="D204" i="28"/>
  <c r="B154" i="28"/>
  <c r="B168" i="28" s="1"/>
  <c r="D16" i="23" l="1"/>
  <c r="C170" i="28" l="1"/>
  <c r="C113" i="28"/>
  <c r="C111" i="28" s="1"/>
  <c r="D114" i="28"/>
  <c r="D113" i="28"/>
  <c r="D111" i="28"/>
  <c r="E110" i="28"/>
  <c r="E109" i="28"/>
  <c r="A109" i="28"/>
  <c r="A110" i="28" s="1"/>
  <c r="A111" i="28" s="1"/>
  <c r="A113" i="28" s="1"/>
  <c r="A114" i="28" s="1"/>
  <c r="A115" i="28" s="1"/>
  <c r="B63" i="28"/>
  <c r="B30" i="28"/>
  <c r="E111" i="28" l="1"/>
  <c r="B78" i="28"/>
  <c r="B153" i="28"/>
  <c r="B167" i="28" s="1"/>
  <c r="C159" i="28"/>
  <c r="C160" i="28" s="1"/>
  <c r="E160" i="28" s="1"/>
  <c r="C154" i="28"/>
  <c r="C168" i="28" s="1"/>
  <c r="C114" i="28"/>
  <c r="C115" i="28" s="1"/>
  <c r="E113" i="28"/>
  <c r="A117" i="28" l="1"/>
  <c r="A119" i="28" s="1"/>
  <c r="A121" i="28" s="1"/>
  <c r="A122" i="28" s="1"/>
  <c r="A123" i="28" s="1"/>
  <c r="A125" i="28" s="1"/>
  <c r="A126" i="28" s="1"/>
  <c r="A127" i="28" s="1"/>
  <c r="E114" i="28"/>
  <c r="D154" i="28"/>
  <c r="A129" i="28" l="1"/>
  <c r="A131" i="28" s="1"/>
  <c r="A133" i="28" s="1"/>
  <c r="C117" i="28"/>
  <c r="E154" i="28"/>
  <c r="E115" i="28" l="1"/>
  <c r="E117" i="28" s="1"/>
  <c r="D64" i="28"/>
  <c r="C125" i="28" l="1"/>
  <c r="C123" i="28" s="1"/>
  <c r="C126" i="28" l="1"/>
  <c r="C127" i="28" s="1"/>
  <c r="D18" i="28"/>
  <c r="C18" i="28"/>
  <c r="E18" i="28" l="1"/>
  <c r="C129" i="28" l="1"/>
  <c r="E127" i="28" l="1"/>
  <c r="C172" i="28"/>
  <c r="D158" i="28"/>
  <c r="E158" i="28" s="1"/>
  <c r="D135" i="26"/>
  <c r="D142" i="26" l="1"/>
  <c r="D143" i="26"/>
  <c r="E141" i="26" l="1"/>
  <c r="E249" i="26" l="1"/>
  <c r="C64" i="28"/>
  <c r="E64" i="28" s="1"/>
  <c r="A54" i="28"/>
  <c r="D256" i="3"/>
  <c r="E954" i="20"/>
  <c r="G139" i="26"/>
  <c r="F50" i="28"/>
  <c r="F97" i="28" s="1"/>
  <c r="F140" i="28" s="1"/>
  <c r="F187" i="28" s="1"/>
  <c r="A101" i="28" l="1"/>
  <c r="A144" i="28" s="1"/>
  <c r="A191" i="28" s="1"/>
  <c r="C268" i="26"/>
  <c r="C284" i="26" s="1"/>
  <c r="C234" i="26"/>
  <c r="C106" i="26"/>
  <c r="G3" i="19" l="1"/>
  <c r="F2" i="27" s="1"/>
  <c r="F2" i="28" s="1"/>
  <c r="J84" i="26"/>
  <c r="J46" i="26"/>
  <c r="J125" i="26"/>
  <c r="J82" i="26"/>
  <c r="J44" i="26"/>
  <c r="F49" i="28" l="1"/>
  <c r="F96" i="28" s="1"/>
  <c r="F139" i="28" s="1"/>
  <c r="F186" i="28" s="1"/>
  <c r="A666" i="20" l="1"/>
  <c r="D803" i="8" l="1"/>
  <c r="D778" i="8"/>
  <c r="D769" i="8"/>
  <c r="D729" i="8"/>
  <c r="D416" i="8" l="1"/>
  <c r="D677" i="8"/>
  <c r="D845" i="8"/>
  <c r="C9" i="1" l="1"/>
  <c r="D136" i="3" l="1"/>
  <c r="P134" i="3"/>
  <c r="A134" i="3"/>
  <c r="A135" i="3"/>
  <c r="D1237" i="8" l="1"/>
  <c r="D1102" i="8"/>
  <c r="D1066" i="8"/>
  <c r="D1037" i="8"/>
  <c r="D991" i="8"/>
  <c r="D963" i="8"/>
  <c r="D918" i="8"/>
  <c r="D872" i="8"/>
  <c r="D534" i="8"/>
  <c r="D500" i="8"/>
  <c r="D483" i="8"/>
  <c r="M1102" i="8" l="1"/>
  <c r="O1102" i="8"/>
  <c r="H1102" i="8"/>
  <c r="P1102" i="8"/>
  <c r="K1102" i="8"/>
  <c r="L1102" i="8"/>
  <c r="N1102" i="8"/>
  <c r="G1102" i="8"/>
  <c r="I1102" i="8"/>
  <c r="F1102" i="8"/>
  <c r="J1102" i="8"/>
  <c r="E1102" i="8"/>
  <c r="F19" i="14"/>
  <c r="C982" i="20" l="1"/>
  <c r="C987" i="20" s="1"/>
  <c r="F954" i="20"/>
  <c r="G954" i="20"/>
  <c r="H954" i="20"/>
  <c r="I954" i="20"/>
  <c r="J954" i="20"/>
  <c r="K954" i="20"/>
  <c r="L954" i="20"/>
  <c r="M954" i="20"/>
  <c r="N954" i="20"/>
  <c r="O954" i="20"/>
  <c r="P954" i="20"/>
  <c r="Q954" i="20" l="1"/>
  <c r="C954" i="20"/>
  <c r="C959" i="20" s="1"/>
  <c r="D989" i="8" l="1"/>
  <c r="C984" i="8"/>
  <c r="C989" i="8" s="1"/>
  <c r="D961" i="8"/>
  <c r="F956" i="8"/>
  <c r="G956" i="8"/>
  <c r="H956" i="8"/>
  <c r="I956" i="8"/>
  <c r="J956" i="8"/>
  <c r="K956" i="8"/>
  <c r="L956" i="8"/>
  <c r="M956" i="8"/>
  <c r="N956" i="8"/>
  <c r="O956" i="8"/>
  <c r="P956" i="8"/>
  <c r="E956" i="8"/>
  <c r="C956" i="8"/>
  <c r="C961" i="8" s="1"/>
  <c r="F961" i="8" l="1"/>
  <c r="E961" i="8"/>
  <c r="J249" i="26"/>
  <c r="C26" i="27" s="1"/>
  <c r="F989" i="8"/>
  <c r="E989" i="8"/>
  <c r="K989" i="8"/>
  <c r="L989" i="8"/>
  <c r="Q989" i="8"/>
  <c r="M989" i="8"/>
  <c r="N989" i="8"/>
  <c r="G989" i="8"/>
  <c r="O989" i="8"/>
  <c r="H989" i="8"/>
  <c r="P989" i="8"/>
  <c r="I989" i="8"/>
  <c r="J989" i="8"/>
  <c r="M961" i="8"/>
  <c r="I961" i="8"/>
  <c r="O961" i="8"/>
  <c r="P961" i="8"/>
  <c r="N961" i="8"/>
  <c r="K961" i="8"/>
  <c r="G961" i="8"/>
  <c r="J961" i="8"/>
  <c r="L961" i="8"/>
  <c r="H961" i="8"/>
  <c r="Q956" i="8"/>
  <c r="E902" i="8"/>
  <c r="Q961" i="8" l="1"/>
  <c r="N17" i="15"/>
  <c r="K17" i="15"/>
  <c r="O114" i="3" l="1"/>
  <c r="O113" i="3"/>
  <c r="H114" i="3"/>
  <c r="H113" i="3"/>
  <c r="O9" i="22" l="1"/>
  <c r="E70" i="3" l="1"/>
  <c r="F70" i="3"/>
  <c r="G70" i="3"/>
  <c r="H70" i="3"/>
  <c r="I70" i="3"/>
  <c r="J70" i="3"/>
  <c r="K70" i="3"/>
  <c r="L70" i="3"/>
  <c r="M70" i="3"/>
  <c r="N70" i="3"/>
  <c r="O70" i="3"/>
  <c r="D70" i="3"/>
  <c r="D76" i="3"/>
  <c r="D257" i="3" l="1"/>
  <c r="O256" i="3"/>
  <c r="N256" i="3"/>
  <c r="M256" i="3"/>
  <c r="L256" i="3"/>
  <c r="K256" i="3"/>
  <c r="J256" i="3"/>
  <c r="I256" i="3"/>
  <c r="H256" i="3"/>
  <c r="G256" i="3"/>
  <c r="F256" i="3"/>
  <c r="E256" i="3"/>
  <c r="A257" i="3"/>
  <c r="A256" i="3"/>
  <c r="B256" i="3"/>
  <c r="A253" i="3"/>
  <c r="A251" i="3"/>
  <c r="B251" i="3"/>
  <c r="E252" i="3"/>
  <c r="F252" i="3"/>
  <c r="G252" i="3"/>
  <c r="H252" i="3"/>
  <c r="I252" i="3"/>
  <c r="J252" i="3"/>
  <c r="K252" i="3"/>
  <c r="L252" i="3"/>
  <c r="M252" i="3"/>
  <c r="N252" i="3"/>
  <c r="O252" i="3"/>
  <c r="D252" i="3"/>
  <c r="P251" i="3"/>
  <c r="E247" i="3"/>
  <c r="F247" i="3"/>
  <c r="G247" i="3"/>
  <c r="H247" i="3"/>
  <c r="I247" i="3"/>
  <c r="J247" i="3"/>
  <c r="K247" i="3"/>
  <c r="L247" i="3"/>
  <c r="M247" i="3"/>
  <c r="N247" i="3"/>
  <c r="O247" i="3"/>
  <c r="D247" i="3"/>
  <c r="P246" i="3"/>
  <c r="A248" i="3"/>
  <c r="A246" i="3"/>
  <c r="P256" i="3" l="1"/>
  <c r="D268" i="3"/>
  <c r="D273" i="3" s="1"/>
  <c r="E268" i="3"/>
  <c r="E273" i="3" s="1"/>
  <c r="F268" i="3"/>
  <c r="F273" i="3" s="1"/>
  <c r="G268" i="3"/>
  <c r="G273" i="3" s="1"/>
  <c r="H268" i="3"/>
  <c r="H273" i="3" s="1"/>
  <c r="I268" i="3"/>
  <c r="I273" i="3" s="1"/>
  <c r="J268" i="3"/>
  <c r="J273" i="3" s="1"/>
  <c r="K268" i="3"/>
  <c r="K273" i="3" s="1"/>
  <c r="L268" i="3"/>
  <c r="L273" i="3" s="1"/>
  <c r="M268" i="3"/>
  <c r="M273" i="3" s="1"/>
  <c r="N268" i="3"/>
  <c r="N273" i="3" s="1"/>
  <c r="O268" i="3"/>
  <c r="O273" i="3" s="1"/>
  <c r="P60" i="5"/>
  <c r="E60" i="5"/>
  <c r="F60" i="5"/>
  <c r="G60" i="5"/>
  <c r="H60" i="5"/>
  <c r="I60" i="5"/>
  <c r="J60" i="5"/>
  <c r="K60" i="5"/>
  <c r="L60" i="5"/>
  <c r="M60" i="5"/>
  <c r="N60" i="5"/>
  <c r="O60" i="5"/>
  <c r="D60" i="5"/>
  <c r="D59" i="5"/>
  <c r="P59" i="5" s="1"/>
  <c r="E59" i="5"/>
  <c r="F59" i="5"/>
  <c r="G59" i="5"/>
  <c r="H59" i="5"/>
  <c r="I59" i="5"/>
  <c r="J59" i="5"/>
  <c r="K59" i="5"/>
  <c r="L59" i="5"/>
  <c r="M59" i="5"/>
  <c r="N59" i="5"/>
  <c r="O59" i="5"/>
  <c r="R61" i="15"/>
  <c r="A61" i="15"/>
  <c r="B59" i="5"/>
  <c r="A59" i="5"/>
  <c r="A60" i="5"/>
  <c r="B273" i="3"/>
  <c r="B268" i="3"/>
  <c r="E264" i="3"/>
  <c r="F264" i="3"/>
  <c r="G264" i="3"/>
  <c r="H264" i="3"/>
  <c r="I264" i="3"/>
  <c r="J264" i="3"/>
  <c r="K264" i="3"/>
  <c r="L264" i="3"/>
  <c r="M264" i="3"/>
  <c r="N264" i="3"/>
  <c r="O264" i="3"/>
  <c r="P263" i="3"/>
  <c r="D264" i="3"/>
  <c r="I982" i="20" l="1"/>
  <c r="I984" i="8"/>
  <c r="P982" i="20"/>
  <c r="P984" i="8"/>
  <c r="H982" i="20"/>
  <c r="H984" i="8"/>
  <c r="O982" i="20"/>
  <c r="O984" i="8"/>
  <c r="G982" i="20"/>
  <c r="G984" i="8"/>
  <c r="N982" i="20"/>
  <c r="N984" i="8"/>
  <c r="F982" i="20"/>
  <c r="F984" i="8"/>
  <c r="K982" i="20"/>
  <c r="K984" i="8"/>
  <c r="E982" i="20"/>
  <c r="E984" i="8"/>
  <c r="J982" i="20"/>
  <c r="J984" i="8"/>
  <c r="M982" i="20"/>
  <c r="M984" i="8"/>
  <c r="L982" i="20"/>
  <c r="L984" i="8"/>
  <c r="P273" i="3"/>
  <c r="P268" i="3"/>
  <c r="P264" i="3"/>
  <c r="Q984" i="8" l="1"/>
  <c r="Q982" i="20"/>
  <c r="D85" i="2" l="1"/>
  <c r="D87" i="2" s="1"/>
  <c r="D93" i="2"/>
  <c r="D79" i="2" l="1"/>
  <c r="D81" i="2"/>
  <c r="D176" i="2"/>
  <c r="D180" i="2"/>
  <c r="D182" i="2" s="1"/>
  <c r="D17" i="2"/>
  <c r="D22" i="2"/>
  <c r="Q17" i="1" l="1"/>
  <c r="Q18" i="1"/>
  <c r="Q19" i="1"/>
  <c r="Q20" i="1"/>
  <c r="Q21" i="1"/>
  <c r="Q22" i="1"/>
  <c r="Q23" i="1"/>
  <c r="Q24" i="1"/>
  <c r="Q25" i="1"/>
  <c r="Q26" i="1"/>
  <c r="Q46" i="1"/>
  <c r="Q47" i="1"/>
  <c r="Q48" i="1"/>
  <c r="Q49" i="1"/>
  <c r="Q51" i="1"/>
  <c r="D1238" i="8" l="1"/>
  <c r="D1067" i="8"/>
  <c r="D1038" i="8"/>
  <c r="D992" i="8"/>
  <c r="J244" i="26" s="1"/>
  <c r="D964" i="8"/>
  <c r="D919" i="8"/>
  <c r="D873" i="8"/>
  <c r="D836" i="8"/>
  <c r="D794" i="8"/>
  <c r="J273" i="26" s="1"/>
  <c r="D720" i="8"/>
  <c r="D668" i="8"/>
  <c r="J213" i="26" s="1"/>
  <c r="D406" i="8"/>
  <c r="I187" i="26" s="1"/>
  <c r="P167" i="2" l="1"/>
  <c r="P359" i="3"/>
  <c r="P358" i="3"/>
  <c r="P354" i="3"/>
  <c r="P353" i="3"/>
  <c r="I186" i="26" l="1"/>
  <c r="W50" i="1"/>
  <c r="V51" i="1"/>
  <c r="V49" i="1"/>
  <c r="V48" i="1"/>
  <c r="V47" i="1"/>
  <c r="V46" i="1"/>
  <c r="E17" i="28" l="1"/>
  <c r="W45" i="1" l="1"/>
  <c r="W44" i="1"/>
  <c r="W43" i="1"/>
  <c r="W42" i="1"/>
  <c r="W41" i="1"/>
  <c r="E211" i="28" l="1"/>
  <c r="D203" i="28"/>
  <c r="E200" i="28"/>
  <c r="D202" i="28"/>
  <c r="E199" i="28"/>
  <c r="C171" i="28" l="1"/>
  <c r="C173" i="28" s="1"/>
  <c r="C174" i="28" s="1"/>
  <c r="E174" i="28" s="1"/>
  <c r="E168" i="28"/>
  <c r="E167" i="28"/>
  <c r="D159" i="28"/>
  <c r="D157" i="28"/>
  <c r="E157" i="28" s="1"/>
  <c r="D156" i="28"/>
  <c r="E156" i="28" s="1"/>
  <c r="E153" i="28"/>
  <c r="E152" i="28"/>
  <c r="E78" i="28"/>
  <c r="D70" i="28"/>
  <c r="D69" i="28"/>
  <c r="E69" i="28" s="1"/>
  <c r="D68" i="28"/>
  <c r="E68" i="28" s="1"/>
  <c r="D67" i="28"/>
  <c r="E67" i="28" s="1"/>
  <c r="D66" i="28"/>
  <c r="E63" i="28"/>
  <c r="E62" i="28"/>
  <c r="E30" i="28"/>
  <c r="D21" i="28" l="1"/>
  <c r="D20" i="28"/>
  <c r="E16" i="28"/>
  <c r="E15" i="28"/>
  <c r="A199" i="28"/>
  <c r="A200" i="28" s="1"/>
  <c r="A202" i="28" s="1"/>
  <c r="A152" i="28"/>
  <c r="A153" i="28" s="1"/>
  <c r="A62" i="28"/>
  <c r="A63" i="28" s="1"/>
  <c r="A15" i="28"/>
  <c r="A16" i="28" s="1"/>
  <c r="A64" i="28" l="1"/>
  <c r="A66" i="28" s="1"/>
  <c r="A67" i="28" s="1"/>
  <c r="A68" i="28" s="1"/>
  <c r="A69" i="28" s="1"/>
  <c r="A70" i="28" s="1"/>
  <c r="A154" i="28"/>
  <c r="A156" i="28" s="1"/>
  <c r="A157" i="28" s="1"/>
  <c r="A158" i="28" s="1"/>
  <c r="A159" i="28" s="1"/>
  <c r="A160" i="28" s="1"/>
  <c r="A17" i="28"/>
  <c r="A18" i="28" s="1"/>
  <c r="A20" i="28" s="1"/>
  <c r="A21" i="28" s="1"/>
  <c r="A203" i="28"/>
  <c r="A204" i="28" s="1"/>
  <c r="A71" i="28" l="1"/>
  <c r="A73" i="28" s="1"/>
  <c r="A75" i="28" s="1"/>
  <c r="A77" i="28" s="1"/>
  <c r="A78" i="28" s="1"/>
  <c r="A79" i="28" s="1"/>
  <c r="A81" i="28" s="1"/>
  <c r="A162" i="28"/>
  <c r="A164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206" i="28"/>
  <c r="A22" i="28"/>
  <c r="A23" i="28" s="1"/>
  <c r="A176" i="28" l="1"/>
  <c r="A178" i="28" s="1"/>
  <c r="A180" i="28" s="1"/>
  <c r="A208" i="28"/>
  <c r="A210" i="28" s="1"/>
  <c r="A211" i="28" s="1"/>
  <c r="A213" i="28" s="1"/>
  <c r="A25" i="28"/>
  <c r="A27" i="28" s="1"/>
  <c r="A29" i="28" s="1"/>
  <c r="A30" i="28" s="1"/>
  <c r="A31" i="28" s="1"/>
  <c r="A82" i="28"/>
  <c r="A83" i="28" s="1"/>
  <c r="A84" i="28" s="1"/>
  <c r="A85" i="28" s="1"/>
  <c r="A86" i="28" l="1"/>
  <c r="A88" i="28" s="1"/>
  <c r="A90" i="28" s="1"/>
  <c r="A92" i="28" s="1"/>
  <c r="A214" i="28"/>
  <c r="A217" i="28" s="1"/>
  <c r="A32" i="28"/>
  <c r="A34" i="28" s="1"/>
  <c r="A35" i="28" s="1"/>
  <c r="A36" i="28" s="1"/>
  <c r="A37" i="28" s="1"/>
  <c r="A219" i="28" l="1"/>
  <c r="A221" i="28" s="1"/>
  <c r="A39" i="28"/>
  <c r="A41" i="28" s="1"/>
  <c r="A43" i="28" s="1"/>
  <c r="AB34" i="1"/>
  <c r="AB33" i="1"/>
  <c r="AB28" i="1"/>
  <c r="AB27" i="1"/>
  <c r="A193" i="26" l="1"/>
  <c r="A224" i="26" l="1"/>
  <c r="A125" i="26"/>
  <c r="A256" i="26"/>
  <c r="A44" i="26"/>
  <c r="A161" i="26"/>
  <c r="A82" i="26"/>
  <c r="A126" i="20" l="1"/>
  <c r="A34" i="3"/>
  <c r="P895" i="8"/>
  <c r="O895" i="8"/>
  <c r="N895" i="8"/>
  <c r="M895" i="8"/>
  <c r="L895" i="8"/>
  <c r="K895" i="8"/>
  <c r="J895" i="8"/>
  <c r="I895" i="8"/>
  <c r="H895" i="8"/>
  <c r="G895" i="8"/>
  <c r="F895" i="8"/>
  <c r="E895" i="8"/>
  <c r="Q891" i="8"/>
  <c r="A891" i="8"/>
  <c r="A890" i="8"/>
  <c r="Q889" i="8"/>
  <c r="A889" i="8"/>
  <c r="A888" i="8"/>
  <c r="A886" i="8"/>
  <c r="A884" i="8"/>
  <c r="A883" i="8"/>
  <c r="A333" i="8"/>
  <c r="A332" i="8"/>
  <c r="A351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Q342" i="8"/>
  <c r="A342" i="8"/>
  <c r="A341" i="8"/>
  <c r="Q340" i="8"/>
  <c r="A340" i="8"/>
  <c r="A339" i="8"/>
  <c r="A337" i="8"/>
  <c r="A335" i="8"/>
  <c r="A334" i="8"/>
  <c r="A289" i="8"/>
  <c r="A185" i="8"/>
  <c r="A166" i="8"/>
  <c r="A165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Q175" i="8"/>
  <c r="A175" i="8"/>
  <c r="A174" i="8"/>
  <c r="Q173" i="8"/>
  <c r="A173" i="8"/>
  <c r="A172" i="8"/>
  <c r="A170" i="8"/>
  <c r="A168" i="8"/>
  <c r="A167" i="8"/>
  <c r="B185" i="8"/>
  <c r="A129" i="8"/>
  <c r="E79" i="2"/>
  <c r="E126" i="2" s="1"/>
  <c r="F79" i="2"/>
  <c r="F126" i="2" s="1"/>
  <c r="G79" i="2"/>
  <c r="G126" i="2" s="1"/>
  <c r="H79" i="2"/>
  <c r="H126" i="2" s="1"/>
  <c r="I79" i="2"/>
  <c r="I126" i="2" s="1"/>
  <c r="J79" i="2"/>
  <c r="J126" i="2" s="1"/>
  <c r="K79" i="2"/>
  <c r="K126" i="2" s="1"/>
  <c r="L79" i="2"/>
  <c r="L126" i="2" s="1"/>
  <c r="M79" i="2"/>
  <c r="M126" i="2" s="1"/>
  <c r="N79" i="2"/>
  <c r="N126" i="2" s="1"/>
  <c r="O79" i="2"/>
  <c r="O126" i="2" s="1"/>
  <c r="D126" i="2"/>
  <c r="A150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A155" i="2"/>
  <c r="P154" i="2"/>
  <c r="A154" i="2"/>
  <c r="A153" i="2"/>
  <c r="A152" i="2"/>
  <c r="E125" i="2"/>
  <c r="F125" i="2"/>
  <c r="G125" i="2"/>
  <c r="H125" i="2"/>
  <c r="I125" i="2"/>
  <c r="J125" i="2"/>
  <c r="K125" i="2"/>
  <c r="L125" i="2"/>
  <c r="M125" i="2"/>
  <c r="N125" i="2"/>
  <c r="O125" i="2"/>
  <c r="E127" i="2"/>
  <c r="F127" i="2"/>
  <c r="G127" i="2"/>
  <c r="H127" i="2"/>
  <c r="I127" i="2"/>
  <c r="J127" i="2"/>
  <c r="K127" i="2"/>
  <c r="L127" i="2"/>
  <c r="M127" i="2"/>
  <c r="N127" i="2"/>
  <c r="O127" i="2"/>
  <c r="D127" i="2"/>
  <c r="D125" i="2"/>
  <c r="P79" i="2" l="1"/>
  <c r="P126" i="2" s="1"/>
  <c r="H84" i="3"/>
  <c r="H164" i="3" s="1"/>
  <c r="A347" i="20" l="1"/>
  <c r="A285" i="20"/>
  <c r="A181" i="20"/>
  <c r="A49" i="19" l="1"/>
  <c r="A50" i="19" s="1"/>
  <c r="A51" i="19" s="1"/>
  <c r="F760" i="20" l="1"/>
  <c r="G760" i="20"/>
  <c r="H760" i="20"/>
  <c r="I760" i="20"/>
  <c r="J760" i="20"/>
  <c r="K760" i="20"/>
  <c r="L760" i="20"/>
  <c r="M760" i="20"/>
  <c r="N760" i="20"/>
  <c r="O760" i="20"/>
  <c r="P760" i="20"/>
  <c r="F761" i="20"/>
  <c r="G761" i="20"/>
  <c r="H761" i="20"/>
  <c r="I761" i="20"/>
  <c r="J761" i="20"/>
  <c r="K761" i="20"/>
  <c r="L761" i="20"/>
  <c r="M761" i="20"/>
  <c r="N761" i="20"/>
  <c r="O761" i="20"/>
  <c r="P761" i="20"/>
  <c r="E761" i="20"/>
  <c r="E760" i="20"/>
  <c r="F599" i="20"/>
  <c r="G599" i="20"/>
  <c r="H599" i="20"/>
  <c r="I599" i="20"/>
  <c r="K599" i="20"/>
  <c r="L599" i="20"/>
  <c r="M599" i="20"/>
  <c r="N599" i="20"/>
  <c r="O599" i="20"/>
  <c r="P599" i="20"/>
  <c r="F600" i="20"/>
  <c r="G600" i="20"/>
  <c r="H600" i="20"/>
  <c r="I600" i="20"/>
  <c r="J600" i="20"/>
  <c r="K600" i="20"/>
  <c r="L600" i="20"/>
  <c r="M600" i="20"/>
  <c r="N600" i="20"/>
  <c r="O600" i="20"/>
  <c r="P600" i="20"/>
  <c r="E600" i="20"/>
  <c r="E599" i="20"/>
  <c r="Q600" i="20" l="1"/>
  <c r="K258" i="26" l="1"/>
  <c r="K256" i="26"/>
  <c r="A265" i="26"/>
  <c r="A266" i="26" s="1"/>
  <c r="A267" i="26" s="1"/>
  <c r="A269" i="26" s="1"/>
  <c r="A258" i="26"/>
  <c r="A233" i="26"/>
  <c r="A234" i="26" s="1"/>
  <c r="A235" i="26" s="1"/>
  <c r="K226" i="26"/>
  <c r="K224" i="26"/>
  <c r="A226" i="26"/>
  <c r="K195" i="26"/>
  <c r="K193" i="26"/>
  <c r="J163" i="26"/>
  <c r="J161" i="26"/>
  <c r="A195" i="26"/>
  <c r="A163" i="26"/>
  <c r="A127" i="26"/>
  <c r="A236" i="26" l="1"/>
  <c r="A237" i="26" s="1"/>
  <c r="A238" i="26" s="1"/>
  <c r="A239" i="26" s="1"/>
  <c r="A240" i="26" s="1"/>
  <c r="A270" i="26"/>
  <c r="A271" i="26" s="1"/>
  <c r="A272" i="26" l="1"/>
  <c r="A241" i="26"/>
  <c r="A242" i="26" s="1"/>
  <c r="A273" i="26" l="1"/>
  <c r="A274" i="26" s="1"/>
  <c r="A276" i="26" s="1"/>
  <c r="A277" i="26" s="1"/>
  <c r="A279" i="26" s="1"/>
  <c r="A281" i="26" s="1"/>
  <c r="A283" i="26" s="1"/>
  <c r="A284" i="26" s="1"/>
  <c r="A285" i="26" s="1"/>
  <c r="A286" i="26" s="1"/>
  <c r="A287" i="26" s="1"/>
  <c r="A288" i="26" s="1"/>
  <c r="A290" i="26" s="1"/>
  <c r="A292" i="26" l="1"/>
  <c r="A293" i="26" s="1"/>
  <c r="A295" i="26" s="1"/>
  <c r="A84" i="26"/>
  <c r="A46" i="26"/>
  <c r="A244" i="26" l="1"/>
  <c r="A245" i="26" s="1"/>
  <c r="A247" i="26" s="1"/>
  <c r="A248" i="26" s="1"/>
  <c r="A249" i="26" s="1"/>
  <c r="A250" i="26" s="1"/>
  <c r="A252" i="26" s="1"/>
  <c r="C116" i="26"/>
  <c r="C102" i="26"/>
  <c r="C95" i="26"/>
  <c r="C96" i="26"/>
  <c r="C97" i="26"/>
  <c r="C94" i="26"/>
  <c r="C58" i="26" l="1"/>
  <c r="C59" i="26"/>
  <c r="C60" i="26"/>
  <c r="C61" i="26"/>
  <c r="C62" i="26"/>
  <c r="C111" i="26" s="1"/>
  <c r="C63" i="26"/>
  <c r="C64" i="26"/>
  <c r="C112" i="26" s="1"/>
  <c r="C65" i="26"/>
  <c r="C66" i="26"/>
  <c r="C67" i="26"/>
  <c r="C68" i="26"/>
  <c r="C69" i="26"/>
  <c r="C70" i="26"/>
  <c r="C71" i="26"/>
  <c r="C72" i="26"/>
  <c r="C73" i="26"/>
  <c r="C74" i="26"/>
  <c r="C75" i="26"/>
  <c r="C76" i="26"/>
  <c r="C57" i="26"/>
  <c r="C109" i="26" l="1"/>
  <c r="C120" i="26"/>
  <c r="C108" i="26"/>
  <c r="C122" i="26"/>
  <c r="C110" i="26"/>
  <c r="C121" i="26"/>
  <c r="C107" i="26"/>
  <c r="E85" i="2"/>
  <c r="F85" i="2"/>
  <c r="G85" i="2"/>
  <c r="H85" i="2"/>
  <c r="I85" i="2"/>
  <c r="J85" i="2"/>
  <c r="K85" i="2"/>
  <c r="L85" i="2"/>
  <c r="M85" i="2"/>
  <c r="N85" i="2"/>
  <c r="O85" i="2"/>
  <c r="I141" i="26" l="1"/>
  <c r="I142" i="26" s="1"/>
  <c r="I145" i="26"/>
  <c r="I139" i="26"/>
  <c r="A929" i="8"/>
  <c r="A930" i="8"/>
  <c r="A932" i="8"/>
  <c r="A934" i="8"/>
  <c r="A935" i="8"/>
  <c r="Q935" i="8"/>
  <c r="A936" i="8"/>
  <c r="A937" i="8"/>
  <c r="Q937" i="8"/>
  <c r="E941" i="8"/>
  <c r="F941" i="8"/>
  <c r="G941" i="8"/>
  <c r="H941" i="8"/>
  <c r="I941" i="8"/>
  <c r="J941" i="8"/>
  <c r="K941" i="8"/>
  <c r="L941" i="8"/>
  <c r="M941" i="8"/>
  <c r="N941" i="8"/>
  <c r="O941" i="8"/>
  <c r="P941" i="8"/>
  <c r="Q371" i="8"/>
  <c r="F38" i="26" s="1"/>
  <c r="I144" i="26" l="1"/>
  <c r="I146" i="26" s="1"/>
  <c r="R51" i="15" l="1"/>
  <c r="E63" i="5"/>
  <c r="E396" i="3" s="1"/>
  <c r="F63" i="5"/>
  <c r="F396" i="3" s="1"/>
  <c r="G63" i="5"/>
  <c r="G396" i="3" s="1"/>
  <c r="H63" i="5"/>
  <c r="H396" i="3" s="1"/>
  <c r="I63" i="5"/>
  <c r="I396" i="3" s="1"/>
  <c r="J63" i="5"/>
  <c r="J396" i="3" s="1"/>
  <c r="K63" i="5"/>
  <c r="K396" i="3" s="1"/>
  <c r="L63" i="5"/>
  <c r="L396" i="3" s="1"/>
  <c r="M63" i="5"/>
  <c r="M396" i="3" s="1"/>
  <c r="N63" i="5"/>
  <c r="N396" i="3" s="1"/>
  <c r="O63" i="5"/>
  <c r="O396" i="3" s="1"/>
  <c r="E64" i="5"/>
  <c r="E397" i="3" s="1"/>
  <c r="E401" i="3" s="1"/>
  <c r="F64" i="5"/>
  <c r="F397" i="3" s="1"/>
  <c r="F401" i="3" s="1"/>
  <c r="G1253" i="20" s="1"/>
  <c r="G64" i="5"/>
  <c r="G397" i="3" s="1"/>
  <c r="H64" i="5"/>
  <c r="H397" i="3" s="1"/>
  <c r="I64" i="5"/>
  <c r="I397" i="3" s="1"/>
  <c r="J64" i="5"/>
  <c r="J397" i="3" s="1"/>
  <c r="K64" i="5"/>
  <c r="K397" i="3" s="1"/>
  <c r="L64" i="5"/>
  <c r="L397" i="3" s="1"/>
  <c r="M64" i="5"/>
  <c r="M397" i="3" s="1"/>
  <c r="N64" i="5"/>
  <c r="N397" i="3" s="1"/>
  <c r="O64" i="5"/>
  <c r="O397" i="3" s="1"/>
  <c r="D64" i="5"/>
  <c r="D397" i="3" s="1"/>
  <c r="D63" i="5"/>
  <c r="D396" i="3" s="1"/>
  <c r="A56" i="15"/>
  <c r="A50" i="15"/>
  <c r="A51" i="15" s="1"/>
  <c r="A53" i="15" s="1"/>
  <c r="A54" i="15" s="1"/>
  <c r="E36" i="5"/>
  <c r="F36" i="5"/>
  <c r="G36" i="5"/>
  <c r="H36" i="5"/>
  <c r="I36" i="5"/>
  <c r="J36" i="5"/>
  <c r="K36" i="5"/>
  <c r="L36" i="5"/>
  <c r="M36" i="5"/>
  <c r="N36" i="5"/>
  <c r="O36" i="5"/>
  <c r="E37" i="5"/>
  <c r="F37" i="5"/>
  <c r="G37" i="5"/>
  <c r="H37" i="5"/>
  <c r="I37" i="5"/>
  <c r="J37" i="5"/>
  <c r="K37" i="5"/>
  <c r="L37" i="5"/>
  <c r="M37" i="5"/>
  <c r="N37" i="5"/>
  <c r="O37" i="5"/>
  <c r="E38" i="5"/>
  <c r="F38" i="5"/>
  <c r="G38" i="5"/>
  <c r="H38" i="5"/>
  <c r="I38" i="5"/>
  <c r="J38" i="5"/>
  <c r="K38" i="5"/>
  <c r="L38" i="5"/>
  <c r="M38" i="5"/>
  <c r="N38" i="5"/>
  <c r="O38" i="5"/>
  <c r="E39" i="5"/>
  <c r="F39" i="5"/>
  <c r="G39" i="5"/>
  <c r="H39" i="5"/>
  <c r="I39" i="5"/>
  <c r="J39" i="5"/>
  <c r="K39" i="5"/>
  <c r="L39" i="5"/>
  <c r="M39" i="5"/>
  <c r="N39" i="5"/>
  <c r="O39" i="5"/>
  <c r="D37" i="5"/>
  <c r="D38" i="5"/>
  <c r="D39" i="5"/>
  <c r="D36" i="5"/>
  <c r="A48" i="15"/>
  <c r="E29" i="5"/>
  <c r="E86" i="3" s="1"/>
  <c r="F29" i="5"/>
  <c r="F86" i="3" s="1"/>
  <c r="G29" i="5"/>
  <c r="G86" i="3" s="1"/>
  <c r="H29" i="5"/>
  <c r="H86" i="3" s="1"/>
  <c r="I29" i="5"/>
  <c r="I86" i="3" s="1"/>
  <c r="J29" i="5"/>
  <c r="J86" i="3" s="1"/>
  <c r="K29" i="5"/>
  <c r="K86" i="3" s="1"/>
  <c r="L29" i="5"/>
  <c r="L86" i="3" s="1"/>
  <c r="M29" i="5"/>
  <c r="M86" i="3" s="1"/>
  <c r="N29" i="5"/>
  <c r="N86" i="3" s="1"/>
  <c r="O29" i="5"/>
  <c r="O86" i="3" s="1"/>
  <c r="E30" i="5"/>
  <c r="E87" i="3" s="1"/>
  <c r="F30" i="5"/>
  <c r="F87" i="3" s="1"/>
  <c r="G30" i="5"/>
  <c r="G87" i="3" s="1"/>
  <c r="H30" i="5"/>
  <c r="H87" i="3" s="1"/>
  <c r="I30" i="5"/>
  <c r="I87" i="3" s="1"/>
  <c r="J30" i="5"/>
  <c r="J87" i="3" s="1"/>
  <c r="K30" i="5"/>
  <c r="K87" i="3" s="1"/>
  <c r="L30" i="5"/>
  <c r="L87" i="3" s="1"/>
  <c r="M30" i="5"/>
  <c r="M87" i="3" s="1"/>
  <c r="N30" i="5"/>
  <c r="N87" i="3" s="1"/>
  <c r="O30" i="5"/>
  <c r="O87" i="3" s="1"/>
  <c r="E31" i="5"/>
  <c r="E88" i="3" s="1"/>
  <c r="F31" i="5"/>
  <c r="F88" i="3" s="1"/>
  <c r="G31" i="5"/>
  <c r="G88" i="3" s="1"/>
  <c r="H31" i="5"/>
  <c r="H88" i="3" s="1"/>
  <c r="I31" i="5"/>
  <c r="I88" i="3" s="1"/>
  <c r="J31" i="5"/>
  <c r="J88" i="3" s="1"/>
  <c r="K31" i="5"/>
  <c r="K88" i="3" s="1"/>
  <c r="L31" i="5"/>
  <c r="L88" i="3" s="1"/>
  <c r="M31" i="5"/>
  <c r="M88" i="3" s="1"/>
  <c r="N31" i="5"/>
  <c r="N88" i="3" s="1"/>
  <c r="O31" i="5"/>
  <c r="O88" i="3" s="1"/>
  <c r="E32" i="5"/>
  <c r="E89" i="3" s="1"/>
  <c r="F32" i="5"/>
  <c r="F89" i="3" s="1"/>
  <c r="G32" i="5"/>
  <c r="G89" i="3" s="1"/>
  <c r="H32" i="5"/>
  <c r="H89" i="3" s="1"/>
  <c r="I32" i="5"/>
  <c r="I89" i="3" s="1"/>
  <c r="J32" i="5"/>
  <c r="J89" i="3" s="1"/>
  <c r="K32" i="5"/>
  <c r="K89" i="3" s="1"/>
  <c r="L32" i="5"/>
  <c r="L89" i="3" s="1"/>
  <c r="M32" i="5"/>
  <c r="M89" i="3" s="1"/>
  <c r="N32" i="5"/>
  <c r="N89" i="3" s="1"/>
  <c r="O32" i="5"/>
  <c r="O89" i="3" s="1"/>
  <c r="D30" i="5"/>
  <c r="D87" i="3" s="1"/>
  <c r="D31" i="5"/>
  <c r="D88" i="3" s="1"/>
  <c r="D32" i="5"/>
  <c r="D89" i="3" s="1"/>
  <c r="D29" i="5"/>
  <c r="F1255" i="8" l="1"/>
  <c r="F1253" i="20"/>
  <c r="E57" i="5"/>
  <c r="F57" i="5"/>
  <c r="G57" i="5"/>
  <c r="H57" i="5"/>
  <c r="I57" i="5"/>
  <c r="J57" i="5"/>
  <c r="K57" i="5"/>
  <c r="L57" i="5"/>
  <c r="M57" i="5"/>
  <c r="N57" i="5"/>
  <c r="O57" i="5"/>
  <c r="E58" i="5"/>
  <c r="F58" i="5"/>
  <c r="G58" i="5"/>
  <c r="H58" i="5"/>
  <c r="I58" i="5"/>
  <c r="J58" i="5"/>
  <c r="K58" i="5"/>
  <c r="L58" i="5"/>
  <c r="M58" i="5"/>
  <c r="N58" i="5"/>
  <c r="O58" i="5"/>
  <c r="D58" i="5"/>
  <c r="D57" i="5"/>
  <c r="R36" i="15"/>
  <c r="F762" i="8"/>
  <c r="G762" i="8"/>
  <c r="H762" i="8"/>
  <c r="I762" i="8"/>
  <c r="J762" i="8"/>
  <c r="K762" i="8"/>
  <c r="L762" i="8"/>
  <c r="M762" i="8"/>
  <c r="N762" i="8"/>
  <c r="O762" i="8"/>
  <c r="P762" i="8"/>
  <c r="F763" i="8"/>
  <c r="G763" i="8"/>
  <c r="H763" i="8"/>
  <c r="I763" i="8"/>
  <c r="J763" i="8"/>
  <c r="K763" i="8"/>
  <c r="L763" i="8"/>
  <c r="M763" i="8"/>
  <c r="N763" i="8"/>
  <c r="O763" i="8"/>
  <c r="P763" i="8"/>
  <c r="E763" i="8"/>
  <c r="E762" i="8"/>
  <c r="F600" i="8"/>
  <c r="G600" i="8"/>
  <c r="H600" i="8"/>
  <c r="I600" i="8"/>
  <c r="K600" i="8"/>
  <c r="L600" i="8"/>
  <c r="M600" i="8"/>
  <c r="N600" i="8"/>
  <c r="O600" i="8"/>
  <c r="P600" i="8"/>
  <c r="F601" i="8"/>
  <c r="G601" i="8"/>
  <c r="H601" i="8"/>
  <c r="I601" i="8"/>
  <c r="J601" i="8"/>
  <c r="K601" i="8"/>
  <c r="L601" i="8"/>
  <c r="M601" i="8"/>
  <c r="N601" i="8"/>
  <c r="O601" i="8"/>
  <c r="P601" i="8"/>
  <c r="E601" i="8"/>
  <c r="E600" i="8"/>
  <c r="R35" i="15" l="1"/>
  <c r="R34" i="15"/>
  <c r="R33" i="15"/>
  <c r="R31" i="15"/>
  <c r="R27" i="15"/>
  <c r="R26" i="15"/>
  <c r="R25" i="15"/>
  <c r="R28" i="15"/>
  <c r="A14" i="15"/>
  <c r="P335" i="3" l="1"/>
  <c r="P191" i="3"/>
  <c r="J117" i="3"/>
  <c r="I69" i="3"/>
  <c r="E160" i="3"/>
  <c r="F160" i="3"/>
  <c r="G160" i="3"/>
  <c r="H160" i="3"/>
  <c r="I160" i="3"/>
  <c r="J160" i="3"/>
  <c r="K160" i="3"/>
  <c r="L160" i="3"/>
  <c r="M160" i="3"/>
  <c r="N160" i="3"/>
  <c r="O160" i="3"/>
  <c r="D160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283" i="3"/>
  <c r="A282" i="3"/>
  <c r="A281" i="3"/>
  <c r="P280" i="3"/>
  <c r="A280" i="3"/>
  <c r="A278" i="3"/>
  <c r="A276" i="3"/>
  <c r="J599" i="20" l="1"/>
  <c r="Q599" i="20" s="1"/>
  <c r="J600" i="8"/>
  <c r="E131" i="2"/>
  <c r="F131" i="2"/>
  <c r="G131" i="2"/>
  <c r="H131" i="2"/>
  <c r="I131" i="2"/>
  <c r="J131" i="2"/>
  <c r="K131" i="2"/>
  <c r="L131" i="2"/>
  <c r="M131" i="2"/>
  <c r="N131" i="2"/>
  <c r="O131" i="2"/>
  <c r="E133" i="2"/>
  <c r="F133" i="2"/>
  <c r="G133" i="2"/>
  <c r="H133" i="2"/>
  <c r="I133" i="2"/>
  <c r="J133" i="2"/>
  <c r="K133" i="2"/>
  <c r="L133" i="2"/>
  <c r="M133" i="2"/>
  <c r="N133" i="2"/>
  <c r="O133" i="2"/>
  <c r="D133" i="2"/>
  <c r="D131" i="2"/>
  <c r="O57" i="22" l="1"/>
  <c r="A3" i="26"/>
  <c r="A170" i="26"/>
  <c r="A171" i="26" s="1"/>
  <c r="A172" i="26" s="1"/>
  <c r="A173" i="26" s="1"/>
  <c r="A174" i="26" s="1"/>
  <c r="H145" i="26"/>
  <c r="G145" i="26"/>
  <c r="F145" i="26"/>
  <c r="E145" i="26"/>
  <c r="H141" i="26"/>
  <c r="H142" i="26" s="1"/>
  <c r="G141" i="26"/>
  <c r="G142" i="26" s="1"/>
  <c r="F141" i="26"/>
  <c r="F142" i="26" s="1"/>
  <c r="F144" i="26" s="1"/>
  <c r="E142" i="26"/>
  <c r="D139" i="26"/>
  <c r="H139" i="26"/>
  <c r="E139" i="26"/>
  <c r="A135" i="26"/>
  <c r="J127" i="26"/>
  <c r="A94" i="26"/>
  <c r="A95" i="26" s="1"/>
  <c r="A13" i="26"/>
  <c r="A14" i="26" s="1"/>
  <c r="A15" i="26" s="1"/>
  <c r="A16" i="26" s="1"/>
  <c r="A17" i="26" s="1"/>
  <c r="A18" i="26" s="1"/>
  <c r="A19" i="26" s="1"/>
  <c r="A20" i="26" s="1"/>
  <c r="A21" i="26" s="1"/>
  <c r="H144" i="26" l="1"/>
  <c r="H146" i="26" s="1"/>
  <c r="G144" i="26"/>
  <c r="G146" i="26" s="1"/>
  <c r="E144" i="26"/>
  <c r="E146" i="26" s="1"/>
  <c r="A175" i="26"/>
  <c r="A176" i="26" s="1"/>
  <c r="A177" i="26" s="1"/>
  <c r="A178" i="26" s="1"/>
  <c r="A179" i="26" s="1"/>
  <c r="A137" i="26"/>
  <c r="A138" i="26" s="1"/>
  <c r="A139" i="26" s="1"/>
  <c r="A141" i="26" s="1"/>
  <c r="F139" i="26"/>
  <c r="A96" i="26"/>
  <c r="A97" i="26" s="1"/>
  <c r="A98" i="26" s="1"/>
  <c r="A99" i="26" s="1"/>
  <c r="A22" i="26"/>
  <c r="A23" i="26" s="1"/>
  <c r="A24" i="26" s="1"/>
  <c r="A25" i="26" s="1"/>
  <c r="A26" i="26" s="1"/>
  <c r="A27" i="26" s="1"/>
  <c r="A28" i="26" s="1"/>
  <c r="A29" i="26" s="1"/>
  <c r="A30" i="26" s="1"/>
  <c r="A31" i="26" s="1"/>
  <c r="F146" i="26"/>
  <c r="D144" i="26"/>
  <c r="D146" i="26" l="1"/>
  <c r="A142" i="26"/>
  <c r="A143" i="26" s="1"/>
  <c r="A144" i="26" s="1"/>
  <c r="A145" i="26" s="1"/>
  <c r="A146" i="26" s="1"/>
  <c r="A147" i="26" s="1"/>
  <c r="A149" i="26" s="1"/>
  <c r="C142" i="26"/>
  <c r="A180" i="26"/>
  <c r="A181" i="26" s="1"/>
  <c r="A182" i="26" s="1"/>
  <c r="A183" i="26" s="1"/>
  <c r="A184" i="26" s="1"/>
  <c r="A185" i="26" s="1"/>
  <c r="A101" i="26"/>
  <c r="A102" i="26" s="1"/>
  <c r="A103" i="26" s="1"/>
  <c r="A32" i="26"/>
  <c r="A34" i="26" s="1"/>
  <c r="A36" i="26" s="1"/>
  <c r="A37" i="26" s="1"/>
  <c r="A38" i="26" s="1"/>
  <c r="A39" i="26" s="1"/>
  <c r="A40" i="26" s="1"/>
  <c r="A42" i="26" s="1"/>
  <c r="A57" i="26" s="1"/>
  <c r="I147" i="26"/>
  <c r="A105" i="26" l="1"/>
  <c r="A106" i="26" s="1"/>
  <c r="A107" i="26" s="1"/>
  <c r="A186" i="26"/>
  <c r="A150" i="26"/>
  <c r="F147" i="26"/>
  <c r="H147" i="26"/>
  <c r="A58" i="26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8" i="26" s="1"/>
  <c r="G147" i="26"/>
  <c r="C144" i="26"/>
  <c r="A187" i="26" l="1"/>
  <c r="A188" i="26" s="1"/>
  <c r="A190" i="26" s="1"/>
  <c r="A19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108" i="26"/>
  <c r="A109" i="26" s="1"/>
  <c r="A110" i="26" s="1"/>
  <c r="A111" i="26" s="1"/>
  <c r="A112" i="26" s="1"/>
  <c r="A113" i="26" s="1"/>
  <c r="A115" i="26" s="1"/>
  <c r="A116" i="26" s="1"/>
  <c r="A117" i="26" s="1"/>
  <c r="A119" i="26" s="1"/>
  <c r="A120" i="26" s="1"/>
  <c r="A121" i="26" s="1"/>
  <c r="A122" i="26" s="1"/>
  <c r="A123" i="26" s="1"/>
  <c r="A151" i="26"/>
  <c r="A152" i="26" s="1"/>
  <c r="A153" i="26" s="1"/>
  <c r="A155" i="26" s="1"/>
  <c r="A156" i="26" s="1"/>
  <c r="A158" i="26" s="1"/>
  <c r="A159" i="26" s="1"/>
  <c r="E147" i="26"/>
  <c r="D147" i="26" s="1"/>
  <c r="A211" i="26" l="1"/>
  <c r="J16" i="23"/>
  <c r="N16" i="23"/>
  <c r="G16" i="23"/>
  <c r="F16" i="23" l="1"/>
  <c r="M16" i="23"/>
  <c r="I16" i="23"/>
  <c r="E16" i="23"/>
  <c r="L16" i="23"/>
  <c r="H16" i="23"/>
  <c r="O16" i="23"/>
  <c r="K16" i="23"/>
  <c r="O264" i="2"/>
  <c r="N264" i="2"/>
  <c r="M264" i="2"/>
  <c r="L264" i="2"/>
  <c r="K264" i="2"/>
  <c r="J264" i="2"/>
  <c r="I264" i="2"/>
  <c r="H264" i="2"/>
  <c r="G264" i="2"/>
  <c r="F264" i="2"/>
  <c r="E264" i="2"/>
  <c r="D264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O64" i="2"/>
  <c r="N64" i="2"/>
  <c r="M64" i="2"/>
  <c r="L64" i="2"/>
  <c r="K64" i="2"/>
  <c r="J64" i="2"/>
  <c r="I64" i="2"/>
  <c r="H64" i="2"/>
  <c r="G64" i="2"/>
  <c r="F64" i="2"/>
  <c r="E64" i="2"/>
  <c r="D64" i="2"/>
  <c r="A213" i="26" l="1"/>
  <c r="A214" i="26" s="1"/>
  <c r="A216" i="26" s="1"/>
  <c r="A217" i="26" s="1"/>
  <c r="A218" i="26" s="1"/>
  <c r="A219" i="26" s="1"/>
  <c r="A220" i="26" s="1"/>
  <c r="A222" i="26" s="1"/>
  <c r="P1215" i="20"/>
  <c r="P1156" i="20"/>
  <c r="P1086" i="20"/>
  <c r="P1011" i="20"/>
  <c r="P939" i="20"/>
  <c r="P894" i="20"/>
  <c r="P823" i="20"/>
  <c r="P748" i="20"/>
  <c r="P696" i="20"/>
  <c r="P643" i="20"/>
  <c r="P588" i="20"/>
  <c r="P521" i="20"/>
  <c r="P452" i="20"/>
  <c r="P389" i="20"/>
  <c r="P342" i="20"/>
  <c r="P279" i="20"/>
  <c r="P217" i="20"/>
  <c r="P176" i="20"/>
  <c r="P121" i="20"/>
  <c r="P59" i="20"/>
  <c r="P13" i="20"/>
  <c r="P1217" i="8"/>
  <c r="P1159" i="8"/>
  <c r="P1089" i="8"/>
  <c r="P1013" i="8"/>
  <c r="P823" i="8"/>
  <c r="P750" i="8"/>
  <c r="P697" i="8"/>
  <c r="P645" i="8"/>
  <c r="P589" i="8"/>
  <c r="P522" i="8"/>
  <c r="P454" i="8"/>
  <c r="P393" i="8"/>
  <c r="P284" i="8"/>
  <c r="P222" i="8"/>
  <c r="P124" i="8"/>
  <c r="P60" i="8"/>
  <c r="P13" i="8"/>
  <c r="N14" i="22"/>
  <c r="A52" i="22" l="1"/>
  <c r="F61" i="14" l="1"/>
  <c r="Y16" i="1"/>
  <c r="E31" i="28" s="1"/>
  <c r="Z16" i="1"/>
  <c r="AA16" i="1"/>
  <c r="D35" i="28" s="1"/>
  <c r="V17" i="1"/>
  <c r="D426" i="20" s="1"/>
  <c r="D464" i="20"/>
  <c r="V18" i="1"/>
  <c r="D461" i="20" s="1"/>
  <c r="V19" i="1"/>
  <c r="D478" i="20" s="1"/>
  <c r="AA19" i="1"/>
  <c r="D482" i="20" s="1"/>
  <c r="V20" i="1"/>
  <c r="AA20" i="1"/>
  <c r="D499" i="20" s="1"/>
  <c r="G499" i="20" s="1"/>
  <c r="D498" i="20"/>
  <c r="V21" i="1"/>
  <c r="D495" i="20" s="1"/>
  <c r="AA21" i="1"/>
  <c r="D533" i="20" s="1"/>
  <c r="G533" i="20" s="1"/>
  <c r="V22" i="1"/>
  <c r="D529" i="20" s="1"/>
  <c r="AA22" i="1"/>
  <c r="V23" i="1"/>
  <c r="D566" i="20"/>
  <c r="V24" i="1"/>
  <c r="D563" i="20" s="1"/>
  <c r="R25" i="1"/>
  <c r="V25" i="1"/>
  <c r="D596" i="20" s="1"/>
  <c r="D621" i="20"/>
  <c r="V26" i="1"/>
  <c r="D618" i="20" s="1"/>
  <c r="AA27" i="1"/>
  <c r="AA28" i="1"/>
  <c r="AA34" i="1"/>
  <c r="Y38" i="1"/>
  <c r="D844" i="20" s="1"/>
  <c r="Z38" i="1"/>
  <c r="AA38" i="1"/>
  <c r="D845" i="20" s="1"/>
  <c r="E845" i="20" s="1"/>
  <c r="AA39" i="1"/>
  <c r="D872" i="20" s="1"/>
  <c r="AA40" i="1"/>
  <c r="D917" i="20" s="1"/>
  <c r="E917" i="20" s="1"/>
  <c r="AA41" i="1"/>
  <c r="AA42" i="1"/>
  <c r="D989" i="20" s="1"/>
  <c r="E989" i="20" s="1"/>
  <c r="D1020" i="20"/>
  <c r="AA43" i="1"/>
  <c r="D1035" i="20" s="1"/>
  <c r="E1035" i="20" s="1"/>
  <c r="D1049" i="20"/>
  <c r="AA44" i="1"/>
  <c r="D1064" i="20" s="1"/>
  <c r="E1064" i="20" s="1"/>
  <c r="AA45" i="1"/>
  <c r="D1116" i="20"/>
  <c r="D1134" i="20"/>
  <c r="D1164" i="20"/>
  <c r="R49" i="1"/>
  <c r="D1182" i="20"/>
  <c r="D1224" i="20"/>
  <c r="AA50" i="1"/>
  <c r="D1235" i="20" s="1"/>
  <c r="E1235" i="20" s="1"/>
  <c r="D1256" i="20"/>
  <c r="R51" i="1"/>
  <c r="D1257" i="20" s="1"/>
  <c r="D1248" i="20"/>
  <c r="E266" i="3"/>
  <c r="F266" i="3"/>
  <c r="H266" i="3"/>
  <c r="I266" i="3"/>
  <c r="J266" i="3"/>
  <c r="K266" i="3"/>
  <c r="M266" i="3"/>
  <c r="N266" i="3"/>
  <c r="O266" i="3"/>
  <c r="G267" i="3"/>
  <c r="G272" i="3" s="1"/>
  <c r="H983" i="8" s="1"/>
  <c r="H267" i="3"/>
  <c r="H272" i="3" s="1"/>
  <c r="I981" i="20" s="1"/>
  <c r="J267" i="3"/>
  <c r="J272" i="3" s="1"/>
  <c r="K267" i="3"/>
  <c r="L267" i="3"/>
  <c r="L272" i="3" s="1"/>
  <c r="M267" i="3"/>
  <c r="N267" i="3"/>
  <c r="N272" i="3" s="1"/>
  <c r="O267" i="3"/>
  <c r="O272" i="3" s="1"/>
  <c r="P983" i="8" s="1"/>
  <c r="D267" i="3"/>
  <c r="D272" i="3" s="1"/>
  <c r="B51" i="5"/>
  <c r="B52" i="5"/>
  <c r="B53" i="5"/>
  <c r="B50" i="5"/>
  <c r="B44" i="5"/>
  <c r="B45" i="5"/>
  <c r="B46" i="5"/>
  <c r="B43" i="5"/>
  <c r="B58" i="5"/>
  <c r="B57" i="5"/>
  <c r="B37" i="5"/>
  <c r="B38" i="5"/>
  <c r="B39" i="5"/>
  <c r="B36" i="5"/>
  <c r="B30" i="5"/>
  <c r="B31" i="5"/>
  <c r="B32" i="5"/>
  <c r="B29" i="5"/>
  <c r="E198" i="2"/>
  <c r="E200" i="2" s="1"/>
  <c r="F198" i="2"/>
  <c r="F200" i="2" s="1"/>
  <c r="G1049" i="8" s="1"/>
  <c r="G290" i="8" s="1"/>
  <c r="G198" i="2"/>
  <c r="G200" i="2" s="1"/>
  <c r="H198" i="2"/>
  <c r="I198" i="2"/>
  <c r="I200" i="2" s="1"/>
  <c r="J198" i="2"/>
  <c r="J200" i="2" s="1"/>
  <c r="K198" i="2"/>
  <c r="K200" i="2" s="1"/>
  <c r="L198" i="2"/>
  <c r="M198" i="2"/>
  <c r="M200" i="2" s="1"/>
  <c r="N1049" i="8" s="1"/>
  <c r="N198" i="2"/>
  <c r="O198" i="2"/>
  <c r="O200" i="2" s="1"/>
  <c r="D198" i="2"/>
  <c r="E192" i="2"/>
  <c r="F192" i="2"/>
  <c r="G192" i="2"/>
  <c r="G194" i="2" s="1"/>
  <c r="H192" i="2"/>
  <c r="I192" i="2"/>
  <c r="I194" i="2" s="1"/>
  <c r="J1018" i="20" s="1"/>
  <c r="J192" i="2"/>
  <c r="J194" i="2" s="1"/>
  <c r="K192" i="2"/>
  <c r="K194" i="2" s="1"/>
  <c r="L192" i="2"/>
  <c r="M192" i="2"/>
  <c r="M194" i="2" s="1"/>
  <c r="N192" i="2"/>
  <c r="N194" i="2" s="1"/>
  <c r="O1020" i="8" s="1"/>
  <c r="O192" i="2"/>
  <c r="O194" i="2" s="1"/>
  <c r="P1018" i="20" s="1"/>
  <c r="D192" i="2"/>
  <c r="D194" i="2" s="1"/>
  <c r="F132" i="2"/>
  <c r="H132" i="2"/>
  <c r="J132" i="2"/>
  <c r="L132" i="2"/>
  <c r="M132" i="2"/>
  <c r="N132" i="2"/>
  <c r="D132" i="2"/>
  <c r="A16" i="5"/>
  <c r="A17" i="5" s="1"/>
  <c r="A18" i="5" s="1"/>
  <c r="A19" i="5" s="1"/>
  <c r="A20" i="5" s="1"/>
  <c r="A21" i="5" s="1"/>
  <c r="A22" i="5" s="1"/>
  <c r="A24" i="5" s="1"/>
  <c r="A26" i="5" s="1"/>
  <c r="A28" i="5" s="1"/>
  <c r="A29" i="5" s="1"/>
  <c r="A30" i="5" s="1"/>
  <c r="A31" i="5" s="1"/>
  <c r="A32" i="5" s="1"/>
  <c r="A33" i="5" s="1"/>
  <c r="A35" i="5" s="1"/>
  <c r="A36" i="5" s="1"/>
  <c r="A37" i="5" s="1"/>
  <c r="A38" i="5" s="1"/>
  <c r="A39" i="5" s="1"/>
  <c r="A40" i="5" s="1"/>
  <c r="A42" i="5" s="1"/>
  <c r="A43" i="5" s="1"/>
  <c r="A44" i="5" s="1"/>
  <c r="A45" i="5" s="1"/>
  <c r="A46" i="5" s="1"/>
  <c r="A47" i="5" s="1"/>
  <c r="A49" i="5" s="1"/>
  <c r="A50" i="5" s="1"/>
  <c r="A51" i="5" s="1"/>
  <c r="A52" i="5" s="1"/>
  <c r="A53" i="5" s="1"/>
  <c r="A54" i="5" s="1"/>
  <c r="A56" i="5" s="1"/>
  <c r="A57" i="5" s="1"/>
  <c r="A58" i="5" s="1"/>
  <c r="A62" i="5" s="1"/>
  <c r="A63" i="5" s="1"/>
  <c r="A64" i="5" s="1"/>
  <c r="A65" i="5" s="1"/>
  <c r="A67" i="5" s="1"/>
  <c r="E22" i="5"/>
  <c r="E24" i="5" s="1"/>
  <c r="F22" i="5"/>
  <c r="F24" i="5" s="1"/>
  <c r="N22" i="5"/>
  <c r="N24" i="5" s="1"/>
  <c r="O22" i="5"/>
  <c r="O24" i="5" s="1"/>
  <c r="D22" i="5"/>
  <c r="D24" i="5" s="1"/>
  <c r="E400" i="3"/>
  <c r="F400" i="3"/>
  <c r="G400" i="3"/>
  <c r="H400" i="3"/>
  <c r="I400" i="3"/>
  <c r="J400" i="3"/>
  <c r="K400" i="3"/>
  <c r="L400" i="3"/>
  <c r="M400" i="3"/>
  <c r="N400" i="3"/>
  <c r="O400" i="3"/>
  <c r="G1255" i="8"/>
  <c r="G401" i="3"/>
  <c r="H401" i="3"/>
  <c r="I401" i="3"/>
  <c r="J401" i="3"/>
  <c r="K401" i="3"/>
  <c r="L401" i="3"/>
  <c r="M401" i="3"/>
  <c r="N401" i="3"/>
  <c r="O401" i="3"/>
  <c r="D401" i="3"/>
  <c r="E1253" i="20" s="1"/>
  <c r="D400" i="3"/>
  <c r="E1252" i="20" s="1"/>
  <c r="B397" i="3"/>
  <c r="B401" i="3" s="1"/>
  <c r="B396" i="3"/>
  <c r="B400" i="3" s="1"/>
  <c r="B383" i="3"/>
  <c r="B387" i="3" s="1"/>
  <c r="B382" i="3"/>
  <c r="B386" i="3" s="1"/>
  <c r="E372" i="3"/>
  <c r="F372" i="3"/>
  <c r="G1186" i="20" s="1"/>
  <c r="G372" i="3"/>
  <c r="H372" i="3"/>
  <c r="I1186" i="20" s="1"/>
  <c r="I372" i="3"/>
  <c r="J1189" i="8" s="1"/>
  <c r="J372" i="3"/>
  <c r="K1186" i="20" s="1"/>
  <c r="K372" i="3"/>
  <c r="L372" i="3"/>
  <c r="M1186" i="20" s="1"/>
  <c r="M372" i="3"/>
  <c r="N1189" i="8" s="1"/>
  <c r="N372" i="3"/>
  <c r="O1186" i="20" s="1"/>
  <c r="O372" i="3"/>
  <c r="P1186" i="20" s="1"/>
  <c r="E373" i="3"/>
  <c r="F1190" i="8" s="1"/>
  <c r="F373" i="3"/>
  <c r="G1190" i="8" s="1"/>
  <c r="G373" i="3"/>
  <c r="H1187" i="20" s="1"/>
  <c r="H373" i="3"/>
  <c r="I1190" i="8" s="1"/>
  <c r="I373" i="3"/>
  <c r="J1190" i="8" s="1"/>
  <c r="J373" i="3"/>
  <c r="K1187" i="20" s="1"/>
  <c r="K373" i="3"/>
  <c r="L1187" i="20" s="1"/>
  <c r="L373" i="3"/>
  <c r="M1187" i="20" s="1"/>
  <c r="M373" i="3"/>
  <c r="N1187" i="20" s="1"/>
  <c r="N373" i="3"/>
  <c r="O373" i="3"/>
  <c r="P1190" i="8" s="1"/>
  <c r="D373" i="3"/>
  <c r="D372" i="3"/>
  <c r="E1186" i="20" s="1"/>
  <c r="B373" i="3"/>
  <c r="B372" i="3"/>
  <c r="B369" i="3"/>
  <c r="B368" i="3"/>
  <c r="B324" i="3"/>
  <c r="B325" i="3"/>
  <c r="B326" i="3"/>
  <c r="B323" i="3"/>
  <c r="B318" i="3"/>
  <c r="B319" i="3"/>
  <c r="B320" i="3"/>
  <c r="B317" i="3"/>
  <c r="B304" i="3"/>
  <c r="B305" i="3"/>
  <c r="B306" i="3"/>
  <c r="B303" i="3"/>
  <c r="B298" i="3"/>
  <c r="B299" i="3"/>
  <c r="B300" i="3"/>
  <c r="B297" i="3"/>
  <c r="B272" i="3"/>
  <c r="B271" i="3"/>
  <c r="B267" i="3"/>
  <c r="B266" i="3"/>
  <c r="E254" i="3"/>
  <c r="F254" i="3"/>
  <c r="G952" i="20" s="1"/>
  <c r="G254" i="3"/>
  <c r="H952" i="20" s="1"/>
  <c r="H254" i="3"/>
  <c r="I954" i="8" s="1"/>
  <c r="I254" i="3"/>
  <c r="J254" i="3"/>
  <c r="K954" i="8" s="1"/>
  <c r="K254" i="3"/>
  <c r="L952" i="20" s="1"/>
  <c r="L254" i="3"/>
  <c r="M954" i="8" s="1"/>
  <c r="M254" i="3"/>
  <c r="N952" i="20" s="1"/>
  <c r="N254" i="3"/>
  <c r="O254" i="3"/>
  <c r="E255" i="3"/>
  <c r="F255" i="3"/>
  <c r="G953" i="20" s="1"/>
  <c r="G255" i="3"/>
  <c r="H255" i="3"/>
  <c r="I953" i="20" s="1"/>
  <c r="I255" i="3"/>
  <c r="J953" i="20" s="1"/>
  <c r="J255" i="3"/>
  <c r="K953" i="20" s="1"/>
  <c r="K255" i="3"/>
  <c r="L255" i="3"/>
  <c r="M953" i="20" s="1"/>
  <c r="M255" i="3"/>
  <c r="N953" i="20" s="1"/>
  <c r="N255" i="3"/>
  <c r="O255" i="3"/>
  <c r="P953" i="20" s="1"/>
  <c r="D255" i="3"/>
  <c r="E955" i="8" s="1"/>
  <c r="D254" i="3"/>
  <c r="B255" i="3"/>
  <c r="B254" i="3"/>
  <c r="B250" i="3"/>
  <c r="B249" i="3"/>
  <c r="O236" i="3"/>
  <c r="P907" i="8" s="1"/>
  <c r="O237" i="3"/>
  <c r="O238" i="3"/>
  <c r="P908" i="20" s="1"/>
  <c r="O239" i="3"/>
  <c r="E236" i="3"/>
  <c r="F236" i="3"/>
  <c r="G907" i="8" s="1"/>
  <c r="G236" i="3"/>
  <c r="H906" i="20" s="1"/>
  <c r="H236" i="3"/>
  <c r="I907" i="8" s="1"/>
  <c r="I236" i="3"/>
  <c r="J236" i="3"/>
  <c r="K906" i="20" s="1"/>
  <c r="K236" i="3"/>
  <c r="L907" i="8" s="1"/>
  <c r="L236" i="3"/>
  <c r="M906" i="20" s="1"/>
  <c r="M236" i="3"/>
  <c r="N906" i="20" s="1"/>
  <c r="N236" i="3"/>
  <c r="O907" i="8" s="1"/>
  <c r="E237" i="3"/>
  <c r="F908" i="8" s="1"/>
  <c r="F237" i="3"/>
  <c r="G907" i="20" s="1"/>
  <c r="G237" i="3"/>
  <c r="H237" i="3"/>
  <c r="I237" i="3"/>
  <c r="J907" i="20" s="1"/>
  <c r="J237" i="3"/>
  <c r="K237" i="3"/>
  <c r="L237" i="3"/>
  <c r="M237" i="3"/>
  <c r="N908" i="8" s="1"/>
  <c r="N237" i="3"/>
  <c r="E238" i="3"/>
  <c r="F909" i="8" s="1"/>
  <c r="F238" i="3"/>
  <c r="G909" i="8" s="1"/>
  <c r="G238" i="3"/>
  <c r="H908" i="20" s="1"/>
  <c r="H238" i="3"/>
  <c r="I238" i="3"/>
  <c r="J909" i="8" s="1"/>
  <c r="J238" i="3"/>
  <c r="K909" i="8" s="1"/>
  <c r="K238" i="3"/>
  <c r="L909" i="8" s="1"/>
  <c r="L238" i="3"/>
  <c r="M238" i="3"/>
  <c r="N238" i="3"/>
  <c r="E239" i="3"/>
  <c r="F909" i="20" s="1"/>
  <c r="F239" i="3"/>
  <c r="G239" i="3"/>
  <c r="H910" i="8" s="1"/>
  <c r="H239" i="3"/>
  <c r="I910" i="8" s="1"/>
  <c r="I239" i="3"/>
  <c r="J910" i="8" s="1"/>
  <c r="J239" i="3"/>
  <c r="K910" i="8" s="1"/>
  <c r="K239" i="3"/>
  <c r="L239" i="3"/>
  <c r="M909" i="20" s="1"/>
  <c r="M239" i="3"/>
  <c r="N909" i="20" s="1"/>
  <c r="N239" i="3"/>
  <c r="O909" i="20" s="1"/>
  <c r="D237" i="3"/>
  <c r="D238" i="3"/>
  <c r="E908" i="20" s="1"/>
  <c r="D239" i="3"/>
  <c r="E910" i="8" s="1"/>
  <c r="D236" i="3"/>
  <c r="B237" i="3"/>
  <c r="B238" i="3"/>
  <c r="B239" i="3"/>
  <c r="B236" i="3"/>
  <c r="B231" i="3"/>
  <c r="B232" i="3"/>
  <c r="B233" i="3"/>
  <c r="B230" i="3"/>
  <c r="E203" i="3"/>
  <c r="F203" i="3"/>
  <c r="G861" i="8" s="1"/>
  <c r="G203" i="3"/>
  <c r="H861" i="8" s="1"/>
  <c r="H203" i="3"/>
  <c r="I861" i="20" s="1"/>
  <c r="I203" i="3"/>
  <c r="J203" i="3"/>
  <c r="K861" i="20" s="1"/>
  <c r="K203" i="3"/>
  <c r="L861" i="20" s="1"/>
  <c r="L203" i="3"/>
  <c r="M203" i="3"/>
  <c r="N203" i="3"/>
  <c r="O861" i="20" s="1"/>
  <c r="O203" i="3"/>
  <c r="P861" i="20" s="1"/>
  <c r="E204" i="3"/>
  <c r="F204" i="3"/>
  <c r="G204" i="3"/>
  <c r="H862" i="20" s="1"/>
  <c r="H204" i="3"/>
  <c r="I862" i="20" s="1"/>
  <c r="I204" i="3"/>
  <c r="J204" i="3"/>
  <c r="K204" i="3"/>
  <c r="L862" i="8" s="1"/>
  <c r="L204" i="3"/>
  <c r="M862" i="20" s="1"/>
  <c r="M204" i="3"/>
  <c r="N862" i="8" s="1"/>
  <c r="N204" i="3"/>
  <c r="O862" i="8" s="1"/>
  <c r="O204" i="3"/>
  <c r="E205" i="3"/>
  <c r="F863" i="20" s="1"/>
  <c r="F205" i="3"/>
  <c r="G205" i="3"/>
  <c r="H205" i="3"/>
  <c r="I863" i="20" s="1"/>
  <c r="I205" i="3"/>
  <c r="J863" i="8" s="1"/>
  <c r="J205" i="3"/>
  <c r="K863" i="20" s="1"/>
  <c r="K205" i="3"/>
  <c r="L863" i="8" s="1"/>
  <c r="L205" i="3"/>
  <c r="M205" i="3"/>
  <c r="N863" i="8" s="1"/>
  <c r="N205" i="3"/>
  <c r="O863" i="8" s="1"/>
  <c r="O205" i="3"/>
  <c r="E206" i="3"/>
  <c r="F206" i="3"/>
  <c r="G864" i="8" s="1"/>
  <c r="G206" i="3"/>
  <c r="H206" i="3"/>
  <c r="I864" i="20" s="1"/>
  <c r="I206" i="3"/>
  <c r="J864" i="8" s="1"/>
  <c r="J206" i="3"/>
  <c r="K864" i="20" s="1"/>
  <c r="K206" i="3"/>
  <c r="L206" i="3"/>
  <c r="M206" i="3"/>
  <c r="N864" i="20" s="1"/>
  <c r="N206" i="3"/>
  <c r="O206" i="3"/>
  <c r="P864" i="8" s="1"/>
  <c r="D204" i="3"/>
  <c r="E862" i="8" s="1"/>
  <c r="D205" i="3"/>
  <c r="E863" i="8" s="1"/>
  <c r="D206" i="3"/>
  <c r="E864" i="8" s="1"/>
  <c r="D203" i="3"/>
  <c r="B204" i="3"/>
  <c r="B205" i="3"/>
  <c r="B206" i="3"/>
  <c r="B203" i="3"/>
  <c r="B200" i="3"/>
  <c r="B198" i="3"/>
  <c r="B199" i="3"/>
  <c r="B197" i="3"/>
  <c r="B126" i="3"/>
  <c r="B127" i="3"/>
  <c r="B128" i="3"/>
  <c r="B125" i="3"/>
  <c r="B120" i="3"/>
  <c r="B121" i="3"/>
  <c r="B122" i="3"/>
  <c r="B119" i="3"/>
  <c r="B93" i="3"/>
  <c r="B94" i="3"/>
  <c r="B95" i="3"/>
  <c r="B92" i="3"/>
  <c r="B87" i="3"/>
  <c r="B88" i="3"/>
  <c r="B89" i="3"/>
  <c r="B86" i="3"/>
  <c r="A259" i="2"/>
  <c r="A210" i="2"/>
  <c r="D546" i="20"/>
  <c r="D604" i="20"/>
  <c r="D1112" i="20"/>
  <c r="D1131" i="20"/>
  <c r="D1190" i="20"/>
  <c r="E22" i="23"/>
  <c r="E28" i="23" s="1"/>
  <c r="E34" i="23" s="1"/>
  <c r="E40" i="23" s="1"/>
  <c r="E46" i="23" s="1"/>
  <c r="E52" i="23" s="1"/>
  <c r="F22" i="23"/>
  <c r="F28" i="23" s="1"/>
  <c r="F34" i="23" s="1"/>
  <c r="F40" i="23" s="1"/>
  <c r="F46" i="23" s="1"/>
  <c r="F52" i="23" s="1"/>
  <c r="G22" i="23"/>
  <c r="G28" i="23" s="1"/>
  <c r="G34" i="23" s="1"/>
  <c r="G40" i="23" s="1"/>
  <c r="G46" i="23" s="1"/>
  <c r="G52" i="23" s="1"/>
  <c r="H22" i="23"/>
  <c r="H28" i="23" s="1"/>
  <c r="H34" i="23" s="1"/>
  <c r="H40" i="23" s="1"/>
  <c r="H46" i="23" s="1"/>
  <c r="H52" i="23" s="1"/>
  <c r="I22" i="23"/>
  <c r="I28" i="23" s="1"/>
  <c r="I34" i="23" s="1"/>
  <c r="I40" i="23" s="1"/>
  <c r="I46" i="23" s="1"/>
  <c r="I52" i="23" s="1"/>
  <c r="J22" i="23"/>
  <c r="J28" i="23" s="1"/>
  <c r="J34" i="23" s="1"/>
  <c r="J40" i="23" s="1"/>
  <c r="J46" i="23" s="1"/>
  <c r="J52" i="23" s="1"/>
  <c r="K22" i="23"/>
  <c r="K28" i="23" s="1"/>
  <c r="K34" i="23" s="1"/>
  <c r="K40" i="23" s="1"/>
  <c r="K46" i="23" s="1"/>
  <c r="K52" i="23" s="1"/>
  <c r="L22" i="23"/>
  <c r="L28" i="23" s="1"/>
  <c r="L34" i="23" s="1"/>
  <c r="L40" i="23" s="1"/>
  <c r="L46" i="23" s="1"/>
  <c r="L52" i="23" s="1"/>
  <c r="M22" i="23"/>
  <c r="M28" i="23" s="1"/>
  <c r="M34" i="23" s="1"/>
  <c r="M40" i="23" s="1"/>
  <c r="M46" i="23" s="1"/>
  <c r="M52" i="23" s="1"/>
  <c r="N22" i="23"/>
  <c r="N28" i="23" s="1"/>
  <c r="N34" i="23" s="1"/>
  <c r="N40" i="23" s="1"/>
  <c r="N46" i="23" s="1"/>
  <c r="N52" i="23" s="1"/>
  <c r="O22" i="23"/>
  <c r="O28" i="23" s="1"/>
  <c r="O34" i="23" s="1"/>
  <c r="O40" i="23" s="1"/>
  <c r="O46" i="23" s="1"/>
  <c r="O52" i="23" s="1"/>
  <c r="D22" i="23"/>
  <c r="D28" i="23" s="1"/>
  <c r="D34" i="23" s="1"/>
  <c r="D40" i="23" s="1"/>
  <c r="D46" i="23" s="1"/>
  <c r="D52" i="23" s="1"/>
  <c r="D802" i="8"/>
  <c r="N281" i="2"/>
  <c r="I170" i="2"/>
  <c r="A410" i="3"/>
  <c r="A409" i="3"/>
  <c r="A408" i="3"/>
  <c r="A407" i="3"/>
  <c r="A346" i="3"/>
  <c r="A345" i="3"/>
  <c r="A344" i="3"/>
  <c r="A343" i="3"/>
  <c r="A216" i="3"/>
  <c r="A215" i="3"/>
  <c r="A214" i="3"/>
  <c r="A213" i="3"/>
  <c r="A150" i="3"/>
  <c r="A149" i="3"/>
  <c r="A148" i="3"/>
  <c r="A147" i="3"/>
  <c r="A105" i="3"/>
  <c r="A104" i="3"/>
  <c r="A103" i="3"/>
  <c r="A102" i="3"/>
  <c r="A60" i="3"/>
  <c r="A59" i="3"/>
  <c r="A58" i="3"/>
  <c r="A261" i="2"/>
  <c r="A260" i="2"/>
  <c r="A258" i="2"/>
  <c r="A212" i="2"/>
  <c r="A211" i="2"/>
  <c r="A209" i="2"/>
  <c r="A111" i="2"/>
  <c r="A110" i="2"/>
  <c r="A109" i="2"/>
  <c r="A108" i="2"/>
  <c r="A60" i="2"/>
  <c r="A59" i="2"/>
  <c r="A58" i="2"/>
  <c r="A1210" i="20"/>
  <c r="A1209" i="20"/>
  <c r="A1208" i="20"/>
  <c r="A1207" i="20"/>
  <c r="A1152" i="20"/>
  <c r="A1151" i="20"/>
  <c r="A1150" i="20"/>
  <c r="A1149" i="20"/>
  <c r="A1082" i="20"/>
  <c r="A1081" i="20"/>
  <c r="A1080" i="20"/>
  <c r="A1079" i="20"/>
  <c r="A1007" i="20"/>
  <c r="A1006" i="20"/>
  <c r="A1005" i="20"/>
  <c r="A1004" i="20"/>
  <c r="A935" i="20"/>
  <c r="A934" i="20"/>
  <c r="A933" i="20"/>
  <c r="A932" i="20"/>
  <c r="A890" i="20"/>
  <c r="A889" i="20"/>
  <c r="A888" i="20"/>
  <c r="A887" i="20"/>
  <c r="A817" i="20"/>
  <c r="A816" i="20"/>
  <c r="A815" i="20"/>
  <c r="A814" i="20"/>
  <c r="A744" i="20"/>
  <c r="A743" i="20"/>
  <c r="A742" i="20"/>
  <c r="A741" i="20"/>
  <c r="A692" i="20"/>
  <c r="A691" i="20"/>
  <c r="A690" i="20"/>
  <c r="A689" i="20"/>
  <c r="A639" i="20"/>
  <c r="A638" i="20"/>
  <c r="A637" i="20"/>
  <c r="A636" i="20"/>
  <c r="A584" i="20"/>
  <c r="A583" i="20"/>
  <c r="A582" i="20"/>
  <c r="A581" i="20"/>
  <c r="A517" i="20"/>
  <c r="A516" i="20"/>
  <c r="A515" i="20"/>
  <c r="A514" i="20"/>
  <c r="A448" i="20"/>
  <c r="A447" i="20"/>
  <c r="A446" i="20"/>
  <c r="A445" i="20"/>
  <c r="A385" i="20"/>
  <c r="A384" i="20"/>
  <c r="A383" i="20"/>
  <c r="A382" i="20"/>
  <c r="A9" i="20"/>
  <c r="A8" i="20"/>
  <c r="A7" i="20"/>
  <c r="A6" i="20"/>
  <c r="A338" i="20"/>
  <c r="A337" i="20"/>
  <c r="A336" i="20"/>
  <c r="A335" i="20"/>
  <c r="A275" i="20"/>
  <c r="A274" i="20"/>
  <c r="A273" i="20"/>
  <c r="A272" i="20"/>
  <c r="A213" i="20"/>
  <c r="A212" i="20"/>
  <c r="A211" i="20"/>
  <c r="A210" i="20"/>
  <c r="A172" i="20"/>
  <c r="A171" i="20"/>
  <c r="A170" i="20"/>
  <c r="A169" i="20"/>
  <c r="A116" i="20"/>
  <c r="A115" i="20"/>
  <c r="A114" i="20"/>
  <c r="A1213" i="8"/>
  <c r="A1212" i="8"/>
  <c r="A1211" i="8"/>
  <c r="A1210" i="8"/>
  <c r="A1155" i="8"/>
  <c r="A1154" i="8"/>
  <c r="A1153" i="8"/>
  <c r="A1152" i="8"/>
  <c r="A1085" i="8"/>
  <c r="A1084" i="8"/>
  <c r="A1083" i="8"/>
  <c r="A1082" i="8"/>
  <c r="A1009" i="8"/>
  <c r="A1008" i="8"/>
  <c r="A1007" i="8"/>
  <c r="A1006" i="8"/>
  <c r="A819" i="8"/>
  <c r="A818" i="8"/>
  <c r="A817" i="8"/>
  <c r="A816" i="8"/>
  <c r="A746" i="8"/>
  <c r="A745" i="8"/>
  <c r="A744" i="8"/>
  <c r="A743" i="8"/>
  <c r="A693" i="8"/>
  <c r="A692" i="8"/>
  <c r="A691" i="8"/>
  <c r="A690" i="8"/>
  <c r="A641" i="8"/>
  <c r="A640" i="8"/>
  <c r="A639" i="8"/>
  <c r="A638" i="8"/>
  <c r="A585" i="8"/>
  <c r="A584" i="8"/>
  <c r="A583" i="8"/>
  <c r="A582" i="8"/>
  <c r="A518" i="8"/>
  <c r="A517" i="8"/>
  <c r="A516" i="8"/>
  <c r="A515" i="8"/>
  <c r="A450" i="8"/>
  <c r="A449" i="8"/>
  <c r="A448" i="8"/>
  <c r="A447" i="8"/>
  <c r="A389" i="8"/>
  <c r="A388" i="8"/>
  <c r="A387" i="8"/>
  <c r="A386" i="8"/>
  <c r="A9" i="8"/>
  <c r="A8" i="8"/>
  <c r="A7" i="8"/>
  <c r="A6" i="8"/>
  <c r="A280" i="8"/>
  <c r="A279" i="8"/>
  <c r="A278" i="8"/>
  <c r="A277" i="8"/>
  <c r="A217" i="8"/>
  <c r="A216" i="8"/>
  <c r="A215" i="8"/>
  <c r="A214" i="8"/>
  <c r="A118" i="8"/>
  <c r="A117" i="8"/>
  <c r="A116" i="8"/>
  <c r="P366" i="20"/>
  <c r="P30" i="20" s="1"/>
  <c r="P367" i="20"/>
  <c r="P31" i="20" s="1"/>
  <c r="P368" i="20"/>
  <c r="P32" i="20" s="1"/>
  <c r="P369" i="20"/>
  <c r="P33" i="20" s="1"/>
  <c r="O250" i="2"/>
  <c r="O252" i="2" s="1"/>
  <c r="O186" i="2"/>
  <c r="O188" i="2" s="1"/>
  <c r="P976" i="8" s="1"/>
  <c r="H22" i="5"/>
  <c r="H24" i="5" s="1"/>
  <c r="J22" i="5"/>
  <c r="J24" i="5" s="1"/>
  <c r="G180" i="2"/>
  <c r="G182" i="2" s="1"/>
  <c r="O317" i="3"/>
  <c r="O323" i="3" s="1"/>
  <c r="O318" i="3"/>
  <c r="O324" i="3" s="1"/>
  <c r="P1056" i="8" s="1"/>
  <c r="O319" i="3"/>
  <c r="O320" i="3"/>
  <c r="O326" i="3" s="1"/>
  <c r="P1056" i="20" s="1"/>
  <c r="O297" i="3"/>
  <c r="O303" i="3" s="1"/>
  <c r="P1026" i="8" s="1"/>
  <c r="O298" i="3"/>
  <c r="O304" i="3" s="1"/>
  <c r="P1025" i="20" s="1"/>
  <c r="O300" i="3"/>
  <c r="O306" i="3" s="1"/>
  <c r="O120" i="3"/>
  <c r="O121" i="3"/>
  <c r="O127" i="3" s="1"/>
  <c r="P711" i="8" s="1"/>
  <c r="O122" i="3"/>
  <c r="O128" i="3" s="1"/>
  <c r="P712" i="8" s="1"/>
  <c r="Q1262" i="20"/>
  <c r="Q1238" i="20"/>
  <c r="Q1210" i="20"/>
  <c r="Q1208" i="20"/>
  <c r="Q1196" i="20"/>
  <c r="Q1172" i="20"/>
  <c r="Q1152" i="20"/>
  <c r="Q1150" i="20"/>
  <c r="Q1138" i="20"/>
  <c r="Q1120" i="20"/>
  <c r="Q1102" i="20"/>
  <c r="Q1082" i="20"/>
  <c r="Q1080" i="20"/>
  <c r="Q1068" i="20"/>
  <c r="Q1039" i="20"/>
  <c r="Q1007" i="20"/>
  <c r="Q1005" i="20"/>
  <c r="Q993" i="20"/>
  <c r="Q965" i="20"/>
  <c r="Q935" i="20"/>
  <c r="Q933" i="20"/>
  <c r="Q921" i="20"/>
  <c r="Q890" i="20"/>
  <c r="Q888" i="20"/>
  <c r="Q876" i="20"/>
  <c r="Q839" i="20"/>
  <c r="Q817" i="20"/>
  <c r="Q815" i="20"/>
  <c r="Q744" i="20"/>
  <c r="Q742" i="20"/>
  <c r="Q692" i="20"/>
  <c r="Q690" i="20"/>
  <c r="Q639" i="20"/>
  <c r="Q637" i="20"/>
  <c r="Q625" i="20"/>
  <c r="Q609" i="20"/>
  <c r="Q570" i="20"/>
  <c r="Q584" i="20"/>
  <c r="Q582" i="20"/>
  <c r="Q553" i="20"/>
  <c r="Q536" i="20"/>
  <c r="Q502" i="20"/>
  <c r="Q517" i="20"/>
  <c r="Q515" i="20"/>
  <c r="Q485" i="20"/>
  <c r="Q448" i="20"/>
  <c r="Q446" i="20"/>
  <c r="Q385" i="20"/>
  <c r="Q383" i="20"/>
  <c r="Q9" i="20"/>
  <c r="Q7" i="20"/>
  <c r="Q338" i="20"/>
  <c r="Q336" i="20"/>
  <c r="Q275" i="20"/>
  <c r="Q273" i="20"/>
  <c r="Q213" i="20"/>
  <c r="Q211" i="20"/>
  <c r="Q172" i="20"/>
  <c r="Q170" i="20"/>
  <c r="Q117" i="20"/>
  <c r="Q115" i="20"/>
  <c r="Q55" i="20"/>
  <c r="P1167" i="20"/>
  <c r="P358" i="20"/>
  <c r="P351" i="20"/>
  <c r="P324" i="20"/>
  <c r="P317" i="20"/>
  <c r="P310" i="20"/>
  <c r="P303" i="20"/>
  <c r="P296" i="20"/>
  <c r="P289" i="20"/>
  <c r="P261" i="20"/>
  <c r="P254" i="20"/>
  <c r="P247" i="20"/>
  <c r="P240" i="20"/>
  <c r="P233" i="20"/>
  <c r="P226" i="20"/>
  <c r="P151" i="20"/>
  <c r="P144" i="20"/>
  <c r="P137" i="20"/>
  <c r="P130" i="20"/>
  <c r="P103" i="20"/>
  <c r="P96" i="20"/>
  <c r="P89" i="20"/>
  <c r="O1217" i="8"/>
  <c r="N1217" i="8"/>
  <c r="M1217" i="8"/>
  <c r="L1217" i="8"/>
  <c r="K1217" i="8"/>
  <c r="J1217" i="8"/>
  <c r="I1217" i="8"/>
  <c r="H1217" i="8"/>
  <c r="G1217" i="8"/>
  <c r="F1217" i="8"/>
  <c r="E1217" i="8"/>
  <c r="O1159" i="8"/>
  <c r="N1159" i="8"/>
  <c r="M1159" i="8"/>
  <c r="L1159" i="8"/>
  <c r="K1159" i="8"/>
  <c r="J1159" i="8"/>
  <c r="I1159" i="8"/>
  <c r="H1159" i="8"/>
  <c r="G1159" i="8"/>
  <c r="F1159" i="8"/>
  <c r="E1159" i="8"/>
  <c r="O1089" i="8"/>
  <c r="N1089" i="8"/>
  <c r="M1089" i="8"/>
  <c r="L1089" i="8"/>
  <c r="K1089" i="8"/>
  <c r="J1089" i="8"/>
  <c r="I1089" i="8"/>
  <c r="H1089" i="8"/>
  <c r="G1089" i="8"/>
  <c r="F1089" i="8"/>
  <c r="E1089" i="8"/>
  <c r="O1013" i="8"/>
  <c r="N1013" i="8"/>
  <c r="M1013" i="8"/>
  <c r="L1013" i="8"/>
  <c r="K1013" i="8"/>
  <c r="J1013" i="8"/>
  <c r="I1013" i="8"/>
  <c r="H1013" i="8"/>
  <c r="G1013" i="8"/>
  <c r="F1013" i="8"/>
  <c r="E1013" i="8"/>
  <c r="O823" i="8"/>
  <c r="N823" i="8"/>
  <c r="M823" i="8"/>
  <c r="L823" i="8"/>
  <c r="K823" i="8"/>
  <c r="J823" i="8"/>
  <c r="I823" i="8"/>
  <c r="H823" i="8"/>
  <c r="G823" i="8"/>
  <c r="F823" i="8"/>
  <c r="E823" i="8"/>
  <c r="O750" i="8"/>
  <c r="N750" i="8"/>
  <c r="M750" i="8"/>
  <c r="L750" i="8"/>
  <c r="K750" i="8"/>
  <c r="J750" i="8"/>
  <c r="I750" i="8"/>
  <c r="H750" i="8"/>
  <c r="G750" i="8"/>
  <c r="F750" i="8"/>
  <c r="E750" i="8"/>
  <c r="O697" i="8"/>
  <c r="N697" i="8"/>
  <c r="M697" i="8"/>
  <c r="L697" i="8"/>
  <c r="K697" i="8"/>
  <c r="J697" i="8"/>
  <c r="I697" i="8"/>
  <c r="H697" i="8"/>
  <c r="G697" i="8"/>
  <c r="F697" i="8"/>
  <c r="E697" i="8"/>
  <c r="O645" i="8"/>
  <c r="N645" i="8"/>
  <c r="M645" i="8"/>
  <c r="L645" i="8"/>
  <c r="K645" i="8"/>
  <c r="J645" i="8"/>
  <c r="I645" i="8"/>
  <c r="H645" i="8"/>
  <c r="G645" i="8"/>
  <c r="F645" i="8"/>
  <c r="E645" i="8"/>
  <c r="O589" i="8"/>
  <c r="N589" i="8"/>
  <c r="M589" i="8"/>
  <c r="L589" i="8"/>
  <c r="K589" i="8"/>
  <c r="J589" i="8"/>
  <c r="I589" i="8"/>
  <c r="H589" i="8"/>
  <c r="G589" i="8"/>
  <c r="F589" i="8"/>
  <c r="E589" i="8"/>
  <c r="O522" i="8"/>
  <c r="N522" i="8"/>
  <c r="M522" i="8"/>
  <c r="L522" i="8"/>
  <c r="K522" i="8"/>
  <c r="J522" i="8"/>
  <c r="I522" i="8"/>
  <c r="H522" i="8"/>
  <c r="G522" i="8"/>
  <c r="F522" i="8"/>
  <c r="E522" i="8"/>
  <c r="O454" i="8"/>
  <c r="N454" i="8"/>
  <c r="M454" i="8"/>
  <c r="L454" i="8"/>
  <c r="K454" i="8"/>
  <c r="J454" i="8"/>
  <c r="I454" i="8"/>
  <c r="H454" i="8"/>
  <c r="G454" i="8"/>
  <c r="F454" i="8"/>
  <c r="E454" i="8"/>
  <c r="O393" i="8"/>
  <c r="N393" i="8"/>
  <c r="M393" i="8"/>
  <c r="L393" i="8"/>
  <c r="K393" i="8"/>
  <c r="J393" i="8"/>
  <c r="I393" i="8"/>
  <c r="H393" i="8"/>
  <c r="G393" i="8"/>
  <c r="F393" i="8"/>
  <c r="E393" i="8"/>
  <c r="O13" i="8"/>
  <c r="N13" i="8"/>
  <c r="M13" i="8"/>
  <c r="L13" i="8"/>
  <c r="K13" i="8"/>
  <c r="J13" i="8"/>
  <c r="I13" i="8"/>
  <c r="H13" i="8"/>
  <c r="G13" i="8"/>
  <c r="F13" i="8"/>
  <c r="E13" i="8"/>
  <c r="O284" i="8"/>
  <c r="N284" i="8"/>
  <c r="M284" i="8"/>
  <c r="L284" i="8"/>
  <c r="K284" i="8"/>
  <c r="J284" i="8"/>
  <c r="I284" i="8"/>
  <c r="H284" i="8"/>
  <c r="G284" i="8"/>
  <c r="F284" i="8"/>
  <c r="E284" i="8"/>
  <c r="O222" i="8"/>
  <c r="N222" i="8"/>
  <c r="M222" i="8"/>
  <c r="L222" i="8"/>
  <c r="K222" i="8"/>
  <c r="J222" i="8"/>
  <c r="I222" i="8"/>
  <c r="H222" i="8"/>
  <c r="G222" i="8"/>
  <c r="F222" i="8"/>
  <c r="E222" i="8"/>
  <c r="O124" i="8"/>
  <c r="N124" i="8"/>
  <c r="M124" i="8"/>
  <c r="L124" i="8"/>
  <c r="K124" i="8"/>
  <c r="J124" i="8"/>
  <c r="I124" i="8"/>
  <c r="H124" i="8"/>
  <c r="G124" i="8"/>
  <c r="F124" i="8"/>
  <c r="E124" i="8"/>
  <c r="P1170" i="8"/>
  <c r="P319" i="8" s="1"/>
  <c r="Q1264" i="8"/>
  <c r="Q1241" i="8"/>
  <c r="Q1213" i="8"/>
  <c r="Q1211" i="8"/>
  <c r="Q1199" i="8"/>
  <c r="Q1175" i="8"/>
  <c r="Q1155" i="8"/>
  <c r="Q1153" i="8"/>
  <c r="Q1141" i="8"/>
  <c r="Q1123" i="8"/>
  <c r="Q1105" i="8"/>
  <c r="Q1085" i="8"/>
  <c r="Q1083" i="8"/>
  <c r="Q1070" i="8"/>
  <c r="Q1041" i="8"/>
  <c r="Q1009" i="8"/>
  <c r="Q1007" i="8"/>
  <c r="Q995" i="8"/>
  <c r="Q967" i="8"/>
  <c r="Q922" i="8"/>
  <c r="Q876" i="8"/>
  <c r="Q839" i="8"/>
  <c r="Q819" i="8"/>
  <c r="Q817" i="8"/>
  <c r="Q746" i="8"/>
  <c r="Q744" i="8"/>
  <c r="Q693" i="8"/>
  <c r="Q691" i="8"/>
  <c r="Q627" i="8"/>
  <c r="Q641" i="8"/>
  <c r="Q639" i="8"/>
  <c r="Q610" i="8"/>
  <c r="Q571" i="8"/>
  <c r="Q585" i="8"/>
  <c r="Q583" i="8"/>
  <c r="Q554" i="8"/>
  <c r="Q537" i="8"/>
  <c r="Q518" i="8"/>
  <c r="Q516" i="8"/>
  <c r="Q503" i="8"/>
  <c r="Q486" i="8"/>
  <c r="Q450" i="8"/>
  <c r="Q448" i="8"/>
  <c r="Q389" i="8"/>
  <c r="Q387" i="8"/>
  <c r="Q9" i="8"/>
  <c r="Q7" i="8"/>
  <c r="Q373" i="8"/>
  <c r="Q372" i="8"/>
  <c r="Q370" i="8"/>
  <c r="Q369" i="8"/>
  <c r="Q280" i="8"/>
  <c r="Q278" i="8"/>
  <c r="Q217" i="8"/>
  <c r="Q215" i="8"/>
  <c r="Q119" i="8"/>
  <c r="Q117" i="8"/>
  <c r="Q55" i="8"/>
  <c r="P33" i="8"/>
  <c r="P32" i="8"/>
  <c r="P31" i="8"/>
  <c r="P30" i="8"/>
  <c r="P29" i="8"/>
  <c r="P375" i="8"/>
  <c r="N25" i="22" s="1"/>
  <c r="P362" i="8"/>
  <c r="P355" i="8"/>
  <c r="P328" i="8"/>
  <c r="P321" i="8"/>
  <c r="P314" i="8"/>
  <c r="P307" i="8"/>
  <c r="P300" i="8"/>
  <c r="P293" i="8"/>
  <c r="P266" i="8"/>
  <c r="P259" i="8"/>
  <c r="P252" i="8"/>
  <c r="P245" i="8"/>
  <c r="P238" i="8"/>
  <c r="P231" i="8"/>
  <c r="P154" i="8"/>
  <c r="P147" i="8"/>
  <c r="P140" i="8"/>
  <c r="P133" i="8"/>
  <c r="P104" i="8"/>
  <c r="P97" i="8"/>
  <c r="P90" i="8"/>
  <c r="R60" i="15"/>
  <c r="R59" i="15"/>
  <c r="R57" i="15"/>
  <c r="R46" i="15"/>
  <c r="R45" i="15"/>
  <c r="R44" i="15"/>
  <c r="R43" i="15"/>
  <c r="R41" i="15"/>
  <c r="R23" i="15"/>
  <c r="R20" i="15"/>
  <c r="R19" i="15"/>
  <c r="R18" i="15"/>
  <c r="R17" i="15"/>
  <c r="R15" i="15"/>
  <c r="Q9" i="15"/>
  <c r="P32" i="5"/>
  <c r="O95" i="3" s="1"/>
  <c r="P31" i="5"/>
  <c r="O94" i="3" s="1"/>
  <c r="P657" i="20" s="1"/>
  <c r="P30" i="5"/>
  <c r="O93" i="3" s="1"/>
  <c r="P29" i="5"/>
  <c r="O33" i="5"/>
  <c r="P21" i="5"/>
  <c r="P20" i="5"/>
  <c r="P19" i="5"/>
  <c r="P18" i="5"/>
  <c r="P16" i="5"/>
  <c r="O11" i="5"/>
  <c r="O413" i="3"/>
  <c r="N413" i="3"/>
  <c r="M413" i="3"/>
  <c r="L413" i="3"/>
  <c r="K413" i="3"/>
  <c r="J413" i="3"/>
  <c r="I413" i="3"/>
  <c r="H413" i="3"/>
  <c r="G413" i="3"/>
  <c r="F413" i="3"/>
  <c r="E413" i="3"/>
  <c r="D413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O64" i="3"/>
  <c r="N64" i="3"/>
  <c r="M64" i="3"/>
  <c r="L64" i="3"/>
  <c r="K64" i="3"/>
  <c r="J64" i="3"/>
  <c r="I64" i="3"/>
  <c r="H64" i="3"/>
  <c r="G64" i="3"/>
  <c r="F64" i="3"/>
  <c r="E64" i="3"/>
  <c r="D64" i="3"/>
  <c r="O420" i="3"/>
  <c r="O419" i="3"/>
  <c r="P397" i="3"/>
  <c r="P396" i="3"/>
  <c r="P393" i="3"/>
  <c r="P392" i="3"/>
  <c r="O398" i="3"/>
  <c r="O394" i="3"/>
  <c r="P379" i="3"/>
  <c r="P378" i="3"/>
  <c r="O380" i="3"/>
  <c r="P369" i="3"/>
  <c r="P368" i="3"/>
  <c r="P365" i="3"/>
  <c r="P364" i="3"/>
  <c r="O370" i="3"/>
  <c r="O366" i="3"/>
  <c r="P336" i="3"/>
  <c r="O337" i="3"/>
  <c r="O355" i="3"/>
  <c r="P1133" i="20" s="1"/>
  <c r="P308" i="20" s="1"/>
  <c r="O360" i="3"/>
  <c r="P331" i="3"/>
  <c r="P330" i="3"/>
  <c r="O332" i="3"/>
  <c r="P314" i="3"/>
  <c r="P313" i="3"/>
  <c r="P312" i="3"/>
  <c r="P311" i="3"/>
  <c r="O315" i="3"/>
  <c r="P294" i="3"/>
  <c r="P293" i="3"/>
  <c r="P292" i="3"/>
  <c r="P291" i="3"/>
  <c r="O295" i="3"/>
  <c r="P262" i="3"/>
  <c r="P261" i="3"/>
  <c r="P250" i="3"/>
  <c r="P249" i="3"/>
  <c r="P245" i="3"/>
  <c r="P244" i="3"/>
  <c r="P233" i="3"/>
  <c r="P232" i="3"/>
  <c r="P231" i="3"/>
  <c r="P230" i="3"/>
  <c r="P227" i="3"/>
  <c r="P226" i="3"/>
  <c r="P225" i="3"/>
  <c r="P224" i="3"/>
  <c r="O234" i="3"/>
  <c r="O228" i="3"/>
  <c r="P200" i="3"/>
  <c r="P199" i="3"/>
  <c r="P198" i="3"/>
  <c r="P197" i="3"/>
  <c r="P194" i="3"/>
  <c r="P193" i="3"/>
  <c r="P192" i="3"/>
  <c r="P186" i="3"/>
  <c r="P185" i="3"/>
  <c r="O201" i="3"/>
  <c r="O195" i="3"/>
  <c r="O187" i="3"/>
  <c r="P834" i="20" s="1"/>
  <c r="P845" i="20" s="1"/>
  <c r="O175" i="3"/>
  <c r="O174" i="3"/>
  <c r="P140" i="3"/>
  <c r="P139" i="3"/>
  <c r="P135" i="3"/>
  <c r="P133" i="3"/>
  <c r="O141" i="3"/>
  <c r="O136" i="3"/>
  <c r="O35" i="23" s="1"/>
  <c r="P83" i="3"/>
  <c r="P82" i="3"/>
  <c r="P81" i="3"/>
  <c r="P80" i="3"/>
  <c r="P75" i="3"/>
  <c r="P74" i="3"/>
  <c r="O84" i="3"/>
  <c r="O164" i="3" s="1"/>
  <c r="O76" i="3"/>
  <c r="P70" i="3"/>
  <c r="P69" i="3"/>
  <c r="P51" i="3"/>
  <c r="P50" i="3"/>
  <c r="P46" i="3"/>
  <c r="P45" i="3"/>
  <c r="P41" i="3"/>
  <c r="P40" i="3"/>
  <c r="O159" i="3"/>
  <c r="O52" i="3"/>
  <c r="P566" i="8" s="1"/>
  <c r="P138" i="8" s="1"/>
  <c r="O47" i="3"/>
  <c r="O42" i="3"/>
  <c r="P36" i="3"/>
  <c r="P35" i="3"/>
  <c r="P31" i="3"/>
  <c r="P30" i="3"/>
  <c r="P26" i="3"/>
  <c r="P25" i="3"/>
  <c r="P21" i="3"/>
  <c r="P20" i="3"/>
  <c r="P16" i="3"/>
  <c r="P15" i="3"/>
  <c r="O37" i="3"/>
  <c r="O32" i="3"/>
  <c r="P480" i="20" s="1"/>
  <c r="O27" i="3"/>
  <c r="O22" i="3"/>
  <c r="O53" i="23" s="1"/>
  <c r="O11" i="3"/>
  <c r="O289" i="2"/>
  <c r="O287" i="2"/>
  <c r="O283" i="2"/>
  <c r="O277" i="2"/>
  <c r="O276" i="2"/>
  <c r="P270" i="2"/>
  <c r="P269" i="2"/>
  <c r="P268" i="2"/>
  <c r="P251" i="2"/>
  <c r="P249" i="2"/>
  <c r="P245" i="2"/>
  <c r="P244" i="2"/>
  <c r="P243" i="2"/>
  <c r="P239" i="2"/>
  <c r="P238" i="2"/>
  <c r="P237" i="2"/>
  <c r="O271" i="2"/>
  <c r="O246" i="2"/>
  <c r="O240" i="2"/>
  <c r="O234" i="2"/>
  <c r="P1132" i="8" s="1"/>
  <c r="P311" i="8" s="1"/>
  <c r="P233" i="2"/>
  <c r="P232" i="2"/>
  <c r="P231" i="2"/>
  <c r="P227" i="2"/>
  <c r="P226" i="2"/>
  <c r="P225" i="2"/>
  <c r="P221" i="2"/>
  <c r="P220" i="2"/>
  <c r="P219" i="2"/>
  <c r="P199" i="2"/>
  <c r="P197" i="2"/>
  <c r="P193" i="2"/>
  <c r="P191" i="2"/>
  <c r="O228" i="2"/>
  <c r="O222" i="2"/>
  <c r="P1096" i="8" s="1"/>
  <c r="P187" i="2"/>
  <c r="P185" i="2"/>
  <c r="P181" i="2"/>
  <c r="P179" i="2"/>
  <c r="P175" i="2"/>
  <c r="P174" i="2"/>
  <c r="P173" i="2"/>
  <c r="P169" i="2"/>
  <c r="P168" i="2"/>
  <c r="P163" i="2"/>
  <c r="P162" i="2"/>
  <c r="O176" i="2"/>
  <c r="O164" i="2"/>
  <c r="O120" i="2"/>
  <c r="O121" i="2"/>
  <c r="O137" i="2"/>
  <c r="O138" i="2"/>
  <c r="O139" i="2"/>
  <c r="P98" i="2"/>
  <c r="P97" i="2"/>
  <c r="P96" i="2"/>
  <c r="P92" i="2"/>
  <c r="P91" i="2"/>
  <c r="P90" i="2"/>
  <c r="O99" i="2"/>
  <c r="P786" i="20" s="1"/>
  <c r="O93" i="2"/>
  <c r="P86" i="2"/>
  <c r="P84" i="2"/>
  <c r="P80" i="2"/>
  <c r="P74" i="2"/>
  <c r="P73" i="2"/>
  <c r="O75" i="2"/>
  <c r="P69" i="2"/>
  <c r="P68" i="2"/>
  <c r="P51" i="2"/>
  <c r="P50" i="2"/>
  <c r="P46" i="2"/>
  <c r="P45" i="2"/>
  <c r="P41" i="2"/>
  <c r="P40" i="2"/>
  <c r="P36" i="2"/>
  <c r="P35" i="2"/>
  <c r="O70" i="2"/>
  <c r="O52" i="2"/>
  <c r="P563" i="8" s="1"/>
  <c r="O47" i="2"/>
  <c r="P546" i="8" s="1"/>
  <c r="P130" i="8" s="1"/>
  <c r="O42" i="2"/>
  <c r="O37" i="2"/>
  <c r="P31" i="2"/>
  <c r="P30" i="2"/>
  <c r="P26" i="2"/>
  <c r="P25" i="2"/>
  <c r="P21" i="2"/>
  <c r="P20" i="2"/>
  <c r="P16" i="2"/>
  <c r="P15" i="2"/>
  <c r="O22" i="2"/>
  <c r="O27" i="2"/>
  <c r="O32" i="2"/>
  <c r="R5" i="15"/>
  <c r="P407" i="3"/>
  <c r="P343" i="3"/>
  <c r="P213" i="3"/>
  <c r="P147" i="3"/>
  <c r="P102" i="3"/>
  <c r="P58" i="3"/>
  <c r="P260" i="2"/>
  <c r="P211" i="2"/>
  <c r="P110" i="2"/>
  <c r="P60" i="2"/>
  <c r="B354" i="20"/>
  <c r="B1243" i="20" s="1"/>
  <c r="B347" i="20"/>
  <c r="B1218" i="20" s="1"/>
  <c r="B320" i="20"/>
  <c r="B1177" i="20" s="1"/>
  <c r="B313" i="20"/>
  <c r="B1159" i="20" s="1"/>
  <c r="B306" i="20"/>
  <c r="B1125" i="20" s="1"/>
  <c r="B299" i="20"/>
  <c r="B1107" i="20" s="1"/>
  <c r="B292" i="20"/>
  <c r="B1089" i="20" s="1"/>
  <c r="B285" i="20"/>
  <c r="B1043" i="20" s="1"/>
  <c r="B257" i="20"/>
  <c r="B1014" i="20" s="1"/>
  <c r="B250" i="20"/>
  <c r="B970" i="20" s="1"/>
  <c r="B243" i="20"/>
  <c r="B942" i="20" s="1"/>
  <c r="B236" i="20"/>
  <c r="B897" i="20" s="1"/>
  <c r="B229" i="20"/>
  <c r="B852" i="20" s="1"/>
  <c r="B222" i="20"/>
  <c r="B826" i="20" s="1"/>
  <c r="B195" i="20"/>
  <c r="B782" i="20" s="1"/>
  <c r="B188" i="20"/>
  <c r="B751" i="20" s="1"/>
  <c r="B181" i="20"/>
  <c r="B699" i="20" s="1"/>
  <c r="B154" i="20"/>
  <c r="B646" i="20" s="1"/>
  <c r="B147" i="20"/>
  <c r="B613" i="20" s="1"/>
  <c r="B140" i="20"/>
  <c r="B591" i="20" s="1"/>
  <c r="B133" i="20"/>
  <c r="B558" i="20" s="1"/>
  <c r="B126" i="20"/>
  <c r="B541" i="20" s="1"/>
  <c r="B99" i="20"/>
  <c r="B524" i="20" s="1"/>
  <c r="B92" i="20"/>
  <c r="B490" i="20" s="1"/>
  <c r="B85" i="20"/>
  <c r="B473" i="20" s="1"/>
  <c r="B78" i="20"/>
  <c r="B456" i="20" s="1"/>
  <c r="B71" i="20"/>
  <c r="B421" i="20" s="1"/>
  <c r="B64" i="20"/>
  <c r="B393" i="20" s="1"/>
  <c r="B358" i="8"/>
  <c r="B1245" i="8" s="1"/>
  <c r="B351" i="8"/>
  <c r="B1220" i="8" s="1"/>
  <c r="B324" i="8"/>
  <c r="B1180" i="8" s="1"/>
  <c r="B317" i="8"/>
  <c r="B1162" i="8" s="1"/>
  <c r="B310" i="8"/>
  <c r="B1128" i="8" s="1"/>
  <c r="B303" i="8"/>
  <c r="B296" i="8"/>
  <c r="B289" i="8"/>
  <c r="B1045" i="8" s="1"/>
  <c r="B262" i="8"/>
  <c r="B1016" i="8" s="1"/>
  <c r="B255" i="8"/>
  <c r="B972" i="8" s="1"/>
  <c r="B248" i="8"/>
  <c r="B944" i="8" s="1"/>
  <c r="B241" i="8"/>
  <c r="B898" i="8" s="1"/>
  <c r="B234" i="8"/>
  <c r="B852" i="8" s="1"/>
  <c r="B227" i="8"/>
  <c r="B826" i="8" s="1"/>
  <c r="B199" i="8"/>
  <c r="B784" i="8" s="1"/>
  <c r="B192" i="8"/>
  <c r="B753" i="8" s="1"/>
  <c r="B700" i="8"/>
  <c r="B157" i="8"/>
  <c r="B648" i="8" s="1"/>
  <c r="B150" i="8"/>
  <c r="B615" i="8" s="1"/>
  <c r="B143" i="8"/>
  <c r="B592" i="8" s="1"/>
  <c r="B136" i="8"/>
  <c r="B559" i="8" s="1"/>
  <c r="B129" i="8"/>
  <c r="B542" i="8" s="1"/>
  <c r="B100" i="8"/>
  <c r="B525" i="8" s="1"/>
  <c r="B93" i="8"/>
  <c r="B491" i="8" s="1"/>
  <c r="B86" i="8"/>
  <c r="B474" i="8" s="1"/>
  <c r="B79" i="8"/>
  <c r="B457" i="8" s="1"/>
  <c r="B72" i="8"/>
  <c r="B423" i="8" s="1"/>
  <c r="B65" i="8"/>
  <c r="B396" i="8" s="1"/>
  <c r="B37" i="14"/>
  <c r="C25" i="19" s="1"/>
  <c r="B38" i="14"/>
  <c r="C241" i="8" s="1"/>
  <c r="C898" i="8" s="1"/>
  <c r="B39" i="14"/>
  <c r="C243" i="20" s="1"/>
  <c r="C942" i="20" s="1"/>
  <c r="B40" i="14"/>
  <c r="C28" i="19" s="1"/>
  <c r="B41" i="14"/>
  <c r="C29" i="19" s="1"/>
  <c r="B42" i="14"/>
  <c r="C285" i="20" s="1"/>
  <c r="C1043" i="20" s="1"/>
  <c r="B43" i="14"/>
  <c r="C31" i="19" s="1"/>
  <c r="B44" i="14"/>
  <c r="C32" i="19" s="1"/>
  <c r="B45" i="14"/>
  <c r="C306" i="20" s="1"/>
  <c r="C1125" i="20" s="1"/>
  <c r="B46" i="14"/>
  <c r="C34" i="19" s="1"/>
  <c r="B47" i="14"/>
  <c r="C35" i="19" s="1"/>
  <c r="B48" i="14"/>
  <c r="C36" i="19" s="1"/>
  <c r="B49" i="14"/>
  <c r="C358" i="8" s="1"/>
  <c r="C1245" i="8" s="1"/>
  <c r="B36" i="14"/>
  <c r="C24" i="19" s="1"/>
  <c r="B20" i="14"/>
  <c r="C18" i="19" s="1"/>
  <c r="B21" i="14"/>
  <c r="C78" i="20" s="1"/>
  <c r="C456" i="20" s="1"/>
  <c r="B22" i="14"/>
  <c r="C86" i="8" s="1"/>
  <c r="C474" i="8" s="1"/>
  <c r="B23" i="14"/>
  <c r="C92" i="20" s="1"/>
  <c r="C490" i="20" s="1"/>
  <c r="B24" i="14"/>
  <c r="C99" i="20" s="1"/>
  <c r="C524" i="20" s="1"/>
  <c r="B25" i="14"/>
  <c r="C126" i="20" s="1"/>
  <c r="C541" i="20" s="1"/>
  <c r="B26" i="14"/>
  <c r="C133" i="20" s="1"/>
  <c r="C558" i="20" s="1"/>
  <c r="B27" i="14"/>
  <c r="C140" i="20" s="1"/>
  <c r="C591" i="20" s="1"/>
  <c r="B28" i="14"/>
  <c r="C150" i="8" s="1"/>
  <c r="C615" i="8" s="1"/>
  <c r="B29" i="14"/>
  <c r="C20" i="19" s="1"/>
  <c r="B30" i="14"/>
  <c r="C21" i="19" s="1"/>
  <c r="B31" i="14"/>
  <c r="C192" i="8" s="1"/>
  <c r="C753" i="8" s="1"/>
  <c r="B32" i="14"/>
  <c r="C23" i="19" s="1"/>
  <c r="B19" i="14"/>
  <c r="C65" i="8" s="1"/>
  <c r="C396" i="8" s="1"/>
  <c r="A66" i="22"/>
  <c r="A67" i="22"/>
  <c r="A68" i="22" s="1"/>
  <c r="A69" i="22" s="1"/>
  <c r="A70" i="22" s="1"/>
  <c r="A72" i="22" s="1"/>
  <c r="A73" i="22" s="1"/>
  <c r="A75" i="22" s="1"/>
  <c r="A76" i="22" s="1"/>
  <c r="A78" i="22" s="1"/>
  <c r="A81" i="22" s="1"/>
  <c r="A83" i="22" s="1"/>
  <c r="A84" i="22" s="1"/>
  <c r="A85" i="22" s="1"/>
  <c r="A86" i="22" s="1"/>
  <c r="A87" i="22" s="1"/>
  <c r="A89" i="22" s="1"/>
  <c r="A91" i="22" s="1"/>
  <c r="M62" i="22"/>
  <c r="L62" i="22"/>
  <c r="K62" i="22"/>
  <c r="J62" i="22"/>
  <c r="I62" i="22"/>
  <c r="H62" i="22"/>
  <c r="G62" i="22"/>
  <c r="F62" i="22"/>
  <c r="E62" i="22"/>
  <c r="D62" i="22"/>
  <c r="C62" i="22"/>
  <c r="E96" i="20"/>
  <c r="F96" i="20"/>
  <c r="G96" i="20"/>
  <c r="H96" i="20"/>
  <c r="I96" i="20"/>
  <c r="J96" i="20"/>
  <c r="K96" i="20"/>
  <c r="L96" i="20"/>
  <c r="M96" i="20"/>
  <c r="N96" i="20"/>
  <c r="O96" i="20"/>
  <c r="E97" i="8"/>
  <c r="F97" i="8"/>
  <c r="G97" i="8"/>
  <c r="H97" i="8"/>
  <c r="I97" i="8"/>
  <c r="J97" i="8"/>
  <c r="K97" i="8"/>
  <c r="L97" i="8"/>
  <c r="M97" i="8"/>
  <c r="N97" i="8"/>
  <c r="O97" i="8"/>
  <c r="E366" i="20"/>
  <c r="E30" i="20" s="1"/>
  <c r="F366" i="20"/>
  <c r="F30" i="20" s="1"/>
  <c r="G366" i="20"/>
  <c r="G30" i="20" s="1"/>
  <c r="H366" i="20"/>
  <c r="H30" i="20" s="1"/>
  <c r="I366" i="20"/>
  <c r="I30" i="20" s="1"/>
  <c r="J366" i="20"/>
  <c r="J30" i="20" s="1"/>
  <c r="K366" i="20"/>
  <c r="K30" i="20" s="1"/>
  <c r="L366" i="20"/>
  <c r="L30" i="20" s="1"/>
  <c r="M366" i="20"/>
  <c r="M30" i="20" s="1"/>
  <c r="N366" i="20"/>
  <c r="N30" i="20" s="1"/>
  <c r="O366" i="20"/>
  <c r="O30" i="20" s="1"/>
  <c r="E367" i="20"/>
  <c r="E31" i="20" s="1"/>
  <c r="F367" i="20"/>
  <c r="F31" i="20" s="1"/>
  <c r="G367" i="20"/>
  <c r="G31" i="20" s="1"/>
  <c r="H367" i="20"/>
  <c r="H31" i="20" s="1"/>
  <c r="I367" i="20"/>
  <c r="I31" i="20" s="1"/>
  <c r="J367" i="20"/>
  <c r="J31" i="20" s="1"/>
  <c r="K367" i="20"/>
  <c r="K31" i="20" s="1"/>
  <c r="L367" i="20"/>
  <c r="L31" i="20" s="1"/>
  <c r="M367" i="20"/>
  <c r="M31" i="20" s="1"/>
  <c r="N367" i="20"/>
  <c r="N31" i="20" s="1"/>
  <c r="O367" i="20"/>
  <c r="O31" i="20" s="1"/>
  <c r="E368" i="20"/>
  <c r="F368" i="20"/>
  <c r="F32" i="20" s="1"/>
  <c r="G368" i="20"/>
  <c r="G32" i="20" s="1"/>
  <c r="H368" i="20"/>
  <c r="H32" i="20" s="1"/>
  <c r="I368" i="20"/>
  <c r="I32" i="20" s="1"/>
  <c r="J368" i="20"/>
  <c r="J32" i="20" s="1"/>
  <c r="K368" i="20"/>
  <c r="K32" i="20" s="1"/>
  <c r="L368" i="20"/>
  <c r="L32" i="20" s="1"/>
  <c r="M368" i="20"/>
  <c r="M32" i="20" s="1"/>
  <c r="N368" i="20"/>
  <c r="N32" i="20" s="1"/>
  <c r="O368" i="20"/>
  <c r="O32" i="20" s="1"/>
  <c r="E369" i="20"/>
  <c r="E33" i="20" s="1"/>
  <c r="F369" i="20"/>
  <c r="F33" i="20" s="1"/>
  <c r="G369" i="20"/>
  <c r="G33" i="20" s="1"/>
  <c r="H369" i="20"/>
  <c r="H33" i="20" s="1"/>
  <c r="I369" i="20"/>
  <c r="I33" i="20" s="1"/>
  <c r="J369" i="20"/>
  <c r="J33" i="20" s="1"/>
  <c r="K369" i="20"/>
  <c r="K33" i="20" s="1"/>
  <c r="L369" i="20"/>
  <c r="L33" i="20" s="1"/>
  <c r="M369" i="20"/>
  <c r="M33" i="20" s="1"/>
  <c r="N369" i="20"/>
  <c r="N33" i="20" s="1"/>
  <c r="O369" i="20"/>
  <c r="O33" i="20" s="1"/>
  <c r="A16" i="23"/>
  <c r="A17" i="23" s="1"/>
  <c r="A18" i="23" s="1"/>
  <c r="A20" i="23" s="1"/>
  <c r="A22" i="23" s="1"/>
  <c r="A23" i="23" s="1"/>
  <c r="A24" i="23" s="1"/>
  <c r="A26" i="23" s="1"/>
  <c r="A28" i="23" s="1"/>
  <c r="A29" i="23" s="1"/>
  <c r="A30" i="23" s="1"/>
  <c r="A32" i="23" s="1"/>
  <c r="A34" i="23" s="1"/>
  <c r="A35" i="23" s="1"/>
  <c r="A36" i="23" s="1"/>
  <c r="A38" i="23" s="1"/>
  <c r="A40" i="23" s="1"/>
  <c r="A41" i="23" s="1"/>
  <c r="A42" i="23" s="1"/>
  <c r="A44" i="23" s="1"/>
  <c r="A46" i="23" s="1"/>
  <c r="A47" i="23" s="1"/>
  <c r="A48" i="23" s="1"/>
  <c r="A50" i="23" s="1"/>
  <c r="A52" i="23" s="1"/>
  <c r="A53" i="23" s="1"/>
  <c r="A54" i="23" s="1"/>
  <c r="A56" i="23" s="1"/>
  <c r="O31" i="8"/>
  <c r="N31" i="8"/>
  <c r="M31" i="8"/>
  <c r="L31" i="8"/>
  <c r="K31" i="8"/>
  <c r="J31" i="8"/>
  <c r="I31" i="8"/>
  <c r="H31" i="8"/>
  <c r="G31" i="8"/>
  <c r="F31" i="8"/>
  <c r="E31" i="8"/>
  <c r="M14" i="22"/>
  <c r="L14" i="22"/>
  <c r="K14" i="22"/>
  <c r="J14" i="22"/>
  <c r="I14" i="22"/>
  <c r="H14" i="22"/>
  <c r="G14" i="22"/>
  <c r="F14" i="22"/>
  <c r="E14" i="22"/>
  <c r="D14" i="22"/>
  <c r="C14" i="22"/>
  <c r="A18" i="22"/>
  <c r="A19" i="22" s="1"/>
  <c r="A20" i="22" s="1"/>
  <c r="A21" i="22"/>
  <c r="A22" i="22" s="1"/>
  <c r="A24" i="22" s="1"/>
  <c r="A25" i="22" s="1"/>
  <c r="A27" i="22" s="1"/>
  <c r="A28" i="22" s="1"/>
  <c r="A30" i="22" s="1"/>
  <c r="A33" i="22" s="1"/>
  <c r="A35" i="22" s="1"/>
  <c r="A36" i="22" s="1"/>
  <c r="A37" i="22" s="1"/>
  <c r="A38" i="22" s="1"/>
  <c r="A39" i="22" s="1"/>
  <c r="A41" i="22" s="1"/>
  <c r="A43" i="22" s="1"/>
  <c r="D317" i="3"/>
  <c r="D323" i="3" s="1"/>
  <c r="E317" i="3"/>
  <c r="E323" i="3" s="1"/>
  <c r="F1055" i="8" s="1"/>
  <c r="G317" i="3"/>
  <c r="G323" i="3" s="1"/>
  <c r="H1055" i="8" s="1"/>
  <c r="H317" i="3"/>
  <c r="H323" i="3" s="1"/>
  <c r="I1053" i="20" s="1"/>
  <c r="I317" i="3"/>
  <c r="I323" i="3" s="1"/>
  <c r="J1053" i="20" s="1"/>
  <c r="L317" i="3"/>
  <c r="L323" i="3" s="1"/>
  <c r="N317" i="3"/>
  <c r="N323" i="3" s="1"/>
  <c r="D318" i="3"/>
  <c r="G318" i="3"/>
  <c r="G324" i="3" s="1"/>
  <c r="H1054" i="20" s="1"/>
  <c r="H318" i="3"/>
  <c r="H324" i="3" s="1"/>
  <c r="I1054" i="20" s="1"/>
  <c r="I318" i="3"/>
  <c r="J318" i="3"/>
  <c r="J324" i="3" s="1"/>
  <c r="K1056" i="8" s="1"/>
  <c r="K318" i="3"/>
  <c r="K324" i="3" s="1"/>
  <c r="L1054" i="20" s="1"/>
  <c r="L318" i="3"/>
  <c r="L324" i="3" s="1"/>
  <c r="M318" i="3"/>
  <c r="M324" i="3" s="1"/>
  <c r="N318" i="3"/>
  <c r="N324" i="3" s="1"/>
  <c r="O1056" i="8" s="1"/>
  <c r="D319" i="3"/>
  <c r="D325" i="3" s="1"/>
  <c r="E319" i="3"/>
  <c r="E325" i="3" s="1"/>
  <c r="F1055" i="20" s="1"/>
  <c r="F319" i="3"/>
  <c r="F325" i="3" s="1"/>
  <c r="G1057" i="8" s="1"/>
  <c r="G319" i="3"/>
  <c r="G325" i="3" s="1"/>
  <c r="H1057" i="8" s="1"/>
  <c r="H319" i="3"/>
  <c r="H325" i="3" s="1"/>
  <c r="I1057" i="8" s="1"/>
  <c r="I319" i="3"/>
  <c r="I325" i="3" s="1"/>
  <c r="J1055" i="20" s="1"/>
  <c r="J319" i="3"/>
  <c r="J325" i="3" s="1"/>
  <c r="K1055" i="20" s="1"/>
  <c r="K319" i="3"/>
  <c r="K325" i="3" s="1"/>
  <c r="L319" i="3"/>
  <c r="L325" i="3" s="1"/>
  <c r="M1057" i="8" s="1"/>
  <c r="M319" i="3"/>
  <c r="M325" i="3" s="1"/>
  <c r="N1055" i="20" s="1"/>
  <c r="D320" i="3"/>
  <c r="D326" i="3" s="1"/>
  <c r="E320" i="3"/>
  <c r="E326" i="3" s="1"/>
  <c r="F1058" i="8" s="1"/>
  <c r="F320" i="3"/>
  <c r="F326" i="3" s="1"/>
  <c r="G1056" i="20" s="1"/>
  <c r="H320" i="3"/>
  <c r="H326" i="3" s="1"/>
  <c r="I1058" i="8" s="1"/>
  <c r="I320" i="3"/>
  <c r="I326" i="3" s="1"/>
  <c r="J1058" i="8" s="1"/>
  <c r="J320" i="3"/>
  <c r="J326" i="3" s="1"/>
  <c r="K1058" i="8" s="1"/>
  <c r="K320" i="3"/>
  <c r="K326" i="3" s="1"/>
  <c r="L1058" i="8" s="1"/>
  <c r="L320" i="3"/>
  <c r="L326" i="3" s="1"/>
  <c r="M1056" i="20" s="1"/>
  <c r="M320" i="3"/>
  <c r="M326" i="3" s="1"/>
  <c r="N320" i="3"/>
  <c r="N326" i="3" s="1"/>
  <c r="D386" i="3"/>
  <c r="E1230" i="8" s="1"/>
  <c r="E386" i="3"/>
  <c r="F1230" i="8" s="1"/>
  <c r="K386" i="3"/>
  <c r="L1228" i="20" s="1"/>
  <c r="D387" i="3"/>
  <c r="E1229" i="20" s="1"/>
  <c r="F387" i="3"/>
  <c r="G1231" i="8" s="1"/>
  <c r="G387" i="3"/>
  <c r="H387" i="3"/>
  <c r="I1231" i="8" s="1"/>
  <c r="I387" i="3"/>
  <c r="J1231" i="8" s="1"/>
  <c r="J387" i="3"/>
  <c r="K1231" i="8" s="1"/>
  <c r="L387" i="3"/>
  <c r="M1231" i="8" s="1"/>
  <c r="M387" i="3"/>
  <c r="F267" i="3"/>
  <c r="F272" i="3" s="1"/>
  <c r="F84" i="3"/>
  <c r="F164" i="3" s="1"/>
  <c r="D250" i="2"/>
  <c r="D252" i="2" s="1"/>
  <c r="E1224" i="8" s="1"/>
  <c r="E352" i="8" s="1"/>
  <c r="E250" i="2"/>
  <c r="E252" i="2" s="1"/>
  <c r="F1222" i="20" s="1"/>
  <c r="F250" i="2"/>
  <c r="F252" i="2" s="1"/>
  <c r="G250" i="2"/>
  <c r="G252" i="2" s="1"/>
  <c r="H1222" i="20" s="1"/>
  <c r="H250" i="2"/>
  <c r="H252" i="2" s="1"/>
  <c r="I250" i="2"/>
  <c r="I252" i="2" s="1"/>
  <c r="J1222" i="20" s="1"/>
  <c r="J250" i="2"/>
  <c r="J252" i="2" s="1"/>
  <c r="K250" i="2"/>
  <c r="K252" i="2" s="1"/>
  <c r="L1222" i="20" s="1"/>
  <c r="L250" i="2"/>
  <c r="L252" i="2" s="1"/>
  <c r="M1222" i="20" s="1"/>
  <c r="M348" i="20" s="1"/>
  <c r="M250" i="2"/>
  <c r="M252" i="2" s="1"/>
  <c r="N250" i="2"/>
  <c r="N252" i="2" s="1"/>
  <c r="O1222" i="20" s="1"/>
  <c r="O348" i="20" s="1"/>
  <c r="N195" i="3"/>
  <c r="O1215" i="20"/>
  <c r="N1215" i="20"/>
  <c r="M1215" i="20"/>
  <c r="L1215" i="20"/>
  <c r="K1215" i="20"/>
  <c r="J1215" i="20"/>
  <c r="I1215" i="20"/>
  <c r="H1215" i="20"/>
  <c r="G1215" i="20"/>
  <c r="F1215" i="20"/>
  <c r="E1215" i="20"/>
  <c r="O1156" i="20"/>
  <c r="N1156" i="20"/>
  <c r="M1156" i="20"/>
  <c r="L1156" i="20"/>
  <c r="K1156" i="20"/>
  <c r="J1156" i="20"/>
  <c r="I1156" i="20"/>
  <c r="H1156" i="20"/>
  <c r="G1156" i="20"/>
  <c r="F1156" i="20"/>
  <c r="E1156" i="20"/>
  <c r="O1086" i="20"/>
  <c r="N1086" i="20"/>
  <c r="M1086" i="20"/>
  <c r="L1086" i="20"/>
  <c r="K1086" i="20"/>
  <c r="J1086" i="20"/>
  <c r="I1086" i="20"/>
  <c r="H1086" i="20"/>
  <c r="G1086" i="20"/>
  <c r="F1086" i="20"/>
  <c r="E1086" i="20"/>
  <c r="O1011" i="20"/>
  <c r="N1011" i="20"/>
  <c r="M1011" i="20"/>
  <c r="L1011" i="20"/>
  <c r="K1011" i="20"/>
  <c r="J1011" i="20"/>
  <c r="I1011" i="20"/>
  <c r="H1011" i="20"/>
  <c r="G1011" i="20"/>
  <c r="F1011" i="20"/>
  <c r="E1011" i="20"/>
  <c r="O939" i="20"/>
  <c r="N939" i="20"/>
  <c r="M939" i="20"/>
  <c r="L939" i="20"/>
  <c r="K939" i="20"/>
  <c r="J939" i="20"/>
  <c r="I939" i="20"/>
  <c r="H939" i="20"/>
  <c r="G939" i="20"/>
  <c r="F939" i="20"/>
  <c r="E939" i="20"/>
  <c r="O894" i="20"/>
  <c r="N894" i="20"/>
  <c r="M894" i="20"/>
  <c r="L894" i="20"/>
  <c r="K894" i="20"/>
  <c r="J894" i="20"/>
  <c r="I894" i="20"/>
  <c r="H894" i="20"/>
  <c r="G894" i="20"/>
  <c r="F894" i="20"/>
  <c r="E894" i="20"/>
  <c r="O823" i="20"/>
  <c r="N823" i="20"/>
  <c r="M823" i="20"/>
  <c r="L823" i="20"/>
  <c r="K823" i="20"/>
  <c r="J823" i="20"/>
  <c r="I823" i="20"/>
  <c r="H823" i="20"/>
  <c r="G823" i="20"/>
  <c r="F823" i="20"/>
  <c r="E823" i="20"/>
  <c r="O748" i="20"/>
  <c r="N748" i="20"/>
  <c r="M748" i="20"/>
  <c r="L748" i="20"/>
  <c r="K748" i="20"/>
  <c r="J748" i="20"/>
  <c r="I748" i="20"/>
  <c r="H748" i="20"/>
  <c r="G748" i="20"/>
  <c r="F748" i="20"/>
  <c r="E748" i="20"/>
  <c r="O696" i="20"/>
  <c r="N696" i="20"/>
  <c r="M696" i="20"/>
  <c r="L696" i="20"/>
  <c r="K696" i="20"/>
  <c r="J696" i="20"/>
  <c r="I696" i="20"/>
  <c r="H696" i="20"/>
  <c r="G696" i="20"/>
  <c r="F696" i="20"/>
  <c r="E696" i="20"/>
  <c r="O643" i="20"/>
  <c r="N643" i="20"/>
  <c r="M643" i="20"/>
  <c r="L643" i="20"/>
  <c r="K643" i="20"/>
  <c r="J643" i="20"/>
  <c r="I643" i="20"/>
  <c r="H643" i="20"/>
  <c r="G643" i="20"/>
  <c r="F643" i="20"/>
  <c r="E643" i="20"/>
  <c r="O588" i="20"/>
  <c r="N588" i="20"/>
  <c r="M588" i="20"/>
  <c r="L588" i="20"/>
  <c r="K588" i="20"/>
  <c r="J588" i="20"/>
  <c r="I588" i="20"/>
  <c r="H588" i="20"/>
  <c r="G588" i="20"/>
  <c r="F588" i="20"/>
  <c r="E588" i="20"/>
  <c r="O521" i="20"/>
  <c r="N521" i="20"/>
  <c r="M521" i="20"/>
  <c r="L521" i="20"/>
  <c r="K521" i="20"/>
  <c r="J521" i="20"/>
  <c r="I521" i="20"/>
  <c r="H521" i="20"/>
  <c r="G521" i="20"/>
  <c r="F521" i="20"/>
  <c r="E521" i="20"/>
  <c r="O452" i="20"/>
  <c r="N452" i="20"/>
  <c r="M452" i="20"/>
  <c r="L452" i="20"/>
  <c r="K452" i="20"/>
  <c r="J452" i="20"/>
  <c r="I452" i="20"/>
  <c r="H452" i="20"/>
  <c r="G452" i="20"/>
  <c r="F452" i="20"/>
  <c r="E452" i="20"/>
  <c r="O389" i="20"/>
  <c r="N389" i="20"/>
  <c r="M389" i="20"/>
  <c r="L389" i="20"/>
  <c r="K389" i="20"/>
  <c r="J389" i="20"/>
  <c r="I389" i="20"/>
  <c r="H389" i="20"/>
  <c r="G389" i="20"/>
  <c r="F389" i="20"/>
  <c r="E389" i="20"/>
  <c r="O13" i="20"/>
  <c r="N13" i="20"/>
  <c r="M13" i="20"/>
  <c r="L13" i="20"/>
  <c r="K13" i="20"/>
  <c r="J13" i="20"/>
  <c r="I13" i="20"/>
  <c r="H13" i="20"/>
  <c r="G13" i="20"/>
  <c r="F13" i="20"/>
  <c r="E13" i="20"/>
  <c r="O342" i="20"/>
  <c r="N342" i="20"/>
  <c r="M342" i="20"/>
  <c r="L342" i="20"/>
  <c r="K342" i="20"/>
  <c r="J342" i="20"/>
  <c r="I342" i="20"/>
  <c r="H342" i="20"/>
  <c r="G342" i="20"/>
  <c r="F342" i="20"/>
  <c r="E342" i="20"/>
  <c r="O279" i="20"/>
  <c r="N279" i="20"/>
  <c r="M279" i="20"/>
  <c r="L279" i="20"/>
  <c r="K279" i="20"/>
  <c r="J279" i="20"/>
  <c r="I279" i="20"/>
  <c r="H279" i="20"/>
  <c r="G279" i="20"/>
  <c r="F279" i="20"/>
  <c r="E279" i="20"/>
  <c r="O217" i="20"/>
  <c r="N217" i="20"/>
  <c r="M217" i="20"/>
  <c r="L217" i="20"/>
  <c r="K217" i="20"/>
  <c r="J217" i="20"/>
  <c r="I217" i="20"/>
  <c r="H217" i="20"/>
  <c r="G217" i="20"/>
  <c r="F217" i="20"/>
  <c r="E217" i="20"/>
  <c r="O176" i="20"/>
  <c r="N176" i="20"/>
  <c r="M176" i="20"/>
  <c r="L176" i="20"/>
  <c r="K176" i="20"/>
  <c r="J176" i="20"/>
  <c r="I176" i="20"/>
  <c r="H176" i="20"/>
  <c r="G176" i="20"/>
  <c r="F176" i="20"/>
  <c r="E176" i="20"/>
  <c r="O121" i="20"/>
  <c r="N121" i="20"/>
  <c r="M121" i="20"/>
  <c r="L121" i="20"/>
  <c r="K121" i="20"/>
  <c r="J121" i="20"/>
  <c r="I121" i="20"/>
  <c r="H121" i="20"/>
  <c r="G121" i="20"/>
  <c r="F121" i="20"/>
  <c r="E121" i="20"/>
  <c r="O59" i="20"/>
  <c r="N59" i="20"/>
  <c r="M59" i="20"/>
  <c r="L59" i="20"/>
  <c r="K59" i="20"/>
  <c r="J59" i="20"/>
  <c r="I59" i="20"/>
  <c r="H59" i="20"/>
  <c r="G59" i="20"/>
  <c r="F59" i="20"/>
  <c r="E59" i="20"/>
  <c r="O60" i="8"/>
  <c r="N60" i="8"/>
  <c r="M60" i="8"/>
  <c r="L60" i="8"/>
  <c r="K60" i="8"/>
  <c r="J60" i="8"/>
  <c r="I60" i="8"/>
  <c r="H60" i="8"/>
  <c r="G60" i="8"/>
  <c r="F60" i="8"/>
  <c r="E60" i="8"/>
  <c r="P9" i="15"/>
  <c r="O9" i="15"/>
  <c r="N9" i="15"/>
  <c r="M9" i="15"/>
  <c r="L9" i="15"/>
  <c r="K9" i="15"/>
  <c r="J9" i="15"/>
  <c r="I9" i="15"/>
  <c r="H9" i="15"/>
  <c r="G9" i="15"/>
  <c r="F9" i="15"/>
  <c r="N11" i="5"/>
  <c r="M11" i="5"/>
  <c r="L11" i="5"/>
  <c r="K11" i="5"/>
  <c r="J11" i="5"/>
  <c r="I11" i="5"/>
  <c r="H11" i="5"/>
  <c r="G11" i="5"/>
  <c r="F11" i="5"/>
  <c r="E11" i="5"/>
  <c r="D11" i="5"/>
  <c r="N11" i="3"/>
  <c r="M11" i="3"/>
  <c r="L11" i="3"/>
  <c r="K11" i="3"/>
  <c r="J11" i="3"/>
  <c r="I11" i="3"/>
  <c r="H11" i="3"/>
  <c r="G11" i="3"/>
  <c r="F11" i="3"/>
  <c r="E11" i="3"/>
  <c r="D11" i="3"/>
  <c r="D297" i="3"/>
  <c r="D303" i="3" s="1"/>
  <c r="E1026" i="8" s="1"/>
  <c r="E297" i="3"/>
  <c r="E303" i="3" s="1"/>
  <c r="F297" i="3"/>
  <c r="F303" i="3" s="1"/>
  <c r="G1024" i="20" s="1"/>
  <c r="G297" i="3"/>
  <c r="H297" i="3"/>
  <c r="H303" i="3" s="1"/>
  <c r="I1026" i="8" s="1"/>
  <c r="I297" i="3"/>
  <c r="I303" i="3" s="1"/>
  <c r="L297" i="3"/>
  <c r="L303" i="3" s="1"/>
  <c r="M1024" i="20" s="1"/>
  <c r="M297" i="3"/>
  <c r="M303" i="3" s="1"/>
  <c r="N1024" i="20" s="1"/>
  <c r="E298" i="3"/>
  <c r="E304" i="3" s="1"/>
  <c r="F1025" i="20" s="1"/>
  <c r="F298" i="3"/>
  <c r="F304" i="3" s="1"/>
  <c r="G1025" i="20" s="1"/>
  <c r="G298" i="3"/>
  <c r="G304" i="3" s="1"/>
  <c r="H1027" i="8" s="1"/>
  <c r="H298" i="3"/>
  <c r="H304" i="3" s="1"/>
  <c r="I1027" i="8" s="1"/>
  <c r="I298" i="3"/>
  <c r="I304" i="3" s="1"/>
  <c r="J1027" i="8" s="1"/>
  <c r="J298" i="3"/>
  <c r="J304" i="3" s="1"/>
  <c r="K298" i="3"/>
  <c r="K304" i="3" s="1"/>
  <c r="L1027" i="8" s="1"/>
  <c r="L298" i="3"/>
  <c r="L304" i="3" s="1"/>
  <c r="M1027" i="8" s="1"/>
  <c r="M298" i="3"/>
  <c r="M304" i="3" s="1"/>
  <c r="N1027" i="8" s="1"/>
  <c r="N298" i="3"/>
  <c r="N304" i="3" s="1"/>
  <c r="E299" i="3"/>
  <c r="E305" i="3" s="1"/>
  <c r="F1026" i="20" s="1"/>
  <c r="F299" i="3"/>
  <c r="F305" i="3" s="1"/>
  <c r="G1026" i="20" s="1"/>
  <c r="G299" i="3"/>
  <c r="G305" i="3" s="1"/>
  <c r="H1028" i="8" s="1"/>
  <c r="I299" i="3"/>
  <c r="I305" i="3" s="1"/>
  <c r="J1026" i="20" s="1"/>
  <c r="J299" i="3"/>
  <c r="J305" i="3" s="1"/>
  <c r="K1026" i="20" s="1"/>
  <c r="K299" i="3"/>
  <c r="K305" i="3" s="1"/>
  <c r="L1026" i="20" s="1"/>
  <c r="L299" i="3"/>
  <c r="M299" i="3"/>
  <c r="M305" i="3" s="1"/>
  <c r="N1028" i="8" s="1"/>
  <c r="N299" i="3"/>
  <c r="N305" i="3" s="1"/>
  <c r="O1028" i="8" s="1"/>
  <c r="D300" i="3"/>
  <c r="D306" i="3" s="1"/>
  <c r="F300" i="3"/>
  <c r="F306" i="3" s="1"/>
  <c r="G1029" i="8" s="1"/>
  <c r="G300" i="3"/>
  <c r="G306" i="3" s="1"/>
  <c r="H1029" i="8" s="1"/>
  <c r="H300" i="3"/>
  <c r="H306" i="3" s="1"/>
  <c r="I1027" i="20" s="1"/>
  <c r="I300" i="3"/>
  <c r="I306" i="3" s="1"/>
  <c r="J1029" i="8" s="1"/>
  <c r="J300" i="3"/>
  <c r="J306" i="3" s="1"/>
  <c r="K1027" i="20" s="1"/>
  <c r="K300" i="3"/>
  <c r="K306" i="3" s="1"/>
  <c r="L1027" i="20" s="1"/>
  <c r="L300" i="3"/>
  <c r="L306" i="3" s="1"/>
  <c r="M1027" i="20" s="1"/>
  <c r="M300" i="3"/>
  <c r="M306" i="3" s="1"/>
  <c r="N1029" i="8" s="1"/>
  <c r="N300" i="3"/>
  <c r="N306" i="3" s="1"/>
  <c r="D119" i="3"/>
  <c r="F119" i="3"/>
  <c r="G119" i="3"/>
  <c r="J119" i="3"/>
  <c r="K119" i="3"/>
  <c r="M119" i="3"/>
  <c r="M125" i="3" s="1"/>
  <c r="N709" i="8" s="1"/>
  <c r="N119" i="3"/>
  <c r="E120" i="3"/>
  <c r="F120" i="3"/>
  <c r="G120" i="3"/>
  <c r="H120" i="3"/>
  <c r="I120" i="3"/>
  <c r="J120" i="3"/>
  <c r="K120" i="3"/>
  <c r="L120" i="3"/>
  <c r="M120" i="3"/>
  <c r="M126" i="3" s="1"/>
  <c r="N710" i="8" s="1"/>
  <c r="E121" i="3"/>
  <c r="F121" i="3"/>
  <c r="G121" i="3"/>
  <c r="H121" i="3"/>
  <c r="I121" i="3"/>
  <c r="J121" i="3"/>
  <c r="K121" i="3"/>
  <c r="L121" i="3"/>
  <c r="M121" i="3"/>
  <c r="M127" i="3" s="1"/>
  <c r="N711" i="8" s="1"/>
  <c r="N121" i="3"/>
  <c r="D122" i="3"/>
  <c r="E122" i="3"/>
  <c r="F122" i="3"/>
  <c r="G122" i="3"/>
  <c r="H122" i="3"/>
  <c r="I122" i="3"/>
  <c r="J122" i="3"/>
  <c r="K122" i="3"/>
  <c r="L122" i="3"/>
  <c r="L128" i="3" s="1"/>
  <c r="M122" i="3"/>
  <c r="M128" i="3" s="1"/>
  <c r="N122" i="3"/>
  <c r="N128" i="3" s="1"/>
  <c r="O712" i="8" s="1"/>
  <c r="L22" i="5"/>
  <c r="L24" i="5" s="1"/>
  <c r="K22" i="5"/>
  <c r="K24" i="5" s="1"/>
  <c r="D287" i="2"/>
  <c r="E287" i="2"/>
  <c r="F287" i="2"/>
  <c r="G287" i="2"/>
  <c r="H287" i="2"/>
  <c r="I287" i="2"/>
  <c r="J287" i="2"/>
  <c r="K287" i="2"/>
  <c r="L287" i="2"/>
  <c r="M287" i="2"/>
  <c r="N287" i="2"/>
  <c r="D289" i="2"/>
  <c r="E289" i="2"/>
  <c r="F289" i="2"/>
  <c r="G289" i="2"/>
  <c r="H289" i="2"/>
  <c r="I289" i="2"/>
  <c r="J289" i="2"/>
  <c r="K289" i="2"/>
  <c r="L289" i="2"/>
  <c r="M289" i="2"/>
  <c r="N289" i="2"/>
  <c r="A333" i="20"/>
  <c r="A331" i="20"/>
  <c r="A330" i="20"/>
  <c r="A329" i="20"/>
  <c r="A328" i="20"/>
  <c r="A266" i="20"/>
  <c r="A265" i="20"/>
  <c r="A204" i="20"/>
  <c r="A203" i="20"/>
  <c r="A167" i="20"/>
  <c r="A165" i="20"/>
  <c r="A164" i="20"/>
  <c r="A163" i="20"/>
  <c r="A162" i="20"/>
  <c r="A380" i="8"/>
  <c r="A379" i="8"/>
  <c r="A271" i="8"/>
  <c r="A270" i="8"/>
  <c r="A881" i="8" s="1"/>
  <c r="A208" i="8"/>
  <c r="A207" i="8"/>
  <c r="A4" i="8"/>
  <c r="A2" i="8"/>
  <c r="A1" i="8"/>
  <c r="A145" i="3"/>
  <c r="A143" i="3"/>
  <c r="D846" i="20"/>
  <c r="D1168" i="20"/>
  <c r="D777" i="8"/>
  <c r="D532" i="20"/>
  <c r="D549" i="20"/>
  <c r="D603" i="20"/>
  <c r="D1183" i="20"/>
  <c r="D949" i="20"/>
  <c r="D1191" i="20"/>
  <c r="D1249" i="20"/>
  <c r="D1225" i="20"/>
  <c r="D1165" i="20"/>
  <c r="D1130" i="20"/>
  <c r="D1113" i="20"/>
  <c r="D1050" i="20"/>
  <c r="D1021" i="20"/>
  <c r="D977" i="20"/>
  <c r="D903" i="20"/>
  <c r="D858" i="20"/>
  <c r="D832" i="20"/>
  <c r="D788" i="20"/>
  <c r="D757" i="20"/>
  <c r="D705" i="20"/>
  <c r="D652" i="20"/>
  <c r="D481" i="20"/>
  <c r="D429" i="20"/>
  <c r="D399" i="20"/>
  <c r="D412" i="20"/>
  <c r="C1253" i="20"/>
  <c r="C1257" i="20" s="1"/>
  <c r="C1252" i="20"/>
  <c r="C1256" i="20" s="1"/>
  <c r="C1229" i="20"/>
  <c r="C1233" i="20" s="1"/>
  <c r="C1228" i="20"/>
  <c r="C1232" i="20" s="1"/>
  <c r="A1220" i="20"/>
  <c r="A1222" i="20" s="1"/>
  <c r="A1223" i="20" s="1"/>
  <c r="A1224" i="20" s="1"/>
  <c r="A1225" i="20" s="1"/>
  <c r="A1227" i="20" s="1"/>
  <c r="A1228" i="20" s="1"/>
  <c r="A1229" i="20" s="1"/>
  <c r="A1231" i="20" s="1"/>
  <c r="A1232" i="20" s="1"/>
  <c r="A1233" i="20" s="1"/>
  <c r="A1205" i="20"/>
  <c r="A1203" i="20"/>
  <c r="A1202" i="20"/>
  <c r="C1187" i="20"/>
  <c r="C1191" i="20" s="1"/>
  <c r="C1186" i="20"/>
  <c r="C1190" i="20" s="1"/>
  <c r="O1167" i="20"/>
  <c r="N1167" i="20"/>
  <c r="M1167" i="20"/>
  <c r="L1167" i="20"/>
  <c r="K1167" i="20"/>
  <c r="J1167" i="20"/>
  <c r="I1167" i="20"/>
  <c r="H1167" i="20"/>
  <c r="G1167" i="20"/>
  <c r="F1167" i="20"/>
  <c r="E1167" i="20"/>
  <c r="A1161" i="20"/>
  <c r="A1163" i="20" s="1"/>
  <c r="A1164" i="20" s="1"/>
  <c r="A1165" i="20" s="1"/>
  <c r="A1167" i="20" s="1"/>
  <c r="A1168" i="20" s="1"/>
  <c r="A1170" i="20" s="1"/>
  <c r="A1172" i="20" s="1"/>
  <c r="A1174" i="20" s="1"/>
  <c r="A1177" i="20" s="1"/>
  <c r="A1179" i="20" s="1"/>
  <c r="A1181" i="20" s="1"/>
  <c r="A1182" i="20" s="1"/>
  <c r="A1183" i="20" s="1"/>
  <c r="A1185" i="20" s="1"/>
  <c r="A1186" i="20" s="1"/>
  <c r="A1187" i="20" s="1"/>
  <c r="A1189" i="20" s="1"/>
  <c r="A1190" i="20" s="1"/>
  <c r="A1191" i="20" s="1"/>
  <c r="A1194" i="20" s="1"/>
  <c r="A1196" i="20" s="1"/>
  <c r="A1198" i="20" s="1"/>
  <c r="A1147" i="20"/>
  <c r="A1145" i="20"/>
  <c r="A1144" i="20"/>
  <c r="A1091" i="20"/>
  <c r="A1093" i="20" s="1"/>
  <c r="A1094" i="20" s="1"/>
  <c r="A1095" i="20" s="1"/>
  <c r="A1097" i="20" s="1"/>
  <c r="A1098" i="20" s="1"/>
  <c r="A1077" i="20"/>
  <c r="A1075" i="20"/>
  <c r="A1074" i="20"/>
  <c r="C1056" i="20"/>
  <c r="C1062" i="20" s="1"/>
  <c r="C1055" i="20"/>
  <c r="C1061" i="20" s="1"/>
  <c r="C1054" i="20"/>
  <c r="C1060" i="20" s="1"/>
  <c r="C1053" i="20"/>
  <c r="C1059" i="20" s="1"/>
  <c r="C1027" i="20"/>
  <c r="C1033" i="20" s="1"/>
  <c r="C1026" i="20"/>
  <c r="C1032" i="20" s="1"/>
  <c r="C1025" i="20"/>
  <c r="C1031" i="20" s="1"/>
  <c r="C1024" i="20"/>
  <c r="C1030" i="20" s="1"/>
  <c r="A1016" i="20"/>
  <c r="A1018" i="20" s="1"/>
  <c r="A1019" i="20" s="1"/>
  <c r="A1020" i="20" s="1"/>
  <c r="A1021" i="20" s="1"/>
  <c r="A1023" i="20" s="1"/>
  <c r="A1024" i="20" s="1"/>
  <c r="A1025" i="20" s="1"/>
  <c r="A1026" i="20" s="1"/>
  <c r="A1027" i="20" s="1"/>
  <c r="A1029" i="20" s="1"/>
  <c r="A1030" i="20" s="1"/>
  <c r="A1031" i="20" s="1"/>
  <c r="A1032" i="20" s="1"/>
  <c r="A1033" i="20" s="1"/>
  <c r="A1002" i="20"/>
  <c r="A1000" i="20"/>
  <c r="A999" i="20"/>
  <c r="C981" i="20"/>
  <c r="C986" i="20" s="1"/>
  <c r="C980" i="20"/>
  <c r="C985" i="20" s="1"/>
  <c r="C953" i="20"/>
  <c r="C958" i="20" s="1"/>
  <c r="C952" i="20"/>
  <c r="C957" i="20" s="1"/>
  <c r="A944" i="20"/>
  <c r="A946" i="20" s="1"/>
  <c r="A947" i="20" s="1"/>
  <c r="A948" i="20" s="1"/>
  <c r="A949" i="20" s="1"/>
  <c r="A951" i="20" s="1"/>
  <c r="A952" i="20" s="1"/>
  <c r="A953" i="20" s="1"/>
  <c r="A930" i="20"/>
  <c r="A928" i="20"/>
  <c r="A927" i="20"/>
  <c r="C909" i="20"/>
  <c r="C915" i="20" s="1"/>
  <c r="C908" i="20"/>
  <c r="C914" i="20" s="1"/>
  <c r="C907" i="20"/>
  <c r="C913" i="20" s="1"/>
  <c r="C906" i="20"/>
  <c r="C912" i="20" s="1"/>
  <c r="A899" i="20"/>
  <c r="A901" i="20" s="1"/>
  <c r="A902" i="20" s="1"/>
  <c r="A903" i="20" s="1"/>
  <c r="A905" i="20" s="1"/>
  <c r="A906" i="20" s="1"/>
  <c r="A907" i="20" s="1"/>
  <c r="A908" i="20" s="1"/>
  <c r="A909" i="20" s="1"/>
  <c r="A911" i="20" s="1"/>
  <c r="A912" i="20" s="1"/>
  <c r="A913" i="20" s="1"/>
  <c r="A914" i="20" s="1"/>
  <c r="A915" i="20" s="1"/>
  <c r="A917" i="20" s="1"/>
  <c r="A918" i="20" s="1"/>
  <c r="A885" i="20"/>
  <c r="A883" i="20"/>
  <c r="A882" i="20"/>
  <c r="C864" i="20"/>
  <c r="C870" i="20" s="1"/>
  <c r="C863" i="20"/>
  <c r="C869" i="20" s="1"/>
  <c r="C862" i="20"/>
  <c r="C868" i="20" s="1"/>
  <c r="C861" i="20"/>
  <c r="C867" i="20" s="1"/>
  <c r="A828" i="20"/>
  <c r="A830" i="20" s="1"/>
  <c r="A831" i="20" s="1"/>
  <c r="A832" i="20" s="1"/>
  <c r="A834" i="20" s="1"/>
  <c r="A835" i="20" s="1"/>
  <c r="A836" i="20" s="1"/>
  <c r="A812" i="20"/>
  <c r="A810" i="20"/>
  <c r="A809" i="20"/>
  <c r="A808" i="20"/>
  <c r="C761" i="20"/>
  <c r="C765" i="20" s="1"/>
  <c r="C760" i="20"/>
  <c r="C764" i="20" s="1"/>
  <c r="A757" i="20"/>
  <c r="A759" i="20" s="1"/>
  <c r="A760" i="20" s="1"/>
  <c r="A761" i="20" s="1"/>
  <c r="A763" i="20" s="1"/>
  <c r="A764" i="20" s="1"/>
  <c r="A765" i="20" s="1"/>
  <c r="A767" i="20" s="1"/>
  <c r="A739" i="20"/>
  <c r="A737" i="20"/>
  <c r="A736" i="20"/>
  <c r="A735" i="20"/>
  <c r="C711" i="20"/>
  <c r="C717" i="20" s="1"/>
  <c r="C710" i="20"/>
  <c r="C716" i="20" s="1"/>
  <c r="C709" i="20"/>
  <c r="C715" i="20" s="1"/>
  <c r="C708" i="20"/>
  <c r="C714" i="20" s="1"/>
  <c r="A701" i="20"/>
  <c r="A703" i="20" s="1"/>
  <c r="A704" i="20" s="1"/>
  <c r="A705" i="20" s="1"/>
  <c r="A707" i="20" s="1"/>
  <c r="A708" i="20" s="1"/>
  <c r="A709" i="20" s="1"/>
  <c r="A710" i="20" s="1"/>
  <c r="A711" i="20" s="1"/>
  <c r="A713" i="20" s="1"/>
  <c r="A714" i="20" s="1"/>
  <c r="A715" i="20" s="1"/>
  <c r="A716" i="20" s="1"/>
  <c r="A717" i="20" s="1"/>
  <c r="A719" i="20" s="1"/>
  <c r="A687" i="20"/>
  <c r="A685" i="20"/>
  <c r="A684" i="20"/>
  <c r="A683" i="20"/>
  <c r="C658" i="20"/>
  <c r="C664" i="20" s="1"/>
  <c r="C657" i="20"/>
  <c r="C663" i="20" s="1"/>
  <c r="C656" i="20"/>
  <c r="C662" i="20" s="1"/>
  <c r="C655" i="20"/>
  <c r="C661" i="20" s="1"/>
  <c r="A648" i="20"/>
  <c r="A650" i="20" s="1"/>
  <c r="A651" i="20" s="1"/>
  <c r="A652" i="20" s="1"/>
  <c r="A654" i="20" s="1"/>
  <c r="A655" i="20" s="1"/>
  <c r="A656" i="20" s="1"/>
  <c r="A657" i="20" s="1"/>
  <c r="A658" i="20" s="1"/>
  <c r="A660" i="20" s="1"/>
  <c r="A661" i="20" s="1"/>
  <c r="A662" i="20" s="1"/>
  <c r="A663" i="20" s="1"/>
  <c r="A664" i="20" s="1"/>
  <c r="A634" i="20"/>
  <c r="A632" i="20"/>
  <c r="A631" i="20"/>
  <c r="C600" i="20"/>
  <c r="C604" i="20" s="1"/>
  <c r="C599" i="20"/>
  <c r="C603" i="20" s="1"/>
  <c r="A579" i="20"/>
  <c r="A577" i="20"/>
  <c r="A576" i="20"/>
  <c r="A512" i="20"/>
  <c r="A510" i="20"/>
  <c r="A509" i="20"/>
  <c r="A458" i="20"/>
  <c r="A460" i="20" s="1"/>
  <c r="A461" i="20" s="1"/>
  <c r="A463" i="20" s="1"/>
  <c r="A464" i="20" s="1"/>
  <c r="A466" i="20" s="1"/>
  <c r="A468" i="20" s="1"/>
  <c r="A470" i="20" s="1"/>
  <c r="A473" i="20" s="1"/>
  <c r="A475" i="20" s="1"/>
  <c r="A477" i="20" s="1"/>
  <c r="A478" i="20" s="1"/>
  <c r="A480" i="20" s="1"/>
  <c r="A481" i="20" s="1"/>
  <c r="A443" i="20"/>
  <c r="A441" i="20"/>
  <c r="A440" i="20"/>
  <c r="A439" i="20"/>
  <c r="A508" i="20" s="1"/>
  <c r="A395" i="20"/>
  <c r="A397" i="20" s="1"/>
  <c r="A398" i="20" s="1"/>
  <c r="A399" i="20" s="1"/>
  <c r="A401" i="20" s="1"/>
  <c r="A402" i="20" s="1"/>
  <c r="A403" i="20" s="1"/>
  <c r="A380" i="20"/>
  <c r="A378" i="20"/>
  <c r="A377" i="20"/>
  <c r="A18" i="20"/>
  <c r="A19" i="20" s="1"/>
  <c r="A20" i="20" s="1"/>
  <c r="A21" i="20" s="1"/>
  <c r="A23" i="20" s="1"/>
  <c r="A25" i="20" s="1"/>
  <c r="A22" i="20" s="1"/>
  <c r="A26" i="20" s="1"/>
  <c r="A27" i="20" s="1"/>
  <c r="A28" i="20" s="1"/>
  <c r="A29" i="20" s="1"/>
  <c r="A30" i="20" s="1"/>
  <c r="A31" i="20" s="1"/>
  <c r="A32" i="20" s="1"/>
  <c r="A33" i="20" s="1"/>
  <c r="A34" i="20" s="1"/>
  <c r="A36" i="20" s="1"/>
  <c r="A4" i="20"/>
  <c r="A2" i="20"/>
  <c r="A1" i="20"/>
  <c r="O358" i="20"/>
  <c r="N358" i="20"/>
  <c r="M358" i="20"/>
  <c r="L358" i="20"/>
  <c r="K358" i="20"/>
  <c r="J358" i="20"/>
  <c r="I358" i="20"/>
  <c r="H358" i="20"/>
  <c r="G358" i="20"/>
  <c r="F358" i="20"/>
  <c r="E358" i="20"/>
  <c r="O351" i="20"/>
  <c r="N351" i="20"/>
  <c r="M351" i="20"/>
  <c r="L351" i="20"/>
  <c r="K351" i="20"/>
  <c r="J351" i="20"/>
  <c r="I351" i="20"/>
  <c r="H351" i="20"/>
  <c r="G351" i="20"/>
  <c r="F351" i="20"/>
  <c r="E351" i="20"/>
  <c r="O324" i="20"/>
  <c r="N324" i="20"/>
  <c r="M324" i="20"/>
  <c r="L324" i="20"/>
  <c r="K324" i="20"/>
  <c r="J324" i="20"/>
  <c r="I324" i="20"/>
  <c r="H324" i="20"/>
  <c r="G324" i="20"/>
  <c r="F324" i="20"/>
  <c r="E324" i="20"/>
  <c r="O317" i="20"/>
  <c r="N317" i="20"/>
  <c r="M317" i="20"/>
  <c r="L317" i="20"/>
  <c r="K317" i="20"/>
  <c r="J317" i="20"/>
  <c r="I317" i="20"/>
  <c r="H317" i="20"/>
  <c r="G317" i="20"/>
  <c r="F317" i="20"/>
  <c r="E317" i="20"/>
  <c r="O310" i="20"/>
  <c r="N310" i="20"/>
  <c r="M310" i="20"/>
  <c r="L310" i="20"/>
  <c r="K310" i="20"/>
  <c r="J310" i="20"/>
  <c r="I310" i="20"/>
  <c r="H310" i="20"/>
  <c r="G310" i="20"/>
  <c r="F310" i="20"/>
  <c r="E310" i="20"/>
  <c r="A306" i="20"/>
  <c r="A307" i="20" s="1"/>
  <c r="A308" i="20" s="1"/>
  <c r="A309" i="20" s="1"/>
  <c r="A310" i="20" s="1"/>
  <c r="A311" i="20" s="1"/>
  <c r="A313" i="20" s="1"/>
  <c r="A314" i="20" s="1"/>
  <c r="A315" i="20" s="1"/>
  <c r="A316" i="20" s="1"/>
  <c r="A317" i="20" s="1"/>
  <c r="A318" i="20" s="1"/>
  <c r="A320" i="20" s="1"/>
  <c r="A321" i="20" s="1"/>
  <c r="A322" i="20" s="1"/>
  <c r="A323" i="20" s="1"/>
  <c r="A324" i="20" s="1"/>
  <c r="A325" i="20" s="1"/>
  <c r="A348" i="20" s="1"/>
  <c r="A349" i="20" s="1"/>
  <c r="A350" i="20" s="1"/>
  <c r="A351" i="20" s="1"/>
  <c r="A352" i="20" s="1"/>
  <c r="A354" i="20" s="1"/>
  <c r="A355" i="20" s="1"/>
  <c r="A356" i="20" s="1"/>
  <c r="A357" i="20" s="1"/>
  <c r="A358" i="20" s="1"/>
  <c r="A359" i="20" s="1"/>
  <c r="A361" i="20" s="1"/>
  <c r="A363" i="20" s="1"/>
  <c r="A365" i="20" s="1"/>
  <c r="A366" i="20" s="1"/>
  <c r="A367" i="20" s="1"/>
  <c r="A368" i="20" s="1"/>
  <c r="A369" i="20" s="1"/>
  <c r="A371" i="20" s="1"/>
  <c r="A373" i="20" s="1"/>
  <c r="A270" i="20"/>
  <c r="A268" i="20"/>
  <c r="A267" i="20"/>
  <c r="O303" i="20"/>
  <c r="N303" i="20"/>
  <c r="M303" i="20"/>
  <c r="L303" i="20"/>
  <c r="K303" i="20"/>
  <c r="J303" i="20"/>
  <c r="I303" i="20"/>
  <c r="H303" i="20"/>
  <c r="G303" i="20"/>
  <c r="F303" i="20"/>
  <c r="E303" i="20"/>
  <c r="O296" i="20"/>
  <c r="N296" i="20"/>
  <c r="M296" i="20"/>
  <c r="L296" i="20"/>
  <c r="K296" i="20"/>
  <c r="J296" i="20"/>
  <c r="I296" i="20"/>
  <c r="H296" i="20"/>
  <c r="G296" i="20"/>
  <c r="F296" i="20"/>
  <c r="E296" i="20"/>
  <c r="O289" i="20"/>
  <c r="N289" i="20"/>
  <c r="M289" i="20"/>
  <c r="L289" i="20"/>
  <c r="K289" i="20"/>
  <c r="J289" i="20"/>
  <c r="I289" i="20"/>
  <c r="H289" i="20"/>
  <c r="G289" i="20"/>
  <c r="F289" i="20"/>
  <c r="E289" i="20"/>
  <c r="O261" i="20"/>
  <c r="N261" i="20"/>
  <c r="M261" i="20"/>
  <c r="L261" i="20"/>
  <c r="K261" i="20"/>
  <c r="J261" i="20"/>
  <c r="I261" i="20"/>
  <c r="H261" i="20"/>
  <c r="G261" i="20"/>
  <c r="F261" i="20"/>
  <c r="E261" i="20"/>
  <c r="O254" i="20"/>
  <c r="N254" i="20"/>
  <c r="M254" i="20"/>
  <c r="L254" i="20"/>
  <c r="K254" i="20"/>
  <c r="J254" i="20"/>
  <c r="I254" i="20"/>
  <c r="H254" i="20"/>
  <c r="G254" i="20"/>
  <c r="F254" i="20"/>
  <c r="E254" i="20"/>
  <c r="O247" i="20"/>
  <c r="N247" i="20"/>
  <c r="M247" i="20"/>
  <c r="L247" i="20"/>
  <c r="K247" i="20"/>
  <c r="J247" i="20"/>
  <c r="I247" i="20"/>
  <c r="H247" i="20"/>
  <c r="G247" i="20"/>
  <c r="F247" i="20"/>
  <c r="E247" i="20"/>
  <c r="O240" i="20"/>
  <c r="N240" i="20"/>
  <c r="M240" i="20"/>
  <c r="L240" i="20"/>
  <c r="K240" i="20"/>
  <c r="J240" i="20"/>
  <c r="I240" i="20"/>
  <c r="H240" i="20"/>
  <c r="G240" i="20"/>
  <c r="F240" i="20"/>
  <c r="E240" i="20"/>
  <c r="O233" i="20"/>
  <c r="N233" i="20"/>
  <c r="M233" i="20"/>
  <c r="L233" i="20"/>
  <c r="K233" i="20"/>
  <c r="J233" i="20"/>
  <c r="I233" i="20"/>
  <c r="H233" i="20"/>
  <c r="G233" i="20"/>
  <c r="F233" i="20"/>
  <c r="E233" i="20"/>
  <c r="O226" i="20"/>
  <c r="N226" i="20"/>
  <c r="M226" i="20"/>
  <c r="L226" i="20"/>
  <c r="K226" i="20"/>
  <c r="J226" i="20"/>
  <c r="I226" i="20"/>
  <c r="H226" i="20"/>
  <c r="G226" i="20"/>
  <c r="F226" i="20"/>
  <c r="E226" i="20"/>
  <c r="A222" i="20"/>
  <c r="A223" i="20" s="1"/>
  <c r="A224" i="20" s="1"/>
  <c r="A225" i="20" s="1"/>
  <c r="A226" i="20" s="1"/>
  <c r="A227" i="20" s="1"/>
  <c r="A229" i="20" s="1"/>
  <c r="A230" i="20" s="1"/>
  <c r="A231" i="20" s="1"/>
  <c r="A232" i="20" s="1"/>
  <c r="A233" i="20" s="1"/>
  <c r="A234" i="20" s="1"/>
  <c r="A236" i="20" s="1"/>
  <c r="A237" i="20" s="1"/>
  <c r="A238" i="20" s="1"/>
  <c r="A239" i="20" s="1"/>
  <c r="A240" i="20" s="1"/>
  <c r="A241" i="20" s="1"/>
  <c r="A243" i="20" s="1"/>
  <c r="A244" i="20" s="1"/>
  <c r="A245" i="20" s="1"/>
  <c r="A246" i="20" s="1"/>
  <c r="A247" i="20" s="1"/>
  <c r="A248" i="20" s="1"/>
  <c r="A250" i="20" s="1"/>
  <c r="A251" i="20" s="1"/>
  <c r="A252" i="20" s="1"/>
  <c r="A253" i="20" s="1"/>
  <c r="A254" i="20" s="1"/>
  <c r="A255" i="20" s="1"/>
  <c r="A257" i="20" s="1"/>
  <c r="A258" i="20" s="1"/>
  <c r="A259" i="20" s="1"/>
  <c r="A260" i="20" s="1"/>
  <c r="A261" i="20" s="1"/>
  <c r="A262" i="20" s="1"/>
  <c r="A286" i="20" s="1"/>
  <c r="A287" i="20" s="1"/>
  <c r="A288" i="20" s="1"/>
  <c r="A289" i="20" s="1"/>
  <c r="A290" i="20" s="1"/>
  <c r="A292" i="20" s="1"/>
  <c r="A293" i="20" s="1"/>
  <c r="A294" i="20" s="1"/>
  <c r="A295" i="20" s="1"/>
  <c r="A296" i="20" s="1"/>
  <c r="A297" i="20" s="1"/>
  <c r="A299" i="20" s="1"/>
  <c r="A300" i="20" s="1"/>
  <c r="A301" i="20" s="1"/>
  <c r="A302" i="20" s="1"/>
  <c r="A303" i="20" s="1"/>
  <c r="A304" i="20" s="1"/>
  <c r="A208" i="20"/>
  <c r="A206" i="20"/>
  <c r="A205" i="20"/>
  <c r="O151" i="20"/>
  <c r="N151" i="20"/>
  <c r="M151" i="20"/>
  <c r="L151" i="20"/>
  <c r="K151" i="20"/>
  <c r="J151" i="20"/>
  <c r="I151" i="20"/>
  <c r="H151" i="20"/>
  <c r="G151" i="20"/>
  <c r="F151" i="20"/>
  <c r="E151" i="20"/>
  <c r="O144" i="20"/>
  <c r="N144" i="20"/>
  <c r="M144" i="20"/>
  <c r="L144" i="20"/>
  <c r="K144" i="20"/>
  <c r="J144" i="20"/>
  <c r="I144" i="20"/>
  <c r="H144" i="20"/>
  <c r="G144" i="20"/>
  <c r="F144" i="20"/>
  <c r="E144" i="20"/>
  <c r="A140" i="20"/>
  <c r="A141" i="20" s="1"/>
  <c r="A142" i="20" s="1"/>
  <c r="A143" i="20" s="1"/>
  <c r="A144" i="20" s="1"/>
  <c r="A145" i="20" s="1"/>
  <c r="A147" i="20" s="1"/>
  <c r="A148" i="20" s="1"/>
  <c r="A149" i="20" s="1"/>
  <c r="A150" i="20" s="1"/>
  <c r="A151" i="20" s="1"/>
  <c r="A152" i="20" s="1"/>
  <c r="A154" i="20" s="1"/>
  <c r="A155" i="20" s="1"/>
  <c r="A156" i="20" s="1"/>
  <c r="A157" i="20" s="1"/>
  <c r="A158" i="20" s="1"/>
  <c r="A159" i="20" s="1"/>
  <c r="A182" i="20" s="1"/>
  <c r="A183" i="20" s="1"/>
  <c r="A184" i="20" s="1"/>
  <c r="A185" i="20" s="1"/>
  <c r="A186" i="20" s="1"/>
  <c r="A188" i="20" s="1"/>
  <c r="A189" i="20" s="1"/>
  <c r="A190" i="20" s="1"/>
  <c r="A191" i="20" s="1"/>
  <c r="A192" i="20" s="1"/>
  <c r="A193" i="20" s="1"/>
  <c r="A195" i="20" s="1"/>
  <c r="A196" i="20" s="1"/>
  <c r="A197" i="20" s="1"/>
  <c r="A198" i="20" s="1"/>
  <c r="A199" i="20" s="1"/>
  <c r="A200" i="20" s="1"/>
  <c r="A117" i="20"/>
  <c r="A112" i="20"/>
  <c r="A110" i="20"/>
  <c r="A109" i="20"/>
  <c r="O137" i="20"/>
  <c r="N137" i="20"/>
  <c r="M137" i="20"/>
  <c r="L137" i="20"/>
  <c r="K137" i="20"/>
  <c r="J137" i="20"/>
  <c r="I137" i="20"/>
  <c r="H137" i="20"/>
  <c r="G137" i="20"/>
  <c r="F137" i="20"/>
  <c r="E137" i="20"/>
  <c r="O130" i="20"/>
  <c r="N130" i="20"/>
  <c r="M130" i="20"/>
  <c r="L130" i="20"/>
  <c r="K130" i="20"/>
  <c r="J130" i="20"/>
  <c r="I130" i="20"/>
  <c r="H130" i="20"/>
  <c r="G130" i="20"/>
  <c r="F130" i="20"/>
  <c r="E130" i="20"/>
  <c r="O103" i="20"/>
  <c r="N103" i="20"/>
  <c r="M103" i="20"/>
  <c r="L103" i="20"/>
  <c r="K103" i="20"/>
  <c r="J103" i="20"/>
  <c r="I103" i="20"/>
  <c r="H103" i="20"/>
  <c r="G103" i="20"/>
  <c r="F103" i="20"/>
  <c r="E103" i="20"/>
  <c r="O89" i="20"/>
  <c r="N89" i="20"/>
  <c r="M89" i="20"/>
  <c r="L89" i="20"/>
  <c r="K89" i="20"/>
  <c r="J89" i="20"/>
  <c r="I89" i="20"/>
  <c r="H89" i="20"/>
  <c r="G89" i="20"/>
  <c r="F89" i="20"/>
  <c r="E89" i="20"/>
  <c r="A64" i="20"/>
  <c r="A65" i="20" s="1"/>
  <c r="A66" i="20" s="1"/>
  <c r="A67" i="20" s="1"/>
  <c r="A68" i="20" s="1"/>
  <c r="A69" i="20" s="1"/>
  <c r="A71" i="20" s="1"/>
  <c r="A72" i="20" s="1"/>
  <c r="A73" i="20" s="1"/>
  <c r="A74" i="20" s="1"/>
  <c r="A75" i="20" s="1"/>
  <c r="A76" i="20" s="1"/>
  <c r="A78" i="20" s="1"/>
  <c r="A79" i="20" s="1"/>
  <c r="A80" i="20" s="1"/>
  <c r="A81" i="20" s="1"/>
  <c r="A82" i="20" s="1"/>
  <c r="A83" i="20" s="1"/>
  <c r="A85" i="20" s="1"/>
  <c r="A86" i="20" s="1"/>
  <c r="A87" i="20" s="1"/>
  <c r="A88" i="20" s="1"/>
  <c r="A89" i="20" s="1"/>
  <c r="A90" i="20" s="1"/>
  <c r="A50" i="20"/>
  <c r="A48" i="20"/>
  <c r="A47" i="20"/>
  <c r="D283" i="2"/>
  <c r="E283" i="2"/>
  <c r="F283" i="2"/>
  <c r="G283" i="2"/>
  <c r="H283" i="2"/>
  <c r="I283" i="2"/>
  <c r="J283" i="2"/>
  <c r="K283" i="2"/>
  <c r="L283" i="2"/>
  <c r="M283" i="2"/>
  <c r="N283" i="2"/>
  <c r="D276" i="2"/>
  <c r="E276" i="2"/>
  <c r="F276" i="2"/>
  <c r="G276" i="2"/>
  <c r="H276" i="2"/>
  <c r="I276" i="2"/>
  <c r="J276" i="2"/>
  <c r="K276" i="2"/>
  <c r="L276" i="2"/>
  <c r="M276" i="2"/>
  <c r="N276" i="2"/>
  <c r="D277" i="2"/>
  <c r="E277" i="2"/>
  <c r="F277" i="2"/>
  <c r="G277" i="2"/>
  <c r="H277" i="2"/>
  <c r="I277" i="2"/>
  <c r="J277" i="2"/>
  <c r="K277" i="2"/>
  <c r="L277" i="2"/>
  <c r="M277" i="2"/>
  <c r="N277" i="2"/>
  <c r="A256" i="2"/>
  <c r="N271" i="2"/>
  <c r="M271" i="2"/>
  <c r="L271" i="2"/>
  <c r="K271" i="2"/>
  <c r="L1249" i="8" s="1"/>
  <c r="L359" i="8" s="1"/>
  <c r="J271" i="2"/>
  <c r="K1249" i="8" s="1"/>
  <c r="I271" i="2"/>
  <c r="H271" i="2"/>
  <c r="G271" i="2"/>
  <c r="H1249" i="8" s="1"/>
  <c r="F271" i="2"/>
  <c r="G1249" i="8" s="1"/>
  <c r="E271" i="2"/>
  <c r="D271" i="2"/>
  <c r="E1249" i="8" s="1"/>
  <c r="N246" i="2"/>
  <c r="O1181" i="20" s="1"/>
  <c r="O321" i="20" s="1"/>
  <c r="M246" i="2"/>
  <c r="L246" i="2"/>
  <c r="M1181" i="20" s="1"/>
  <c r="M321" i="20" s="1"/>
  <c r="K246" i="2"/>
  <c r="J246" i="2"/>
  <c r="I246" i="2"/>
  <c r="H246" i="2"/>
  <c r="G246" i="2"/>
  <c r="F246" i="2"/>
  <c r="G1181" i="20" s="1"/>
  <c r="E246" i="2"/>
  <c r="D246" i="2"/>
  <c r="N240" i="2"/>
  <c r="M240" i="2"/>
  <c r="L240" i="2"/>
  <c r="K240" i="2"/>
  <c r="J240" i="2"/>
  <c r="I240" i="2"/>
  <c r="J1163" i="20" s="1"/>
  <c r="H240" i="2"/>
  <c r="G240" i="2"/>
  <c r="H1163" i="20" s="1"/>
  <c r="F240" i="2"/>
  <c r="E240" i="2"/>
  <c r="F1166" i="8" s="1"/>
  <c r="D240" i="2"/>
  <c r="E1163" i="20" s="1"/>
  <c r="E314" i="20" s="1"/>
  <c r="N234" i="2"/>
  <c r="M234" i="2"/>
  <c r="L234" i="2"/>
  <c r="K234" i="2"/>
  <c r="L1129" i="20" s="1"/>
  <c r="J234" i="2"/>
  <c r="I234" i="2"/>
  <c r="H234" i="2"/>
  <c r="G234" i="2"/>
  <c r="H1132" i="8" s="1"/>
  <c r="F234" i="2"/>
  <c r="E234" i="2"/>
  <c r="D234" i="2"/>
  <c r="E1129" i="20" s="1"/>
  <c r="N228" i="2"/>
  <c r="M228" i="2"/>
  <c r="N1114" i="8" s="1"/>
  <c r="N304" i="8" s="1"/>
  <c r="L228" i="2"/>
  <c r="K228" i="2"/>
  <c r="L1114" i="8" s="1"/>
  <c r="J228" i="2"/>
  <c r="K1111" i="20" s="1"/>
  <c r="I228" i="2"/>
  <c r="J1114" i="8" s="1"/>
  <c r="J304" i="8" s="1"/>
  <c r="H228" i="2"/>
  <c r="G228" i="2"/>
  <c r="F228" i="2"/>
  <c r="E228" i="2"/>
  <c r="F1111" i="20" s="1"/>
  <c r="D228" i="2"/>
  <c r="N222" i="2"/>
  <c r="O1096" i="8" s="1"/>
  <c r="M222" i="2"/>
  <c r="H222" i="2"/>
  <c r="I1093" i="20" s="1"/>
  <c r="J222" i="2"/>
  <c r="F222" i="2"/>
  <c r="L222" i="2"/>
  <c r="M1096" i="8" s="1"/>
  <c r="K222" i="2"/>
  <c r="I222" i="2"/>
  <c r="G222" i="2"/>
  <c r="H1093" i="20" s="1"/>
  <c r="E222" i="2"/>
  <c r="F1096" i="8" s="1"/>
  <c r="D222" i="2"/>
  <c r="A207" i="2"/>
  <c r="D186" i="2"/>
  <c r="D188" i="2" s="1"/>
  <c r="E976" i="8" s="1"/>
  <c r="E186" i="2"/>
  <c r="E188" i="2" s="1"/>
  <c r="F186" i="2"/>
  <c r="F188" i="2" s="1"/>
  <c r="G976" i="8" s="1"/>
  <c r="G186" i="2"/>
  <c r="G188" i="2" s="1"/>
  <c r="H976" i="8" s="1"/>
  <c r="H186" i="2"/>
  <c r="H188" i="2" s="1"/>
  <c r="I976" i="8" s="1"/>
  <c r="I186" i="2"/>
  <c r="I188" i="2" s="1"/>
  <c r="J186" i="2"/>
  <c r="K186" i="2"/>
  <c r="L186" i="2"/>
  <c r="L188" i="2" s="1"/>
  <c r="M186" i="2"/>
  <c r="M188" i="2" s="1"/>
  <c r="N186" i="2"/>
  <c r="N188" i="2" s="1"/>
  <c r="O974" i="20" s="1"/>
  <c r="E180" i="2"/>
  <c r="E182" i="2" s="1"/>
  <c r="F946" i="20" s="1"/>
  <c r="F244" i="20" s="1"/>
  <c r="F180" i="2"/>
  <c r="F182" i="2" s="1"/>
  <c r="H180" i="2"/>
  <c r="H182" i="2" s="1"/>
  <c r="N180" i="2"/>
  <c r="N182" i="2" s="1"/>
  <c r="N176" i="2"/>
  <c r="O902" i="8" s="1"/>
  <c r="M176" i="2"/>
  <c r="L176" i="2"/>
  <c r="K176" i="2"/>
  <c r="J176" i="2"/>
  <c r="K902" i="8" s="1"/>
  <c r="I176" i="2"/>
  <c r="H176" i="2"/>
  <c r="G176" i="2"/>
  <c r="H901" i="20" s="1"/>
  <c r="F176" i="2"/>
  <c r="G901" i="20" s="1"/>
  <c r="G237" i="20" s="1"/>
  <c r="E176" i="2"/>
  <c r="N164" i="2"/>
  <c r="O830" i="8" s="1"/>
  <c r="M164" i="2"/>
  <c r="N830" i="8" s="1"/>
  <c r="L164" i="2"/>
  <c r="K164" i="2"/>
  <c r="J164" i="2"/>
  <c r="I164" i="2"/>
  <c r="H164" i="2"/>
  <c r="I830" i="20" s="1"/>
  <c r="G164" i="2"/>
  <c r="H830" i="20" s="1"/>
  <c r="F164" i="2"/>
  <c r="G830" i="8" s="1"/>
  <c r="G228" i="8" s="1"/>
  <c r="E164" i="2"/>
  <c r="F830" i="20" s="1"/>
  <c r="D164" i="2"/>
  <c r="E830" i="20" s="1"/>
  <c r="A162" i="2"/>
  <c r="D138" i="2"/>
  <c r="E138" i="2"/>
  <c r="F138" i="2"/>
  <c r="G138" i="2"/>
  <c r="H138" i="2"/>
  <c r="I138" i="2"/>
  <c r="J138" i="2"/>
  <c r="K138" i="2"/>
  <c r="L138" i="2"/>
  <c r="M138" i="2"/>
  <c r="N138" i="2"/>
  <c r="D139" i="2"/>
  <c r="E139" i="2"/>
  <c r="F139" i="2"/>
  <c r="G139" i="2"/>
  <c r="H139" i="2"/>
  <c r="I139" i="2"/>
  <c r="J139" i="2"/>
  <c r="K139" i="2"/>
  <c r="L139" i="2"/>
  <c r="M139" i="2"/>
  <c r="N139" i="2"/>
  <c r="D137" i="2"/>
  <c r="E137" i="2"/>
  <c r="F137" i="2"/>
  <c r="G137" i="2"/>
  <c r="H137" i="2"/>
  <c r="I137" i="2"/>
  <c r="J137" i="2"/>
  <c r="K137" i="2"/>
  <c r="L137" i="2"/>
  <c r="M137" i="2"/>
  <c r="N137" i="2"/>
  <c r="D121" i="2"/>
  <c r="E121" i="2"/>
  <c r="F121" i="2"/>
  <c r="G121" i="2"/>
  <c r="H121" i="2"/>
  <c r="I121" i="2"/>
  <c r="J121" i="2"/>
  <c r="K121" i="2"/>
  <c r="L121" i="2"/>
  <c r="M121" i="2"/>
  <c r="N121" i="2"/>
  <c r="D120" i="2"/>
  <c r="E120" i="2"/>
  <c r="F120" i="2"/>
  <c r="G120" i="2"/>
  <c r="H120" i="2"/>
  <c r="I120" i="2"/>
  <c r="J120" i="2"/>
  <c r="K120" i="2"/>
  <c r="L120" i="2"/>
  <c r="M120" i="2"/>
  <c r="N120" i="2"/>
  <c r="A106" i="2"/>
  <c r="A56" i="2"/>
  <c r="N99" i="2"/>
  <c r="O786" i="20" s="1"/>
  <c r="M99" i="2"/>
  <c r="N786" i="20" s="1"/>
  <c r="L99" i="2"/>
  <c r="M786" i="20" s="1"/>
  <c r="M196" i="20" s="1"/>
  <c r="K99" i="2"/>
  <c r="L788" i="8" s="1"/>
  <c r="L200" i="8" s="1"/>
  <c r="J99" i="2"/>
  <c r="K786" i="20" s="1"/>
  <c r="K196" i="20" s="1"/>
  <c r="I99" i="2"/>
  <c r="H99" i="2"/>
  <c r="I786" i="20" s="1"/>
  <c r="G99" i="2"/>
  <c r="H786" i="20" s="1"/>
  <c r="F99" i="2"/>
  <c r="G788" i="8" s="1"/>
  <c r="E99" i="2"/>
  <c r="F788" i="8" s="1"/>
  <c r="F200" i="8" s="1"/>
  <c r="D99" i="2"/>
  <c r="E788" i="8" s="1"/>
  <c r="N93" i="2"/>
  <c r="O755" i="20" s="1"/>
  <c r="O189" i="20" s="1"/>
  <c r="M93" i="2"/>
  <c r="N757" i="8" s="1"/>
  <c r="L93" i="2"/>
  <c r="M755" i="20" s="1"/>
  <c r="K93" i="2"/>
  <c r="L755" i="20" s="1"/>
  <c r="L189" i="20" s="1"/>
  <c r="J93" i="2"/>
  <c r="K755" i="20" s="1"/>
  <c r="K189" i="20" s="1"/>
  <c r="I93" i="2"/>
  <c r="H93" i="2"/>
  <c r="G93" i="2"/>
  <c r="H757" i="8" s="1"/>
  <c r="F93" i="2"/>
  <c r="G755" i="20" s="1"/>
  <c r="E93" i="2"/>
  <c r="F757" i="8" s="1"/>
  <c r="N75" i="2"/>
  <c r="M75" i="2"/>
  <c r="L75" i="2"/>
  <c r="M619" i="8" s="1"/>
  <c r="K75" i="2"/>
  <c r="J75" i="2"/>
  <c r="I75" i="2"/>
  <c r="J619" i="8" s="1"/>
  <c r="H75" i="2"/>
  <c r="I617" i="20" s="1"/>
  <c r="G75" i="2"/>
  <c r="H617" i="20" s="1"/>
  <c r="F75" i="2"/>
  <c r="E75" i="2"/>
  <c r="F617" i="20" s="1"/>
  <c r="D75" i="2"/>
  <c r="E617" i="20" s="1"/>
  <c r="N70" i="2"/>
  <c r="M70" i="2"/>
  <c r="L70" i="2"/>
  <c r="M596" i="8" s="1"/>
  <c r="M144" i="8" s="1"/>
  <c r="K70" i="2"/>
  <c r="L596" i="8" s="1"/>
  <c r="L144" i="8" s="1"/>
  <c r="J70" i="2"/>
  <c r="I70" i="2"/>
  <c r="H70" i="2"/>
  <c r="G70" i="2"/>
  <c r="H596" i="8" s="1"/>
  <c r="F70" i="2"/>
  <c r="G595" i="20" s="1"/>
  <c r="G141" i="20" s="1"/>
  <c r="E70" i="2"/>
  <c r="D70" i="2"/>
  <c r="N52" i="2"/>
  <c r="O563" i="8" s="1"/>
  <c r="M52" i="2"/>
  <c r="L52" i="2"/>
  <c r="K52" i="2"/>
  <c r="J52" i="2"/>
  <c r="K562" i="20" s="1"/>
  <c r="I52" i="2"/>
  <c r="H52" i="2"/>
  <c r="G52" i="2"/>
  <c r="F52" i="2"/>
  <c r="E52" i="2"/>
  <c r="F562" i="20" s="1"/>
  <c r="F134" i="20" s="1"/>
  <c r="D52" i="2"/>
  <c r="N47" i="2"/>
  <c r="M47" i="2"/>
  <c r="L47" i="2"/>
  <c r="M546" i="8" s="1"/>
  <c r="K47" i="2"/>
  <c r="J47" i="2"/>
  <c r="K545" i="20" s="1"/>
  <c r="I47" i="2"/>
  <c r="H47" i="2"/>
  <c r="G47" i="2"/>
  <c r="F47" i="2"/>
  <c r="E47" i="2"/>
  <c r="F545" i="20" s="1"/>
  <c r="D47" i="2"/>
  <c r="N42" i="2"/>
  <c r="M42" i="2"/>
  <c r="N529" i="8" s="1"/>
  <c r="L42" i="2"/>
  <c r="M529" i="8" s="1"/>
  <c r="M101" i="8" s="1"/>
  <c r="K42" i="2"/>
  <c r="J42" i="2"/>
  <c r="I42" i="2"/>
  <c r="J529" i="8" s="1"/>
  <c r="J101" i="8" s="1"/>
  <c r="H42" i="2"/>
  <c r="G42" i="2"/>
  <c r="F42" i="2"/>
  <c r="E42" i="2"/>
  <c r="D42" i="2"/>
  <c r="E528" i="20" s="1"/>
  <c r="E100" i="20" s="1"/>
  <c r="A61" i="2"/>
  <c r="N37" i="2"/>
  <c r="M37" i="2"/>
  <c r="N495" i="8" s="1"/>
  <c r="N94" i="8" s="1"/>
  <c r="L37" i="2"/>
  <c r="M495" i="8" s="1"/>
  <c r="K37" i="2"/>
  <c r="J37" i="2"/>
  <c r="K494" i="20" s="1"/>
  <c r="I37" i="2"/>
  <c r="J495" i="8" s="1"/>
  <c r="J94" i="8" s="1"/>
  <c r="H37" i="2"/>
  <c r="I495" i="8" s="1"/>
  <c r="G37" i="2"/>
  <c r="H494" i="20" s="1"/>
  <c r="F37" i="2"/>
  <c r="E37" i="2"/>
  <c r="F495" i="8" s="1"/>
  <c r="F94" i="8" s="1"/>
  <c r="D37" i="2"/>
  <c r="E495" i="8" s="1"/>
  <c r="N32" i="2"/>
  <c r="O477" i="20" s="1"/>
  <c r="O86" i="20" s="1"/>
  <c r="M32" i="2"/>
  <c r="L32" i="2"/>
  <c r="K32" i="2"/>
  <c r="L477" i="20" s="1"/>
  <c r="L86" i="20" s="1"/>
  <c r="J32" i="2"/>
  <c r="I32" i="2"/>
  <c r="H32" i="2"/>
  <c r="I477" i="20" s="1"/>
  <c r="I86" i="20" s="1"/>
  <c r="G32" i="2"/>
  <c r="F32" i="2"/>
  <c r="G478" i="8" s="1"/>
  <c r="E32" i="2"/>
  <c r="D32" i="2"/>
  <c r="E477" i="20" s="1"/>
  <c r="E86" i="20" s="1"/>
  <c r="N27" i="2"/>
  <c r="M27" i="2"/>
  <c r="L27" i="2"/>
  <c r="K27" i="2"/>
  <c r="L460" i="20" s="1"/>
  <c r="L79" i="20" s="1"/>
  <c r="J27" i="2"/>
  <c r="K461" i="8" s="1"/>
  <c r="K80" i="8" s="1"/>
  <c r="I27" i="2"/>
  <c r="J461" i="8" s="1"/>
  <c r="H27" i="2"/>
  <c r="G27" i="2"/>
  <c r="H460" i="20" s="1"/>
  <c r="H79" i="20" s="1"/>
  <c r="F27" i="2"/>
  <c r="E27" i="2"/>
  <c r="D27" i="2"/>
  <c r="E460" i="20" s="1"/>
  <c r="E79" i="20" s="1"/>
  <c r="N22" i="2"/>
  <c r="M22" i="2"/>
  <c r="N427" i="8" s="1"/>
  <c r="N73" i="8" s="1"/>
  <c r="J22" i="2"/>
  <c r="I22" i="2"/>
  <c r="J425" i="20" s="1"/>
  <c r="J72" i="20" s="1"/>
  <c r="F22" i="2"/>
  <c r="E22" i="2"/>
  <c r="L22" i="2"/>
  <c r="M425" i="20" s="1"/>
  <c r="M72" i="20" s="1"/>
  <c r="K22" i="2"/>
  <c r="H22" i="2"/>
  <c r="I427" i="8" s="1"/>
  <c r="I73" i="8" s="1"/>
  <c r="G22" i="2"/>
  <c r="E427" i="8"/>
  <c r="E73" i="8" s="1"/>
  <c r="A15" i="2"/>
  <c r="E1170" i="8"/>
  <c r="F1170" i="8"/>
  <c r="F319" i="8" s="1"/>
  <c r="G1170" i="8"/>
  <c r="H1170" i="8"/>
  <c r="I1170" i="8"/>
  <c r="J1170" i="8"/>
  <c r="K1170" i="8"/>
  <c r="K319" i="8" s="1"/>
  <c r="L1170" i="8"/>
  <c r="M1170" i="8"/>
  <c r="M319" i="8" s="1"/>
  <c r="N1170" i="8"/>
  <c r="N319" i="8" s="1"/>
  <c r="O1170" i="8"/>
  <c r="D419" i="3"/>
  <c r="E419" i="3"/>
  <c r="F419" i="3"/>
  <c r="G419" i="3"/>
  <c r="H419" i="3"/>
  <c r="I419" i="3"/>
  <c r="J419" i="3"/>
  <c r="K419" i="3"/>
  <c r="L419" i="3"/>
  <c r="M419" i="3"/>
  <c r="N419" i="3"/>
  <c r="D420" i="3"/>
  <c r="E420" i="3"/>
  <c r="F420" i="3"/>
  <c r="G420" i="3"/>
  <c r="H420" i="3"/>
  <c r="I420" i="3"/>
  <c r="J420" i="3"/>
  <c r="K420" i="3"/>
  <c r="L420" i="3"/>
  <c r="M420" i="3"/>
  <c r="N420" i="3"/>
  <c r="D174" i="3"/>
  <c r="E174" i="3"/>
  <c r="F174" i="3"/>
  <c r="G174" i="3"/>
  <c r="H174" i="3"/>
  <c r="I174" i="3"/>
  <c r="J174" i="3"/>
  <c r="K174" i="3"/>
  <c r="L174" i="3"/>
  <c r="M174" i="3"/>
  <c r="N174" i="3"/>
  <c r="D175" i="3"/>
  <c r="E175" i="3"/>
  <c r="F175" i="3"/>
  <c r="G175" i="3"/>
  <c r="H175" i="3"/>
  <c r="I175" i="3"/>
  <c r="J175" i="3"/>
  <c r="K175" i="3"/>
  <c r="L175" i="3"/>
  <c r="M175" i="3"/>
  <c r="N175" i="3"/>
  <c r="N398" i="3"/>
  <c r="M398" i="3"/>
  <c r="L398" i="3"/>
  <c r="K398" i="3"/>
  <c r="J398" i="3"/>
  <c r="I398" i="3"/>
  <c r="H398" i="3"/>
  <c r="G398" i="3"/>
  <c r="F398" i="3"/>
  <c r="E398" i="3"/>
  <c r="D398" i="3"/>
  <c r="D394" i="3"/>
  <c r="E394" i="3"/>
  <c r="F394" i="3"/>
  <c r="G394" i="3"/>
  <c r="H394" i="3"/>
  <c r="I394" i="3"/>
  <c r="J394" i="3"/>
  <c r="K394" i="3"/>
  <c r="L394" i="3"/>
  <c r="M394" i="3"/>
  <c r="N394" i="3"/>
  <c r="D380" i="3"/>
  <c r="E380" i="3"/>
  <c r="F380" i="3"/>
  <c r="G380" i="3"/>
  <c r="H380" i="3"/>
  <c r="I380" i="3"/>
  <c r="J380" i="3"/>
  <c r="K380" i="3"/>
  <c r="L380" i="3"/>
  <c r="M380" i="3"/>
  <c r="N380" i="3"/>
  <c r="N370" i="3"/>
  <c r="M370" i="3"/>
  <c r="L370" i="3"/>
  <c r="K370" i="3"/>
  <c r="J370" i="3"/>
  <c r="I370" i="3"/>
  <c r="H370" i="3"/>
  <c r="G370" i="3"/>
  <c r="F370" i="3"/>
  <c r="E370" i="3"/>
  <c r="D370" i="3"/>
  <c r="D366" i="3"/>
  <c r="E366" i="3"/>
  <c r="F366" i="3"/>
  <c r="G366" i="3"/>
  <c r="H366" i="3"/>
  <c r="I366" i="3"/>
  <c r="J366" i="3"/>
  <c r="K366" i="3"/>
  <c r="L366" i="3"/>
  <c r="M366" i="3"/>
  <c r="N366" i="3"/>
  <c r="D315" i="3"/>
  <c r="E315" i="3"/>
  <c r="F315" i="3"/>
  <c r="G315" i="3"/>
  <c r="H315" i="3"/>
  <c r="I315" i="3"/>
  <c r="J315" i="3"/>
  <c r="K315" i="3"/>
  <c r="L315" i="3"/>
  <c r="M315" i="3"/>
  <c r="N315" i="3"/>
  <c r="D295" i="3"/>
  <c r="E295" i="3"/>
  <c r="F295" i="3"/>
  <c r="G295" i="3"/>
  <c r="H295" i="3"/>
  <c r="I295" i="3"/>
  <c r="J295" i="3"/>
  <c r="K295" i="3"/>
  <c r="L295" i="3"/>
  <c r="M295" i="3"/>
  <c r="N295" i="3"/>
  <c r="N234" i="3"/>
  <c r="M234" i="3"/>
  <c r="L234" i="3"/>
  <c r="K234" i="3"/>
  <c r="J234" i="3"/>
  <c r="I234" i="3"/>
  <c r="H234" i="3"/>
  <c r="G234" i="3"/>
  <c r="F234" i="3"/>
  <c r="E234" i="3"/>
  <c r="D234" i="3"/>
  <c r="D228" i="3"/>
  <c r="E228" i="3"/>
  <c r="F228" i="3"/>
  <c r="G228" i="3"/>
  <c r="H228" i="3"/>
  <c r="I228" i="3"/>
  <c r="J228" i="3"/>
  <c r="K228" i="3"/>
  <c r="L228" i="3"/>
  <c r="M228" i="3"/>
  <c r="N228" i="3"/>
  <c r="N201" i="3"/>
  <c r="M201" i="3"/>
  <c r="L201" i="3"/>
  <c r="K201" i="3"/>
  <c r="J201" i="3"/>
  <c r="I201" i="3"/>
  <c r="H201" i="3"/>
  <c r="G201" i="3"/>
  <c r="F201" i="3"/>
  <c r="E201" i="3"/>
  <c r="D201" i="3"/>
  <c r="D195" i="3"/>
  <c r="E195" i="3"/>
  <c r="F195" i="3"/>
  <c r="G195" i="3"/>
  <c r="H195" i="3"/>
  <c r="I195" i="3"/>
  <c r="J195" i="3"/>
  <c r="K195" i="3"/>
  <c r="L195" i="3"/>
  <c r="M195" i="3"/>
  <c r="D35" i="23"/>
  <c r="E136" i="3"/>
  <c r="E35" i="23" s="1"/>
  <c r="F136" i="3"/>
  <c r="F35" i="23" s="1"/>
  <c r="G136" i="3"/>
  <c r="G35" i="23" s="1"/>
  <c r="H136" i="3"/>
  <c r="H35" i="23" s="1"/>
  <c r="I136" i="3"/>
  <c r="I35" i="23" s="1"/>
  <c r="J136" i="3"/>
  <c r="J35" i="23" s="1"/>
  <c r="K136" i="3"/>
  <c r="K35" i="23" s="1"/>
  <c r="L136" i="3"/>
  <c r="L35" i="23" s="1"/>
  <c r="M136" i="3"/>
  <c r="M35" i="23" s="1"/>
  <c r="N136" i="3"/>
  <c r="N35" i="23" s="1"/>
  <c r="D159" i="3"/>
  <c r="F159" i="3"/>
  <c r="I159" i="3"/>
  <c r="J159" i="3"/>
  <c r="K159" i="3"/>
  <c r="M159" i="3"/>
  <c r="N159" i="3"/>
  <c r="C1255" i="8"/>
  <c r="C1259" i="8" s="1"/>
  <c r="C1254" i="8"/>
  <c r="C1258" i="8" s="1"/>
  <c r="C1231" i="8"/>
  <c r="C1235" i="8" s="1"/>
  <c r="C1230" i="8"/>
  <c r="C1234" i="8" s="1"/>
  <c r="C1190" i="8"/>
  <c r="C1194" i="8" s="1"/>
  <c r="C1189" i="8"/>
  <c r="C1193" i="8" s="1"/>
  <c r="C1056" i="8"/>
  <c r="C1062" i="8" s="1"/>
  <c r="C1057" i="8"/>
  <c r="C1063" i="8" s="1"/>
  <c r="C1058" i="8"/>
  <c r="C1064" i="8" s="1"/>
  <c r="C1055" i="8"/>
  <c r="C1061" i="8" s="1"/>
  <c r="C1027" i="8"/>
  <c r="C1033" i="8" s="1"/>
  <c r="C1028" i="8"/>
  <c r="C1034" i="8" s="1"/>
  <c r="C1029" i="8"/>
  <c r="C1035" i="8" s="1"/>
  <c r="C1026" i="8"/>
  <c r="C1032" i="8" s="1"/>
  <c r="C983" i="8"/>
  <c r="C988" i="8" s="1"/>
  <c r="C982" i="8"/>
  <c r="C987" i="8" s="1"/>
  <c r="C955" i="8"/>
  <c r="C960" i="8" s="1"/>
  <c r="C954" i="8"/>
  <c r="C959" i="8" s="1"/>
  <c r="C908" i="8"/>
  <c r="C914" i="8" s="1"/>
  <c r="C909" i="8"/>
  <c r="C915" i="8" s="1"/>
  <c r="C910" i="8"/>
  <c r="C916" i="8" s="1"/>
  <c r="C907" i="8"/>
  <c r="C913" i="8" s="1"/>
  <c r="C862" i="8"/>
  <c r="C868" i="8" s="1"/>
  <c r="C863" i="8"/>
  <c r="C869" i="8" s="1"/>
  <c r="C864" i="8"/>
  <c r="C870" i="8" s="1"/>
  <c r="C861" i="8"/>
  <c r="C867" i="8" s="1"/>
  <c r="C710" i="8"/>
  <c r="C716" i="8" s="1"/>
  <c r="C711" i="8"/>
  <c r="C717" i="8" s="1"/>
  <c r="C712" i="8"/>
  <c r="C718" i="8" s="1"/>
  <c r="C709" i="8"/>
  <c r="C715" i="8" s="1"/>
  <c r="C658" i="8"/>
  <c r="C664" i="8" s="1"/>
  <c r="C659" i="8"/>
  <c r="C665" i="8" s="1"/>
  <c r="C660" i="8"/>
  <c r="C666" i="8" s="1"/>
  <c r="C657" i="8"/>
  <c r="C663" i="8" s="1"/>
  <c r="C601" i="8"/>
  <c r="C605" i="8" s="1"/>
  <c r="C600" i="8"/>
  <c r="C604" i="8" s="1"/>
  <c r="A759" i="8"/>
  <c r="A761" i="8" s="1"/>
  <c r="A762" i="8" s="1"/>
  <c r="A763" i="8" s="1"/>
  <c r="A765" i="8" s="1"/>
  <c r="A766" i="8" s="1"/>
  <c r="A767" i="8" s="1"/>
  <c r="A769" i="8" s="1"/>
  <c r="D767" i="8"/>
  <c r="D766" i="8"/>
  <c r="C763" i="8"/>
  <c r="C767" i="8" s="1"/>
  <c r="C762" i="8"/>
  <c r="C766" i="8" s="1"/>
  <c r="D759" i="8"/>
  <c r="D758" i="8"/>
  <c r="A119" i="8"/>
  <c r="A406" i="3"/>
  <c r="A404" i="3"/>
  <c r="N360" i="3"/>
  <c r="M360" i="3"/>
  <c r="L360" i="3"/>
  <c r="K360" i="3"/>
  <c r="J360" i="3"/>
  <c r="I360" i="3"/>
  <c r="H360" i="3"/>
  <c r="G360" i="3"/>
  <c r="F360" i="3"/>
  <c r="E360" i="3"/>
  <c r="D360" i="3"/>
  <c r="D355" i="3"/>
  <c r="F355" i="3"/>
  <c r="G1133" i="20" s="1"/>
  <c r="G308" i="20" s="1"/>
  <c r="H355" i="3"/>
  <c r="I355" i="3"/>
  <c r="K355" i="3"/>
  <c r="L1136" i="8" s="1"/>
  <c r="L355" i="3"/>
  <c r="M1136" i="8" s="1"/>
  <c r="M355" i="3"/>
  <c r="N1136" i="8" s="1"/>
  <c r="N312" i="8" s="1"/>
  <c r="N355" i="3"/>
  <c r="O1133" i="20" s="1"/>
  <c r="O308" i="20" s="1"/>
  <c r="H337" i="3"/>
  <c r="I1118" i="8" s="1"/>
  <c r="I337" i="3"/>
  <c r="J1115" i="20" s="1"/>
  <c r="J301" i="20" s="1"/>
  <c r="J337" i="3"/>
  <c r="K1115" i="20" s="1"/>
  <c r="K301" i="20" s="1"/>
  <c r="K337" i="3"/>
  <c r="L1118" i="8" s="1"/>
  <c r="L337" i="3"/>
  <c r="M337" i="3"/>
  <c r="N1118" i="8" s="1"/>
  <c r="N305" i="8" s="1"/>
  <c r="N332" i="3"/>
  <c r="O1100" i="8" s="1"/>
  <c r="M332" i="3"/>
  <c r="J332" i="3"/>
  <c r="I332" i="3"/>
  <c r="J1097" i="20" s="1"/>
  <c r="F332" i="3"/>
  <c r="E332" i="3"/>
  <c r="F1100" i="8" s="1"/>
  <c r="L332" i="3"/>
  <c r="K332" i="3"/>
  <c r="H332" i="3"/>
  <c r="I1097" i="20" s="1"/>
  <c r="G332" i="3"/>
  <c r="H1097" i="20" s="1"/>
  <c r="D332" i="3"/>
  <c r="A341" i="3"/>
  <c r="A339" i="3"/>
  <c r="A61" i="3"/>
  <c r="F187" i="3"/>
  <c r="G834" i="8" s="1"/>
  <c r="N187" i="3"/>
  <c r="A211" i="3"/>
  <c r="A209" i="3"/>
  <c r="G141" i="3"/>
  <c r="N141" i="3"/>
  <c r="N41" i="23" s="1"/>
  <c r="A111" i="3"/>
  <c r="A112" i="3" s="1"/>
  <c r="A113" i="3" s="1"/>
  <c r="A114" i="3" s="1"/>
  <c r="A115" i="3" s="1"/>
  <c r="A116" i="3" s="1"/>
  <c r="A118" i="3" s="1"/>
  <c r="A119" i="3" s="1"/>
  <c r="A120" i="3" s="1"/>
  <c r="A121" i="3" s="1"/>
  <c r="A122" i="3" s="1"/>
  <c r="A124" i="3" s="1"/>
  <c r="A125" i="3" s="1"/>
  <c r="A126" i="3" s="1"/>
  <c r="A127" i="3" s="1"/>
  <c r="A128" i="3" s="1"/>
  <c r="A129" i="3" s="1"/>
  <c r="A131" i="3" s="1"/>
  <c r="A132" i="3" s="1"/>
  <c r="A133" i="3" s="1"/>
  <c r="A100" i="3"/>
  <c r="A98" i="3"/>
  <c r="F93" i="3"/>
  <c r="G93" i="3"/>
  <c r="H93" i="3"/>
  <c r="I93" i="3"/>
  <c r="J658" i="8" s="1"/>
  <c r="K93" i="3"/>
  <c r="M93" i="3"/>
  <c r="N658" i="8" s="1"/>
  <c r="F76" i="3"/>
  <c r="G622" i="8" s="1"/>
  <c r="G152" i="8" s="1"/>
  <c r="H76" i="3"/>
  <c r="I620" i="20" s="1"/>
  <c r="I76" i="3"/>
  <c r="J76" i="3"/>
  <c r="K622" i="8" s="1"/>
  <c r="K152" i="8" s="1"/>
  <c r="K76" i="3"/>
  <c r="L622" i="8" s="1"/>
  <c r="L76" i="3"/>
  <c r="M76" i="3"/>
  <c r="N76" i="3"/>
  <c r="O620" i="20" s="1"/>
  <c r="D52" i="3"/>
  <c r="E565" i="20" s="1"/>
  <c r="E135" i="20" s="1"/>
  <c r="F52" i="3"/>
  <c r="G52" i="3"/>
  <c r="H52" i="3"/>
  <c r="I566" i="8" s="1"/>
  <c r="I138" i="8" s="1"/>
  <c r="I52" i="3"/>
  <c r="J565" i="20" s="1"/>
  <c r="J135" i="20" s="1"/>
  <c r="J52" i="3"/>
  <c r="K52" i="3"/>
  <c r="L52" i="3"/>
  <c r="M565" i="20" s="1"/>
  <c r="M135" i="20" s="1"/>
  <c r="M52" i="3"/>
  <c r="N565" i="20" s="1"/>
  <c r="N135" i="20" s="1"/>
  <c r="N52" i="3"/>
  <c r="F47" i="3"/>
  <c r="G548" i="20" s="1"/>
  <c r="G128" i="20" s="1"/>
  <c r="G47" i="3"/>
  <c r="H549" i="8" s="1"/>
  <c r="I47" i="3"/>
  <c r="J47" i="3"/>
  <c r="K47" i="3"/>
  <c r="L548" i="20" s="1"/>
  <c r="L128" i="20" s="1"/>
  <c r="L47" i="3"/>
  <c r="M549" i="8" s="1"/>
  <c r="M131" i="8" s="1"/>
  <c r="M47" i="3"/>
  <c r="N47" i="3"/>
  <c r="O549" i="8" s="1"/>
  <c r="F42" i="3"/>
  <c r="G531" i="20" s="1"/>
  <c r="G42" i="3"/>
  <c r="H532" i="8" s="1"/>
  <c r="H534" i="8" s="1"/>
  <c r="H42" i="3"/>
  <c r="I42" i="3"/>
  <c r="J532" i="8" s="1"/>
  <c r="J534" i="8" s="1"/>
  <c r="J42" i="3"/>
  <c r="K532" i="8" s="1"/>
  <c r="K534" i="8" s="1"/>
  <c r="L42" i="3"/>
  <c r="M531" i="20" s="1"/>
  <c r="M533" i="20" s="1"/>
  <c r="M42" i="3"/>
  <c r="N42" i="3"/>
  <c r="O532" i="8" s="1"/>
  <c r="O534" i="8" s="1"/>
  <c r="F37" i="3"/>
  <c r="G497" i="20" s="1"/>
  <c r="G37" i="3"/>
  <c r="H497" i="20" s="1"/>
  <c r="H499" i="20" s="1"/>
  <c r="H37" i="3"/>
  <c r="J37" i="3"/>
  <c r="K498" i="8" s="1"/>
  <c r="K500" i="8" s="1"/>
  <c r="K37" i="3"/>
  <c r="L37" i="3"/>
  <c r="N37" i="3"/>
  <c r="O498" i="8" s="1"/>
  <c r="A56" i="3"/>
  <c r="A54" i="3"/>
  <c r="D32" i="3"/>
  <c r="E480" i="20" s="1"/>
  <c r="H32" i="3"/>
  <c r="I481" i="8" s="1"/>
  <c r="I32" i="3"/>
  <c r="K32" i="3"/>
  <c r="L32" i="3"/>
  <c r="M481" i="8" s="1"/>
  <c r="M483" i="8" s="1"/>
  <c r="D27" i="3"/>
  <c r="E463" i="20" s="1"/>
  <c r="E80" i="20" s="1"/>
  <c r="E27" i="3"/>
  <c r="E47" i="23" s="1"/>
  <c r="G27" i="3"/>
  <c r="G47" i="23" s="1"/>
  <c r="K27" i="3"/>
  <c r="K47" i="23" s="1"/>
  <c r="M27" i="3"/>
  <c r="N464" i="8" s="1"/>
  <c r="N27" i="3"/>
  <c r="D22" i="3"/>
  <c r="E428" i="20" s="1"/>
  <c r="H22" i="3"/>
  <c r="I428" i="20" s="1"/>
  <c r="I73" i="20" s="1"/>
  <c r="J22" i="3"/>
  <c r="K22" i="3"/>
  <c r="L22" i="3"/>
  <c r="M430" i="8" s="1"/>
  <c r="M74" i="8" s="1"/>
  <c r="M22" i="3"/>
  <c r="N428" i="20" s="1"/>
  <c r="A15" i="3"/>
  <c r="A16" i="3" s="1"/>
  <c r="A17" i="3" s="1"/>
  <c r="A19" i="3" s="1"/>
  <c r="A20" i="3" s="1"/>
  <c r="A21" i="3" s="1"/>
  <c r="A22" i="3" s="1"/>
  <c r="A24" i="3" s="1"/>
  <c r="A25" i="3" s="1"/>
  <c r="A26" i="3" s="1"/>
  <c r="A27" i="3" s="1"/>
  <c r="A29" i="3" s="1"/>
  <c r="A30" i="3" s="1"/>
  <c r="A31" i="3" s="1"/>
  <c r="A32" i="3" s="1"/>
  <c r="A35" i="3" s="1"/>
  <c r="A36" i="3" s="1"/>
  <c r="A37" i="3" s="1"/>
  <c r="A39" i="3" s="1"/>
  <c r="A40" i="3" s="1"/>
  <c r="A41" i="3" s="1"/>
  <c r="A42" i="3" s="1"/>
  <c r="A44" i="3" s="1"/>
  <c r="A45" i="3" s="1"/>
  <c r="A46" i="3" s="1"/>
  <c r="A47" i="3" s="1"/>
  <c r="A49" i="3" s="1"/>
  <c r="A50" i="3" s="1"/>
  <c r="A51" i="3" s="1"/>
  <c r="A52" i="3" s="1"/>
  <c r="E29" i="8"/>
  <c r="F29" i="8"/>
  <c r="G29" i="8"/>
  <c r="H29" i="8"/>
  <c r="I29" i="8"/>
  <c r="J29" i="8"/>
  <c r="K29" i="8"/>
  <c r="L29" i="8"/>
  <c r="M29" i="8"/>
  <c r="N29" i="8"/>
  <c r="O29" i="8"/>
  <c r="E30" i="8"/>
  <c r="F30" i="8"/>
  <c r="G30" i="8"/>
  <c r="H30" i="8"/>
  <c r="I30" i="8"/>
  <c r="J30" i="8"/>
  <c r="K30" i="8"/>
  <c r="L30" i="8"/>
  <c r="M30" i="8"/>
  <c r="N30" i="8"/>
  <c r="O30" i="8"/>
  <c r="E32" i="8"/>
  <c r="F32" i="8"/>
  <c r="G32" i="8"/>
  <c r="H32" i="8"/>
  <c r="I32" i="8"/>
  <c r="J32" i="8"/>
  <c r="K32" i="8"/>
  <c r="L32" i="8"/>
  <c r="M32" i="8"/>
  <c r="N32" i="8"/>
  <c r="O32" i="8"/>
  <c r="E33" i="8"/>
  <c r="F33" i="8"/>
  <c r="G33" i="8"/>
  <c r="H33" i="8"/>
  <c r="I33" i="8"/>
  <c r="J33" i="8"/>
  <c r="K33" i="8"/>
  <c r="L33" i="8"/>
  <c r="M33" i="8"/>
  <c r="N33" i="8"/>
  <c r="O33" i="8"/>
  <c r="A18" i="8"/>
  <c r="A19" i="8" s="1"/>
  <c r="A20" i="8" s="1"/>
  <c r="A21" i="8" s="1"/>
  <c r="A23" i="8" s="1"/>
  <c r="A25" i="8" s="1"/>
  <c r="A22" i="8" s="1"/>
  <c r="A26" i="8" s="1"/>
  <c r="A27" i="8" s="1"/>
  <c r="A28" i="8" s="1"/>
  <c r="A29" i="8" s="1"/>
  <c r="A30" i="8" s="1"/>
  <c r="A31" i="8" s="1"/>
  <c r="A32" i="8" s="1"/>
  <c r="A33" i="8" s="1"/>
  <c r="A34" i="8" s="1"/>
  <c r="A36" i="8" s="1"/>
  <c r="E375" i="8"/>
  <c r="F375" i="8"/>
  <c r="D25" i="22" s="1"/>
  <c r="G375" i="8"/>
  <c r="E25" i="22" s="1"/>
  <c r="H375" i="8"/>
  <c r="F25" i="22" s="1"/>
  <c r="I375" i="8"/>
  <c r="G25" i="22" s="1"/>
  <c r="J375" i="8"/>
  <c r="H25" i="22" s="1"/>
  <c r="K375" i="8"/>
  <c r="I25" i="22" s="1"/>
  <c r="L375" i="8"/>
  <c r="J25" i="22" s="1"/>
  <c r="M375" i="8"/>
  <c r="K25" i="22" s="1"/>
  <c r="N375" i="8"/>
  <c r="L25" i="22" s="1"/>
  <c r="O375" i="8"/>
  <c r="M25" i="22" s="1"/>
  <c r="E362" i="8"/>
  <c r="F362" i="8"/>
  <c r="G362" i="8"/>
  <c r="H362" i="8"/>
  <c r="I362" i="8"/>
  <c r="J362" i="8"/>
  <c r="K362" i="8"/>
  <c r="L362" i="8"/>
  <c r="M362" i="8"/>
  <c r="N362" i="8"/>
  <c r="O362" i="8"/>
  <c r="E355" i="8"/>
  <c r="F355" i="8"/>
  <c r="G355" i="8"/>
  <c r="H355" i="8"/>
  <c r="I355" i="8"/>
  <c r="J355" i="8"/>
  <c r="K355" i="8"/>
  <c r="L355" i="8"/>
  <c r="M355" i="8"/>
  <c r="N355" i="8"/>
  <c r="O355" i="8"/>
  <c r="E328" i="8"/>
  <c r="F328" i="8"/>
  <c r="G328" i="8"/>
  <c r="H328" i="8"/>
  <c r="I328" i="8"/>
  <c r="J328" i="8"/>
  <c r="K328" i="8"/>
  <c r="L328" i="8"/>
  <c r="M328" i="8"/>
  <c r="N328" i="8"/>
  <c r="O328" i="8"/>
  <c r="E321" i="8"/>
  <c r="F321" i="8"/>
  <c r="G321" i="8"/>
  <c r="H321" i="8"/>
  <c r="I321" i="8"/>
  <c r="J321" i="8"/>
  <c r="K321" i="8"/>
  <c r="L321" i="8"/>
  <c r="M321" i="8"/>
  <c r="N321" i="8"/>
  <c r="O321" i="8"/>
  <c r="E314" i="8"/>
  <c r="F314" i="8"/>
  <c r="G314" i="8"/>
  <c r="H314" i="8"/>
  <c r="I314" i="8"/>
  <c r="J314" i="8"/>
  <c r="K314" i="8"/>
  <c r="L314" i="8"/>
  <c r="M314" i="8"/>
  <c r="N314" i="8"/>
  <c r="O314" i="8"/>
  <c r="E307" i="8"/>
  <c r="F307" i="8"/>
  <c r="G307" i="8"/>
  <c r="H307" i="8"/>
  <c r="I307" i="8"/>
  <c r="J307" i="8"/>
  <c r="K307" i="8"/>
  <c r="L307" i="8"/>
  <c r="M307" i="8"/>
  <c r="N307" i="8"/>
  <c r="O307" i="8"/>
  <c r="E300" i="8"/>
  <c r="F300" i="8"/>
  <c r="G300" i="8"/>
  <c r="H300" i="8"/>
  <c r="I300" i="8"/>
  <c r="J300" i="8"/>
  <c r="K300" i="8"/>
  <c r="L300" i="8"/>
  <c r="M300" i="8"/>
  <c r="N300" i="8"/>
  <c r="O300" i="8"/>
  <c r="E293" i="8"/>
  <c r="F293" i="8"/>
  <c r="G293" i="8"/>
  <c r="H293" i="8"/>
  <c r="I293" i="8"/>
  <c r="J293" i="8"/>
  <c r="K293" i="8"/>
  <c r="L293" i="8"/>
  <c r="M293" i="8"/>
  <c r="N293" i="8"/>
  <c r="O293" i="8"/>
  <c r="E266" i="8"/>
  <c r="F266" i="8"/>
  <c r="G266" i="8"/>
  <c r="H266" i="8"/>
  <c r="I266" i="8"/>
  <c r="J266" i="8"/>
  <c r="K266" i="8"/>
  <c r="L266" i="8"/>
  <c r="M266" i="8"/>
  <c r="N266" i="8"/>
  <c r="O266" i="8"/>
  <c r="E259" i="8"/>
  <c r="F259" i="8"/>
  <c r="G259" i="8"/>
  <c r="H259" i="8"/>
  <c r="I259" i="8"/>
  <c r="J259" i="8"/>
  <c r="K259" i="8"/>
  <c r="L259" i="8"/>
  <c r="M259" i="8"/>
  <c r="N259" i="8"/>
  <c r="O259" i="8"/>
  <c r="E252" i="8"/>
  <c r="F252" i="8"/>
  <c r="G252" i="8"/>
  <c r="H252" i="8"/>
  <c r="I252" i="8"/>
  <c r="J252" i="8"/>
  <c r="K252" i="8"/>
  <c r="L252" i="8"/>
  <c r="M252" i="8"/>
  <c r="N252" i="8"/>
  <c r="O252" i="8"/>
  <c r="E245" i="8"/>
  <c r="F245" i="8"/>
  <c r="G245" i="8"/>
  <c r="H245" i="8"/>
  <c r="I245" i="8"/>
  <c r="J245" i="8"/>
  <c r="K245" i="8"/>
  <c r="L245" i="8"/>
  <c r="M245" i="8"/>
  <c r="N245" i="8"/>
  <c r="O245" i="8"/>
  <c r="E238" i="8"/>
  <c r="F238" i="8"/>
  <c r="G238" i="8"/>
  <c r="H238" i="8"/>
  <c r="I238" i="8"/>
  <c r="J238" i="8"/>
  <c r="K238" i="8"/>
  <c r="L238" i="8"/>
  <c r="M238" i="8"/>
  <c r="N238" i="8"/>
  <c r="O238" i="8"/>
  <c r="E231" i="8"/>
  <c r="F231" i="8"/>
  <c r="G231" i="8"/>
  <c r="H231" i="8"/>
  <c r="I231" i="8"/>
  <c r="J231" i="8"/>
  <c r="K231" i="8"/>
  <c r="L231" i="8"/>
  <c r="M231" i="8"/>
  <c r="N231" i="8"/>
  <c r="O231" i="8"/>
  <c r="A227" i="8"/>
  <c r="A228" i="8" s="1"/>
  <c r="A229" i="8" s="1"/>
  <c r="A230" i="8" s="1"/>
  <c r="A231" i="8" s="1"/>
  <c r="A232" i="8" s="1"/>
  <c r="A234" i="8" s="1"/>
  <c r="A235" i="8" s="1"/>
  <c r="A236" i="8" s="1"/>
  <c r="A237" i="8" s="1"/>
  <c r="A238" i="8" s="1"/>
  <c r="A239" i="8" s="1"/>
  <c r="A241" i="8" s="1"/>
  <c r="A242" i="8" s="1"/>
  <c r="A243" i="8" s="1"/>
  <c r="A244" i="8" s="1"/>
  <c r="A245" i="8" s="1"/>
  <c r="A246" i="8" s="1"/>
  <c r="A248" i="8" s="1"/>
  <c r="A249" i="8" s="1"/>
  <c r="A250" i="8" s="1"/>
  <c r="A251" i="8" s="1"/>
  <c r="A252" i="8" s="1"/>
  <c r="A253" i="8" s="1"/>
  <c r="A255" i="8" s="1"/>
  <c r="A256" i="8" s="1"/>
  <c r="A257" i="8" s="1"/>
  <c r="A258" i="8" s="1"/>
  <c r="A259" i="8" s="1"/>
  <c r="A260" i="8" s="1"/>
  <c r="A262" i="8" s="1"/>
  <c r="A263" i="8" s="1"/>
  <c r="A264" i="8" s="1"/>
  <c r="A265" i="8" s="1"/>
  <c r="A266" i="8" s="1"/>
  <c r="A267" i="8" s="1"/>
  <c r="A290" i="8" s="1"/>
  <c r="A291" i="8" s="1"/>
  <c r="A292" i="8" s="1"/>
  <c r="A293" i="8" s="1"/>
  <c r="A294" i="8" s="1"/>
  <c r="A296" i="8" s="1"/>
  <c r="A297" i="8" s="1"/>
  <c r="A298" i="8" s="1"/>
  <c r="A299" i="8" s="1"/>
  <c r="A300" i="8" s="1"/>
  <c r="A301" i="8" s="1"/>
  <c r="A212" i="8"/>
  <c r="A210" i="8"/>
  <c r="A209" i="8"/>
  <c r="E154" i="8"/>
  <c r="F154" i="8"/>
  <c r="G154" i="8"/>
  <c r="H154" i="8"/>
  <c r="I154" i="8"/>
  <c r="J154" i="8"/>
  <c r="K154" i="8"/>
  <c r="L154" i="8"/>
  <c r="M154" i="8"/>
  <c r="N154" i="8"/>
  <c r="O154" i="8"/>
  <c r="E147" i="8"/>
  <c r="F147" i="8"/>
  <c r="G147" i="8"/>
  <c r="H147" i="8"/>
  <c r="I147" i="8"/>
  <c r="J147" i="8"/>
  <c r="K147" i="8"/>
  <c r="L147" i="8"/>
  <c r="M147" i="8"/>
  <c r="N147" i="8"/>
  <c r="O147" i="8"/>
  <c r="E140" i="8"/>
  <c r="F140" i="8"/>
  <c r="G140" i="8"/>
  <c r="H140" i="8"/>
  <c r="I140" i="8"/>
  <c r="J140" i="8"/>
  <c r="K140" i="8"/>
  <c r="L140" i="8"/>
  <c r="M140" i="8"/>
  <c r="N140" i="8"/>
  <c r="O140" i="8"/>
  <c r="A114" i="8"/>
  <c r="A112" i="8"/>
  <c r="A111" i="8"/>
  <c r="E133" i="8"/>
  <c r="F133" i="8"/>
  <c r="G133" i="8"/>
  <c r="H133" i="8"/>
  <c r="I133" i="8"/>
  <c r="J133" i="8"/>
  <c r="K133" i="8"/>
  <c r="L133" i="8"/>
  <c r="M133" i="8"/>
  <c r="N133" i="8"/>
  <c r="O133" i="8"/>
  <c r="E104" i="8"/>
  <c r="F104" i="8"/>
  <c r="G104" i="8"/>
  <c r="H104" i="8"/>
  <c r="I104" i="8"/>
  <c r="J104" i="8"/>
  <c r="K104" i="8"/>
  <c r="L104" i="8"/>
  <c r="M104" i="8"/>
  <c r="N104" i="8"/>
  <c r="O104" i="8"/>
  <c r="E90" i="8"/>
  <c r="F90" i="8"/>
  <c r="G90" i="8"/>
  <c r="H90" i="8"/>
  <c r="I90" i="8"/>
  <c r="J90" i="8"/>
  <c r="K90" i="8"/>
  <c r="L90" i="8"/>
  <c r="M90" i="8"/>
  <c r="N90" i="8"/>
  <c r="O90" i="8"/>
  <c r="A810" i="8"/>
  <c r="A684" i="8"/>
  <c r="A702" i="8"/>
  <c r="A704" i="8" s="1"/>
  <c r="A705" i="8" s="1"/>
  <c r="A706" i="8" s="1"/>
  <c r="A708" i="8" s="1"/>
  <c r="A709" i="8" s="1"/>
  <c r="A710" i="8" s="1"/>
  <c r="A711" i="8" s="1"/>
  <c r="A712" i="8" s="1"/>
  <c r="A714" i="8" s="1"/>
  <c r="A715" i="8" s="1"/>
  <c r="A716" i="8" s="1"/>
  <c r="A717" i="8" s="1"/>
  <c r="A718" i="8" s="1"/>
  <c r="A720" i="8" s="1"/>
  <c r="A736" i="8"/>
  <c r="A527" i="8"/>
  <c r="A529" i="8" s="1"/>
  <c r="A530" i="8" s="1"/>
  <c r="A532" i="8" s="1"/>
  <c r="A533" i="8" s="1"/>
  <c r="D415" i="8"/>
  <c r="E415" i="8" s="1"/>
  <c r="A509" i="8"/>
  <c r="A441" i="8"/>
  <c r="A398" i="8"/>
  <c r="A400" i="8" s="1"/>
  <c r="A401" i="8" s="1"/>
  <c r="A402" i="8" s="1"/>
  <c r="A404" i="8" s="1"/>
  <c r="A405" i="8" s="1"/>
  <c r="A406" i="8" s="1"/>
  <c r="D653" i="8"/>
  <c r="J210" i="26" s="1"/>
  <c r="C16" i="27" s="1"/>
  <c r="D663" i="8"/>
  <c r="D664" i="8"/>
  <c r="D665" i="8"/>
  <c r="D666" i="8"/>
  <c r="D654" i="8"/>
  <c r="J212" i="26" s="1"/>
  <c r="D676" i="8"/>
  <c r="D1227" i="8"/>
  <c r="D1052" i="8"/>
  <c r="D1023" i="8"/>
  <c r="D979" i="8"/>
  <c r="J243" i="26" s="1"/>
  <c r="D951" i="8"/>
  <c r="D904" i="8"/>
  <c r="D858" i="8"/>
  <c r="D832" i="8"/>
  <c r="D844" i="8"/>
  <c r="D790" i="8"/>
  <c r="J272" i="26" s="1"/>
  <c r="D706" i="8"/>
  <c r="D402" i="8"/>
  <c r="D789" i="8"/>
  <c r="J271" i="26" s="1"/>
  <c r="C30" i="27" s="1"/>
  <c r="D793" i="8"/>
  <c r="J276" i="26" s="1"/>
  <c r="C31" i="27" s="1"/>
  <c r="D949" i="8"/>
  <c r="D950" i="8"/>
  <c r="D959" i="8"/>
  <c r="J247" i="26" s="1"/>
  <c r="C24" i="27" s="1"/>
  <c r="D960" i="8"/>
  <c r="J248" i="26" s="1"/>
  <c r="C25" i="27" s="1"/>
  <c r="D977" i="8"/>
  <c r="J241" i="26" s="1"/>
  <c r="C23" i="27" s="1"/>
  <c r="D978" i="8"/>
  <c r="J242" i="26" s="1"/>
  <c r="D987" i="8"/>
  <c r="D988" i="8"/>
  <c r="D1225" i="8"/>
  <c r="D1226" i="8"/>
  <c r="D1234" i="8"/>
  <c r="D1235" i="8"/>
  <c r="D401" i="8"/>
  <c r="I185" i="26" s="1"/>
  <c r="D405" i="8"/>
  <c r="I190" i="26" s="1"/>
  <c r="C13" i="27" s="1"/>
  <c r="D417" i="8"/>
  <c r="E417" i="8" s="1"/>
  <c r="D831" i="8"/>
  <c r="D835" i="8"/>
  <c r="D846" i="8"/>
  <c r="D705" i="8"/>
  <c r="D715" i="8"/>
  <c r="D716" i="8"/>
  <c r="D717" i="8"/>
  <c r="D718" i="8"/>
  <c r="D728" i="8"/>
  <c r="D857" i="8"/>
  <c r="D867" i="8"/>
  <c r="D868" i="8"/>
  <c r="D869" i="8"/>
  <c r="D870" i="8"/>
  <c r="D903" i="8"/>
  <c r="D913" i="8"/>
  <c r="J216" i="26" s="1"/>
  <c r="C17" i="27" s="1"/>
  <c r="D914" i="8"/>
  <c r="J217" i="26" s="1"/>
  <c r="C18" i="27" s="1"/>
  <c r="D915" i="8"/>
  <c r="J218" i="26" s="1"/>
  <c r="C19" i="27" s="1"/>
  <c r="D916" i="8"/>
  <c r="J219" i="26" s="1"/>
  <c r="C20" i="27" s="1"/>
  <c r="D1021" i="8"/>
  <c r="D1022" i="8"/>
  <c r="J211" i="26" s="1"/>
  <c r="D1032" i="8"/>
  <c r="D1033" i="8"/>
  <c r="D1034" i="8"/>
  <c r="D1035" i="8"/>
  <c r="D1050" i="8"/>
  <c r="D1051" i="8"/>
  <c r="D1061" i="8"/>
  <c r="D1062" i="8"/>
  <c r="D1063" i="8"/>
  <c r="D1064" i="8"/>
  <c r="D1097" i="8"/>
  <c r="J288" i="26" s="1"/>
  <c r="D1098" i="8"/>
  <c r="D1101" i="8"/>
  <c r="J292" i="26" s="1"/>
  <c r="C35" i="27" s="1"/>
  <c r="A13" i="19"/>
  <c r="A15" i="19"/>
  <c r="A17" i="19" s="1"/>
  <c r="A18" i="19" s="1"/>
  <c r="A19" i="19" s="1"/>
  <c r="A20" i="19" s="1"/>
  <c r="A6" i="19"/>
  <c r="A4" i="19"/>
  <c r="D1095" i="20"/>
  <c r="A15" i="15"/>
  <c r="A17" i="15" s="1"/>
  <c r="A18" i="15" s="1"/>
  <c r="A19" i="15" s="1"/>
  <c r="A20" i="15" s="1"/>
  <c r="A22" i="15" s="1"/>
  <c r="A23" i="15" s="1"/>
  <c r="D564" i="8"/>
  <c r="D567" i="8"/>
  <c r="D722" i="20"/>
  <c r="D1115" i="8"/>
  <c r="D1116" i="8"/>
  <c r="D1119" i="8"/>
  <c r="D1133" i="8"/>
  <c r="D1134" i="8"/>
  <c r="D1137" i="8"/>
  <c r="D1167" i="8"/>
  <c r="D1168" i="8"/>
  <c r="D1171" i="8"/>
  <c r="D1185" i="8"/>
  <c r="D1186" i="8"/>
  <c r="D1193" i="8"/>
  <c r="D1194" i="8"/>
  <c r="D1250" i="8"/>
  <c r="D1251" i="8"/>
  <c r="D1258" i="8"/>
  <c r="D1259" i="8"/>
  <c r="A1018" i="8"/>
  <c r="A1020" i="8" s="1"/>
  <c r="A1021" i="8" s="1"/>
  <c r="A1022" i="8" s="1"/>
  <c r="A1023" i="8" s="1"/>
  <c r="A1025" i="8" s="1"/>
  <c r="A1026" i="8" s="1"/>
  <c r="A1027" i="8" s="1"/>
  <c r="A1028" i="8" s="1"/>
  <c r="A1029" i="8" s="1"/>
  <c r="A1031" i="8" s="1"/>
  <c r="A1032" i="8" s="1"/>
  <c r="A1033" i="8" s="1"/>
  <c r="A1034" i="8" s="1"/>
  <c r="A1035" i="8" s="1"/>
  <c r="A1037" i="8" s="1"/>
  <c r="A828" i="8"/>
  <c r="A830" i="8" s="1"/>
  <c r="A831" i="8" s="1"/>
  <c r="A832" i="8" s="1"/>
  <c r="A834" i="8" s="1"/>
  <c r="A835" i="8" s="1"/>
  <c r="A65" i="8"/>
  <c r="A66" i="8" s="1"/>
  <c r="A67" i="8" s="1"/>
  <c r="A68" i="8" s="1"/>
  <c r="A69" i="8" s="1"/>
  <c r="A70" i="8" s="1"/>
  <c r="A72" i="8" s="1"/>
  <c r="A73" i="8" s="1"/>
  <c r="A74" i="8" s="1"/>
  <c r="A75" i="8" s="1"/>
  <c r="A76" i="8" s="1"/>
  <c r="A77" i="8" s="1"/>
  <c r="A79" i="8" s="1"/>
  <c r="A80" i="8" s="1"/>
  <c r="A81" i="8" s="1"/>
  <c r="A82" i="8" s="1"/>
  <c r="A83" i="8" s="1"/>
  <c r="A84" i="8" s="1"/>
  <c r="A86" i="8" s="1"/>
  <c r="A87" i="8" s="1"/>
  <c r="A88" i="8" s="1"/>
  <c r="A89" i="8" s="1"/>
  <c r="A90" i="8" s="1"/>
  <c r="A91" i="8" s="1"/>
  <c r="A650" i="8"/>
  <c r="A652" i="8" s="1"/>
  <c r="A653" i="8" s="1"/>
  <c r="A654" i="8" s="1"/>
  <c r="A656" i="8" s="1"/>
  <c r="A657" i="8" s="1"/>
  <c r="A658" i="8" s="1"/>
  <c r="A659" i="8" s="1"/>
  <c r="A660" i="8" s="1"/>
  <c r="A662" i="8" s="1"/>
  <c r="A663" i="8" s="1"/>
  <c r="A664" i="8" s="1"/>
  <c r="A665" i="8" s="1"/>
  <c r="A666" i="8" s="1"/>
  <c r="A668" i="8" s="1"/>
  <c r="A1222" i="8"/>
  <c r="A1224" i="8" s="1"/>
  <c r="A1225" i="8" s="1"/>
  <c r="A1226" i="8" s="1"/>
  <c r="A1227" i="8" s="1"/>
  <c r="A1229" i="8" s="1"/>
  <c r="A1230" i="8" s="1"/>
  <c r="A1231" i="8" s="1"/>
  <c r="A1233" i="8" s="1"/>
  <c r="A1234" i="8" s="1"/>
  <c r="A1235" i="8" s="1"/>
  <c r="A1237" i="8" s="1"/>
  <c r="A1238" i="8" s="1"/>
  <c r="A1164" i="8"/>
  <c r="A1166" i="8" s="1"/>
  <c r="A1167" i="8" s="1"/>
  <c r="A1168" i="8" s="1"/>
  <c r="A1170" i="8" s="1"/>
  <c r="A1171" i="8" s="1"/>
  <c r="A1173" i="8" s="1"/>
  <c r="A1175" i="8" s="1"/>
  <c r="A1177" i="8" s="1"/>
  <c r="A1180" i="8" s="1"/>
  <c r="A1182" i="8" s="1"/>
  <c r="A1184" i="8" s="1"/>
  <c r="A1185" i="8" s="1"/>
  <c r="A1186" i="8" s="1"/>
  <c r="A1188" i="8" s="1"/>
  <c r="A1189" i="8" s="1"/>
  <c r="A1190" i="8" s="1"/>
  <c r="A1192" i="8" s="1"/>
  <c r="A1193" i="8" s="1"/>
  <c r="A1194" i="8" s="1"/>
  <c r="A1197" i="8" s="1"/>
  <c r="A1199" i="8" s="1"/>
  <c r="A1201" i="8" s="1"/>
  <c r="A1094" i="8"/>
  <c r="A1096" i="8" s="1"/>
  <c r="A1097" i="8" s="1"/>
  <c r="A1098" i="8" s="1"/>
  <c r="A1100" i="8" s="1"/>
  <c r="A1101" i="8" s="1"/>
  <c r="D533" i="8"/>
  <c r="D499" i="8"/>
  <c r="D482" i="8"/>
  <c r="A19" i="14"/>
  <c r="A20" i="14" s="1"/>
  <c r="A21" i="14" s="1"/>
  <c r="A22" i="14" s="1"/>
  <c r="A1" i="3"/>
  <c r="A3" i="3"/>
  <c r="A1" i="5"/>
  <c r="A3" i="5"/>
  <c r="A1" i="15"/>
  <c r="A3" i="15"/>
  <c r="AE83" i="1"/>
  <c r="A4" i="14"/>
  <c r="J10" i="14"/>
  <c r="A2" i="14"/>
  <c r="A2" i="22" s="1"/>
  <c r="A50" i="22" s="1"/>
  <c r="A1" i="14"/>
  <c r="D623" i="8"/>
  <c r="D620" i="8"/>
  <c r="D605" i="8"/>
  <c r="D604" i="8"/>
  <c r="D597" i="8"/>
  <c r="D550" i="8"/>
  <c r="D547" i="8"/>
  <c r="D530" i="8"/>
  <c r="D496" i="8"/>
  <c r="D479" i="8"/>
  <c r="D465" i="8"/>
  <c r="D462" i="8"/>
  <c r="D431" i="8"/>
  <c r="D428" i="8"/>
  <c r="A633" i="8"/>
  <c r="A634" i="8"/>
  <c r="A1208" i="8"/>
  <c r="A1206" i="8"/>
  <c r="A1205" i="8"/>
  <c r="A1150" i="8"/>
  <c r="A1148" i="8"/>
  <c r="A1147" i="8"/>
  <c r="A1080" i="8"/>
  <c r="A1078" i="8"/>
  <c r="A1077" i="8"/>
  <c r="A1004" i="8"/>
  <c r="A1002" i="8"/>
  <c r="A1001" i="8"/>
  <c r="A814" i="8"/>
  <c r="A812" i="8"/>
  <c r="A811" i="8"/>
  <c r="A741" i="8"/>
  <c r="A739" i="8"/>
  <c r="A738" i="8"/>
  <c r="A688" i="8"/>
  <c r="A686" i="8"/>
  <c r="A685" i="8"/>
  <c r="A636" i="8"/>
  <c r="A580" i="8"/>
  <c r="A578" i="8"/>
  <c r="A577" i="8"/>
  <c r="A513" i="8"/>
  <c r="A511" i="8"/>
  <c r="A510" i="8"/>
  <c r="A459" i="8"/>
  <c r="A461" i="8" s="1"/>
  <c r="A462" i="8" s="1"/>
  <c r="A464" i="8" s="1"/>
  <c r="A465" i="8" s="1"/>
  <c r="A445" i="8"/>
  <c r="A443" i="8"/>
  <c r="A442" i="8"/>
  <c r="A384" i="8"/>
  <c r="A382" i="8"/>
  <c r="A381" i="8"/>
  <c r="A275" i="8"/>
  <c r="A273" i="8"/>
  <c r="A272" i="8"/>
  <c r="A48" i="8"/>
  <c r="A47" i="8"/>
  <c r="A50" i="8"/>
  <c r="K95" i="3"/>
  <c r="L660" i="8" s="1"/>
  <c r="G95" i="3"/>
  <c r="N94" i="3"/>
  <c r="O657" i="20" s="1"/>
  <c r="J94" i="3"/>
  <c r="F94" i="3"/>
  <c r="N95" i="3"/>
  <c r="O658" i="20" s="1"/>
  <c r="J95" i="3"/>
  <c r="F95" i="3"/>
  <c r="I94" i="3"/>
  <c r="E94" i="3"/>
  <c r="F657" i="20" s="1"/>
  <c r="M95" i="3"/>
  <c r="E95" i="3"/>
  <c r="F658" i="20" s="1"/>
  <c r="L94" i="3"/>
  <c r="M657" i="20" s="1"/>
  <c r="H94" i="3"/>
  <c r="L95" i="3"/>
  <c r="M658" i="20" s="1"/>
  <c r="H95" i="3"/>
  <c r="I660" i="8" s="1"/>
  <c r="D95" i="3"/>
  <c r="K94" i="3"/>
  <c r="L659" i="8" s="1"/>
  <c r="G94" i="3"/>
  <c r="L92" i="3"/>
  <c r="M657" i="8" s="1"/>
  <c r="L33" i="5"/>
  <c r="H33" i="5"/>
  <c r="D86" i="3"/>
  <c r="D92" i="3" s="1"/>
  <c r="E657" i="8" s="1"/>
  <c r="D33" i="5"/>
  <c r="K92" i="3"/>
  <c r="K33" i="5"/>
  <c r="G92" i="3"/>
  <c r="H657" i="8" s="1"/>
  <c r="G33" i="5"/>
  <c r="N92" i="3"/>
  <c r="N33" i="5"/>
  <c r="J92" i="3"/>
  <c r="K657" i="8" s="1"/>
  <c r="J33" i="5"/>
  <c r="F92" i="3"/>
  <c r="G655" i="20" s="1"/>
  <c r="F33" i="5"/>
  <c r="M92" i="3"/>
  <c r="N655" i="20" s="1"/>
  <c r="M33" i="5"/>
  <c r="I92" i="3"/>
  <c r="I33" i="5"/>
  <c r="E92" i="3"/>
  <c r="F657" i="8" s="1"/>
  <c r="E33" i="5"/>
  <c r="M117" i="3"/>
  <c r="M169" i="3" s="1"/>
  <c r="D84" i="3"/>
  <c r="D164" i="3" s="1"/>
  <c r="E84" i="3"/>
  <c r="E164" i="3" s="1"/>
  <c r="G84" i="3"/>
  <c r="G164" i="3" s="1"/>
  <c r="I84" i="3"/>
  <c r="I164" i="3" s="1"/>
  <c r="J84" i="3"/>
  <c r="J164" i="3" s="1"/>
  <c r="K84" i="3"/>
  <c r="K164" i="3" s="1"/>
  <c r="L84" i="3"/>
  <c r="L164" i="3" s="1"/>
  <c r="M84" i="3"/>
  <c r="M164" i="3" s="1"/>
  <c r="N84" i="3"/>
  <c r="N164" i="3" s="1"/>
  <c r="D409" i="8"/>
  <c r="D435" i="8"/>
  <c r="D414" i="8"/>
  <c r="D671" i="8"/>
  <c r="D469" i="8"/>
  <c r="D723" i="8"/>
  <c r="D772" i="8"/>
  <c r="D797" i="8"/>
  <c r="D770" i="20"/>
  <c r="D795" i="20"/>
  <c r="D407" i="20"/>
  <c r="D433" i="20"/>
  <c r="D468" i="20"/>
  <c r="D669" i="20"/>
  <c r="J355" i="3"/>
  <c r="K1133" i="20" s="1"/>
  <c r="K308" i="20" s="1"/>
  <c r="E52" i="3"/>
  <c r="G337" i="3"/>
  <c r="H1118" i="8" s="1"/>
  <c r="H305" i="8" s="1"/>
  <c r="K42" i="3"/>
  <c r="L532" i="8" s="1"/>
  <c r="E76" i="3"/>
  <c r="F620" i="20" s="1"/>
  <c r="F149" i="20" s="1"/>
  <c r="N22" i="3"/>
  <c r="O428" i="20" s="1"/>
  <c r="O73" i="20" s="1"/>
  <c r="I27" i="3"/>
  <c r="E141" i="3"/>
  <c r="F22" i="3"/>
  <c r="D337" i="3"/>
  <c r="K187" i="3"/>
  <c r="L834" i="20" s="1"/>
  <c r="L845" i="20" s="1"/>
  <c r="I187" i="3"/>
  <c r="J834" i="20" s="1"/>
  <c r="J845" i="20" s="1"/>
  <c r="I141" i="3"/>
  <c r="N337" i="3"/>
  <c r="D47" i="3"/>
  <c r="I37" i="3"/>
  <c r="J498" i="8" s="1"/>
  <c r="D37" i="3"/>
  <c r="E498" i="8" s="1"/>
  <c r="E500" i="8" s="1"/>
  <c r="N32" i="3"/>
  <c r="L27" i="3"/>
  <c r="L47" i="23" s="1"/>
  <c r="J27" i="3"/>
  <c r="J47" i="23" s="1"/>
  <c r="H27" i="3"/>
  <c r="H47" i="23" s="1"/>
  <c r="F27" i="3"/>
  <c r="F47" i="23" s="1"/>
  <c r="L141" i="3"/>
  <c r="L41" i="23" s="1"/>
  <c r="F337" i="3"/>
  <c r="E337" i="3"/>
  <c r="J187" i="3"/>
  <c r="K834" i="8" s="1"/>
  <c r="G187" i="3"/>
  <c r="H834" i="8" s="1"/>
  <c r="H845" i="8" s="1"/>
  <c r="M32" i="3"/>
  <c r="N481" i="8" s="1"/>
  <c r="G32" i="3"/>
  <c r="F32" i="3"/>
  <c r="G481" i="8" s="1"/>
  <c r="I22" i="3"/>
  <c r="I53" i="23" s="1"/>
  <c r="E22" i="3"/>
  <c r="E53" i="23" s="1"/>
  <c r="M141" i="3"/>
  <c r="D42" i="3"/>
  <c r="E532" i="8" s="1"/>
  <c r="E534" i="8" s="1"/>
  <c r="H47" i="3"/>
  <c r="I548" i="20" s="1"/>
  <c r="I128" i="20" s="1"/>
  <c r="M37" i="3"/>
  <c r="J32" i="3"/>
  <c r="K480" i="20" s="1"/>
  <c r="E42" i="3"/>
  <c r="M187" i="3"/>
  <c r="G22" i="3"/>
  <c r="G53" i="23" s="1"/>
  <c r="D187" i="3"/>
  <c r="E834" i="20" s="1"/>
  <c r="J141" i="3"/>
  <c r="F141" i="3"/>
  <c r="L187" i="3"/>
  <c r="M834" i="8" s="1"/>
  <c r="G76" i="3"/>
  <c r="H622" i="8" s="1"/>
  <c r="E355" i="3"/>
  <c r="E37" i="3"/>
  <c r="F498" i="8" s="1"/>
  <c r="E187" i="3"/>
  <c r="E47" i="3"/>
  <c r="G355" i="3"/>
  <c r="H1136" i="8" s="1"/>
  <c r="H312" i="8" s="1"/>
  <c r="K141" i="3"/>
  <c r="L790" i="20" s="1"/>
  <c r="H141" i="3"/>
  <c r="I790" i="20" s="1"/>
  <c r="J17" i="2"/>
  <c r="K400" i="8" s="1"/>
  <c r="E400" i="8"/>
  <c r="E66" i="8" s="1"/>
  <c r="H187" i="3"/>
  <c r="I834" i="20" s="1"/>
  <c r="I845" i="20" s="1"/>
  <c r="E32" i="3"/>
  <c r="D141" i="3"/>
  <c r="D41" i="23" s="1"/>
  <c r="N17" i="2"/>
  <c r="K17" i="2"/>
  <c r="L397" i="20" s="1"/>
  <c r="I17" i="2"/>
  <c r="M17" i="2"/>
  <c r="L17" i="2"/>
  <c r="H17" i="2"/>
  <c r="F17" i="2"/>
  <c r="G400" i="8" s="1"/>
  <c r="E17" i="2"/>
  <c r="A21" i="19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40" i="19" s="1"/>
  <c r="A42" i="19" s="1"/>
  <c r="A44" i="19" s="1"/>
  <c r="A45" i="19" s="1"/>
  <c r="A46" i="19" s="1"/>
  <c r="A47" i="19" s="1"/>
  <c r="A48" i="19" s="1"/>
  <c r="A52" i="19" s="1"/>
  <c r="A53" i="19" s="1"/>
  <c r="A54" i="19" s="1"/>
  <c r="A55" i="19" s="1"/>
  <c r="A57" i="19" s="1"/>
  <c r="A59" i="19" s="1"/>
  <c r="P58" i="5"/>
  <c r="H17" i="3"/>
  <c r="I404" i="8" s="1"/>
  <c r="I416" i="8" s="1"/>
  <c r="O17" i="2"/>
  <c r="D17" i="3"/>
  <c r="E401" i="20" s="1"/>
  <c r="K17" i="3"/>
  <c r="L404" i="8" s="1"/>
  <c r="L416" i="8" s="1"/>
  <c r="J17" i="3"/>
  <c r="K401" i="20" s="1"/>
  <c r="I17" i="3"/>
  <c r="J404" i="8" s="1"/>
  <c r="J416" i="8" s="1"/>
  <c r="L17" i="3"/>
  <c r="L17" i="23" s="1"/>
  <c r="L18" i="23" s="1"/>
  <c r="M17" i="3"/>
  <c r="N404" i="8" s="1"/>
  <c r="N416" i="8" s="1"/>
  <c r="F17" i="3"/>
  <c r="F17" i="23" s="1"/>
  <c r="F18" i="23" s="1"/>
  <c r="G17" i="3"/>
  <c r="N17" i="3"/>
  <c r="E17" i="3"/>
  <c r="F401" i="20" s="1"/>
  <c r="O17" i="3"/>
  <c r="P404" i="8" s="1"/>
  <c r="P416" i="8" s="1"/>
  <c r="G17" i="2"/>
  <c r="H400" i="8" s="1"/>
  <c r="L180" i="2"/>
  <c r="L182" i="2" s="1"/>
  <c r="J180" i="2"/>
  <c r="J182" i="2" s="1"/>
  <c r="K946" i="20" s="1"/>
  <c r="K180" i="2"/>
  <c r="O861" i="8"/>
  <c r="A68" i="3"/>
  <c r="A69" i="3" s="1"/>
  <c r="A70" i="3" s="1"/>
  <c r="E57" i="14"/>
  <c r="G57" i="14" s="1"/>
  <c r="C292" i="20"/>
  <c r="C1089" i="20" s="1"/>
  <c r="D976" i="20"/>
  <c r="D948" i="20"/>
  <c r="D674" i="20"/>
  <c r="D727" i="20"/>
  <c r="D800" i="20"/>
  <c r="D775" i="20"/>
  <c r="D413" i="20"/>
  <c r="D173" i="28" l="1"/>
  <c r="E173" i="28" s="1"/>
  <c r="D961" i="20"/>
  <c r="D85" i="28"/>
  <c r="D414" i="20"/>
  <c r="D675" i="20"/>
  <c r="D728" i="20"/>
  <c r="D214" i="28"/>
  <c r="D1099" i="20"/>
  <c r="E1099" i="20" s="1"/>
  <c r="D126" i="28"/>
  <c r="E126" i="28" s="1"/>
  <c r="D801" i="20"/>
  <c r="D776" i="20"/>
  <c r="C34" i="27"/>
  <c r="E54" i="23"/>
  <c r="A1035" i="20"/>
  <c r="A1036" i="20" s="1"/>
  <c r="A1037" i="20" s="1"/>
  <c r="A1039" i="20" s="1"/>
  <c r="A1041" i="20" s="1"/>
  <c r="A1043" i="20" s="1"/>
  <c r="A1045" i="20" s="1"/>
  <c r="A1047" i="20" s="1"/>
  <c r="A1048" i="20" s="1"/>
  <c r="A1049" i="20" s="1"/>
  <c r="A1050" i="20" s="1"/>
  <c r="A1052" i="20" s="1"/>
  <c r="A1053" i="20" s="1"/>
  <c r="A1054" i="20" s="1"/>
  <c r="A1055" i="20" s="1"/>
  <c r="A1056" i="20" s="1"/>
  <c r="A1058" i="20" s="1"/>
  <c r="A1059" i="20" s="1"/>
  <c r="A1060" i="20" s="1"/>
  <c r="A1061" i="20" s="1"/>
  <c r="A1062" i="20" s="1"/>
  <c r="A1064" i="20" s="1"/>
  <c r="A1065" i="20" s="1"/>
  <c r="A1066" i="20" s="1"/>
  <c r="A1068" i="20" s="1"/>
  <c r="A1070" i="20" s="1"/>
  <c r="A482" i="20"/>
  <c r="A483" i="20" s="1"/>
  <c r="A485" i="20" s="1"/>
  <c r="A487" i="20" s="1"/>
  <c r="A492" i="20" s="1"/>
  <c r="A494" i="20" s="1"/>
  <c r="A495" i="20" s="1"/>
  <c r="A497" i="20" s="1"/>
  <c r="A498" i="20" s="1"/>
  <c r="A954" i="20"/>
  <c r="A956" i="20" s="1"/>
  <c r="A957" i="20" s="1"/>
  <c r="A958" i="20" s="1"/>
  <c r="A959" i="20" s="1"/>
  <c r="A961" i="20" s="1"/>
  <c r="A962" i="20" s="1"/>
  <c r="A963" i="20" s="1"/>
  <c r="A965" i="20" s="1"/>
  <c r="A967" i="20" s="1"/>
  <c r="A970" i="20" s="1"/>
  <c r="A972" i="20" s="1"/>
  <c r="A974" i="20" s="1"/>
  <c r="A975" i="20" s="1"/>
  <c r="A976" i="20" s="1"/>
  <c r="A977" i="20" s="1"/>
  <c r="A979" i="20" s="1"/>
  <c r="A980" i="20" s="1"/>
  <c r="A981" i="20" s="1"/>
  <c r="A1235" i="20"/>
  <c r="A1236" i="20" s="1"/>
  <c r="A1238" i="20" s="1"/>
  <c r="A1240" i="20" s="1"/>
  <c r="A1243" i="20" s="1"/>
  <c r="A1245" i="20" s="1"/>
  <c r="A1247" i="20" s="1"/>
  <c r="A1248" i="20" s="1"/>
  <c r="A1249" i="20" s="1"/>
  <c r="A1251" i="20" s="1"/>
  <c r="A1252" i="20" s="1"/>
  <c r="A1253" i="20" s="1"/>
  <c r="A1255" i="20" s="1"/>
  <c r="A1256" i="20" s="1"/>
  <c r="A1257" i="20" s="1"/>
  <c r="A1260" i="20" s="1"/>
  <c r="A1262" i="20" s="1"/>
  <c r="A1264" i="20" s="1"/>
  <c r="A1099" i="20"/>
  <c r="A1100" i="20" s="1"/>
  <c r="A1102" i="20" s="1"/>
  <c r="A1104" i="20" s="1"/>
  <c r="A1107" i="20" s="1"/>
  <c r="A1109" i="20" s="1"/>
  <c r="A1111" i="20" s="1"/>
  <c r="A1112" i="20" s="1"/>
  <c r="A1113" i="20" s="1"/>
  <c r="A1115" i="20" s="1"/>
  <c r="A1116" i="20" s="1"/>
  <c r="A1118" i="20" s="1"/>
  <c r="A1120" i="20" s="1"/>
  <c r="A1122" i="20" s="1"/>
  <c r="A1125" i="20" s="1"/>
  <c r="A1127" i="20" s="1"/>
  <c r="A1129" i="20" s="1"/>
  <c r="A1130" i="20" s="1"/>
  <c r="A1131" i="20" s="1"/>
  <c r="A1133" i="20" s="1"/>
  <c r="A1134" i="20" s="1"/>
  <c r="A1136" i="20" s="1"/>
  <c r="A1138" i="20" s="1"/>
  <c r="A1140" i="20" s="1"/>
  <c r="A768" i="20"/>
  <c r="A770" i="20" s="1"/>
  <c r="A772" i="20" s="1"/>
  <c r="A774" i="20" s="1"/>
  <c r="A775" i="20" s="1"/>
  <c r="M845" i="8"/>
  <c r="K845" i="8"/>
  <c r="G845" i="8"/>
  <c r="A466" i="8"/>
  <c r="A467" i="8" s="1"/>
  <c r="A469" i="8" s="1"/>
  <c r="A471" i="8" s="1"/>
  <c r="A474" i="8" s="1"/>
  <c r="A476" i="8" s="1"/>
  <c r="A478" i="8" s="1"/>
  <c r="A479" i="8" s="1"/>
  <c r="A481" i="8" s="1"/>
  <c r="A482" i="8" s="1"/>
  <c r="A483" i="8" s="1"/>
  <c r="A484" i="8" s="1"/>
  <c r="A486" i="8" s="1"/>
  <c r="A488" i="8" s="1"/>
  <c r="A491" i="8" s="1"/>
  <c r="A493" i="8" s="1"/>
  <c r="A495" i="8" s="1"/>
  <c r="A496" i="8" s="1"/>
  <c r="A498" i="8" s="1"/>
  <c r="A499" i="8" s="1"/>
  <c r="A1102" i="8"/>
  <c r="A1103" i="8" s="1"/>
  <c r="A1105" i="8" s="1"/>
  <c r="A1107" i="8" s="1"/>
  <c r="A1110" i="8" s="1"/>
  <c r="A1112" i="8" s="1"/>
  <c r="A1114" i="8" s="1"/>
  <c r="A1115" i="8" s="1"/>
  <c r="A1116" i="8" s="1"/>
  <c r="A1118" i="8" s="1"/>
  <c r="A1119" i="8" s="1"/>
  <c r="A1121" i="8" s="1"/>
  <c r="A1123" i="8" s="1"/>
  <c r="A1125" i="8" s="1"/>
  <c r="A1128" i="8" s="1"/>
  <c r="A1130" i="8" s="1"/>
  <c r="A1132" i="8" s="1"/>
  <c r="A1133" i="8" s="1"/>
  <c r="A1134" i="8" s="1"/>
  <c r="A1136" i="8" s="1"/>
  <c r="A1137" i="8" s="1"/>
  <c r="A1139" i="8" s="1"/>
  <c r="A1141" i="8" s="1"/>
  <c r="A1143" i="8" s="1"/>
  <c r="A534" i="8"/>
  <c r="A535" i="8" s="1"/>
  <c r="A537" i="8" s="1"/>
  <c r="A539" i="8" s="1"/>
  <c r="A542" i="8" s="1"/>
  <c r="A544" i="8" s="1"/>
  <c r="A546" i="8" s="1"/>
  <c r="A547" i="8" s="1"/>
  <c r="A549" i="8" s="1"/>
  <c r="A550" i="8" s="1"/>
  <c r="A552" i="8" s="1"/>
  <c r="A554" i="8" s="1"/>
  <c r="A556" i="8" s="1"/>
  <c r="A559" i="8" s="1"/>
  <c r="A561" i="8" s="1"/>
  <c r="A563" i="8" s="1"/>
  <c r="A564" i="8" s="1"/>
  <c r="A566" i="8" s="1"/>
  <c r="A567" i="8" s="1"/>
  <c r="A569" i="8" s="1"/>
  <c r="A571" i="8" s="1"/>
  <c r="A573" i="8" s="1"/>
  <c r="A594" i="8" s="1"/>
  <c r="A596" i="8" s="1"/>
  <c r="A597" i="8" s="1"/>
  <c r="A599" i="8" s="1"/>
  <c r="A600" i="8" s="1"/>
  <c r="A601" i="8" s="1"/>
  <c r="A603" i="8" s="1"/>
  <c r="A604" i="8" s="1"/>
  <c r="A605" i="8" s="1"/>
  <c r="A608" i="8" s="1"/>
  <c r="A610" i="8" s="1"/>
  <c r="A612" i="8" s="1"/>
  <c r="A615" i="8" s="1"/>
  <c r="H294" i="20"/>
  <c r="I294" i="20"/>
  <c r="I1099" i="20"/>
  <c r="J294" i="20"/>
  <c r="E836" i="20"/>
  <c r="I792" i="20"/>
  <c r="F403" i="20"/>
  <c r="E87" i="20"/>
  <c r="E482" i="20"/>
  <c r="H94" i="20"/>
  <c r="P87" i="20"/>
  <c r="P482" i="20"/>
  <c r="K403" i="20"/>
  <c r="E403" i="20"/>
  <c r="G94" i="20"/>
  <c r="K87" i="20"/>
  <c r="K482" i="20"/>
  <c r="H836" i="8"/>
  <c r="J95" i="8"/>
  <c r="J500" i="8"/>
  <c r="L406" i="8"/>
  <c r="I406" i="8"/>
  <c r="N88" i="8"/>
  <c r="N483" i="8"/>
  <c r="L102" i="8"/>
  <c r="L534" i="8"/>
  <c r="O95" i="8"/>
  <c r="O500" i="8"/>
  <c r="N406" i="8"/>
  <c r="J406" i="8"/>
  <c r="E95" i="8"/>
  <c r="P406" i="8"/>
  <c r="F95" i="8"/>
  <c r="F500" i="8"/>
  <c r="G88" i="8"/>
  <c r="G483" i="8"/>
  <c r="I88" i="8"/>
  <c r="I483" i="8"/>
  <c r="E402" i="8"/>
  <c r="E401" i="8"/>
  <c r="E414" i="8"/>
  <c r="G955" i="20"/>
  <c r="G961" i="20" s="1"/>
  <c r="N955" i="20"/>
  <c r="N961" i="20" s="1"/>
  <c r="I224" i="20"/>
  <c r="I836" i="20"/>
  <c r="L197" i="20"/>
  <c r="J86" i="22" s="1"/>
  <c r="L792" i="20"/>
  <c r="L224" i="20"/>
  <c r="L836" i="20"/>
  <c r="A720" i="20"/>
  <c r="A722" i="20" s="1"/>
  <c r="A724" i="20" s="1"/>
  <c r="A726" i="20" s="1"/>
  <c r="A727" i="20" s="1"/>
  <c r="A728" i="20" s="1"/>
  <c r="A729" i="20" s="1"/>
  <c r="A731" i="20" s="1"/>
  <c r="A837" i="20"/>
  <c r="A839" i="20" s="1"/>
  <c r="A841" i="20" s="1"/>
  <c r="A843" i="20" s="1"/>
  <c r="A844" i="20" s="1"/>
  <c r="A919" i="20"/>
  <c r="A921" i="20" s="1"/>
  <c r="A923" i="20" s="1"/>
  <c r="P224" i="20"/>
  <c r="P836" i="20"/>
  <c r="J224" i="20"/>
  <c r="J836" i="20"/>
  <c r="A667" i="20"/>
  <c r="A669" i="20" s="1"/>
  <c r="A671" i="20" s="1"/>
  <c r="A673" i="20" s="1"/>
  <c r="A674" i="20" s="1"/>
  <c r="A675" i="20" s="1"/>
  <c r="A676" i="20" s="1"/>
  <c r="A678" i="20" s="1"/>
  <c r="E66" i="20"/>
  <c r="A405" i="20"/>
  <c r="A407" i="20" s="1"/>
  <c r="A409" i="20" s="1"/>
  <c r="A411" i="20" s="1"/>
  <c r="A412" i="20" s="1"/>
  <c r="A413" i="20" s="1"/>
  <c r="A407" i="8"/>
  <c r="A409" i="8" s="1"/>
  <c r="A411" i="8" s="1"/>
  <c r="A413" i="8" s="1"/>
  <c r="A414" i="8" s="1"/>
  <c r="A415" i="8" s="1"/>
  <c r="A669" i="8"/>
  <c r="A671" i="8" s="1"/>
  <c r="A673" i="8" s="1"/>
  <c r="A675" i="8" s="1"/>
  <c r="A676" i="8" s="1"/>
  <c r="A677" i="8" s="1"/>
  <c r="A678" i="8" s="1"/>
  <c r="A680" i="8" s="1"/>
  <c r="A836" i="8"/>
  <c r="A837" i="8" s="1"/>
  <c r="A839" i="8" s="1"/>
  <c r="A841" i="8" s="1"/>
  <c r="A843" i="8" s="1"/>
  <c r="A844" i="8" s="1"/>
  <c r="A721" i="8"/>
  <c r="A723" i="8" s="1"/>
  <c r="A725" i="8" s="1"/>
  <c r="A727" i="8" s="1"/>
  <c r="A728" i="8" s="1"/>
  <c r="A729" i="8" s="1"/>
  <c r="A730" i="8" s="1"/>
  <c r="A732" i="8" s="1"/>
  <c r="A770" i="8"/>
  <c r="A772" i="8" s="1"/>
  <c r="A774" i="8" s="1"/>
  <c r="A776" i="8" s="1"/>
  <c r="A777" i="8" s="1"/>
  <c r="A1239" i="8"/>
  <c r="A1241" i="8" s="1"/>
  <c r="A1243" i="8" s="1"/>
  <c r="A1245" i="8" s="1"/>
  <c r="A1247" i="8" s="1"/>
  <c r="A1249" i="8" s="1"/>
  <c r="A1250" i="8" s="1"/>
  <c r="A1251" i="8" s="1"/>
  <c r="A1253" i="8" s="1"/>
  <c r="A1254" i="8" s="1"/>
  <c r="A1255" i="8" s="1"/>
  <c r="A1257" i="8" s="1"/>
  <c r="A1258" i="8" s="1"/>
  <c r="A1259" i="8" s="1"/>
  <c r="A1262" i="8" s="1"/>
  <c r="A1264" i="8" s="1"/>
  <c r="A1266" i="8" s="1"/>
  <c r="D429" i="3"/>
  <c r="P360" i="3"/>
  <c r="P355" i="3"/>
  <c r="E29" i="26" s="1"/>
  <c r="E73" i="26" s="1"/>
  <c r="N271" i="3"/>
  <c r="O982" i="8" s="1"/>
  <c r="N269" i="3"/>
  <c r="M271" i="3"/>
  <c r="N982" i="8" s="1"/>
  <c r="M269" i="3"/>
  <c r="M274" i="3" s="1"/>
  <c r="K271" i="3"/>
  <c r="L980" i="20" s="1"/>
  <c r="K269" i="3"/>
  <c r="J269" i="3"/>
  <c r="H271" i="3"/>
  <c r="H269" i="3"/>
  <c r="H274" i="3" s="1"/>
  <c r="F271" i="3"/>
  <c r="G980" i="20" s="1"/>
  <c r="F269" i="3"/>
  <c r="I271" i="3"/>
  <c r="J980" i="20" s="1"/>
  <c r="O271" i="3"/>
  <c r="P982" i="8" s="1"/>
  <c r="P985" i="8" s="1"/>
  <c r="P991" i="8" s="1"/>
  <c r="O269" i="3"/>
  <c r="O274" i="3" s="1"/>
  <c r="E271" i="3"/>
  <c r="F982" i="8" s="1"/>
  <c r="J1255" i="8"/>
  <c r="J1259" i="8" s="1"/>
  <c r="J1253" i="20"/>
  <c r="J1257" i="20" s="1"/>
  <c r="L1254" i="8"/>
  <c r="L1252" i="20"/>
  <c r="L1256" i="20" s="1"/>
  <c r="I1255" i="8"/>
  <c r="I1259" i="8" s="1"/>
  <c r="I1253" i="20"/>
  <c r="I1257" i="20" s="1"/>
  <c r="K1254" i="8"/>
  <c r="K1252" i="20"/>
  <c r="K1256" i="20" s="1"/>
  <c r="P1255" i="8"/>
  <c r="P1259" i="8" s="1"/>
  <c r="P1253" i="20"/>
  <c r="P1257" i="20" s="1"/>
  <c r="H1255" i="8"/>
  <c r="H1259" i="8" s="1"/>
  <c r="H1253" i="20"/>
  <c r="H1257" i="20" s="1"/>
  <c r="J1254" i="8"/>
  <c r="J1258" i="8" s="1"/>
  <c r="J1252" i="20"/>
  <c r="J1256" i="20" s="1"/>
  <c r="M1255" i="8"/>
  <c r="M1259" i="8" s="1"/>
  <c r="M1253" i="20"/>
  <c r="O1254" i="8"/>
  <c r="O1258" i="8" s="1"/>
  <c r="O1252" i="20"/>
  <c r="G1254" i="8"/>
  <c r="G1258" i="8" s="1"/>
  <c r="G1252" i="20"/>
  <c r="G1254" i="20" s="1"/>
  <c r="G356" i="20" s="1"/>
  <c r="I1254" i="8"/>
  <c r="I1252" i="20"/>
  <c r="I1256" i="20" s="1"/>
  <c r="N1255" i="8"/>
  <c r="N1259" i="8" s="1"/>
  <c r="N1253" i="20"/>
  <c r="P1254" i="8"/>
  <c r="P1258" i="8" s="1"/>
  <c r="P1252" i="20"/>
  <c r="P1256" i="20" s="1"/>
  <c r="L1255" i="8"/>
  <c r="L1259" i="8" s="1"/>
  <c r="L1253" i="20"/>
  <c r="L1257" i="20" s="1"/>
  <c r="N1254" i="8"/>
  <c r="N1258" i="8" s="1"/>
  <c r="N1252" i="20"/>
  <c r="N1256" i="20" s="1"/>
  <c r="F1254" i="8"/>
  <c r="F1258" i="8" s="1"/>
  <c r="F1252" i="20"/>
  <c r="F1256" i="20" s="1"/>
  <c r="O1255" i="8"/>
  <c r="O1259" i="8" s="1"/>
  <c r="O1253" i="20"/>
  <c r="O1257" i="20" s="1"/>
  <c r="H1254" i="8"/>
  <c r="H1258" i="8" s="1"/>
  <c r="H1252" i="20"/>
  <c r="K1255" i="8"/>
  <c r="K1259" i="8" s="1"/>
  <c r="K1253" i="20"/>
  <c r="K1257" i="20" s="1"/>
  <c r="M1254" i="8"/>
  <c r="M1258" i="8" s="1"/>
  <c r="M1252" i="20"/>
  <c r="M1256" i="20" s="1"/>
  <c r="M229" i="8"/>
  <c r="M836" i="8"/>
  <c r="G229" i="8"/>
  <c r="G836" i="8"/>
  <c r="K229" i="8"/>
  <c r="K836" i="8"/>
  <c r="G417" i="8"/>
  <c r="K417" i="8"/>
  <c r="H417" i="8"/>
  <c r="O846" i="8"/>
  <c r="N846" i="8"/>
  <c r="G846" i="8"/>
  <c r="I846" i="20"/>
  <c r="E846" i="20"/>
  <c r="F846" i="20"/>
  <c r="H846" i="20"/>
  <c r="J400" i="8"/>
  <c r="J66" i="8" s="1"/>
  <c r="I397" i="20"/>
  <c r="I65" i="20" s="1"/>
  <c r="I400" i="8"/>
  <c r="I417" i="8" s="1"/>
  <c r="C12" i="27"/>
  <c r="E48" i="23"/>
  <c r="N42" i="23"/>
  <c r="F48" i="23"/>
  <c r="O54" i="23"/>
  <c r="C222" i="20"/>
  <c r="C826" i="20" s="1"/>
  <c r="C236" i="20"/>
  <c r="C897" i="20" s="1"/>
  <c r="C26" i="19"/>
  <c r="C234" i="8"/>
  <c r="C852" i="8" s="1"/>
  <c r="C195" i="20"/>
  <c r="C782" i="20" s="1"/>
  <c r="C129" i="8"/>
  <c r="C542" i="8" s="1"/>
  <c r="C64" i="20"/>
  <c r="C393" i="20" s="1"/>
  <c r="C255" i="8"/>
  <c r="C972" i="8" s="1"/>
  <c r="C188" i="20"/>
  <c r="C751" i="20" s="1"/>
  <c r="C227" i="8"/>
  <c r="C826" i="8" s="1"/>
  <c r="C250" i="20"/>
  <c r="C970" i="20" s="1"/>
  <c r="C93" i="8"/>
  <c r="C491" i="8" s="1"/>
  <c r="C317" i="8"/>
  <c r="C1162" i="8" s="1"/>
  <c r="C22" i="19"/>
  <c r="C229" i="20"/>
  <c r="C852" i="20" s="1"/>
  <c r="C296" i="8"/>
  <c r="C1092" i="8" s="1"/>
  <c r="C157" i="8"/>
  <c r="C648" i="8" s="1"/>
  <c r="C347" i="20"/>
  <c r="C1218" i="20" s="1"/>
  <c r="C262" i="8"/>
  <c r="C1016" i="8" s="1"/>
  <c r="C313" i="20"/>
  <c r="C1159" i="20" s="1"/>
  <c r="C143" i="8"/>
  <c r="C592" i="8" s="1"/>
  <c r="C85" i="20"/>
  <c r="C473" i="20" s="1"/>
  <c r="C248" i="8"/>
  <c r="C944" i="8" s="1"/>
  <c r="C303" i="8"/>
  <c r="C1110" i="8" s="1"/>
  <c r="C299" i="20"/>
  <c r="C1107" i="20" s="1"/>
  <c r="C33" i="19"/>
  <c r="C17" i="19"/>
  <c r="C71" i="20"/>
  <c r="C421" i="20" s="1"/>
  <c r="C147" i="20"/>
  <c r="C613" i="20" s="1"/>
  <c r="A23" i="14"/>
  <c r="A24" i="14" s="1"/>
  <c r="A25" i="14" s="1"/>
  <c r="A26" i="14" s="1"/>
  <c r="A27" i="14" s="1"/>
  <c r="A28" i="14" s="1"/>
  <c r="A29" i="14" s="1"/>
  <c r="A30" i="14" s="1"/>
  <c r="A31" i="14" s="1"/>
  <c r="A32" i="14" s="1"/>
  <c r="A34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1" i="14" s="1"/>
  <c r="A53" i="14" s="1"/>
  <c r="A55" i="14" s="1"/>
  <c r="A56" i="14" s="1"/>
  <c r="A57" i="14" s="1"/>
  <c r="A58" i="14" s="1"/>
  <c r="A59" i="14" s="1"/>
  <c r="A61" i="14" s="1"/>
  <c r="A63" i="14" s="1"/>
  <c r="C324" i="8"/>
  <c r="C1180" i="8" s="1"/>
  <c r="C320" i="20"/>
  <c r="C1177" i="20" s="1"/>
  <c r="C289" i="8"/>
  <c r="C1045" i="8" s="1"/>
  <c r="C72" i="8"/>
  <c r="C423" i="8" s="1"/>
  <c r="C199" i="8"/>
  <c r="C784" i="8" s="1"/>
  <c r="C154" i="20"/>
  <c r="C646" i="20" s="1"/>
  <c r="C181" i="20"/>
  <c r="C699" i="20" s="1"/>
  <c r="C185" i="8"/>
  <c r="C700" i="8" s="1"/>
  <c r="A92" i="20"/>
  <c r="A93" i="20" s="1"/>
  <c r="A94" i="20" s="1"/>
  <c r="A95" i="20" s="1"/>
  <c r="A96" i="20" s="1"/>
  <c r="A97" i="20" s="1"/>
  <c r="P160" i="3"/>
  <c r="A303" i="8"/>
  <c r="A304" i="8" s="1"/>
  <c r="A305" i="8" s="1"/>
  <c r="A306" i="8" s="1"/>
  <c r="A307" i="8" s="1"/>
  <c r="A308" i="8" s="1"/>
  <c r="A310" i="8" s="1"/>
  <c r="A311" i="8" s="1"/>
  <c r="A312" i="8" s="1"/>
  <c r="A313" i="8" s="1"/>
  <c r="A314" i="8" s="1"/>
  <c r="A315" i="8" s="1"/>
  <c r="A317" i="8" s="1"/>
  <c r="A318" i="8" s="1"/>
  <c r="A319" i="8" s="1"/>
  <c r="A320" i="8" s="1"/>
  <c r="A321" i="8" s="1"/>
  <c r="A322" i="8" s="1"/>
  <c r="A324" i="8" s="1"/>
  <c r="A325" i="8" s="1"/>
  <c r="A326" i="8" s="1"/>
  <c r="A327" i="8" s="1"/>
  <c r="A328" i="8" s="1"/>
  <c r="A329" i="8" s="1"/>
  <c r="A352" i="8" s="1"/>
  <c r="A353" i="8" s="1"/>
  <c r="A354" i="8" s="1"/>
  <c r="A355" i="8" s="1"/>
  <c r="A356" i="8" s="1"/>
  <c r="A358" i="8" s="1"/>
  <c r="A359" i="8" s="1"/>
  <c r="A360" i="8" s="1"/>
  <c r="A361" i="8" s="1"/>
  <c r="A362" i="8" s="1"/>
  <c r="A363" i="8" s="1"/>
  <c r="A365" i="8" s="1"/>
  <c r="A367" i="8" s="1"/>
  <c r="A369" i="8" s="1"/>
  <c r="A370" i="8" s="1"/>
  <c r="A371" i="8" s="1"/>
  <c r="A372" i="8" s="1"/>
  <c r="A373" i="8" s="1"/>
  <c r="A375" i="8" s="1"/>
  <c r="A377" i="8" s="1"/>
  <c r="A93" i="8"/>
  <c r="A94" i="8" s="1"/>
  <c r="A95" i="8" s="1"/>
  <c r="A96" i="8" s="1"/>
  <c r="A97" i="8" s="1"/>
  <c r="A98" i="8" s="1"/>
  <c r="A100" i="8" s="1"/>
  <c r="A101" i="8" s="1"/>
  <c r="A102" i="8" s="1"/>
  <c r="A103" i="8" s="1"/>
  <c r="A104" i="8" s="1"/>
  <c r="A105" i="8" s="1"/>
  <c r="A130" i="8" s="1"/>
  <c r="A131" i="8" s="1"/>
  <c r="A132" i="8" s="1"/>
  <c r="A133" i="8" s="1"/>
  <c r="A134" i="8" s="1"/>
  <c r="A163" i="2"/>
  <c r="A164" i="2" s="1"/>
  <c r="A166" i="2" s="1"/>
  <c r="A167" i="2" s="1"/>
  <c r="A168" i="2" s="1"/>
  <c r="A169" i="2" s="1"/>
  <c r="A170" i="2" s="1"/>
  <c r="A172" i="2" s="1"/>
  <c r="A173" i="2" s="1"/>
  <c r="A174" i="2" s="1"/>
  <c r="A175" i="2" s="1"/>
  <c r="A176" i="2" s="1"/>
  <c r="A178" i="2" s="1"/>
  <c r="A179" i="2" s="1"/>
  <c r="A180" i="2" s="1"/>
  <c r="A181" i="2" s="1"/>
  <c r="A182" i="2" s="1"/>
  <c r="A184" i="2" s="1"/>
  <c r="A185" i="2" s="1"/>
  <c r="A186" i="2" s="1"/>
  <c r="A187" i="2" s="1"/>
  <c r="A188" i="2" s="1"/>
  <c r="A190" i="2" s="1"/>
  <c r="A191" i="2" s="1"/>
  <c r="A192" i="2" s="1"/>
  <c r="A193" i="2" s="1"/>
  <c r="A194" i="2" s="1"/>
  <c r="L144" i="2"/>
  <c r="N144" i="2"/>
  <c r="H144" i="2"/>
  <c r="D144" i="2"/>
  <c r="J144" i="2"/>
  <c r="M144" i="2"/>
  <c r="F144" i="2"/>
  <c r="A16" i="2"/>
  <c r="A17" i="2" s="1"/>
  <c r="A19" i="2" s="1"/>
  <c r="A20" i="2" s="1"/>
  <c r="P127" i="2"/>
  <c r="P788" i="8"/>
  <c r="P789" i="8" s="1"/>
  <c r="I1095" i="20"/>
  <c r="N528" i="20"/>
  <c r="N529" i="20" s="1"/>
  <c r="J1020" i="8"/>
  <c r="J1022" i="8" s="1"/>
  <c r="J494" i="20"/>
  <c r="J93" i="20" s="1"/>
  <c r="D145" i="2"/>
  <c r="F13" i="19"/>
  <c r="F36" i="26"/>
  <c r="F37" i="26"/>
  <c r="F40" i="26"/>
  <c r="F39" i="26"/>
  <c r="I39" i="26" s="1"/>
  <c r="A682" i="20"/>
  <c r="A376" i="20"/>
  <c r="A734" i="20"/>
  <c r="A1269" i="20"/>
  <c r="A575" i="20"/>
  <c r="I788" i="20"/>
  <c r="F407" i="20"/>
  <c r="F68" i="20" s="1"/>
  <c r="Q240" i="20"/>
  <c r="Q358" i="20"/>
  <c r="M757" i="20"/>
  <c r="A1143" i="20"/>
  <c r="A807" i="20"/>
  <c r="A881" i="20"/>
  <c r="L399" i="20"/>
  <c r="Q130" i="20"/>
  <c r="Q137" i="20"/>
  <c r="Q233" i="20"/>
  <c r="Q324" i="20"/>
  <c r="Q351" i="20"/>
  <c r="Q226" i="20"/>
  <c r="Q310" i="20"/>
  <c r="A926" i="20"/>
  <c r="K407" i="20"/>
  <c r="K68" i="20" s="1"/>
  <c r="F546" i="20"/>
  <c r="I1168" i="20"/>
  <c r="E429" i="20"/>
  <c r="Q151" i="20"/>
  <c r="Q254" i="20"/>
  <c r="Q261" i="20"/>
  <c r="Q303" i="20"/>
  <c r="Q317" i="20"/>
  <c r="Q296" i="20"/>
  <c r="Q96" i="20"/>
  <c r="E1255" i="8"/>
  <c r="P401" i="3"/>
  <c r="E1254" i="8"/>
  <c r="P400" i="3"/>
  <c r="Q103" i="20"/>
  <c r="J1168" i="20"/>
  <c r="K603" i="20"/>
  <c r="I832" i="20"/>
  <c r="K1113" i="20"/>
  <c r="Q89" i="20"/>
  <c r="J1021" i="20"/>
  <c r="Q144" i="20"/>
  <c r="Q247" i="20"/>
  <c r="Q289" i="20"/>
  <c r="E1257" i="20"/>
  <c r="A1073" i="20"/>
  <c r="K546" i="20"/>
  <c r="G1183" i="20"/>
  <c r="A630" i="20"/>
  <c r="J604" i="20"/>
  <c r="N1191" i="20"/>
  <c r="M1190" i="20"/>
  <c r="G604" i="20"/>
  <c r="M1191" i="20"/>
  <c r="A998" i="20"/>
  <c r="A1201" i="20"/>
  <c r="O977" i="20"/>
  <c r="A375" i="20"/>
  <c r="A438" i="20"/>
  <c r="A507" i="20"/>
  <c r="H1225" i="20"/>
  <c r="P788" i="20"/>
  <c r="N603" i="20"/>
  <c r="L1191" i="20"/>
  <c r="O1190" i="20"/>
  <c r="K1190" i="20"/>
  <c r="G1190" i="20"/>
  <c r="C30" i="19"/>
  <c r="C100" i="8"/>
  <c r="C525" i="8" s="1"/>
  <c r="C79" i="8"/>
  <c r="C457" i="8" s="1"/>
  <c r="C257" i="20"/>
  <c r="C1014" i="20" s="1"/>
  <c r="C136" i="8"/>
  <c r="C559" i="8" s="1"/>
  <c r="C351" i="8"/>
  <c r="C1220" i="8" s="1"/>
  <c r="C27" i="19"/>
  <c r="C310" i="8"/>
  <c r="C1128" i="8" s="1"/>
  <c r="C37" i="19"/>
  <c r="C19" i="19"/>
  <c r="C354" i="20"/>
  <c r="C1243" i="20" s="1"/>
  <c r="A927" i="8"/>
  <c r="K414" i="8"/>
  <c r="E58" i="14"/>
  <c r="G58" i="14" s="1"/>
  <c r="B1092" i="8"/>
  <c r="N715" i="8"/>
  <c r="C25" i="22"/>
  <c r="O25" i="22" s="1"/>
  <c r="Q375" i="8"/>
  <c r="B1110" i="8"/>
  <c r="L405" i="8"/>
  <c r="M1235" i="8"/>
  <c r="Q367" i="20"/>
  <c r="H38" i="26" s="1"/>
  <c r="E59" i="14"/>
  <c r="G59" i="14" s="1"/>
  <c r="E56" i="14"/>
  <c r="G56" i="14" s="1"/>
  <c r="Q266" i="8"/>
  <c r="Q307" i="8"/>
  <c r="I1235" i="8"/>
  <c r="H623" i="8"/>
  <c r="P717" i="8"/>
  <c r="A57" i="15"/>
  <c r="A59" i="15" s="1"/>
  <c r="A60" i="15" s="1"/>
  <c r="A25" i="15"/>
  <c r="A26" i="15" s="1"/>
  <c r="A27" i="15" s="1"/>
  <c r="A28" i="15" s="1"/>
  <c r="E55" i="14"/>
  <c r="G55" i="14" s="1"/>
  <c r="G1171" i="8"/>
  <c r="F1259" i="8"/>
  <c r="N831" i="8"/>
  <c r="O903" i="8"/>
  <c r="H1251" i="8"/>
  <c r="Q140" i="8"/>
  <c r="K1064" i="8"/>
  <c r="Q33" i="20"/>
  <c r="H59" i="14" s="1"/>
  <c r="H1034" i="8"/>
  <c r="H1061" i="8"/>
  <c r="Q31" i="20"/>
  <c r="H57" i="14" s="1"/>
  <c r="I57" i="14" s="1"/>
  <c r="J57" i="14" s="1"/>
  <c r="N767" i="8"/>
  <c r="I767" i="8"/>
  <c r="Q369" i="20"/>
  <c r="H40" i="26" s="1"/>
  <c r="Q366" i="20"/>
  <c r="H37" i="26" s="1"/>
  <c r="N1033" i="8"/>
  <c r="J1033" i="8"/>
  <c r="J1064" i="8"/>
  <c r="Q104" i="8"/>
  <c r="Q133" i="8"/>
  <c r="Q154" i="8"/>
  <c r="Q238" i="8"/>
  <c r="Q245" i="8"/>
  <c r="Q259" i="8"/>
  <c r="Q314" i="8"/>
  <c r="Q321" i="8"/>
  <c r="Q328" i="8"/>
  <c r="Q355" i="8"/>
  <c r="Q362" i="8"/>
  <c r="Q33" i="8"/>
  <c r="Q32" i="8"/>
  <c r="Q30" i="8"/>
  <c r="O1097" i="8"/>
  <c r="L665" i="8"/>
  <c r="J1171" i="8"/>
  <c r="Q97" i="8"/>
  <c r="P718" i="8"/>
  <c r="O766" i="8"/>
  <c r="H867" i="8"/>
  <c r="E916" i="8"/>
  <c r="L913" i="8"/>
  <c r="A1204" i="8"/>
  <c r="A1146" i="8"/>
  <c r="A1075" i="8"/>
  <c r="A1000" i="8"/>
  <c r="A809" i="8"/>
  <c r="A632" i="8"/>
  <c r="A576" i="8"/>
  <c r="A735" i="8"/>
  <c r="A683" i="8"/>
  <c r="A1269" i="8"/>
  <c r="A508" i="8"/>
  <c r="Q90" i="8"/>
  <c r="Q147" i="8"/>
  <c r="Q252" i="8"/>
  <c r="Q293" i="8"/>
  <c r="Q300" i="8"/>
  <c r="Q29" i="8"/>
  <c r="Q31" i="8"/>
  <c r="F1168" i="8"/>
  <c r="Q231" i="8"/>
  <c r="L666" i="8"/>
  <c r="A440" i="8"/>
  <c r="E32" i="20"/>
  <c r="Q32" i="20" s="1"/>
  <c r="H58" i="14" s="1"/>
  <c r="Q368" i="20"/>
  <c r="H39" i="26" s="1"/>
  <c r="N605" i="8"/>
  <c r="E870" i="8"/>
  <c r="G870" i="8"/>
  <c r="N869" i="8"/>
  <c r="J869" i="8"/>
  <c r="L915" i="8"/>
  <c r="F914" i="8"/>
  <c r="E960" i="8"/>
  <c r="N1050" i="8"/>
  <c r="F663" i="8"/>
  <c r="E663" i="8"/>
  <c r="M663" i="8"/>
  <c r="I666" i="8"/>
  <c r="O831" i="8"/>
  <c r="E1250" i="8"/>
  <c r="O718" i="8"/>
  <c r="H1035" i="8"/>
  <c r="O1034" i="8"/>
  <c r="M1063" i="8"/>
  <c r="I1063" i="8"/>
  <c r="P1097" i="8"/>
  <c r="P1062" i="8"/>
  <c r="M605" i="8"/>
  <c r="G604" i="8"/>
  <c r="E869" i="8"/>
  <c r="J870" i="8"/>
  <c r="L868" i="8"/>
  <c r="G867" i="8"/>
  <c r="I916" i="8"/>
  <c r="K915" i="8"/>
  <c r="G915" i="8"/>
  <c r="O913" i="8"/>
  <c r="G913" i="8"/>
  <c r="K959" i="8"/>
  <c r="P1194" i="8"/>
  <c r="H663" i="8"/>
  <c r="I1119" i="8"/>
  <c r="H758" i="8"/>
  <c r="I1032" i="8"/>
  <c r="K533" i="8"/>
  <c r="L1119" i="8"/>
  <c r="I1171" i="8"/>
  <c r="G978" i="8"/>
  <c r="G1035" i="8"/>
  <c r="N1034" i="8"/>
  <c r="M1033" i="8"/>
  <c r="I1033" i="8"/>
  <c r="K1235" i="8"/>
  <c r="G1235" i="8"/>
  <c r="F1234" i="8"/>
  <c r="I1064" i="8"/>
  <c r="H1063" i="8"/>
  <c r="O1062" i="8"/>
  <c r="K1062" i="8"/>
  <c r="F1061" i="8"/>
  <c r="P1032" i="8"/>
  <c r="P979" i="8"/>
  <c r="E868" i="8"/>
  <c r="L869" i="8"/>
  <c r="O868" i="8"/>
  <c r="H916" i="8"/>
  <c r="J915" i="8"/>
  <c r="F915" i="8"/>
  <c r="P913" i="8"/>
  <c r="G1194" i="8"/>
  <c r="N1193" i="8"/>
  <c r="N664" i="8"/>
  <c r="J664" i="8"/>
  <c r="O1101" i="8"/>
  <c r="E496" i="8"/>
  <c r="M496" i="8"/>
  <c r="M620" i="8"/>
  <c r="N759" i="8"/>
  <c r="G789" i="8"/>
  <c r="G1251" i="8"/>
  <c r="N1035" i="8"/>
  <c r="J1035" i="8"/>
  <c r="L1033" i="8"/>
  <c r="H1033" i="8"/>
  <c r="J1235" i="8"/>
  <c r="L1064" i="8"/>
  <c r="P564" i="8"/>
  <c r="K767" i="8"/>
  <c r="G767" i="8"/>
  <c r="P870" i="8"/>
  <c r="O869" i="8"/>
  <c r="N868" i="8"/>
  <c r="K916" i="8"/>
  <c r="M959" i="8"/>
  <c r="I959" i="8"/>
  <c r="J1194" i="8"/>
  <c r="P988" i="8"/>
  <c r="H988" i="8"/>
  <c r="L65" i="5"/>
  <c r="F54" i="5"/>
  <c r="L384" i="3"/>
  <c r="O54" i="5"/>
  <c r="M47" i="5"/>
  <c r="D65" i="5"/>
  <c r="G65" i="5"/>
  <c r="I47" i="5"/>
  <c r="O65" i="5"/>
  <c r="F40" i="5"/>
  <c r="M40" i="5"/>
  <c r="K40" i="5"/>
  <c r="J40" i="5"/>
  <c r="G54" i="5"/>
  <c r="G47" i="5"/>
  <c r="H54" i="5"/>
  <c r="F47" i="5"/>
  <c r="P43" i="5"/>
  <c r="G40" i="5"/>
  <c r="L54" i="5"/>
  <c r="L47" i="5"/>
  <c r="H65" i="5"/>
  <c r="D54" i="5"/>
  <c r="A74" i="3"/>
  <c r="A75" i="3" s="1"/>
  <c r="A76" i="3" s="1"/>
  <c r="A78" i="3" s="1"/>
  <c r="A79" i="3" s="1"/>
  <c r="A80" i="3" s="1"/>
  <c r="A81" i="3" s="1"/>
  <c r="A82" i="3" s="1"/>
  <c r="A83" i="3" s="1"/>
  <c r="A85" i="3" s="1"/>
  <c r="A86" i="3" s="1"/>
  <c r="A87" i="3" s="1"/>
  <c r="A88" i="3" s="1"/>
  <c r="A89" i="3" s="1"/>
  <c r="A91" i="3" s="1"/>
  <c r="A92" i="3" s="1"/>
  <c r="A93" i="3" s="1"/>
  <c r="A94" i="3" s="1"/>
  <c r="A95" i="3" s="1"/>
  <c r="A96" i="3" s="1"/>
  <c r="A71" i="3"/>
  <c r="A73" i="3" s="1"/>
  <c r="A136" i="3"/>
  <c r="A138" i="3" s="1"/>
  <c r="A139" i="3" s="1"/>
  <c r="A140" i="3" s="1"/>
  <c r="A141" i="3" s="1"/>
  <c r="A158" i="3" s="1"/>
  <c r="A159" i="3" s="1"/>
  <c r="A160" i="3" s="1"/>
  <c r="A161" i="3" s="1"/>
  <c r="A163" i="3" s="1"/>
  <c r="A164" i="3" s="1"/>
  <c r="A165" i="3" s="1"/>
  <c r="A166" i="3" s="1"/>
  <c r="A168" i="3" s="1"/>
  <c r="A169" i="3" s="1"/>
  <c r="A170" i="3" s="1"/>
  <c r="A171" i="3" s="1"/>
  <c r="A173" i="3" s="1"/>
  <c r="A174" i="3" s="1"/>
  <c r="A175" i="3" s="1"/>
  <c r="A176" i="3" s="1"/>
  <c r="A178" i="3" s="1"/>
  <c r="A179" i="3" s="1"/>
  <c r="A180" i="3" s="1"/>
  <c r="A181" i="3" s="1"/>
  <c r="A184" i="3" s="1"/>
  <c r="A185" i="3" s="1"/>
  <c r="A186" i="3" s="1"/>
  <c r="A187" i="3" s="1"/>
  <c r="A189" i="3" s="1"/>
  <c r="A190" i="3" s="1"/>
  <c r="A191" i="3" s="1"/>
  <c r="A192" i="3" s="1"/>
  <c r="A193" i="3" s="1"/>
  <c r="A194" i="3" s="1"/>
  <c r="A196" i="3" s="1"/>
  <c r="A197" i="3" s="1"/>
  <c r="A198" i="3" s="1"/>
  <c r="A199" i="3" s="1"/>
  <c r="A200" i="3" s="1"/>
  <c r="A202" i="3" s="1"/>
  <c r="A203" i="3" s="1"/>
  <c r="A204" i="3" s="1"/>
  <c r="A205" i="3" s="1"/>
  <c r="A206" i="3" s="1"/>
  <c r="A207" i="3" s="1"/>
  <c r="A223" i="3" s="1"/>
  <c r="A224" i="3" s="1"/>
  <c r="A225" i="3" s="1"/>
  <c r="A226" i="3" s="1"/>
  <c r="A227" i="3" s="1"/>
  <c r="A229" i="3" s="1"/>
  <c r="A230" i="3" s="1"/>
  <c r="A231" i="3" s="1"/>
  <c r="A232" i="3" s="1"/>
  <c r="A233" i="3" s="1"/>
  <c r="A235" i="3" s="1"/>
  <c r="A236" i="3" s="1"/>
  <c r="A237" i="3" s="1"/>
  <c r="A238" i="3" s="1"/>
  <c r="A239" i="3" s="1"/>
  <c r="A240" i="3" s="1"/>
  <c r="A242" i="3" s="1"/>
  <c r="A243" i="3" s="1"/>
  <c r="A244" i="3" s="1"/>
  <c r="A245" i="3" s="1"/>
  <c r="A249" i="3" s="1"/>
  <c r="A250" i="3" s="1"/>
  <c r="A254" i="3" s="1"/>
  <c r="A255" i="3" s="1"/>
  <c r="A259" i="3" s="1"/>
  <c r="A260" i="3" s="1"/>
  <c r="A261" i="3" s="1"/>
  <c r="A262" i="3" s="1"/>
  <c r="G603" i="20"/>
  <c r="M1133" i="20"/>
  <c r="M308" i="20" s="1"/>
  <c r="G620" i="20"/>
  <c r="G149" i="20" s="1"/>
  <c r="F604" i="8"/>
  <c r="N1115" i="20"/>
  <c r="N301" i="20" s="1"/>
  <c r="M480" i="20"/>
  <c r="O497" i="20"/>
  <c r="O499" i="20" s="1"/>
  <c r="J1100" i="8"/>
  <c r="J566" i="8"/>
  <c r="J138" i="8" s="1"/>
  <c r="K207" i="3"/>
  <c r="G207" i="3"/>
  <c r="H207" i="3"/>
  <c r="L207" i="3"/>
  <c r="M421" i="3"/>
  <c r="P1187" i="20"/>
  <c r="P1191" i="20" s="1"/>
  <c r="J497" i="20"/>
  <c r="J499" i="20" s="1"/>
  <c r="G1136" i="8"/>
  <c r="G312" i="8" s="1"/>
  <c r="E566" i="8"/>
  <c r="E138" i="8" s="1"/>
  <c r="J1118" i="8"/>
  <c r="J305" i="8" s="1"/>
  <c r="D161" i="3"/>
  <c r="H36" i="23"/>
  <c r="K36" i="23"/>
  <c r="J421" i="3"/>
  <c r="J430" i="8"/>
  <c r="J435" i="8" s="1"/>
  <c r="K17" i="23"/>
  <c r="K18" i="23" s="1"/>
  <c r="E762" i="20"/>
  <c r="D47" i="23"/>
  <c r="D48" i="23" s="1"/>
  <c r="N863" i="20"/>
  <c r="I464" i="8"/>
  <c r="I81" i="8" s="1"/>
  <c r="M792" i="8"/>
  <c r="I952" i="20"/>
  <c r="I955" i="20" s="1"/>
  <c r="I961" i="20" s="1"/>
  <c r="F497" i="20"/>
  <c r="F499" i="20" s="1"/>
  <c r="I207" i="3"/>
  <c r="E176" i="3"/>
  <c r="E1189" i="8"/>
  <c r="E1193" i="8" s="1"/>
  <c r="E430" i="8"/>
  <c r="E74" i="8" s="1"/>
  <c r="D128" i="3"/>
  <c r="E711" i="20" s="1"/>
  <c r="H1027" i="20"/>
  <c r="F404" i="8"/>
  <c r="F416" i="8" s="1"/>
  <c r="M952" i="20"/>
  <c r="M955" i="20" s="1"/>
  <c r="M961" i="20" s="1"/>
  <c r="J955" i="8"/>
  <c r="J960" i="8" s="1"/>
  <c r="M566" i="8"/>
  <c r="M138" i="8" s="1"/>
  <c r="F428" i="20"/>
  <c r="F73" i="20" s="1"/>
  <c r="M17" i="23"/>
  <c r="M18" i="23" s="1"/>
  <c r="H861" i="20"/>
  <c r="H428" i="20"/>
  <c r="H73" i="20" s="1"/>
  <c r="L53" i="23"/>
  <c r="L54" i="23" s="1"/>
  <c r="L401" i="20"/>
  <c r="J909" i="20"/>
  <c r="G480" i="20"/>
  <c r="P1189" i="8"/>
  <c r="P1193" i="8" s="1"/>
  <c r="J908" i="8"/>
  <c r="J914" i="8" s="1"/>
  <c r="H531" i="20"/>
  <c r="O531" i="20"/>
  <c r="N1171" i="8"/>
  <c r="N480" i="20"/>
  <c r="N1133" i="20"/>
  <c r="N308" i="20" s="1"/>
  <c r="N401" i="20"/>
  <c r="E17" i="23"/>
  <c r="E18" i="23" s="1"/>
  <c r="O622" i="8"/>
  <c r="O152" i="8" s="1"/>
  <c r="K834" i="20"/>
  <c r="K845" i="20" s="1"/>
  <c r="P906" i="20"/>
  <c r="K864" i="8"/>
  <c r="K870" i="8" s="1"/>
  <c r="K481" i="8"/>
  <c r="E404" i="8"/>
  <c r="P428" i="20"/>
  <c r="P429" i="20" s="1"/>
  <c r="M532" i="8"/>
  <c r="E464" i="8"/>
  <c r="E465" i="8" s="1"/>
  <c r="H240" i="3"/>
  <c r="J257" i="3"/>
  <c r="F429" i="3"/>
  <c r="I424" i="3"/>
  <c r="K421" i="3"/>
  <c r="G482" i="8"/>
  <c r="L531" i="20"/>
  <c r="G463" i="20"/>
  <c r="G80" i="20" s="1"/>
  <c r="L906" i="20"/>
  <c r="L861" i="8"/>
  <c r="L867" i="8" s="1"/>
  <c r="I1025" i="20"/>
  <c r="L463" i="20"/>
  <c r="L468" i="20" s="1"/>
  <c r="L82" i="20" s="1"/>
  <c r="I1189" i="8"/>
  <c r="I1193" i="8" s="1"/>
  <c r="N910" i="8"/>
  <c r="N916" i="8" s="1"/>
  <c r="G605" i="8"/>
  <c r="N907" i="20"/>
  <c r="M767" i="8"/>
  <c r="P565" i="20"/>
  <c r="P135" i="20" s="1"/>
  <c r="M464" i="8"/>
  <c r="M469" i="8" s="1"/>
  <c r="M83" i="8" s="1"/>
  <c r="N257" i="3"/>
  <c r="J1028" i="8"/>
  <c r="J1034" i="8" s="1"/>
  <c r="G464" i="8"/>
  <c r="G81" i="8" s="1"/>
  <c r="H1100" i="8"/>
  <c r="M862" i="8"/>
  <c r="M868" i="8" s="1"/>
  <c r="N1190" i="8"/>
  <c r="N1191" i="8" s="1"/>
  <c r="N326" i="8" s="1"/>
  <c r="J834" i="8"/>
  <c r="H907" i="8"/>
  <c r="H913" i="8" s="1"/>
  <c r="J863" i="20"/>
  <c r="O1097" i="20"/>
  <c r="K429" i="3"/>
  <c r="G429" i="3"/>
  <c r="L374" i="3"/>
  <c r="H374" i="3"/>
  <c r="D374" i="3"/>
  <c r="G374" i="3"/>
  <c r="N176" i="3"/>
  <c r="J176" i="3"/>
  <c r="L421" i="3"/>
  <c r="D421" i="3"/>
  <c r="O402" i="3"/>
  <c r="O117" i="3"/>
  <c r="K955" i="8"/>
  <c r="K957" i="8" s="1"/>
  <c r="K963" i="8" s="1"/>
  <c r="O660" i="8"/>
  <c r="M548" i="20"/>
  <c r="M128" i="20" s="1"/>
  <c r="M401" i="20"/>
  <c r="G1189" i="8"/>
  <c r="G1191" i="8" s="1"/>
  <c r="G326" i="8" s="1"/>
  <c r="I1115" i="20"/>
  <c r="I301" i="20" s="1"/>
  <c r="F660" i="8"/>
  <c r="M660" i="8"/>
  <c r="I567" i="8"/>
  <c r="K620" i="20"/>
  <c r="K149" i="20" s="1"/>
  <c r="K1189" i="8"/>
  <c r="K1193" i="8" s="1"/>
  <c r="L1115" i="20"/>
  <c r="L301" i="20" s="1"/>
  <c r="O1136" i="8"/>
  <c r="O312" i="8" s="1"/>
  <c r="K604" i="8"/>
  <c r="O1189" i="8"/>
  <c r="O1193" i="8" s="1"/>
  <c r="F430" i="8"/>
  <c r="F74" i="8" s="1"/>
  <c r="H548" i="20"/>
  <c r="H128" i="20" s="1"/>
  <c r="M424" i="3"/>
  <c r="E424" i="3"/>
  <c r="I176" i="3"/>
  <c r="O240" i="3"/>
  <c r="J1229" i="20"/>
  <c r="G498" i="8"/>
  <c r="J767" i="8"/>
  <c r="P401" i="20"/>
  <c r="J1187" i="20"/>
  <c r="J1191" i="20" s="1"/>
  <c r="K863" i="8"/>
  <c r="K869" i="8" s="1"/>
  <c r="J428" i="20"/>
  <c r="J429" i="20" s="1"/>
  <c r="M790" i="20"/>
  <c r="E953" i="20"/>
  <c r="L908" i="20"/>
  <c r="E864" i="20"/>
  <c r="N604" i="8"/>
  <c r="P909" i="8"/>
  <c r="P915" i="8" s="1"/>
  <c r="P834" i="8"/>
  <c r="M463" i="20"/>
  <c r="M80" i="20" s="1"/>
  <c r="I565" i="20"/>
  <c r="I135" i="20" s="1"/>
  <c r="G128" i="3"/>
  <c r="H711" i="20" s="1"/>
  <c r="J125" i="3"/>
  <c r="K708" i="20" s="1"/>
  <c r="G257" i="3"/>
  <c r="I549" i="8"/>
  <c r="I131" i="8" s="1"/>
  <c r="F1171" i="8"/>
  <c r="G954" i="8"/>
  <c r="G404" i="8"/>
  <c r="G416" i="8" s="1"/>
  <c r="K1136" i="8"/>
  <c r="K312" i="8" s="1"/>
  <c r="E481" i="8"/>
  <c r="E483" i="8" s="1"/>
  <c r="K531" i="20"/>
  <c r="H1115" i="20"/>
  <c r="H301" i="20" s="1"/>
  <c r="G1187" i="20"/>
  <c r="G1191" i="20" s="1"/>
  <c r="H834" i="20"/>
  <c r="H845" i="20" s="1"/>
  <c r="D53" i="23"/>
  <c r="D54" i="23" s="1"/>
  <c r="P861" i="8"/>
  <c r="P867" i="8" s="1"/>
  <c r="H909" i="8"/>
  <c r="H915" i="8" s="1"/>
  <c r="I834" i="8"/>
  <c r="I845" i="8" s="1"/>
  <c r="P481" i="8"/>
  <c r="H463" i="20"/>
  <c r="H468" i="20" s="1"/>
  <c r="H82" i="20" s="1"/>
  <c r="E257" i="3"/>
  <c r="H464" i="8"/>
  <c r="H81" i="8" s="1"/>
  <c r="F907" i="20"/>
  <c r="M161" i="3"/>
  <c r="D240" i="3"/>
  <c r="G240" i="3"/>
  <c r="L402" i="3"/>
  <c r="M176" i="3"/>
  <c r="G421" i="3"/>
  <c r="G1055" i="20"/>
  <c r="I1055" i="8"/>
  <c r="I1061" i="8" s="1"/>
  <c r="J17" i="23"/>
  <c r="J18" i="23" s="1"/>
  <c r="I1100" i="8"/>
  <c r="I864" i="8"/>
  <c r="I870" i="8" s="1"/>
  <c r="F863" i="8"/>
  <c r="F869" i="8" s="1"/>
  <c r="M955" i="8"/>
  <c r="M957" i="8" s="1"/>
  <c r="M963" i="8" s="1"/>
  <c r="O790" i="20"/>
  <c r="H430" i="8"/>
  <c r="H435" i="8" s="1"/>
  <c r="E207" i="3"/>
  <c r="M207" i="3"/>
  <c r="M834" i="20"/>
  <c r="M845" i="20" s="1"/>
  <c r="M604" i="20"/>
  <c r="K1118" i="8"/>
  <c r="K305" i="8" s="1"/>
  <c r="E909" i="20"/>
  <c r="G864" i="20"/>
  <c r="F910" i="8"/>
  <c r="F916" i="8" s="1"/>
  <c r="I862" i="8"/>
  <c r="I868" i="8" s="1"/>
  <c r="P1136" i="8"/>
  <c r="P312" i="8" s="1"/>
  <c r="P430" i="8"/>
  <c r="P74" i="8" s="1"/>
  <c r="M257" i="3"/>
  <c r="D424" i="3"/>
  <c r="N240" i="3"/>
  <c r="J429" i="3"/>
  <c r="H424" i="3"/>
  <c r="L429" i="3"/>
  <c r="F374" i="3"/>
  <c r="D176" i="3"/>
  <c r="F421" i="3"/>
  <c r="I421" i="3"/>
  <c r="N127" i="3"/>
  <c r="O711" i="8" s="1"/>
  <c r="O717" i="8" s="1"/>
  <c r="J126" i="3"/>
  <c r="K710" i="8" s="1"/>
  <c r="K716" i="8" s="1"/>
  <c r="O176" i="3"/>
  <c r="H117" i="3"/>
  <c r="H169" i="3" s="1"/>
  <c r="I1187" i="20"/>
  <c r="I1191" i="20" s="1"/>
  <c r="F1187" i="20"/>
  <c r="F1191" i="20" s="1"/>
  <c r="N17" i="23"/>
  <c r="N18" i="23" s="1"/>
  <c r="O404" i="8"/>
  <c r="O416" i="8" s="1"/>
  <c r="P531" i="20"/>
  <c r="P532" i="8"/>
  <c r="O161" i="3"/>
  <c r="P790" i="20"/>
  <c r="P792" i="8"/>
  <c r="O41" i="23"/>
  <c r="O42" i="23" s="1"/>
  <c r="F605" i="8"/>
  <c r="F604" i="20"/>
  <c r="M604" i="8"/>
  <c r="M603" i="20"/>
  <c r="L767" i="8"/>
  <c r="G1027" i="8"/>
  <c r="G1033" i="8" s="1"/>
  <c r="O401" i="20"/>
  <c r="I863" i="8"/>
  <c r="I869" i="8" s="1"/>
  <c r="K861" i="8"/>
  <c r="K867" i="8" s="1"/>
  <c r="O770" i="20"/>
  <c r="O192" i="20" s="1"/>
  <c r="I955" i="8"/>
  <c r="I960" i="8" s="1"/>
  <c r="F480" i="20"/>
  <c r="F481" i="8"/>
  <c r="L257" i="3"/>
  <c r="J790" i="20"/>
  <c r="I41" i="23"/>
  <c r="I42" i="23" s="1"/>
  <c r="E1097" i="20"/>
  <c r="E1100" i="8"/>
  <c r="M1097" i="20"/>
  <c r="M1100" i="8"/>
  <c r="M1118" i="8"/>
  <c r="M1119" i="8" s="1"/>
  <c r="M1115" i="20"/>
  <c r="M301" i="20" s="1"/>
  <c r="P201" i="3"/>
  <c r="M429" i="3"/>
  <c r="I429" i="3"/>
  <c r="F240" i="3"/>
  <c r="J240" i="3"/>
  <c r="K424" i="3"/>
  <c r="P315" i="3"/>
  <c r="H429" i="3"/>
  <c r="P380" i="3"/>
  <c r="M402" i="3"/>
  <c r="I402" i="3"/>
  <c r="E402" i="3"/>
  <c r="F402" i="3"/>
  <c r="J402" i="3"/>
  <c r="P175" i="3"/>
  <c r="K862" i="8"/>
  <c r="K868" i="8" s="1"/>
  <c r="K862" i="20"/>
  <c r="K865" i="20" s="1"/>
  <c r="K872" i="20" s="1"/>
  <c r="N861" i="20"/>
  <c r="N861" i="8"/>
  <c r="N867" i="8" s="1"/>
  <c r="L909" i="20"/>
  <c r="L910" i="8"/>
  <c r="L916" i="8" s="1"/>
  <c r="H908" i="8"/>
  <c r="H914" i="8" s="1"/>
  <c r="H907" i="20"/>
  <c r="P1054" i="20"/>
  <c r="O1026" i="20"/>
  <c r="L1028" i="8"/>
  <c r="L1034" i="8" s="1"/>
  <c r="M404" i="8"/>
  <c r="M416" i="8" s="1"/>
  <c r="K908" i="20"/>
  <c r="D207" i="3"/>
  <c r="N907" i="8"/>
  <c r="N913" i="8" s="1"/>
  <c r="J792" i="8"/>
  <c r="G549" i="8"/>
  <c r="G131" i="8" s="1"/>
  <c r="N1100" i="8"/>
  <c r="N1097" i="20"/>
  <c r="E159" i="3"/>
  <c r="E161" i="3" s="1"/>
  <c r="N161" i="3"/>
  <c r="J161" i="3"/>
  <c r="F161" i="3"/>
  <c r="M36" i="23"/>
  <c r="I36" i="23"/>
  <c r="P136" i="3"/>
  <c r="E16" i="26" s="1"/>
  <c r="E60" i="26" s="1"/>
  <c r="F36" i="23"/>
  <c r="N36" i="23"/>
  <c r="J424" i="3"/>
  <c r="F257" i="3"/>
  <c r="H620" i="20"/>
  <c r="H621" i="20" s="1"/>
  <c r="H1053" i="20"/>
  <c r="E1231" i="8"/>
  <c r="E1235" i="8" s="1"/>
  <c r="M1055" i="20"/>
  <c r="J1027" i="20"/>
  <c r="D17" i="23"/>
  <c r="D18" i="23" s="1"/>
  <c r="I622" i="8"/>
  <c r="I152" i="8" s="1"/>
  <c r="H1133" i="20"/>
  <c r="H308" i="20" s="1"/>
  <c r="H909" i="20"/>
  <c r="L464" i="8"/>
  <c r="L81" i="8" s="1"/>
  <c r="N430" i="8"/>
  <c r="N74" i="8" s="1"/>
  <c r="F532" i="8"/>
  <c r="F531" i="20"/>
  <c r="E548" i="20"/>
  <c r="E549" i="20" s="1"/>
  <c r="E549" i="8"/>
  <c r="E550" i="8" s="1"/>
  <c r="G1229" i="20"/>
  <c r="F1028" i="8"/>
  <c r="F1034" i="8" s="1"/>
  <c r="O298" i="8"/>
  <c r="K404" i="8"/>
  <c r="K416" i="8" s="1"/>
  <c r="O17" i="23"/>
  <c r="O18" i="23" s="1"/>
  <c r="G401" i="20"/>
  <c r="O792" i="8"/>
  <c r="O803" i="8" s="1"/>
  <c r="N955" i="8"/>
  <c r="N960" i="8" s="1"/>
  <c r="O603" i="20"/>
  <c r="P22" i="3"/>
  <c r="E21" i="26" s="1"/>
  <c r="E65" i="26" s="1"/>
  <c r="P864" i="20"/>
  <c r="G955" i="8"/>
  <c r="G960" i="8" s="1"/>
  <c r="M428" i="20"/>
  <c r="M73" i="20" s="1"/>
  <c r="L620" i="20"/>
  <c r="L149" i="20" s="1"/>
  <c r="G36" i="23"/>
  <c r="L424" i="3"/>
  <c r="N207" i="3"/>
  <c r="K240" i="3"/>
  <c r="L240" i="3"/>
  <c r="N374" i="3"/>
  <c r="J374" i="3"/>
  <c r="E374" i="3"/>
  <c r="I374" i="3"/>
  <c r="M374" i="3"/>
  <c r="L176" i="3"/>
  <c r="H176" i="3"/>
  <c r="N421" i="3"/>
  <c r="N117" i="3"/>
  <c r="P710" i="20"/>
  <c r="J319" i="8"/>
  <c r="M1029" i="8"/>
  <c r="M1035" i="8" s="1"/>
  <c r="H1056" i="8"/>
  <c r="H1062" i="8" s="1"/>
  <c r="J499" i="8"/>
  <c r="G1028" i="8"/>
  <c r="G1034" i="8" s="1"/>
  <c r="K835" i="8"/>
  <c r="E481" i="20"/>
  <c r="E127" i="3"/>
  <c r="F711" i="8" s="1"/>
  <c r="F717" i="8" s="1"/>
  <c r="I1055" i="20"/>
  <c r="K128" i="3"/>
  <c r="L711" i="20" s="1"/>
  <c r="H1055" i="20"/>
  <c r="N1025" i="20"/>
  <c r="O1054" i="20"/>
  <c r="F1027" i="8"/>
  <c r="F1033" i="8" s="1"/>
  <c r="I315" i="20"/>
  <c r="M41" i="23"/>
  <c r="M42" i="23" s="1"/>
  <c r="N792" i="8"/>
  <c r="N790" i="20"/>
  <c r="O480" i="20"/>
  <c r="O482" i="20" s="1"/>
  <c r="O481" i="8"/>
  <c r="K428" i="20"/>
  <c r="K73" i="20" s="1"/>
  <c r="J53" i="23"/>
  <c r="J54" i="23" s="1"/>
  <c r="K430" i="8"/>
  <c r="K435" i="8" s="1"/>
  <c r="J480" i="20"/>
  <c r="J481" i="8"/>
  <c r="L498" i="8"/>
  <c r="L497" i="20"/>
  <c r="L499" i="20" s="1"/>
  <c r="F424" i="3"/>
  <c r="F207" i="3"/>
  <c r="E240" i="3"/>
  <c r="P228" i="3"/>
  <c r="P295" i="3"/>
  <c r="P174" i="3"/>
  <c r="P420" i="3"/>
  <c r="P247" i="3"/>
  <c r="O257" i="3"/>
  <c r="P370" i="3"/>
  <c r="E604" i="8"/>
  <c r="E603" i="20"/>
  <c r="P767" i="8"/>
  <c r="F864" i="8"/>
  <c r="F870" i="8" s="1"/>
  <c r="F864" i="20"/>
  <c r="M863" i="8"/>
  <c r="M869" i="8" s="1"/>
  <c r="M863" i="20"/>
  <c r="P862" i="20"/>
  <c r="P862" i="8"/>
  <c r="P868" i="8" s="1"/>
  <c r="O908" i="20"/>
  <c r="O909" i="8"/>
  <c r="O915" i="8" s="1"/>
  <c r="M907" i="20"/>
  <c r="M908" i="8"/>
  <c r="M914" i="8" s="1"/>
  <c r="I907" i="20"/>
  <c r="I908" i="8"/>
  <c r="I914" i="8" s="1"/>
  <c r="P907" i="20"/>
  <c r="P908" i="8"/>
  <c r="P914" i="8" s="1"/>
  <c r="E1187" i="20"/>
  <c r="E1191" i="20" s="1"/>
  <c r="E1190" i="8"/>
  <c r="E1194" i="8" s="1"/>
  <c r="F1189" i="8"/>
  <c r="F1191" i="8" s="1"/>
  <c r="F326" i="8" s="1"/>
  <c r="F1186" i="20"/>
  <c r="F1190" i="20" s="1"/>
  <c r="G834" i="20"/>
  <c r="G845" i="20" s="1"/>
  <c r="G424" i="3"/>
  <c r="H862" i="8"/>
  <c r="H868" i="8" s="1"/>
  <c r="N864" i="8"/>
  <c r="N870" i="8" s="1"/>
  <c r="L549" i="8"/>
  <c r="L550" i="8" s="1"/>
  <c r="G906" i="20"/>
  <c r="E909" i="8"/>
  <c r="E915" i="8" s="1"/>
  <c r="G770" i="20"/>
  <c r="G192" i="20" s="1"/>
  <c r="I240" i="3"/>
  <c r="N1186" i="20"/>
  <c r="N1190" i="20" s="1"/>
  <c r="M1190" i="8"/>
  <c r="M1194" i="8" s="1"/>
  <c r="E429" i="3"/>
  <c r="E421" i="3"/>
  <c r="J605" i="8"/>
  <c r="K907" i="8"/>
  <c r="K913" i="8" s="1"/>
  <c r="G861" i="20"/>
  <c r="F792" i="8"/>
  <c r="F790" i="20"/>
  <c r="F566" i="8"/>
  <c r="F138" i="8" s="1"/>
  <c r="F565" i="20"/>
  <c r="F135" i="20" s="1"/>
  <c r="E604" i="20"/>
  <c r="E605" i="8"/>
  <c r="P603" i="20"/>
  <c r="P604" i="8"/>
  <c r="L603" i="20"/>
  <c r="L604" i="8"/>
  <c r="N766" i="8"/>
  <c r="N770" i="20"/>
  <c r="N192" i="20" s="1"/>
  <c r="F772" i="8"/>
  <c r="F196" i="8" s="1"/>
  <c r="F770" i="20"/>
  <c r="F192" i="20" s="1"/>
  <c r="M864" i="20"/>
  <c r="M864" i="8"/>
  <c r="M870" i="8" s="1"/>
  <c r="P863" i="8"/>
  <c r="P869" i="8" s="1"/>
  <c r="P863" i="20"/>
  <c r="H863" i="8"/>
  <c r="H869" i="8" s="1"/>
  <c r="H863" i="20"/>
  <c r="G862" i="8"/>
  <c r="G868" i="8" s="1"/>
  <c r="G862" i="20"/>
  <c r="F861" i="20"/>
  <c r="F861" i="8"/>
  <c r="F867" i="8" s="1"/>
  <c r="N909" i="8"/>
  <c r="N915" i="8" s="1"/>
  <c r="N908" i="20"/>
  <c r="L907" i="20"/>
  <c r="L908" i="8"/>
  <c r="L914" i="8" s="1"/>
  <c r="O954" i="8"/>
  <c r="O952" i="20"/>
  <c r="L657" i="20"/>
  <c r="P1027" i="8"/>
  <c r="P1033" i="8" s="1"/>
  <c r="N67" i="8"/>
  <c r="N409" i="8"/>
  <c r="N69" i="8" s="1"/>
  <c r="I17" i="23"/>
  <c r="I18" i="23" s="1"/>
  <c r="O862" i="20"/>
  <c r="O430" i="8"/>
  <c r="O435" i="8" s="1"/>
  <c r="E497" i="20"/>
  <c r="E499" i="20" s="1"/>
  <c r="L1190" i="8"/>
  <c r="L1194" i="8" s="1"/>
  <c r="M1189" i="8"/>
  <c r="O906" i="20"/>
  <c r="H767" i="8"/>
  <c r="I463" i="20"/>
  <c r="I80" i="20" s="1"/>
  <c r="H421" i="3"/>
  <c r="P394" i="3"/>
  <c r="M240" i="3"/>
  <c r="F908" i="20"/>
  <c r="L863" i="20"/>
  <c r="J908" i="20"/>
  <c r="P955" i="8"/>
  <c r="P960" i="8" s="1"/>
  <c r="P252" i="3"/>
  <c r="G792" i="8"/>
  <c r="F41" i="23"/>
  <c r="F42" i="23" s="1"/>
  <c r="N604" i="20"/>
  <c r="M910" i="8"/>
  <c r="M916" i="8" s="1"/>
  <c r="I909" i="20"/>
  <c r="G1115" i="20"/>
  <c r="G301" i="20" s="1"/>
  <c r="G1118" i="8"/>
  <c r="G305" i="8" s="1"/>
  <c r="K463" i="20"/>
  <c r="K80" i="20" s="1"/>
  <c r="K464" i="8"/>
  <c r="K81" i="8" s="1"/>
  <c r="J864" i="20"/>
  <c r="K1097" i="20"/>
  <c r="K1100" i="8"/>
  <c r="J1186" i="20"/>
  <c r="J1190" i="20" s="1"/>
  <c r="G159" i="3"/>
  <c r="G161" i="3" s="1"/>
  <c r="G908" i="20"/>
  <c r="O424" i="3"/>
  <c r="O207" i="3"/>
  <c r="L658" i="20"/>
  <c r="O429" i="20"/>
  <c r="K952" i="20"/>
  <c r="K955" i="20" s="1"/>
  <c r="K961" i="20" s="1"/>
  <c r="H954" i="8"/>
  <c r="G176" i="3"/>
  <c r="N53" i="23"/>
  <c r="N54" i="23" s="1"/>
  <c r="F176" i="3"/>
  <c r="G532" i="8"/>
  <c r="K764" i="8"/>
  <c r="K778" i="8" s="1"/>
  <c r="M179" i="3"/>
  <c r="L862" i="20"/>
  <c r="J207" i="3"/>
  <c r="K257" i="3"/>
  <c r="E862" i="20"/>
  <c r="P398" i="3"/>
  <c r="L954" i="8"/>
  <c r="G790" i="20"/>
  <c r="L1133" i="20"/>
  <c r="L308" i="20" s="1"/>
  <c r="E41" i="23"/>
  <c r="E42" i="23" s="1"/>
  <c r="I604" i="8"/>
  <c r="N834" i="20"/>
  <c r="N845" i="20" s="1"/>
  <c r="N834" i="8"/>
  <c r="E863" i="20"/>
  <c r="E620" i="20"/>
  <c r="E622" i="8"/>
  <c r="E152" i="8" s="1"/>
  <c r="G1168" i="20"/>
  <c r="G315" i="20"/>
  <c r="N712" i="8"/>
  <c r="N711" i="20"/>
  <c r="J128" i="3"/>
  <c r="K711" i="20" s="1"/>
  <c r="J127" i="3"/>
  <c r="K711" i="8" s="1"/>
  <c r="K717" i="8" s="1"/>
  <c r="F127" i="3"/>
  <c r="G711" i="8" s="1"/>
  <c r="G717" i="8" s="1"/>
  <c r="F126" i="3"/>
  <c r="G710" i="8" s="1"/>
  <c r="G716" i="8" s="1"/>
  <c r="O1025" i="20"/>
  <c r="O1027" i="8"/>
  <c r="O1033" i="8" s="1"/>
  <c r="F301" i="3"/>
  <c r="F307" i="3" s="1"/>
  <c r="P497" i="20"/>
  <c r="P499" i="20" s="1"/>
  <c r="P498" i="8"/>
  <c r="P500" i="8" s="1"/>
  <c r="P620" i="20"/>
  <c r="P621" i="20" s="1"/>
  <c r="P622" i="8"/>
  <c r="P152" i="8" s="1"/>
  <c r="K548" i="20"/>
  <c r="K128" i="20" s="1"/>
  <c r="K549" i="8"/>
  <c r="K131" i="8" s="1"/>
  <c r="O565" i="20"/>
  <c r="O135" i="20" s="1"/>
  <c r="O566" i="8"/>
  <c r="O138" i="8" s="1"/>
  <c r="G1097" i="20"/>
  <c r="G1100" i="8"/>
  <c r="I1136" i="8"/>
  <c r="I312" i="8" s="1"/>
  <c r="I1133" i="20"/>
  <c r="I308" i="20" s="1"/>
  <c r="E30" i="26"/>
  <c r="E74" i="26" s="1"/>
  <c r="H127" i="3"/>
  <c r="I710" i="20" s="1"/>
  <c r="H126" i="3"/>
  <c r="D321" i="3"/>
  <c r="D327" i="3" s="1"/>
  <c r="O47" i="23"/>
  <c r="O48" i="23" s="1"/>
  <c r="P464" i="8"/>
  <c r="P81" i="8" s="1"/>
  <c r="H152" i="8"/>
  <c r="I482" i="8"/>
  <c r="N429" i="3"/>
  <c r="J531" i="20"/>
  <c r="I861" i="8"/>
  <c r="I867" i="8" s="1"/>
  <c r="M53" i="23"/>
  <c r="M54" i="23" s="1"/>
  <c r="O910" i="8"/>
  <c r="O916" i="8" s="1"/>
  <c r="E772" i="8"/>
  <c r="E196" i="8" s="1"/>
  <c r="O548" i="20"/>
  <c r="O549" i="20" s="1"/>
  <c r="P463" i="20"/>
  <c r="P80" i="20" s="1"/>
  <c r="K497" i="20"/>
  <c r="K499" i="20" s="1"/>
  <c r="I480" i="20"/>
  <c r="I497" i="20"/>
  <c r="I499" i="20" s="1"/>
  <c r="I498" i="8"/>
  <c r="H257" i="3"/>
  <c r="G127" i="3"/>
  <c r="H711" i="8" s="1"/>
  <c r="H717" i="8" s="1"/>
  <c r="G126" i="3"/>
  <c r="H710" i="8" s="1"/>
  <c r="H716" i="8" s="1"/>
  <c r="N125" i="3"/>
  <c r="O708" i="20" s="1"/>
  <c r="P549" i="8"/>
  <c r="P550" i="8" s="1"/>
  <c r="P548" i="20"/>
  <c r="P128" i="20" s="1"/>
  <c r="I257" i="3"/>
  <c r="L36" i="23"/>
  <c r="D36" i="23"/>
  <c r="K374" i="3"/>
  <c r="H402" i="3"/>
  <c r="D402" i="3"/>
  <c r="F128" i="3"/>
  <c r="L126" i="3"/>
  <c r="M709" i="20" s="1"/>
  <c r="E126" i="3"/>
  <c r="N424" i="3"/>
  <c r="O421" i="3"/>
  <c r="P113" i="3"/>
  <c r="E117" i="3"/>
  <c r="E169" i="3" s="1"/>
  <c r="F117" i="3"/>
  <c r="G117" i="3"/>
  <c r="I117" i="3"/>
  <c r="J169" i="3"/>
  <c r="K117" i="3"/>
  <c r="K169" i="3" s="1"/>
  <c r="P116" i="3"/>
  <c r="M101" i="20"/>
  <c r="M532" i="20"/>
  <c r="G660" i="8"/>
  <c r="G658" i="20"/>
  <c r="K659" i="8"/>
  <c r="K665" i="8" s="1"/>
  <c r="K657" i="20"/>
  <c r="K499" i="8"/>
  <c r="K95" i="8"/>
  <c r="J533" i="8"/>
  <c r="J102" i="8"/>
  <c r="K125" i="3"/>
  <c r="L708" i="20" s="1"/>
  <c r="K123" i="3"/>
  <c r="K170" i="3" s="1"/>
  <c r="G123" i="3"/>
  <c r="G170" i="3" s="1"/>
  <c r="E1057" i="8"/>
  <c r="E1063" i="8" s="1"/>
  <c r="E1055" i="20"/>
  <c r="N658" i="20"/>
  <c r="N660" i="8"/>
  <c r="O550" i="8"/>
  <c r="O131" i="8"/>
  <c r="G658" i="8"/>
  <c r="G664" i="8" s="1"/>
  <c r="G656" i="20"/>
  <c r="H1026" i="20"/>
  <c r="J1056" i="20"/>
  <c r="G1027" i="20"/>
  <c r="G1028" i="20" s="1"/>
  <c r="G1035" i="20" s="1"/>
  <c r="M301" i="3"/>
  <c r="M307" i="3" s="1"/>
  <c r="N1027" i="20"/>
  <c r="L67" i="8"/>
  <c r="M655" i="20"/>
  <c r="J123" i="3"/>
  <c r="J170" i="3" s="1"/>
  <c r="I301" i="3"/>
  <c r="I307" i="3" s="1"/>
  <c r="K1054" i="20"/>
  <c r="M123" i="3"/>
  <c r="K1171" i="8"/>
  <c r="F123" i="3"/>
  <c r="F170" i="3" s="1"/>
  <c r="K66" i="20"/>
  <c r="M435" i="8"/>
  <c r="G623" i="8"/>
  <c r="I1190" i="20"/>
  <c r="E73" i="20"/>
  <c r="M431" i="8"/>
  <c r="I305" i="8"/>
  <c r="N405" i="8"/>
  <c r="N708" i="20"/>
  <c r="O1056" i="20"/>
  <c r="O1058" i="8"/>
  <c r="O1064" i="8" s="1"/>
  <c r="M1056" i="8"/>
  <c r="M1062" i="8" s="1"/>
  <c r="M1054" i="20"/>
  <c r="F1026" i="8"/>
  <c r="F1032" i="8" s="1"/>
  <c r="F1024" i="20"/>
  <c r="G90" i="3"/>
  <c r="G165" i="3" s="1"/>
  <c r="H1171" i="8"/>
  <c r="H319" i="8"/>
  <c r="G101" i="20"/>
  <c r="G532" i="20"/>
  <c r="E319" i="8"/>
  <c r="E1171" i="8"/>
  <c r="L305" i="3"/>
  <c r="L301" i="3"/>
  <c r="L307" i="3" s="1"/>
  <c r="O981" i="20"/>
  <c r="O983" i="8"/>
  <c r="O988" i="8" s="1"/>
  <c r="P656" i="20"/>
  <c r="P658" i="8"/>
  <c r="P664" i="8" s="1"/>
  <c r="M659" i="8"/>
  <c r="M665" i="8" s="1"/>
  <c r="P67" i="8"/>
  <c r="N1026" i="8"/>
  <c r="N1032" i="8" s="1"/>
  <c r="F655" i="20"/>
  <c r="P711" i="20"/>
  <c r="J1057" i="8"/>
  <c r="J1063" i="8" s="1"/>
  <c r="G1058" i="8"/>
  <c r="G1064" i="8" s="1"/>
  <c r="H655" i="20"/>
  <c r="D384" i="3"/>
  <c r="D388" i="3" s="1"/>
  <c r="E499" i="8"/>
  <c r="H1137" i="8"/>
  <c r="K655" i="20"/>
  <c r="E655" i="20"/>
  <c r="I658" i="20"/>
  <c r="F1053" i="20"/>
  <c r="G1026" i="8"/>
  <c r="G1032" i="8" s="1"/>
  <c r="F1057" i="8"/>
  <c r="F1063" i="8" s="1"/>
  <c r="L321" i="3"/>
  <c r="L327" i="3" s="1"/>
  <c r="N1057" i="8"/>
  <c r="N1063" i="8" s="1"/>
  <c r="L1230" i="8"/>
  <c r="L1234" i="8" s="1"/>
  <c r="L1025" i="20"/>
  <c r="F659" i="8"/>
  <c r="F665" i="8" s="1"/>
  <c r="I319" i="8"/>
  <c r="M1171" i="8"/>
  <c r="L533" i="8"/>
  <c r="P981" i="20"/>
  <c r="D324" i="3"/>
  <c r="E1054" i="20" s="1"/>
  <c r="K623" i="8"/>
  <c r="G835" i="8"/>
  <c r="I795" i="20"/>
  <c r="I199" i="20" s="1"/>
  <c r="I197" i="20"/>
  <c r="G86" i="22" s="1"/>
  <c r="J1191" i="8"/>
  <c r="J326" i="8" s="1"/>
  <c r="G659" i="8"/>
  <c r="G665" i="8" s="1"/>
  <c r="G657" i="20"/>
  <c r="H656" i="20"/>
  <c r="H658" i="8"/>
  <c r="H664" i="8" s="1"/>
  <c r="H1025" i="20"/>
  <c r="K1028" i="8"/>
  <c r="K1034" i="8" s="1"/>
  <c r="K1029" i="8"/>
  <c r="K1035" i="8" s="1"/>
  <c r="N1026" i="20"/>
  <c r="P567" i="8"/>
  <c r="N482" i="8"/>
  <c r="L305" i="8"/>
  <c r="K1056" i="20"/>
  <c r="P659" i="8"/>
  <c r="P665" i="8" s="1"/>
  <c r="O659" i="8"/>
  <c r="O665" i="8" s="1"/>
  <c r="F66" i="20"/>
  <c r="J315" i="20"/>
  <c r="P1190" i="20"/>
  <c r="G1257" i="20"/>
  <c r="P1171" i="8"/>
  <c r="O149" i="20"/>
  <c r="O621" i="20"/>
  <c r="K762" i="20"/>
  <c r="O319" i="8"/>
  <c r="O1171" i="8"/>
  <c r="G319" i="8"/>
  <c r="Q1170" i="8"/>
  <c r="H102" i="8"/>
  <c r="H533" i="8"/>
  <c r="I1194" i="8"/>
  <c r="J762" i="20"/>
  <c r="M1137" i="8"/>
  <c r="M312" i="8"/>
  <c r="H835" i="8"/>
  <c r="H229" i="8"/>
  <c r="O102" i="8"/>
  <c r="O533" i="8"/>
  <c r="H131" i="8"/>
  <c r="H550" i="8"/>
  <c r="L152" i="8"/>
  <c r="L623" i="8"/>
  <c r="L312" i="8"/>
  <c r="L1137" i="8"/>
  <c r="E36" i="23"/>
  <c r="L319" i="8"/>
  <c r="L1171" i="8"/>
  <c r="K315" i="20"/>
  <c r="K1168" i="20"/>
  <c r="O315" i="20"/>
  <c r="O1168" i="20"/>
  <c r="E770" i="20"/>
  <c r="E192" i="20" s="1"/>
  <c r="F767" i="8"/>
  <c r="K102" i="8"/>
  <c r="G1259" i="8"/>
  <c r="O499" i="8"/>
  <c r="F1194" i="8"/>
  <c r="M550" i="8"/>
  <c r="E407" i="20"/>
  <c r="E68" i="20" s="1"/>
  <c r="I67" i="8"/>
  <c r="I405" i="8"/>
  <c r="J601" i="20"/>
  <c r="J142" i="20" s="1"/>
  <c r="J603" i="20"/>
  <c r="P766" i="8"/>
  <c r="I865" i="20"/>
  <c r="I872" i="20" s="1"/>
  <c r="M1188" i="20"/>
  <c r="M322" i="20" s="1"/>
  <c r="P481" i="20"/>
  <c r="P1055" i="8"/>
  <c r="P1061" i="8" s="1"/>
  <c r="P1053" i="20"/>
  <c r="G772" i="8"/>
  <c r="G196" i="8" s="1"/>
  <c r="G766" i="8"/>
  <c r="F298" i="8"/>
  <c r="F1101" i="8"/>
  <c r="I1024" i="20"/>
  <c r="I1056" i="20"/>
  <c r="G764" i="8"/>
  <c r="G778" i="8" s="1"/>
  <c r="O772" i="8"/>
  <c r="O196" i="8" s="1"/>
  <c r="H981" i="20"/>
  <c r="K1025" i="20"/>
  <c r="K1027" i="8"/>
  <c r="K1033" i="8" s="1"/>
  <c r="L409" i="8"/>
  <c r="L69" i="8" s="1"/>
  <c r="I659" i="8"/>
  <c r="I665" i="8" s="1"/>
  <c r="I657" i="20"/>
  <c r="F603" i="20"/>
  <c r="I658" i="8"/>
  <c r="I664" i="8" s="1"/>
  <c r="I656" i="20"/>
  <c r="N1168" i="20"/>
  <c r="N315" i="20"/>
  <c r="E1254" i="20"/>
  <c r="E356" i="20" s="1"/>
  <c r="E1256" i="20"/>
  <c r="I409" i="8"/>
  <c r="I69" i="8" s="1"/>
  <c r="E102" i="8"/>
  <c r="E533" i="8"/>
  <c r="J1025" i="20"/>
  <c r="L1056" i="8"/>
  <c r="L1062" i="8" s="1"/>
  <c r="F274" i="3"/>
  <c r="N914" i="8"/>
  <c r="M835" i="8"/>
  <c r="E767" i="8"/>
  <c r="J1193" i="8"/>
  <c r="E1190" i="20"/>
  <c r="F621" i="20"/>
  <c r="G657" i="8"/>
  <c r="G663" i="8" s="1"/>
  <c r="N73" i="20"/>
  <c r="N433" i="20"/>
  <c r="L1168" i="20"/>
  <c r="L315" i="20"/>
  <c r="Q1167" i="20"/>
  <c r="N274" i="3"/>
  <c r="E1234" i="8"/>
  <c r="M272" i="3"/>
  <c r="N983" i="8" s="1"/>
  <c r="M1025" i="20"/>
  <c r="E1053" i="20"/>
  <c r="E1055" i="8"/>
  <c r="E1061" i="8" s="1"/>
  <c r="O1053" i="20"/>
  <c r="O1055" i="8"/>
  <c r="O1061" i="8" s="1"/>
  <c r="N1229" i="20"/>
  <c r="N1231" i="8"/>
  <c r="N1235" i="8" s="1"/>
  <c r="H1191" i="20"/>
  <c r="E1024" i="20"/>
  <c r="E1228" i="20"/>
  <c r="E1027" i="20"/>
  <c r="E1029" i="8"/>
  <c r="E1035" i="8" s="1"/>
  <c r="P1029" i="8"/>
  <c r="P1035" i="8" s="1"/>
  <c r="P1027" i="20"/>
  <c r="N710" i="20"/>
  <c r="H790" i="20"/>
  <c r="P141" i="3"/>
  <c r="G41" i="23"/>
  <c r="G42" i="23" s="1"/>
  <c r="H792" i="8"/>
  <c r="O834" i="8"/>
  <c r="O834" i="20"/>
  <c r="O845" i="20" s="1"/>
  <c r="L1097" i="20"/>
  <c r="L1100" i="8"/>
  <c r="O953" i="20"/>
  <c r="O955" i="8"/>
  <c r="H953" i="20"/>
  <c r="H955" i="20" s="1"/>
  <c r="H961" i="20" s="1"/>
  <c r="P255" i="3"/>
  <c r="H955" i="8"/>
  <c r="J1055" i="8"/>
  <c r="J1061" i="8" s="1"/>
  <c r="M88" i="8"/>
  <c r="M482" i="8"/>
  <c r="O867" i="8"/>
  <c r="I532" i="8"/>
  <c r="I534" i="8" s="1"/>
  <c r="P42" i="3"/>
  <c r="E20" i="26" s="1"/>
  <c r="E64" i="26" s="1"/>
  <c r="I531" i="20"/>
  <c r="I533" i="20" s="1"/>
  <c r="G565" i="20"/>
  <c r="G566" i="8"/>
  <c r="P52" i="3"/>
  <c r="E24" i="26" s="1"/>
  <c r="E68" i="26" s="1"/>
  <c r="M622" i="8"/>
  <c r="M620" i="20"/>
  <c r="I149" i="20"/>
  <c r="I621" i="20"/>
  <c r="P87" i="3"/>
  <c r="E90" i="3"/>
  <c r="E165" i="3" s="1"/>
  <c r="L159" i="3"/>
  <c r="L161" i="3" s="1"/>
  <c r="H159" i="3"/>
  <c r="P71" i="3"/>
  <c r="O604" i="8"/>
  <c r="I766" i="8"/>
  <c r="L864" i="20"/>
  <c r="L864" i="8"/>
  <c r="H864" i="20"/>
  <c r="H864" i="8"/>
  <c r="F862" i="8"/>
  <c r="F862" i="20"/>
  <c r="P204" i="3"/>
  <c r="M861" i="20"/>
  <c r="M861" i="8"/>
  <c r="E907" i="8"/>
  <c r="P236" i="3"/>
  <c r="E906" i="20"/>
  <c r="M908" i="20"/>
  <c r="M909" i="8"/>
  <c r="M915" i="8" s="1"/>
  <c r="O908" i="8"/>
  <c r="O907" i="20"/>
  <c r="K907" i="20"/>
  <c r="K908" i="8"/>
  <c r="I913" i="8"/>
  <c r="F954" i="8"/>
  <c r="F952" i="20"/>
  <c r="H1189" i="8"/>
  <c r="H1186" i="20"/>
  <c r="M981" i="20"/>
  <c r="M983" i="8"/>
  <c r="M988" i="8" s="1"/>
  <c r="P1134" i="20"/>
  <c r="J656" i="20"/>
  <c r="P1058" i="8"/>
  <c r="P1064" i="8" s="1"/>
  <c r="M1229" i="20"/>
  <c r="M1058" i="8"/>
  <c r="M1064" i="8" s="1"/>
  <c r="D125" i="3"/>
  <c r="E709" i="8" s="1"/>
  <c r="E715" i="8" s="1"/>
  <c r="N656" i="20"/>
  <c r="O863" i="20"/>
  <c r="J401" i="20"/>
  <c r="M907" i="8"/>
  <c r="K909" i="20"/>
  <c r="P372" i="3"/>
  <c r="F549" i="8"/>
  <c r="F548" i="20"/>
  <c r="F549" i="20" s="1"/>
  <c r="P47" i="3"/>
  <c r="E23" i="26" s="1"/>
  <c r="E67" i="26" s="1"/>
  <c r="J41" i="23"/>
  <c r="J42" i="23" s="1"/>
  <c r="K792" i="8"/>
  <c r="K790" i="20"/>
  <c r="N81" i="8"/>
  <c r="N465" i="8"/>
  <c r="H480" i="20"/>
  <c r="H482" i="20" s="1"/>
  <c r="P32" i="3"/>
  <c r="E18" i="26" s="1"/>
  <c r="E62" i="26" s="1"/>
  <c r="H481" i="8"/>
  <c r="H483" i="8" s="1"/>
  <c r="F1118" i="8"/>
  <c r="P337" i="3"/>
  <c r="E28" i="26" s="1"/>
  <c r="E72" i="26" s="1"/>
  <c r="F1115" i="20"/>
  <c r="F301" i="20" s="1"/>
  <c r="L428" i="20"/>
  <c r="L73" i="20" s="1"/>
  <c r="K53" i="23"/>
  <c r="K54" i="23" s="1"/>
  <c r="L430" i="8"/>
  <c r="L435" i="8" s="1"/>
  <c r="O464" i="8"/>
  <c r="O81" i="8" s="1"/>
  <c r="N47" i="23"/>
  <c r="N48" i="23" s="1"/>
  <c r="O463" i="20"/>
  <c r="O464" i="20" s="1"/>
  <c r="F464" i="8"/>
  <c r="P27" i="3"/>
  <c r="E22" i="26" s="1"/>
  <c r="E66" i="26" s="1"/>
  <c r="F463" i="20"/>
  <c r="F80" i="20" s="1"/>
  <c r="L480" i="20"/>
  <c r="L482" i="20" s="1"/>
  <c r="L481" i="8"/>
  <c r="L483" i="8" s="1"/>
  <c r="M498" i="8"/>
  <c r="M500" i="8" s="1"/>
  <c r="M497" i="20"/>
  <c r="M499" i="20" s="1"/>
  <c r="H498" i="8"/>
  <c r="H500" i="8" s="1"/>
  <c r="P37" i="3"/>
  <c r="E19" i="26" s="1"/>
  <c r="E63" i="26" s="1"/>
  <c r="H404" i="8"/>
  <c r="H416" i="8" s="1"/>
  <c r="P17" i="3"/>
  <c r="H401" i="20"/>
  <c r="G17" i="23"/>
  <c r="G18" i="23" s="1"/>
  <c r="N531" i="20"/>
  <c r="N533" i="20" s="1"/>
  <c r="N532" i="8"/>
  <c r="N534" i="8" s="1"/>
  <c r="N549" i="8"/>
  <c r="N548" i="20"/>
  <c r="N128" i="20" s="1"/>
  <c r="J549" i="8"/>
  <c r="J548" i="20"/>
  <c r="J128" i="20" s="1"/>
  <c r="K566" i="8"/>
  <c r="K565" i="20"/>
  <c r="K135" i="20" s="1"/>
  <c r="L117" i="3"/>
  <c r="L169" i="3" s="1"/>
  <c r="P115" i="3"/>
  <c r="K983" i="8"/>
  <c r="K988" i="8" s="1"/>
  <c r="K981" i="20"/>
  <c r="E1058" i="8"/>
  <c r="E1064" i="8" s="1"/>
  <c r="E1056" i="20"/>
  <c r="P1097" i="20"/>
  <c r="P1100" i="8"/>
  <c r="O429" i="3"/>
  <c r="P366" i="3"/>
  <c r="E31" i="26" s="1"/>
  <c r="E75" i="26" s="1"/>
  <c r="O374" i="3"/>
  <c r="P419" i="3"/>
  <c r="P315" i="20"/>
  <c r="P1168" i="20"/>
  <c r="P203" i="3"/>
  <c r="E861" i="8"/>
  <c r="E861" i="20"/>
  <c r="G863" i="8"/>
  <c r="G863" i="20"/>
  <c r="P205" i="3"/>
  <c r="J862" i="8"/>
  <c r="J868" i="8" s="1"/>
  <c r="J862" i="20"/>
  <c r="G909" i="20"/>
  <c r="P239" i="3"/>
  <c r="G910" i="8"/>
  <c r="I909" i="8"/>
  <c r="P238" i="3"/>
  <c r="I908" i="20"/>
  <c r="P237" i="3"/>
  <c r="G908" i="8"/>
  <c r="P909" i="20"/>
  <c r="P910" i="8"/>
  <c r="E952" i="20"/>
  <c r="E954" i="8"/>
  <c r="E957" i="8" s="1"/>
  <c r="E963" i="8" s="1"/>
  <c r="P254" i="3"/>
  <c r="J952" i="20"/>
  <c r="J955" i="20" s="1"/>
  <c r="J961" i="20" s="1"/>
  <c r="J954" i="8"/>
  <c r="O1190" i="8"/>
  <c r="O1187" i="20"/>
  <c r="K1191" i="20"/>
  <c r="K1188" i="20"/>
  <c r="K322" i="20" s="1"/>
  <c r="H1190" i="8"/>
  <c r="P373" i="3"/>
  <c r="L1189" i="8"/>
  <c r="L1186" i="20"/>
  <c r="N657" i="8"/>
  <c r="N663" i="8" s="1"/>
  <c r="N954" i="8"/>
  <c r="E93" i="3"/>
  <c r="N862" i="20"/>
  <c r="D117" i="3"/>
  <c r="D169" i="3" s="1"/>
  <c r="I906" i="20"/>
  <c r="K1190" i="8"/>
  <c r="P195" i="3"/>
  <c r="E660" i="8"/>
  <c r="E658" i="20"/>
  <c r="N566" i="8"/>
  <c r="F834" i="8"/>
  <c r="F845" i="8" s="1"/>
  <c r="F834" i="20"/>
  <c r="F845" i="20" s="1"/>
  <c r="P187" i="3"/>
  <c r="N497" i="20"/>
  <c r="N499" i="20" s="1"/>
  <c r="N498" i="8"/>
  <c r="N500" i="8" s="1"/>
  <c r="E1168" i="20"/>
  <c r="E315" i="20"/>
  <c r="H315" i="20"/>
  <c r="H1168" i="20"/>
  <c r="F1257" i="20"/>
  <c r="H128" i="3"/>
  <c r="I712" i="8" s="1"/>
  <c r="L127" i="3"/>
  <c r="K126" i="3"/>
  <c r="O36" i="23"/>
  <c r="P1115" i="20"/>
  <c r="P301" i="20" s="1"/>
  <c r="P1118" i="8"/>
  <c r="P658" i="20"/>
  <c r="P660" i="8"/>
  <c r="P114" i="3"/>
  <c r="O602" i="8"/>
  <c r="O145" i="8" s="1"/>
  <c r="O604" i="20"/>
  <c r="L766" i="8"/>
  <c r="H770" i="20"/>
  <c r="H192" i="20" s="1"/>
  <c r="P206" i="3"/>
  <c r="O864" i="20"/>
  <c r="O864" i="8"/>
  <c r="O870" i="8" s="1"/>
  <c r="J463" i="20"/>
  <c r="J80" i="20" s="1"/>
  <c r="I47" i="23"/>
  <c r="I48" i="23" s="1"/>
  <c r="J464" i="8"/>
  <c r="J81" i="8" s="1"/>
  <c r="L565" i="20"/>
  <c r="L566" i="8"/>
  <c r="H565" i="20"/>
  <c r="H135" i="20" s="1"/>
  <c r="H566" i="8"/>
  <c r="N620" i="20"/>
  <c r="N622" i="8"/>
  <c r="J622" i="8"/>
  <c r="J620" i="20"/>
  <c r="N93" i="3"/>
  <c r="N90" i="3"/>
  <c r="N165" i="3" s="1"/>
  <c r="J93" i="3"/>
  <c r="J90" i="3"/>
  <c r="J165" i="3" s="1"/>
  <c r="J1133" i="20"/>
  <c r="J308" i="20" s="1"/>
  <c r="J1136" i="8"/>
  <c r="J312" i="8" s="1"/>
  <c r="E790" i="20"/>
  <c r="E792" i="8"/>
  <c r="L792" i="8"/>
  <c r="K41" i="23"/>
  <c r="K42" i="23" s="1"/>
  <c r="F622" i="8"/>
  <c r="P76" i="3"/>
  <c r="E26" i="26" s="1"/>
  <c r="E70" i="26" s="1"/>
  <c r="K770" i="20"/>
  <c r="K192" i="20" s="1"/>
  <c r="M47" i="23"/>
  <c r="M48" i="23" s="1"/>
  <c r="N463" i="20"/>
  <c r="N80" i="20" s="1"/>
  <c r="F315" i="20"/>
  <c r="F1168" i="20"/>
  <c r="M315" i="20"/>
  <c r="M1168" i="20"/>
  <c r="K127" i="3"/>
  <c r="G125" i="3"/>
  <c r="I603" i="20"/>
  <c r="F955" i="8"/>
  <c r="F953" i="20"/>
  <c r="I401" i="20"/>
  <c r="H17" i="23"/>
  <c r="H18" i="23" s="1"/>
  <c r="F1136" i="8"/>
  <c r="F1133" i="20"/>
  <c r="F308" i="20" s="1"/>
  <c r="E1118" i="8"/>
  <c r="E1115" i="20"/>
  <c r="E301" i="20" s="1"/>
  <c r="N1119" i="8"/>
  <c r="F1097" i="20"/>
  <c r="F1099" i="20" s="1"/>
  <c r="P332" i="3"/>
  <c r="E1133" i="20"/>
  <c r="E308" i="20" s="1"/>
  <c r="E1136" i="8"/>
  <c r="P234" i="3"/>
  <c r="K402" i="3"/>
  <c r="G402" i="3"/>
  <c r="J384" i="3"/>
  <c r="J388" i="3" s="1"/>
  <c r="J386" i="3"/>
  <c r="K1228" i="20" s="1"/>
  <c r="I601" i="20"/>
  <c r="I142" i="20" s="1"/>
  <c r="J861" i="20"/>
  <c r="J861" i="8"/>
  <c r="E908" i="8"/>
  <c r="E907" i="20"/>
  <c r="J906" i="20"/>
  <c r="J907" i="8"/>
  <c r="F906" i="20"/>
  <c r="F907" i="8"/>
  <c r="L953" i="20"/>
  <c r="L955" i="20" s="1"/>
  <c r="L961" i="20" s="1"/>
  <c r="L955" i="8"/>
  <c r="P954" i="8"/>
  <c r="P952" i="20"/>
  <c r="P955" i="20" s="1"/>
  <c r="P961" i="20" s="1"/>
  <c r="F125" i="3"/>
  <c r="J916" i="8"/>
  <c r="I127" i="3"/>
  <c r="I126" i="3"/>
  <c r="N788" i="8"/>
  <c r="N200" i="8" s="1"/>
  <c r="F789" i="8"/>
  <c r="H830" i="8"/>
  <c r="H844" i="8" s="1"/>
  <c r="E830" i="8"/>
  <c r="E831" i="8" s="1"/>
  <c r="N1054" i="20"/>
  <c r="N1056" i="8"/>
  <c r="N1062" i="8" s="1"/>
  <c r="H1229" i="20"/>
  <c r="H1231" i="8"/>
  <c r="H1235" i="8" s="1"/>
  <c r="N1056" i="20"/>
  <c r="N1058" i="8"/>
  <c r="N1064" i="8" s="1"/>
  <c r="L655" i="20"/>
  <c r="L657" i="8"/>
  <c r="L663" i="8" s="1"/>
  <c r="M712" i="8"/>
  <c r="M711" i="20"/>
  <c r="O1027" i="20"/>
  <c r="O1029" i="8"/>
  <c r="O1035" i="8" s="1"/>
  <c r="H299" i="3"/>
  <c r="H47" i="5"/>
  <c r="D299" i="3"/>
  <c r="P45" i="5"/>
  <c r="D298" i="3"/>
  <c r="D47" i="5"/>
  <c r="K297" i="3"/>
  <c r="K47" i="5"/>
  <c r="G303" i="3"/>
  <c r="H1026" i="8" s="1"/>
  <c r="G301" i="3"/>
  <c r="N386" i="3"/>
  <c r="N65" i="5"/>
  <c r="F65" i="5"/>
  <c r="P63" i="5"/>
  <c r="P57" i="5"/>
  <c r="D266" i="3"/>
  <c r="D269" i="3" s="1"/>
  <c r="D274" i="3" s="1"/>
  <c r="I267" i="3"/>
  <c r="I272" i="3" s="1"/>
  <c r="E267" i="3"/>
  <c r="E269" i="3" s="1"/>
  <c r="L266" i="3"/>
  <c r="L269" i="3" s="1"/>
  <c r="I1056" i="8"/>
  <c r="I1062" i="8" s="1"/>
  <c r="L1056" i="20"/>
  <c r="I1229" i="20"/>
  <c r="I1029" i="8"/>
  <c r="I1035" i="8" s="1"/>
  <c r="O711" i="20"/>
  <c r="I54" i="5"/>
  <c r="J655" i="20"/>
  <c r="J657" i="8"/>
  <c r="J663" i="8" s="1"/>
  <c r="J65" i="5"/>
  <c r="P44" i="5"/>
  <c r="H90" i="3"/>
  <c r="H165" i="3" s="1"/>
  <c r="H92" i="3"/>
  <c r="D94" i="3"/>
  <c r="P88" i="3"/>
  <c r="I95" i="3"/>
  <c r="P89" i="3"/>
  <c r="I90" i="3"/>
  <c r="I165" i="3" s="1"/>
  <c r="M94" i="3"/>
  <c r="M90" i="3"/>
  <c r="M165" i="3" s="1"/>
  <c r="J271" i="3"/>
  <c r="K982" i="8" s="1"/>
  <c r="P51" i="5"/>
  <c r="F318" i="3"/>
  <c r="F324" i="3" s="1"/>
  <c r="M317" i="3"/>
  <c r="M54" i="5"/>
  <c r="P33" i="5"/>
  <c r="E40" i="5"/>
  <c r="E119" i="3"/>
  <c r="P36" i="5"/>
  <c r="E300" i="3"/>
  <c r="P46" i="5"/>
  <c r="E47" i="5"/>
  <c r="N1224" i="8"/>
  <c r="N1226" i="8" s="1"/>
  <c r="N1222" i="20"/>
  <c r="N348" i="20" s="1"/>
  <c r="P64" i="5"/>
  <c r="O387" i="3" s="1"/>
  <c r="E65" i="5"/>
  <c r="H386" i="3"/>
  <c r="H384" i="3"/>
  <c r="H388" i="3" s="1"/>
  <c r="G320" i="3"/>
  <c r="P53" i="5"/>
  <c r="N319" i="3"/>
  <c r="P319" i="3" s="1"/>
  <c r="N54" i="5"/>
  <c r="I324" i="3"/>
  <c r="I321" i="3"/>
  <c r="I327" i="3" s="1"/>
  <c r="P17" i="5"/>
  <c r="O180" i="2" s="1"/>
  <c r="O182" i="2" s="1"/>
  <c r="P948" i="8" s="1"/>
  <c r="G22" i="5"/>
  <c r="G24" i="5" s="1"/>
  <c r="K1057" i="8"/>
  <c r="K1063" i="8" s="1"/>
  <c r="H321" i="3"/>
  <c r="F1228" i="20"/>
  <c r="P52" i="5"/>
  <c r="L93" i="3"/>
  <c r="M656" i="20" s="1"/>
  <c r="L90" i="3"/>
  <c r="L165" i="3" s="1"/>
  <c r="D93" i="3"/>
  <c r="D90" i="3"/>
  <c r="D165" i="3" s="1"/>
  <c r="M22" i="5"/>
  <c r="M24" i="5" s="1"/>
  <c r="M180" i="2"/>
  <c r="M182" i="2" s="1"/>
  <c r="N946" i="20" s="1"/>
  <c r="E128" i="3"/>
  <c r="P122" i="3"/>
  <c r="D121" i="3"/>
  <c r="P38" i="5"/>
  <c r="D120" i="3"/>
  <c r="P37" i="5"/>
  <c r="D40" i="5"/>
  <c r="L119" i="3"/>
  <c r="L40" i="5"/>
  <c r="H119" i="3"/>
  <c r="H40" i="5"/>
  <c r="K272" i="3"/>
  <c r="K317" i="3"/>
  <c r="K54" i="5"/>
  <c r="O119" i="3"/>
  <c r="O40" i="5"/>
  <c r="O299" i="3"/>
  <c r="O47" i="5"/>
  <c r="O325" i="3"/>
  <c r="O321" i="3"/>
  <c r="P86" i="3"/>
  <c r="F90" i="3"/>
  <c r="F165" i="3" s="1"/>
  <c r="O657" i="8"/>
  <c r="O663" i="8" s="1"/>
  <c r="O655" i="20"/>
  <c r="K90" i="3"/>
  <c r="K165" i="3" s="1"/>
  <c r="H660" i="8"/>
  <c r="H658" i="20"/>
  <c r="P39" i="5"/>
  <c r="N40" i="5"/>
  <c r="N120" i="3"/>
  <c r="K65" i="5"/>
  <c r="G386" i="3"/>
  <c r="G384" i="3"/>
  <c r="G388" i="3" s="1"/>
  <c r="O92" i="3"/>
  <c r="O90" i="3"/>
  <c r="O165" i="3" s="1"/>
  <c r="G266" i="3"/>
  <c r="G269" i="3" s="1"/>
  <c r="H657" i="20"/>
  <c r="H659" i="8"/>
  <c r="I119" i="3"/>
  <c r="I40" i="5"/>
  <c r="N297" i="3"/>
  <c r="N47" i="5"/>
  <c r="J297" i="3"/>
  <c r="J47" i="5"/>
  <c r="M65" i="5"/>
  <c r="I65" i="5"/>
  <c r="J317" i="3"/>
  <c r="J54" i="5"/>
  <c r="F317" i="3"/>
  <c r="P50" i="5"/>
  <c r="M530" i="8"/>
  <c r="M528" i="20"/>
  <c r="M529" i="20" s="1"/>
  <c r="I494" i="20"/>
  <c r="I93" i="20" s="1"/>
  <c r="E1225" i="8"/>
  <c r="E1166" i="8"/>
  <c r="E1167" i="8" s="1"/>
  <c r="O478" i="8"/>
  <c r="O87" i="8" s="1"/>
  <c r="G1051" i="8"/>
  <c r="E494" i="20"/>
  <c r="E93" i="20" s="1"/>
  <c r="O757" i="8"/>
  <c r="O758" i="8" s="1"/>
  <c r="G903" i="20"/>
  <c r="P297" i="8"/>
  <c r="E478" i="8"/>
  <c r="E479" i="8" s="1"/>
  <c r="O87" i="2"/>
  <c r="O132" i="2"/>
  <c r="O144" i="2" s="1"/>
  <c r="K87" i="2"/>
  <c r="L703" i="20" s="1"/>
  <c r="L182" i="20" s="1"/>
  <c r="K132" i="2"/>
  <c r="G87" i="2"/>
  <c r="G132" i="2"/>
  <c r="G144" i="2" s="1"/>
  <c r="H1224" i="8"/>
  <c r="H1226" i="8" s="1"/>
  <c r="E1132" i="8"/>
  <c r="E311" i="8" s="1"/>
  <c r="H348" i="20"/>
  <c r="O1093" i="20"/>
  <c r="O293" i="20" s="1"/>
  <c r="I140" i="2"/>
  <c r="I87" i="2"/>
  <c r="J703" i="20" s="1"/>
  <c r="I132" i="2"/>
  <c r="E132" i="2"/>
  <c r="I788" i="8"/>
  <c r="I789" i="8" s="1"/>
  <c r="M617" i="20"/>
  <c r="M148" i="20" s="1"/>
  <c r="L597" i="8"/>
  <c r="L595" i="20"/>
  <c r="L141" i="20" s="1"/>
  <c r="K563" i="8"/>
  <c r="K564" i="8" s="1"/>
  <c r="L478" i="8"/>
  <c r="L87" i="8" s="1"/>
  <c r="L461" i="20"/>
  <c r="J48" i="23"/>
  <c r="K48" i="23"/>
  <c r="N976" i="8"/>
  <c r="N256" i="8" s="1"/>
  <c r="N974" i="20"/>
  <c r="N251" i="20" s="1"/>
  <c r="P1098" i="8"/>
  <c r="E87" i="2"/>
  <c r="F704" i="8" s="1"/>
  <c r="F186" i="8" s="1"/>
  <c r="L1132" i="8"/>
  <c r="L1134" i="8" s="1"/>
  <c r="H461" i="8"/>
  <c r="H80" i="8" s="1"/>
  <c r="N1052" i="8"/>
  <c r="J258" i="20"/>
  <c r="O1224" i="20"/>
  <c r="L1251" i="8"/>
  <c r="K1114" i="8"/>
  <c r="K1116" i="8" s="1"/>
  <c r="N830" i="20"/>
  <c r="N223" i="20" s="1"/>
  <c r="I425" i="20"/>
  <c r="I72" i="20" s="1"/>
  <c r="L400" i="8"/>
  <c r="L414" i="8" s="1"/>
  <c r="H1247" i="20"/>
  <c r="H1249" i="20" s="1"/>
  <c r="N290" i="8"/>
  <c r="N1047" i="20"/>
  <c r="N286" i="20" s="1"/>
  <c r="H359" i="8"/>
  <c r="F1093" i="20"/>
  <c r="G1247" i="20"/>
  <c r="G1249" i="20" s="1"/>
  <c r="L786" i="20"/>
  <c r="L196" i="20" s="1"/>
  <c r="H619" i="8"/>
  <c r="H620" i="8" s="1"/>
  <c r="I281" i="2"/>
  <c r="I293" i="2" s="1"/>
  <c r="P1093" i="20"/>
  <c r="O251" i="20"/>
  <c r="G979" i="8"/>
  <c r="H1250" i="8"/>
  <c r="N1116" i="8"/>
  <c r="G321" i="20"/>
  <c r="O901" i="20"/>
  <c r="O903" i="20" s="1"/>
  <c r="I619" i="8"/>
  <c r="I151" i="8" s="1"/>
  <c r="F127" i="20"/>
  <c r="H788" i="8"/>
  <c r="H200" i="8" s="1"/>
  <c r="K495" i="8"/>
  <c r="K94" i="8" s="1"/>
  <c r="F546" i="8"/>
  <c r="F130" i="8" s="1"/>
  <c r="F1163" i="20"/>
  <c r="F1165" i="20" s="1"/>
  <c r="F786" i="20"/>
  <c r="F196" i="20" s="1"/>
  <c r="L140" i="2"/>
  <c r="H140" i="2"/>
  <c r="E529" i="20"/>
  <c r="O757" i="20"/>
  <c r="H595" i="20"/>
  <c r="H141" i="20" s="1"/>
  <c r="E529" i="8"/>
  <c r="E101" i="8" s="1"/>
  <c r="I478" i="8"/>
  <c r="I87" i="8" s="1"/>
  <c r="L1247" i="20"/>
  <c r="L1249" i="20" s="1"/>
  <c r="O1184" i="8"/>
  <c r="O325" i="8" s="1"/>
  <c r="F140" i="2"/>
  <c r="P138" i="2"/>
  <c r="K402" i="8"/>
  <c r="K401" i="8"/>
  <c r="K66" i="8"/>
  <c r="L1250" i="8"/>
  <c r="F318" i="8"/>
  <c r="O1183" i="20"/>
  <c r="K757" i="8"/>
  <c r="K193" i="8" s="1"/>
  <c r="G757" i="8"/>
  <c r="G759" i="8" s="1"/>
  <c r="N1051" i="8"/>
  <c r="O1225" i="20"/>
  <c r="E94" i="8"/>
  <c r="M94" i="8"/>
  <c r="M1224" i="20"/>
  <c r="J496" i="8"/>
  <c r="N496" i="8"/>
  <c r="P974" i="20"/>
  <c r="P977" i="20" s="1"/>
  <c r="P1020" i="8"/>
  <c r="P1022" i="8" s="1"/>
  <c r="O288" i="2"/>
  <c r="O290" i="2" s="1"/>
  <c r="M1225" i="20"/>
  <c r="I196" i="20"/>
  <c r="G831" i="8"/>
  <c r="G359" i="8"/>
  <c r="M788" i="20"/>
  <c r="M1093" i="20"/>
  <c r="M293" i="20" s="1"/>
  <c r="G786" i="20"/>
  <c r="G196" i="20" s="1"/>
  <c r="F619" i="8"/>
  <c r="F620" i="8" s="1"/>
  <c r="N425" i="20"/>
  <c r="N72" i="20" s="1"/>
  <c r="E397" i="20"/>
  <c r="J397" i="20"/>
  <c r="J412" i="20" s="1"/>
  <c r="J427" i="8"/>
  <c r="J73" i="8" s="1"/>
  <c r="E295" i="2"/>
  <c r="H193" i="8"/>
  <c r="L757" i="20"/>
  <c r="F494" i="20"/>
  <c r="F495" i="20" s="1"/>
  <c r="O830" i="20"/>
  <c r="O223" i="20" s="1"/>
  <c r="L757" i="8"/>
  <c r="L758" i="8" s="1"/>
  <c r="M788" i="8"/>
  <c r="M200" i="8" s="1"/>
  <c r="G832" i="8"/>
  <c r="G200" i="8"/>
  <c r="J530" i="8"/>
  <c r="I223" i="20"/>
  <c r="K948" i="8"/>
  <c r="K249" i="8" s="1"/>
  <c r="H1129" i="20"/>
  <c r="H1131" i="20" s="1"/>
  <c r="M595" i="20"/>
  <c r="M141" i="20" s="1"/>
  <c r="H755" i="20"/>
  <c r="L461" i="8"/>
  <c r="N530" i="8"/>
  <c r="N101" i="8"/>
  <c r="F758" i="8"/>
  <c r="F759" i="8"/>
  <c r="F193" i="8"/>
  <c r="M1097" i="8"/>
  <c r="M297" i="8"/>
  <c r="L528" i="20"/>
  <c r="L100" i="20" s="1"/>
  <c r="L529" i="8"/>
  <c r="J755" i="20"/>
  <c r="J757" i="8"/>
  <c r="J193" i="8" s="1"/>
  <c r="I122" i="2"/>
  <c r="P121" i="2"/>
  <c r="E242" i="8"/>
  <c r="E903" i="8"/>
  <c r="F1132" i="8"/>
  <c r="F1129" i="20"/>
  <c r="F1131" i="20" s="1"/>
  <c r="N1129" i="20"/>
  <c r="N1132" i="8"/>
  <c r="N1134" i="8" s="1"/>
  <c r="N128" i="2"/>
  <c r="F948" i="8"/>
  <c r="F249" i="8" s="1"/>
  <c r="K788" i="20"/>
  <c r="F563" i="20"/>
  <c r="J1224" i="8"/>
  <c r="J1227" i="8" s="1"/>
  <c r="N755" i="20"/>
  <c r="N757" i="20" s="1"/>
  <c r="K140" i="2"/>
  <c r="H122" i="2"/>
  <c r="K478" i="8"/>
  <c r="K87" i="8" s="1"/>
  <c r="K477" i="20"/>
  <c r="K86" i="20" s="1"/>
  <c r="E1181" i="20"/>
  <c r="E321" i="20" s="1"/>
  <c r="E1184" i="8"/>
  <c r="E325" i="8" s="1"/>
  <c r="L145" i="2"/>
  <c r="H145" i="2"/>
  <c r="P478" i="8"/>
  <c r="P477" i="20"/>
  <c r="P86" i="20" s="1"/>
  <c r="L1018" i="20"/>
  <c r="L1020" i="8"/>
  <c r="L1023" i="8" s="1"/>
  <c r="L1049" i="8"/>
  <c r="L1047" i="20"/>
  <c r="L286" i="20" s="1"/>
  <c r="N1115" i="8"/>
  <c r="P547" i="8"/>
  <c r="M1183" i="20"/>
  <c r="P99" i="2"/>
  <c r="D17" i="26" s="1"/>
  <c r="O788" i="8"/>
  <c r="O200" i="8" s="1"/>
  <c r="M427" i="8"/>
  <c r="M73" i="8" s="1"/>
  <c r="E461" i="8"/>
  <c r="E80" i="8" s="1"/>
  <c r="G596" i="8"/>
  <c r="G144" i="8" s="1"/>
  <c r="K830" i="20"/>
  <c r="K844" i="20" s="1"/>
  <c r="K830" i="8"/>
  <c r="K832" i="8" s="1"/>
  <c r="G948" i="8"/>
  <c r="G951" i="8" s="1"/>
  <c r="G946" i="20"/>
  <c r="G949" i="20" s="1"/>
  <c r="F1184" i="8"/>
  <c r="F325" i="8" s="1"/>
  <c r="F1181" i="20"/>
  <c r="F321" i="20" s="1"/>
  <c r="J1184" i="8"/>
  <c r="J1181" i="20"/>
  <c r="J321" i="20" s="1"/>
  <c r="N1184" i="8"/>
  <c r="N1185" i="8" s="1"/>
  <c r="N1181" i="20"/>
  <c r="N1183" i="20" s="1"/>
  <c r="O145" i="2"/>
  <c r="N81" i="2"/>
  <c r="E1226" i="8"/>
  <c r="H1224" i="20"/>
  <c r="P1134" i="8"/>
  <c r="H759" i="8"/>
  <c r="I428" i="8"/>
  <c r="P196" i="20"/>
  <c r="J128" i="2"/>
  <c r="N193" i="8"/>
  <c r="G282" i="2"/>
  <c r="M1224" i="8"/>
  <c r="M352" i="8" s="1"/>
  <c r="L1224" i="8"/>
  <c r="L352" i="8" s="1"/>
  <c r="M1184" i="8"/>
  <c r="M1185" i="8" s="1"/>
  <c r="I830" i="8"/>
  <c r="I844" i="8" s="1"/>
  <c r="K788" i="8"/>
  <c r="K790" i="8" s="1"/>
  <c r="K1247" i="20"/>
  <c r="K1248" i="20" s="1"/>
  <c r="J617" i="20"/>
  <c r="G830" i="20"/>
  <c r="G832" i="20" s="1"/>
  <c r="E786" i="20"/>
  <c r="E196" i="20" s="1"/>
  <c r="N170" i="2"/>
  <c r="O856" i="20" s="1"/>
  <c r="P562" i="20"/>
  <c r="P563" i="20" s="1"/>
  <c r="O1224" i="8"/>
  <c r="O1227" i="8" s="1"/>
  <c r="N1111" i="20"/>
  <c r="N1112" i="20" s="1"/>
  <c r="N494" i="20"/>
  <c r="N93" i="20" s="1"/>
  <c r="H902" i="8"/>
  <c r="J122" i="2"/>
  <c r="E122" i="2"/>
  <c r="J595" i="20"/>
  <c r="J141" i="20" s="1"/>
  <c r="J596" i="8"/>
  <c r="D140" i="2"/>
  <c r="L830" i="20"/>
  <c r="L223" i="20" s="1"/>
  <c r="L830" i="8"/>
  <c r="L832" i="8" s="1"/>
  <c r="E901" i="20"/>
  <c r="E237" i="20" s="1"/>
  <c r="G844" i="8"/>
  <c r="J145" i="2"/>
  <c r="F976" i="8"/>
  <c r="F979" i="8" s="1"/>
  <c r="F974" i="20"/>
  <c r="E790" i="8"/>
  <c r="E789" i="8"/>
  <c r="G977" i="8"/>
  <c r="O832" i="8"/>
  <c r="M597" i="8"/>
  <c r="G974" i="20"/>
  <c r="F288" i="2"/>
  <c r="F290" i="2" s="1"/>
  <c r="L1131" i="20"/>
  <c r="L307" i="20"/>
  <c r="F425" i="20"/>
  <c r="F72" i="20" s="1"/>
  <c r="F427" i="8"/>
  <c r="L619" i="8"/>
  <c r="L617" i="20"/>
  <c r="H223" i="20"/>
  <c r="H832" i="20"/>
  <c r="I256" i="8"/>
  <c r="I977" i="8"/>
  <c r="G1093" i="20"/>
  <c r="G293" i="20" s="1"/>
  <c r="G1096" i="8"/>
  <c r="G297" i="8" s="1"/>
  <c r="O297" i="8"/>
  <c r="O1098" i="8"/>
  <c r="H1114" i="8"/>
  <c r="H1111" i="20"/>
  <c r="H300" i="20" s="1"/>
  <c r="L1116" i="8"/>
  <c r="L1115" i="8"/>
  <c r="O1111" i="20"/>
  <c r="O1112" i="20" s="1"/>
  <c r="O1114" i="8"/>
  <c r="K1129" i="20"/>
  <c r="K307" i="20" s="1"/>
  <c r="K1132" i="8"/>
  <c r="L1166" i="8"/>
  <c r="L1163" i="20"/>
  <c r="L1225" i="20"/>
  <c r="L348" i="20"/>
  <c r="I1222" i="20"/>
  <c r="I1224" i="20" s="1"/>
  <c r="I1224" i="8"/>
  <c r="I1227" i="8" s="1"/>
  <c r="P757" i="8"/>
  <c r="P758" i="8" s="1"/>
  <c r="P755" i="20"/>
  <c r="P830" i="20"/>
  <c r="P844" i="20" s="1"/>
  <c r="P830" i="8"/>
  <c r="P844" i="8" s="1"/>
  <c r="G143" i="2"/>
  <c r="G81" i="2"/>
  <c r="K81" i="2"/>
  <c r="L650" i="20" s="1"/>
  <c r="G256" i="8"/>
  <c r="I979" i="8"/>
  <c r="L304" i="8"/>
  <c r="E200" i="8"/>
  <c r="O242" i="8"/>
  <c r="F1167" i="8"/>
  <c r="I974" i="20"/>
  <c r="L1224" i="20"/>
  <c r="E1222" i="20"/>
  <c r="L1130" i="20"/>
  <c r="H1096" i="8"/>
  <c r="K128" i="2"/>
  <c r="P1129" i="20"/>
  <c r="P1131" i="20" s="1"/>
  <c r="I1096" i="8"/>
  <c r="L427" i="8"/>
  <c r="L425" i="20"/>
  <c r="L72" i="20" s="1"/>
  <c r="I902" i="8"/>
  <c r="I904" i="8" s="1"/>
  <c r="I901" i="20"/>
  <c r="I237" i="20" s="1"/>
  <c r="M901" i="20"/>
  <c r="M902" i="8"/>
  <c r="M904" i="8" s="1"/>
  <c r="J288" i="2"/>
  <c r="J290" i="2" s="1"/>
  <c r="J188" i="2"/>
  <c r="K974" i="20" s="1"/>
  <c r="K977" i="20" s="1"/>
  <c r="E1093" i="20"/>
  <c r="E1095" i="20" s="1"/>
  <c r="P222" i="2"/>
  <c r="D27" i="26" s="1"/>
  <c r="E1096" i="8"/>
  <c r="I1129" i="20"/>
  <c r="I307" i="20" s="1"/>
  <c r="I1132" i="8"/>
  <c r="M1129" i="20"/>
  <c r="M1130" i="20" s="1"/>
  <c r="M1132" i="8"/>
  <c r="M311" i="8" s="1"/>
  <c r="J314" i="20"/>
  <c r="J1165" i="20"/>
  <c r="K1224" i="8"/>
  <c r="K1227" i="8" s="1"/>
  <c r="K1222" i="20"/>
  <c r="P250" i="2"/>
  <c r="P460" i="20"/>
  <c r="P79" i="20" s="1"/>
  <c r="P461" i="8"/>
  <c r="P80" i="8" s="1"/>
  <c r="I81" i="2"/>
  <c r="J650" i="20" s="1"/>
  <c r="J155" i="20" s="1"/>
  <c r="E281" i="2"/>
  <c r="E293" i="2" s="1"/>
  <c r="E170" i="2"/>
  <c r="J856" i="8"/>
  <c r="J856" i="20"/>
  <c r="M170" i="2"/>
  <c r="M281" i="2"/>
  <c r="M293" i="2" s="1"/>
  <c r="N87" i="2"/>
  <c r="O704" i="8" s="1"/>
  <c r="O186" i="8" s="1"/>
  <c r="F87" i="2"/>
  <c r="F134" i="2"/>
  <c r="K1018" i="20"/>
  <c r="K1020" i="8"/>
  <c r="K1021" i="8" s="1"/>
  <c r="F282" i="2"/>
  <c r="J81" i="2"/>
  <c r="K650" i="20" s="1"/>
  <c r="F81" i="2"/>
  <c r="J1116" i="8"/>
  <c r="J1115" i="8"/>
  <c r="I978" i="8"/>
  <c r="P1133" i="8"/>
  <c r="O228" i="8"/>
  <c r="F496" i="8"/>
  <c r="K300" i="20"/>
  <c r="G1047" i="20"/>
  <c r="G286" i="20" s="1"/>
  <c r="K901" i="20"/>
  <c r="K903" i="20" s="1"/>
  <c r="L1111" i="20"/>
  <c r="L300" i="20" s="1"/>
  <c r="P545" i="20"/>
  <c r="P127" i="20" s="1"/>
  <c r="J1111" i="20"/>
  <c r="J1113" i="20" s="1"/>
  <c r="O122" i="2"/>
  <c r="O397" i="20"/>
  <c r="O400" i="8"/>
  <c r="O401" i="8" s="1"/>
  <c r="G461" i="8"/>
  <c r="G80" i="8" s="1"/>
  <c r="G460" i="20"/>
  <c r="G79" i="20" s="1"/>
  <c r="O460" i="20"/>
  <c r="O79" i="20" s="1"/>
  <c r="O461" i="8"/>
  <c r="O462" i="8" s="1"/>
  <c r="J546" i="8"/>
  <c r="J545" i="20"/>
  <c r="G189" i="20"/>
  <c r="H196" i="20"/>
  <c r="H788" i="20"/>
  <c r="E143" i="2"/>
  <c r="G140" i="2"/>
  <c r="K1251" i="8"/>
  <c r="K359" i="8"/>
  <c r="G619" i="8"/>
  <c r="G617" i="20"/>
  <c r="I755" i="20"/>
  <c r="I757" i="8"/>
  <c r="I758" i="8" s="1"/>
  <c r="N145" i="2"/>
  <c r="F145" i="2"/>
  <c r="M295" i="2"/>
  <c r="I295" i="2"/>
  <c r="P287" i="2"/>
  <c r="F563" i="8"/>
  <c r="H495" i="8"/>
  <c r="H496" i="8" s="1"/>
  <c r="G1184" i="8"/>
  <c r="G325" i="8" s="1"/>
  <c r="M545" i="20"/>
  <c r="M127" i="20" s="1"/>
  <c r="N143" i="2"/>
  <c r="N140" i="2"/>
  <c r="J140" i="2"/>
  <c r="N295" i="2"/>
  <c r="E1020" i="8"/>
  <c r="E1018" i="20"/>
  <c r="E258" i="20" s="1"/>
  <c r="G1222" i="20"/>
  <c r="G348" i="20" s="1"/>
  <c r="G1224" i="8"/>
  <c r="G1225" i="8" s="1"/>
  <c r="O281" i="2"/>
  <c r="O170" i="2"/>
  <c r="D282" i="2"/>
  <c r="K288" i="2"/>
  <c r="K188" i="2"/>
  <c r="K1096" i="8"/>
  <c r="K1093" i="20"/>
  <c r="K1095" i="20" s="1"/>
  <c r="F1249" i="8"/>
  <c r="F1250" i="8" s="1"/>
  <c r="F1247" i="20"/>
  <c r="F355" i="20" s="1"/>
  <c r="D281" i="2"/>
  <c r="D293" i="2" s="1"/>
  <c r="D170" i="2"/>
  <c r="L281" i="2"/>
  <c r="L170" i="2"/>
  <c r="M856" i="8" s="1"/>
  <c r="D128" i="2"/>
  <c r="H311" i="8"/>
  <c r="H1133" i="8"/>
  <c r="H1134" i="8"/>
  <c r="F1097" i="8"/>
  <c r="F297" i="8"/>
  <c r="F1098" i="8"/>
  <c r="K242" i="8"/>
  <c r="K904" i="8"/>
  <c r="I94" i="8"/>
  <c r="I496" i="8"/>
  <c r="H425" i="20"/>
  <c r="H72" i="20" s="1"/>
  <c r="H427" i="8"/>
  <c r="K425" i="20"/>
  <c r="K72" i="20" s="1"/>
  <c r="K427" i="8"/>
  <c r="F461" i="8"/>
  <c r="F460" i="20"/>
  <c r="I461" i="8"/>
  <c r="I80" i="8" s="1"/>
  <c r="I460" i="20"/>
  <c r="I79" i="20" s="1"/>
  <c r="M460" i="20"/>
  <c r="M461" i="20" s="1"/>
  <c r="M461" i="8"/>
  <c r="F478" i="8"/>
  <c r="F477" i="20"/>
  <c r="F86" i="20" s="1"/>
  <c r="J478" i="8"/>
  <c r="J477" i="20"/>
  <c r="J478" i="20" s="1"/>
  <c r="M478" i="8"/>
  <c r="M477" i="20"/>
  <c r="M86" i="20" s="1"/>
  <c r="G494" i="20"/>
  <c r="G93" i="20" s="1"/>
  <c r="G495" i="8"/>
  <c r="K495" i="20"/>
  <c r="K93" i="20"/>
  <c r="O494" i="20"/>
  <c r="O495" i="8"/>
  <c r="K529" i="8"/>
  <c r="K528" i="20"/>
  <c r="O528" i="20"/>
  <c r="O529" i="8"/>
  <c r="H545" i="20"/>
  <c r="H546" i="8"/>
  <c r="L545" i="20"/>
  <c r="L546" i="8"/>
  <c r="E563" i="8"/>
  <c r="E562" i="20"/>
  <c r="I562" i="20"/>
  <c r="I563" i="8"/>
  <c r="M563" i="8"/>
  <c r="M562" i="20"/>
  <c r="M563" i="20" s="1"/>
  <c r="F596" i="8"/>
  <c r="F595" i="20"/>
  <c r="N595" i="20"/>
  <c r="N141" i="20" s="1"/>
  <c r="N596" i="8"/>
  <c r="K617" i="20"/>
  <c r="K619" i="8"/>
  <c r="N617" i="20"/>
  <c r="N619" i="8"/>
  <c r="P85" i="2"/>
  <c r="L87" i="2"/>
  <c r="H87" i="2"/>
  <c r="L194" i="2"/>
  <c r="L282" i="2"/>
  <c r="H194" i="2"/>
  <c r="H282" i="2"/>
  <c r="H294" i="2" s="1"/>
  <c r="D288" i="2"/>
  <c r="D200" i="2"/>
  <c r="E1047" i="20" s="1"/>
  <c r="E1049" i="20" s="1"/>
  <c r="L288" i="2"/>
  <c r="L200" i="2"/>
  <c r="M976" i="8"/>
  <c r="M974" i="20"/>
  <c r="M976" i="20" s="1"/>
  <c r="O946" i="20"/>
  <c r="O948" i="8"/>
  <c r="E1111" i="20"/>
  <c r="E1112" i="20" s="1"/>
  <c r="E1114" i="8"/>
  <c r="I1163" i="20"/>
  <c r="I1166" i="8"/>
  <c r="M1166" i="8"/>
  <c r="M318" i="8" s="1"/>
  <c r="M1163" i="20"/>
  <c r="M1164" i="20" s="1"/>
  <c r="I1181" i="20"/>
  <c r="I1184" i="8"/>
  <c r="J1249" i="8"/>
  <c r="J1250" i="8" s="1"/>
  <c r="J1247" i="20"/>
  <c r="J1248" i="20" s="1"/>
  <c r="N1249" i="8"/>
  <c r="N1247" i="20"/>
  <c r="N1248" i="20" s="1"/>
  <c r="L278" i="2"/>
  <c r="H281" i="2"/>
  <c r="H293" i="2" s="1"/>
  <c r="H170" i="2"/>
  <c r="G288" i="2"/>
  <c r="G290" i="2" s="1"/>
  <c r="M151" i="8"/>
  <c r="E148" i="20"/>
  <c r="E618" i="20"/>
  <c r="D122" i="2"/>
  <c r="L412" i="20"/>
  <c r="L65" i="20"/>
  <c r="G425" i="20"/>
  <c r="G427" i="8"/>
  <c r="J80" i="8"/>
  <c r="J462" i="8"/>
  <c r="N460" i="20"/>
  <c r="N461" i="8"/>
  <c r="H93" i="20"/>
  <c r="H495" i="20"/>
  <c r="L495" i="8"/>
  <c r="L494" i="20"/>
  <c r="H528" i="20"/>
  <c r="H529" i="8"/>
  <c r="E545" i="20"/>
  <c r="E546" i="8"/>
  <c r="I545" i="20"/>
  <c r="I546" i="8"/>
  <c r="M130" i="8"/>
  <c r="M547" i="8"/>
  <c r="J562" i="20"/>
  <c r="J563" i="8"/>
  <c r="N562" i="20"/>
  <c r="N563" i="8"/>
  <c r="H148" i="20"/>
  <c r="H618" i="20"/>
  <c r="O619" i="8"/>
  <c r="O617" i="20"/>
  <c r="O618" i="20" s="1"/>
  <c r="K244" i="20"/>
  <c r="K949" i="20"/>
  <c r="J1225" i="20"/>
  <c r="J348" i="20"/>
  <c r="N228" i="8"/>
  <c r="N832" i="8"/>
  <c r="P1049" i="8"/>
  <c r="P1047" i="20"/>
  <c r="P1049" i="20" s="1"/>
  <c r="P75" i="2"/>
  <c r="D26" i="26" s="1"/>
  <c r="D70" i="26" s="1"/>
  <c r="H237" i="20"/>
  <c r="H903" i="20"/>
  <c r="L1181" i="20"/>
  <c r="L1182" i="20" s="1"/>
  <c r="L1184" i="8"/>
  <c r="L1185" i="8" s="1"/>
  <c r="M87" i="2"/>
  <c r="M134" i="2"/>
  <c r="E194" i="2"/>
  <c r="E282" i="2"/>
  <c r="J1047" i="20"/>
  <c r="J1049" i="20" s="1"/>
  <c r="J1049" i="8"/>
  <c r="J1051" i="8" s="1"/>
  <c r="F1047" i="20"/>
  <c r="F1049" i="8"/>
  <c r="K282" i="2"/>
  <c r="K182" i="2"/>
  <c r="L946" i="20" s="1"/>
  <c r="P397" i="20"/>
  <c r="P400" i="8"/>
  <c r="P417" i="8" s="1"/>
  <c r="O425" i="20"/>
  <c r="O72" i="20" s="1"/>
  <c r="O427" i="8"/>
  <c r="H478" i="8"/>
  <c r="H477" i="20"/>
  <c r="H86" i="20" s="1"/>
  <c r="I528" i="20"/>
  <c r="I529" i="20" s="1"/>
  <c r="I529" i="8"/>
  <c r="K563" i="20"/>
  <c r="K134" i="20"/>
  <c r="O564" i="8"/>
  <c r="O137" i="8"/>
  <c r="E755" i="20"/>
  <c r="E757" i="8"/>
  <c r="P139" i="2"/>
  <c r="P176" i="2"/>
  <c r="L1093" i="20"/>
  <c r="L1095" i="20" s="1"/>
  <c r="L1096" i="8"/>
  <c r="N1166" i="8"/>
  <c r="N1163" i="20"/>
  <c r="N1164" i="20" s="1"/>
  <c r="P494" i="20"/>
  <c r="P495" i="8"/>
  <c r="P1020" i="20"/>
  <c r="P258" i="20"/>
  <c r="H1020" i="8"/>
  <c r="H1018" i="20"/>
  <c r="P1021" i="20"/>
  <c r="F949" i="20"/>
  <c r="M1098" i="8"/>
  <c r="H293" i="20"/>
  <c r="O976" i="8"/>
  <c r="O977" i="8" s="1"/>
  <c r="P137" i="8"/>
  <c r="M189" i="20"/>
  <c r="E81" i="2"/>
  <c r="E619" i="8"/>
  <c r="O562" i="20"/>
  <c r="M494" i="20"/>
  <c r="M140" i="2"/>
  <c r="F830" i="8"/>
  <c r="F844" i="8" s="1"/>
  <c r="K460" i="20"/>
  <c r="K79" i="20" s="1"/>
  <c r="K122" i="2"/>
  <c r="M757" i="8"/>
  <c r="M758" i="8" s="1"/>
  <c r="P93" i="2"/>
  <c r="D16" i="26" s="1"/>
  <c r="D60" i="26" s="1"/>
  <c r="F755" i="20"/>
  <c r="O196" i="20"/>
  <c r="O788" i="20"/>
  <c r="J902" i="8"/>
  <c r="J904" i="8" s="1"/>
  <c r="J901" i="20"/>
  <c r="N901" i="20"/>
  <c r="N902" i="8"/>
  <c r="N904" i="8" s="1"/>
  <c r="M288" i="2"/>
  <c r="M290" i="2" s="1"/>
  <c r="I288" i="2"/>
  <c r="I290" i="2" s="1"/>
  <c r="E288" i="2"/>
  <c r="P186" i="2"/>
  <c r="G1111" i="20"/>
  <c r="G1112" i="20" s="1"/>
  <c r="G1114" i="8"/>
  <c r="J1129" i="20"/>
  <c r="J1132" i="8"/>
  <c r="O1163" i="20"/>
  <c r="O1164" i="20" s="1"/>
  <c r="O1166" i="8"/>
  <c r="H278" i="2"/>
  <c r="D278" i="2"/>
  <c r="J295" i="2"/>
  <c r="P1166" i="8"/>
  <c r="P1163" i="20"/>
  <c r="P1164" i="20" s="1"/>
  <c r="M122" i="2"/>
  <c r="P164" i="2"/>
  <c r="O1247" i="20"/>
  <c r="O1248" i="20" s="1"/>
  <c r="O1249" i="8"/>
  <c r="G145" i="2"/>
  <c r="J281" i="2"/>
  <c r="J293" i="2" s="1"/>
  <c r="J170" i="2"/>
  <c r="K278" i="2"/>
  <c r="J278" i="2"/>
  <c r="H295" i="2"/>
  <c r="O140" i="2"/>
  <c r="O295" i="2"/>
  <c r="E1130" i="20"/>
  <c r="E1131" i="20"/>
  <c r="F278" i="2"/>
  <c r="K295" i="2"/>
  <c r="H974" i="20"/>
  <c r="H976" i="20" s="1"/>
  <c r="H977" i="8"/>
  <c r="H979" i="8"/>
  <c r="H1049" i="8"/>
  <c r="H1047" i="20"/>
  <c r="F223" i="20"/>
  <c r="F832" i="20"/>
  <c r="F618" i="20"/>
  <c r="F148" i="20"/>
  <c r="G546" i="8"/>
  <c r="G545" i="20"/>
  <c r="P47" i="2"/>
  <c r="D23" i="26" s="1"/>
  <c r="D67" i="26" s="1"/>
  <c r="O545" i="20"/>
  <c r="O546" i="8"/>
  <c r="H562" i="20"/>
  <c r="H563" i="8"/>
  <c r="L563" i="8"/>
  <c r="L562" i="20"/>
  <c r="E596" i="8"/>
  <c r="E595" i="20"/>
  <c r="P70" i="2"/>
  <c r="D25" i="26" s="1"/>
  <c r="D69" i="26" s="1"/>
  <c r="I595" i="20"/>
  <c r="I141" i="20" s="1"/>
  <c r="I596" i="8"/>
  <c r="M1247" i="20"/>
  <c r="M1249" i="8"/>
  <c r="P277" i="2"/>
  <c r="G295" i="2"/>
  <c r="G278" i="2"/>
  <c r="M278" i="2"/>
  <c r="I278" i="2"/>
  <c r="P276" i="2"/>
  <c r="E278" i="2"/>
  <c r="P283" i="2"/>
  <c r="D295" i="2"/>
  <c r="H200" i="2"/>
  <c r="H288" i="2"/>
  <c r="L81" i="2"/>
  <c r="H81" i="2"/>
  <c r="M81" i="2"/>
  <c r="N652" i="8" s="1"/>
  <c r="N654" i="8" s="1"/>
  <c r="J1020" i="20"/>
  <c r="H978" i="8"/>
  <c r="H256" i="8"/>
  <c r="K127" i="20"/>
  <c r="E307" i="20"/>
  <c r="K546" i="8"/>
  <c r="E977" i="8"/>
  <c r="E979" i="8"/>
  <c r="E256" i="8"/>
  <c r="O1023" i="8"/>
  <c r="O1021" i="8"/>
  <c r="O1022" i="8"/>
  <c r="O263" i="8"/>
  <c r="G87" i="8"/>
  <c r="N293" i="2"/>
  <c r="H397" i="20"/>
  <c r="H402" i="8"/>
  <c r="E974" i="20"/>
  <c r="E976" i="20" s="1"/>
  <c r="J620" i="8"/>
  <c r="N788" i="20"/>
  <c r="N196" i="20"/>
  <c r="H1184" i="8"/>
  <c r="H1181" i="20"/>
  <c r="H1182" i="20" s="1"/>
  <c r="P246" i="2"/>
  <c r="D31" i="26" s="1"/>
  <c r="D75" i="26" s="1"/>
  <c r="P133" i="2"/>
  <c r="J143" i="2"/>
  <c r="P131" i="2"/>
  <c r="D143" i="2"/>
  <c r="D134" i="2"/>
  <c r="F295" i="2"/>
  <c r="F1224" i="8"/>
  <c r="F1227" i="8" s="1"/>
  <c r="P252" i="2"/>
  <c r="P425" i="20"/>
  <c r="P72" i="20" s="1"/>
  <c r="P427" i="8"/>
  <c r="P528" i="20"/>
  <c r="P529" i="8"/>
  <c r="P901" i="20"/>
  <c r="P902" i="8"/>
  <c r="P904" i="8" s="1"/>
  <c r="P1247" i="20"/>
  <c r="P1248" i="20" s="1"/>
  <c r="P1249" i="8"/>
  <c r="O278" i="2"/>
  <c r="P1222" i="20"/>
  <c r="P1224" i="8"/>
  <c r="O81" i="2"/>
  <c r="G281" i="2"/>
  <c r="G170" i="2"/>
  <c r="K281" i="2"/>
  <c r="K170" i="2"/>
  <c r="N134" i="2"/>
  <c r="J87" i="2"/>
  <c r="F194" i="2"/>
  <c r="P192" i="2"/>
  <c r="N200" i="2"/>
  <c r="N288" i="2"/>
  <c r="N290" i="2" s="1"/>
  <c r="K1047" i="20"/>
  <c r="K1049" i="8"/>
  <c r="K1052" i="8" s="1"/>
  <c r="E223" i="20"/>
  <c r="E832" i="20"/>
  <c r="F1224" i="20"/>
  <c r="F348" i="20"/>
  <c r="H314" i="20"/>
  <c r="H1165" i="20"/>
  <c r="G1050" i="8"/>
  <c r="E978" i="8"/>
  <c r="O1018" i="20"/>
  <c r="J151" i="8"/>
  <c r="F1225" i="20"/>
  <c r="E1165" i="20"/>
  <c r="P977" i="8"/>
  <c r="P978" i="8"/>
  <c r="P256" i="8"/>
  <c r="I618" i="20"/>
  <c r="I148" i="20"/>
  <c r="H597" i="8"/>
  <c r="H144" i="8"/>
  <c r="J976" i="8"/>
  <c r="J974" i="20"/>
  <c r="J976" i="20" s="1"/>
  <c r="I948" i="8"/>
  <c r="I949" i="8" s="1"/>
  <c r="I946" i="20"/>
  <c r="G397" i="20"/>
  <c r="P17" i="2"/>
  <c r="N400" i="8"/>
  <c r="N417" i="8" s="1"/>
  <c r="N397" i="20"/>
  <c r="O904" i="8"/>
  <c r="G528" i="20"/>
  <c r="G529" i="8"/>
  <c r="L901" i="20"/>
  <c r="L902" i="8"/>
  <c r="L904" i="8" s="1"/>
  <c r="N282" i="2"/>
  <c r="J1093" i="20"/>
  <c r="J1096" i="8"/>
  <c r="N1093" i="20"/>
  <c r="N1096" i="8"/>
  <c r="N1097" i="8" s="1"/>
  <c r="K1184" i="8"/>
  <c r="K1181" i="20"/>
  <c r="M946" i="20"/>
  <c r="M948" i="20" s="1"/>
  <c r="M948" i="8"/>
  <c r="M951" i="8" s="1"/>
  <c r="I293" i="20"/>
  <c r="P52" i="2"/>
  <c r="D24" i="26" s="1"/>
  <c r="D68" i="26" s="1"/>
  <c r="I1111" i="20"/>
  <c r="I1112" i="20" s="1"/>
  <c r="I1114" i="8"/>
  <c r="M1111" i="20"/>
  <c r="M1112" i="20" s="1"/>
  <c r="M1114" i="8"/>
  <c r="G1132" i="8"/>
  <c r="P234" i="2"/>
  <c r="D29" i="26" s="1"/>
  <c r="D73" i="26" s="1"/>
  <c r="G1129" i="20"/>
  <c r="O1132" i="8"/>
  <c r="O1129" i="20"/>
  <c r="H1166" i="8"/>
  <c r="P240" i="2"/>
  <c r="D30" i="26" s="1"/>
  <c r="D74" i="26" s="1"/>
  <c r="K1163" i="20"/>
  <c r="K1164" i="20" s="1"/>
  <c r="K1166" i="8"/>
  <c r="J528" i="20"/>
  <c r="G902" i="8"/>
  <c r="K397" i="20"/>
  <c r="J1166" i="8"/>
  <c r="P27" i="2"/>
  <c r="D22" i="26" s="1"/>
  <c r="D66" i="26" s="1"/>
  <c r="J460" i="20"/>
  <c r="P32" i="2"/>
  <c r="D18" i="26" s="1"/>
  <c r="D62" i="26" s="1"/>
  <c r="G477" i="20"/>
  <c r="N478" i="8"/>
  <c r="N477" i="20"/>
  <c r="N86" i="20" s="1"/>
  <c r="F128" i="2"/>
  <c r="P78" i="2"/>
  <c r="H134" i="2"/>
  <c r="F397" i="20"/>
  <c r="F400" i="8"/>
  <c r="F417" i="8" s="1"/>
  <c r="M397" i="20"/>
  <c r="M400" i="8"/>
  <c r="M417" i="8" s="1"/>
  <c r="E359" i="8"/>
  <c r="E1251" i="8"/>
  <c r="N1018" i="20"/>
  <c r="N1020" i="8"/>
  <c r="F528" i="20"/>
  <c r="F529" i="8"/>
  <c r="P42" i="2"/>
  <c r="D20" i="26" s="1"/>
  <c r="D64" i="26" s="1"/>
  <c r="N545" i="20"/>
  <c r="N546" i="8"/>
  <c r="G563" i="8"/>
  <c r="G562" i="20"/>
  <c r="J786" i="20"/>
  <c r="J788" i="8"/>
  <c r="J790" i="8" s="1"/>
  <c r="G122" i="2"/>
  <c r="P120" i="2"/>
  <c r="E140" i="2"/>
  <c r="J830" i="20"/>
  <c r="J846" i="20" s="1"/>
  <c r="J830" i="8"/>
  <c r="J844" i="8" s="1"/>
  <c r="M830" i="20"/>
  <c r="M844" i="20" s="1"/>
  <c r="M830" i="8"/>
  <c r="M844" i="8" s="1"/>
  <c r="G1163" i="20"/>
  <c r="G1166" i="8"/>
  <c r="E1247" i="20"/>
  <c r="E1248" i="20" s="1"/>
  <c r="P271" i="2"/>
  <c r="D32" i="26" s="1"/>
  <c r="D76" i="26" s="1"/>
  <c r="I1247" i="20"/>
  <c r="I1249" i="8"/>
  <c r="L295" i="2"/>
  <c r="N278" i="2"/>
  <c r="P289" i="2"/>
  <c r="L134" i="2"/>
  <c r="J282" i="2"/>
  <c r="P37" i="2"/>
  <c r="D19" i="26" s="1"/>
  <c r="D63" i="26" s="1"/>
  <c r="K595" i="20"/>
  <c r="K141" i="20" s="1"/>
  <c r="K596" i="8"/>
  <c r="O595" i="20"/>
  <c r="O141" i="20" s="1"/>
  <c r="O596" i="8"/>
  <c r="L122" i="2"/>
  <c r="F901" i="20"/>
  <c r="F902" i="8"/>
  <c r="P228" i="2"/>
  <c r="D28" i="26" s="1"/>
  <c r="D72" i="26" s="1"/>
  <c r="F1114" i="8"/>
  <c r="F170" i="2"/>
  <c r="F281" i="2"/>
  <c r="P198" i="2"/>
  <c r="P596" i="8"/>
  <c r="P595" i="20"/>
  <c r="P141" i="20" s="1"/>
  <c r="P617" i="20"/>
  <c r="P619" i="8"/>
  <c r="P1114" i="8"/>
  <c r="P1111" i="20"/>
  <c r="P1112" i="20" s="1"/>
  <c r="P1184" i="8"/>
  <c r="P1181" i="20"/>
  <c r="P1182" i="20" s="1"/>
  <c r="K903" i="8"/>
  <c r="K145" i="2"/>
  <c r="M145" i="2"/>
  <c r="E145" i="2"/>
  <c r="L128" i="2"/>
  <c r="H128" i="2"/>
  <c r="I145" i="2"/>
  <c r="I143" i="2"/>
  <c r="H143" i="2"/>
  <c r="M128" i="2"/>
  <c r="L143" i="2"/>
  <c r="M143" i="2"/>
  <c r="P409" i="8"/>
  <c r="N469" i="8"/>
  <c r="J409" i="8"/>
  <c r="J69" i="8" s="1"/>
  <c r="E468" i="20"/>
  <c r="E82" i="20" s="1"/>
  <c r="O433" i="20"/>
  <c r="H1095" i="20"/>
  <c r="E433" i="20"/>
  <c r="I433" i="20"/>
  <c r="H48" i="23"/>
  <c r="I54" i="23"/>
  <c r="L42" i="23"/>
  <c r="G54" i="23"/>
  <c r="G48" i="23"/>
  <c r="L48" i="23"/>
  <c r="D42" i="23"/>
  <c r="J415" i="8"/>
  <c r="I415" i="8"/>
  <c r="L415" i="8"/>
  <c r="P415" i="8"/>
  <c r="N415" i="8"/>
  <c r="F790" i="8"/>
  <c r="L790" i="8"/>
  <c r="G790" i="8"/>
  <c r="E904" i="8"/>
  <c r="G1052" i="8"/>
  <c r="N1137" i="8"/>
  <c r="J1116" i="20"/>
  <c r="K1116" i="20"/>
  <c r="H1119" i="8"/>
  <c r="H461" i="20"/>
  <c r="K462" i="8"/>
  <c r="E461" i="20"/>
  <c r="E428" i="8"/>
  <c r="N429" i="20"/>
  <c r="I429" i="20"/>
  <c r="L549" i="20"/>
  <c r="G549" i="20"/>
  <c r="I549" i="20"/>
  <c r="F1112" i="20"/>
  <c r="K1112" i="20"/>
  <c r="M426" i="20"/>
  <c r="J426" i="20"/>
  <c r="G1182" i="20"/>
  <c r="M1182" i="20"/>
  <c r="H1164" i="20"/>
  <c r="O1134" i="20"/>
  <c r="K1134" i="20"/>
  <c r="G596" i="20"/>
  <c r="M566" i="20"/>
  <c r="N566" i="20"/>
  <c r="J566" i="20"/>
  <c r="E566" i="20"/>
  <c r="H498" i="20"/>
  <c r="G498" i="20"/>
  <c r="G1134" i="20"/>
  <c r="N428" i="8"/>
  <c r="F499" i="8"/>
  <c r="G1250" i="8"/>
  <c r="K1250" i="8"/>
  <c r="L789" i="8"/>
  <c r="K663" i="8"/>
  <c r="N758" i="8"/>
  <c r="L478" i="20"/>
  <c r="O478" i="20"/>
  <c r="N717" i="8"/>
  <c r="E478" i="20"/>
  <c r="G479" i="8"/>
  <c r="I478" i="20"/>
  <c r="E464" i="20"/>
  <c r="E1164" i="20"/>
  <c r="P405" i="8"/>
  <c r="E1227" i="8"/>
  <c r="E844" i="20"/>
  <c r="H844" i="20"/>
  <c r="N844" i="8"/>
  <c r="O844" i="8"/>
  <c r="F844" i="20"/>
  <c r="I844" i="20"/>
  <c r="K1229" i="20"/>
  <c r="M1026" i="8"/>
  <c r="P1024" i="20"/>
  <c r="L1029" i="8"/>
  <c r="H946" i="20"/>
  <c r="H948" i="8"/>
  <c r="I983" i="8"/>
  <c r="E224" i="20"/>
  <c r="E128" i="2"/>
  <c r="I792" i="8"/>
  <c r="I803" i="8" s="1"/>
  <c r="H41" i="23"/>
  <c r="F53" i="23"/>
  <c r="G428" i="20"/>
  <c r="H53" i="23"/>
  <c r="H54" i="23" s="1"/>
  <c r="I430" i="8"/>
  <c r="J1224" i="20"/>
  <c r="K481" i="20"/>
  <c r="E834" i="8"/>
  <c r="P84" i="3"/>
  <c r="O1115" i="20"/>
  <c r="O1118" i="8"/>
  <c r="N122" i="2"/>
  <c r="P137" i="2"/>
  <c r="E318" i="3"/>
  <c r="E54" i="5"/>
  <c r="K757" i="20"/>
  <c r="G430" i="8"/>
  <c r="E531" i="20"/>
  <c r="E533" i="20" s="1"/>
  <c r="E425" i="20"/>
  <c r="P22" i="2"/>
  <c r="D21" i="26" s="1"/>
  <c r="D65" i="26" s="1"/>
  <c r="F1113" i="20"/>
  <c r="F300" i="20"/>
  <c r="L795" i="20"/>
  <c r="F122" i="2"/>
  <c r="D415" i="20"/>
  <c r="I22" i="5"/>
  <c r="I24" i="5" s="1"/>
  <c r="I180" i="2"/>
  <c r="J1164" i="20"/>
  <c r="K176" i="3"/>
  <c r="O1182" i="20"/>
  <c r="G757" i="20"/>
  <c r="I128" i="3"/>
  <c r="L800" i="20"/>
  <c r="I800" i="20"/>
  <c r="E413" i="20"/>
  <c r="K413" i="20"/>
  <c r="F413" i="20"/>
  <c r="N716" i="8"/>
  <c r="G1063" i="8"/>
  <c r="G981" i="20"/>
  <c r="G983" i="8"/>
  <c r="E1032" i="8"/>
  <c r="N709" i="20"/>
  <c r="J1024" i="20"/>
  <c r="J1026" i="8"/>
  <c r="J1032" i="8" s="1"/>
  <c r="L1055" i="20"/>
  <c r="L1057" i="8"/>
  <c r="M1053" i="20"/>
  <c r="M1055" i="8"/>
  <c r="J405" i="8"/>
  <c r="J67" i="8"/>
  <c r="G982" i="8"/>
  <c r="L834" i="8"/>
  <c r="L845" i="8" s="1"/>
  <c r="I161" i="3"/>
  <c r="N402" i="3"/>
  <c r="Q30" i="20"/>
  <c r="H56" i="14" s="1"/>
  <c r="O126" i="3"/>
  <c r="F948" i="20"/>
  <c r="K948" i="20"/>
  <c r="F1064" i="8"/>
  <c r="O976" i="20"/>
  <c r="F1056" i="20"/>
  <c r="J659" i="8"/>
  <c r="J657" i="20"/>
  <c r="N387" i="3"/>
  <c r="K660" i="8"/>
  <c r="K658" i="20"/>
  <c r="L658" i="8"/>
  <c r="L656" i="20"/>
  <c r="H728" i="20" l="1"/>
  <c r="P728" i="20"/>
  <c r="J728" i="20"/>
  <c r="O728" i="20"/>
  <c r="I728" i="20"/>
  <c r="E728" i="20"/>
  <c r="L728" i="20"/>
  <c r="F728" i="20"/>
  <c r="G728" i="20"/>
  <c r="K728" i="20"/>
  <c r="M728" i="20"/>
  <c r="N728" i="20"/>
  <c r="H1099" i="20"/>
  <c r="H675" i="20"/>
  <c r="P675" i="20"/>
  <c r="J675" i="20"/>
  <c r="G675" i="20"/>
  <c r="I675" i="20"/>
  <c r="E675" i="20"/>
  <c r="K675" i="20"/>
  <c r="L675" i="20"/>
  <c r="F675" i="20"/>
  <c r="M675" i="20"/>
  <c r="N675" i="20"/>
  <c r="O675" i="20"/>
  <c r="L776" i="20"/>
  <c r="N776" i="20"/>
  <c r="M776" i="20"/>
  <c r="G776" i="20"/>
  <c r="O776" i="20"/>
  <c r="P776" i="20"/>
  <c r="F776" i="20"/>
  <c r="H776" i="20"/>
  <c r="I776" i="20"/>
  <c r="J776" i="20"/>
  <c r="E776" i="20"/>
  <c r="K776" i="20"/>
  <c r="F414" i="20"/>
  <c r="N414" i="20"/>
  <c r="H414" i="20"/>
  <c r="P414" i="20"/>
  <c r="G414" i="20"/>
  <c r="O414" i="20"/>
  <c r="I414" i="20"/>
  <c r="E414" i="20"/>
  <c r="J414" i="20"/>
  <c r="M414" i="20"/>
  <c r="L414" i="20"/>
  <c r="K414" i="20"/>
  <c r="E801" i="20"/>
  <c r="L801" i="20"/>
  <c r="F801" i="20"/>
  <c r="N801" i="20"/>
  <c r="M801" i="20"/>
  <c r="G801" i="20"/>
  <c r="O801" i="20"/>
  <c r="H801" i="20"/>
  <c r="P801" i="20"/>
  <c r="I801" i="20"/>
  <c r="J801" i="20"/>
  <c r="K801" i="20"/>
  <c r="J1099" i="20"/>
  <c r="E847" i="20"/>
  <c r="E845" i="8"/>
  <c r="E793" i="8"/>
  <c r="E797" i="8"/>
  <c r="E803" i="8"/>
  <c r="Q792" i="8"/>
  <c r="O845" i="8"/>
  <c r="O847" i="8" s="1"/>
  <c r="G837" i="8"/>
  <c r="G841" i="8" s="1"/>
  <c r="E409" i="8"/>
  <c r="E416" i="8"/>
  <c r="Q416" i="8" s="1"/>
  <c r="L803" i="8"/>
  <c r="F803" i="8"/>
  <c r="G803" i="8"/>
  <c r="K803" i="8"/>
  <c r="H803" i="8"/>
  <c r="N803" i="8"/>
  <c r="P803" i="8"/>
  <c r="J803" i="8"/>
  <c r="M803" i="8"/>
  <c r="A778" i="8"/>
  <c r="A779" i="8" s="1"/>
  <c r="A781" i="8" s="1"/>
  <c r="A784" i="8" s="1"/>
  <c r="A786" i="8" s="1"/>
  <c r="A788" i="8" s="1"/>
  <c r="A789" i="8" s="1"/>
  <c r="A790" i="8" s="1"/>
  <c r="A792" i="8" s="1"/>
  <c r="A793" i="8" s="1"/>
  <c r="Q845" i="20"/>
  <c r="A845" i="20"/>
  <c r="A846" i="20" s="1"/>
  <c r="A847" i="20" s="1"/>
  <c r="A849" i="20" s="1"/>
  <c r="A852" i="20" s="1"/>
  <c r="A854" i="20" s="1"/>
  <c r="A856" i="20" s="1"/>
  <c r="A857" i="20" s="1"/>
  <c r="A858" i="20" s="1"/>
  <c r="A860" i="20" s="1"/>
  <c r="A861" i="20" s="1"/>
  <c r="A862" i="20" s="1"/>
  <c r="A863" i="20" s="1"/>
  <c r="A864" i="20" s="1"/>
  <c r="A866" i="20" s="1"/>
  <c r="A867" i="20" s="1"/>
  <c r="A868" i="20" s="1"/>
  <c r="A869" i="20" s="1"/>
  <c r="A870" i="20" s="1"/>
  <c r="A872" i="20" s="1"/>
  <c r="A873" i="20" s="1"/>
  <c r="A874" i="20" s="1"/>
  <c r="A876" i="20" s="1"/>
  <c r="A878" i="20" s="1"/>
  <c r="A776" i="20"/>
  <c r="A777" i="20" s="1"/>
  <c r="A779" i="20" s="1"/>
  <c r="A782" i="20" s="1"/>
  <c r="A784" i="20" s="1"/>
  <c r="A786" i="20" s="1"/>
  <c r="A787" i="20" s="1"/>
  <c r="A788" i="20" s="1"/>
  <c r="A790" i="20" s="1"/>
  <c r="A791" i="20" s="1"/>
  <c r="A792" i="20" s="1"/>
  <c r="A793" i="20" s="1"/>
  <c r="A795" i="20" s="1"/>
  <c r="A797" i="20" s="1"/>
  <c r="A799" i="20" s="1"/>
  <c r="A800" i="20" s="1"/>
  <c r="A499" i="20"/>
  <c r="A500" i="20" s="1"/>
  <c r="A502" i="20" s="1"/>
  <c r="A504" i="20" s="1"/>
  <c r="A526" i="20" s="1"/>
  <c r="A528" i="20" s="1"/>
  <c r="A529" i="20" s="1"/>
  <c r="A531" i="20" s="1"/>
  <c r="A532" i="20" s="1"/>
  <c r="A414" i="20"/>
  <c r="A415" i="20" s="1"/>
  <c r="A416" i="20" s="1"/>
  <c r="A418" i="20" s="1"/>
  <c r="A421" i="20" s="1"/>
  <c r="A423" i="20" s="1"/>
  <c r="A425" i="20" s="1"/>
  <c r="A426" i="20" s="1"/>
  <c r="A428" i="20" s="1"/>
  <c r="A429" i="20" s="1"/>
  <c r="A431" i="20" s="1"/>
  <c r="A433" i="20" s="1"/>
  <c r="A435" i="20" s="1"/>
  <c r="A416" i="8"/>
  <c r="A417" i="8" s="1"/>
  <c r="A418" i="8" s="1"/>
  <c r="A420" i="8" s="1"/>
  <c r="A423" i="8" s="1"/>
  <c r="A425" i="8" s="1"/>
  <c r="A427" i="8" s="1"/>
  <c r="A428" i="8" s="1"/>
  <c r="A430" i="8" s="1"/>
  <c r="A431" i="8" s="1"/>
  <c r="A433" i="8" s="1"/>
  <c r="A435" i="8" s="1"/>
  <c r="A437" i="8" s="1"/>
  <c r="J845" i="8"/>
  <c r="N845" i="8"/>
  <c r="P845" i="8"/>
  <c r="A846" i="8"/>
  <c r="A847" i="8" s="1"/>
  <c r="A849" i="8" s="1"/>
  <c r="A852" i="8" s="1"/>
  <c r="A854" i="8" s="1"/>
  <c r="A856" i="8" s="1"/>
  <c r="A857" i="8" s="1"/>
  <c r="A858" i="8" s="1"/>
  <c r="A860" i="8" s="1"/>
  <c r="A861" i="8" s="1"/>
  <c r="A862" i="8" s="1"/>
  <c r="A863" i="8" s="1"/>
  <c r="A864" i="8" s="1"/>
  <c r="A866" i="8" s="1"/>
  <c r="A867" i="8" s="1"/>
  <c r="A868" i="8" s="1"/>
  <c r="A869" i="8" s="1"/>
  <c r="A870" i="8" s="1"/>
  <c r="A872" i="8" s="1"/>
  <c r="A873" i="8" s="1"/>
  <c r="A874" i="8" s="1"/>
  <c r="A876" i="8" s="1"/>
  <c r="A878" i="8" s="1"/>
  <c r="A900" i="8" s="1"/>
  <c r="A902" i="8" s="1"/>
  <c r="A903" i="8" s="1"/>
  <c r="A904" i="8" s="1"/>
  <c r="A906" i="8" s="1"/>
  <c r="A907" i="8" s="1"/>
  <c r="A908" i="8" s="1"/>
  <c r="A909" i="8" s="1"/>
  <c r="A910" i="8" s="1"/>
  <c r="A912" i="8" s="1"/>
  <c r="A913" i="8" s="1"/>
  <c r="A914" i="8" s="1"/>
  <c r="A915" i="8" s="1"/>
  <c r="A916" i="8" s="1"/>
  <c r="A918" i="8" s="1"/>
  <c r="A919" i="8" s="1"/>
  <c r="A845" i="8"/>
  <c r="A500" i="8"/>
  <c r="A501" i="8" s="1"/>
  <c r="A503" i="8" s="1"/>
  <c r="A505" i="8" s="1"/>
  <c r="P294" i="20"/>
  <c r="P1099" i="20"/>
  <c r="G294" i="20"/>
  <c r="G1099" i="20"/>
  <c r="M294" i="20"/>
  <c r="M1099" i="20"/>
  <c r="O980" i="20"/>
  <c r="O983" i="20" s="1"/>
  <c r="O989" i="20" s="1"/>
  <c r="E294" i="20"/>
  <c r="N294" i="20"/>
  <c r="N1099" i="20"/>
  <c r="K294" i="20"/>
  <c r="K1099" i="20"/>
  <c r="O294" i="20"/>
  <c r="O1099" i="20"/>
  <c r="L294" i="20"/>
  <c r="L1099" i="20"/>
  <c r="I298" i="8"/>
  <c r="G298" i="8"/>
  <c r="N298" i="8"/>
  <c r="F1103" i="8"/>
  <c r="E298" i="8"/>
  <c r="O1103" i="8"/>
  <c r="O299" i="8" s="1"/>
  <c r="J1101" i="8"/>
  <c r="M1101" i="8"/>
  <c r="M1103" i="8" s="1"/>
  <c r="M299" i="8" s="1"/>
  <c r="H298" i="8"/>
  <c r="A982" i="20"/>
  <c r="A984" i="20" s="1"/>
  <c r="A985" i="20" s="1"/>
  <c r="A986" i="20" s="1"/>
  <c r="E483" i="20"/>
  <c r="E487" i="20" s="1"/>
  <c r="E90" i="20" s="1"/>
  <c r="P94" i="20"/>
  <c r="L94" i="20"/>
  <c r="K101" i="20"/>
  <c r="K533" i="20"/>
  <c r="H500" i="20"/>
  <c r="H504" i="20" s="1"/>
  <c r="H97" i="20" s="1"/>
  <c r="L532" i="20"/>
  <c r="L533" i="20"/>
  <c r="M481" i="20"/>
  <c r="M482" i="20"/>
  <c r="I94" i="20"/>
  <c r="I87" i="20"/>
  <c r="I482" i="20"/>
  <c r="J101" i="20"/>
  <c r="J533" i="20"/>
  <c r="E94" i="20"/>
  <c r="J481" i="20"/>
  <c r="J482" i="20"/>
  <c r="M534" i="20"/>
  <c r="M538" i="20" s="1"/>
  <c r="M104" i="20" s="1"/>
  <c r="P101" i="20"/>
  <c r="P533" i="20"/>
  <c r="F532" i="20"/>
  <c r="F533" i="20"/>
  <c r="K94" i="20"/>
  <c r="N87" i="20"/>
  <c r="N482" i="20"/>
  <c r="F94" i="20"/>
  <c r="J94" i="20"/>
  <c r="F87" i="20"/>
  <c r="F482" i="20"/>
  <c r="O101" i="20"/>
  <c r="O533" i="20"/>
  <c r="H532" i="20"/>
  <c r="H533" i="20"/>
  <c r="G87" i="20"/>
  <c r="G482" i="20"/>
  <c r="O94" i="20"/>
  <c r="G259" i="20"/>
  <c r="G1036" i="20"/>
  <c r="G983" i="20"/>
  <c r="G989" i="20" s="1"/>
  <c r="E964" i="8"/>
  <c r="O836" i="8"/>
  <c r="E836" i="8"/>
  <c r="L836" i="8"/>
  <c r="F836" i="8"/>
  <c r="O88" i="8"/>
  <c r="O483" i="8"/>
  <c r="J535" i="8"/>
  <c r="J539" i="8" s="1"/>
  <c r="J105" i="8" s="1"/>
  <c r="P102" i="8"/>
  <c r="P534" i="8"/>
  <c r="H406" i="8"/>
  <c r="O406" i="8"/>
  <c r="P88" i="8"/>
  <c r="P483" i="8"/>
  <c r="G95" i="8"/>
  <c r="G500" i="8"/>
  <c r="I95" i="8"/>
  <c r="I500" i="8"/>
  <c r="L95" i="8"/>
  <c r="L500" i="8"/>
  <c r="E482" i="8"/>
  <c r="M533" i="8"/>
  <c r="M534" i="8"/>
  <c r="I794" i="8"/>
  <c r="J88" i="8"/>
  <c r="J483" i="8"/>
  <c r="G406" i="8"/>
  <c r="K769" i="8"/>
  <c r="K88" i="8"/>
  <c r="K483" i="8"/>
  <c r="F102" i="8"/>
  <c r="F534" i="8"/>
  <c r="F501" i="8"/>
  <c r="F96" i="8" s="1"/>
  <c r="G102" i="8"/>
  <c r="G534" i="8"/>
  <c r="F482" i="8"/>
  <c r="F483" i="8"/>
  <c r="E501" i="8"/>
  <c r="E505" i="8" s="1"/>
  <c r="M718" i="8"/>
  <c r="N718" i="8"/>
  <c r="N719" i="8" s="1"/>
  <c r="I718" i="8"/>
  <c r="G666" i="8"/>
  <c r="G667" i="8" s="1"/>
  <c r="M666" i="8"/>
  <c r="F666" i="8"/>
  <c r="O666" i="8"/>
  <c r="E666" i="8"/>
  <c r="N666" i="8"/>
  <c r="G484" i="8"/>
  <c r="H666" i="8"/>
  <c r="P666" i="8"/>
  <c r="J501" i="8"/>
  <c r="J505" i="8" s="1"/>
  <c r="J98" i="8" s="1"/>
  <c r="K985" i="8"/>
  <c r="K991" i="8" s="1"/>
  <c r="N957" i="8"/>
  <c r="N963" i="8" s="1"/>
  <c r="E405" i="8"/>
  <c r="E406" i="8"/>
  <c r="O955" i="20"/>
  <c r="O961" i="20" s="1"/>
  <c r="I399" i="20"/>
  <c r="E955" i="20"/>
  <c r="E961" i="20" s="1"/>
  <c r="F955" i="20"/>
  <c r="F961" i="20" s="1"/>
  <c r="N197" i="20"/>
  <c r="L86" i="22" s="1"/>
  <c r="N792" i="20"/>
  <c r="H224" i="20"/>
  <c r="H836" i="20"/>
  <c r="I245" i="20"/>
  <c r="I962" i="20"/>
  <c r="K197" i="20"/>
  <c r="I86" i="22" s="1"/>
  <c r="K792" i="20"/>
  <c r="O224" i="20"/>
  <c r="O836" i="20"/>
  <c r="I231" i="20"/>
  <c r="I873" i="20"/>
  <c r="G245" i="20"/>
  <c r="G962" i="20"/>
  <c r="K245" i="20"/>
  <c r="K962" i="20"/>
  <c r="M224" i="20"/>
  <c r="M836" i="20"/>
  <c r="O197" i="20"/>
  <c r="M86" i="22" s="1"/>
  <c r="O792" i="20"/>
  <c r="M795" i="20"/>
  <c r="M792" i="20"/>
  <c r="E190" i="20"/>
  <c r="E767" i="20"/>
  <c r="E800" i="20"/>
  <c r="E792" i="20"/>
  <c r="J245" i="20"/>
  <c r="J962" i="20"/>
  <c r="H800" i="20"/>
  <c r="H792" i="20"/>
  <c r="F197" i="20"/>
  <c r="D86" i="22" s="1"/>
  <c r="F792" i="20"/>
  <c r="K231" i="20"/>
  <c r="K873" i="20"/>
  <c r="J800" i="20"/>
  <c r="J792" i="20"/>
  <c r="K224" i="20"/>
  <c r="K836" i="20"/>
  <c r="P245" i="20"/>
  <c r="P962" i="20"/>
  <c r="F224" i="20"/>
  <c r="F836" i="20"/>
  <c r="H245" i="20"/>
  <c r="H962" i="20"/>
  <c r="E415" i="20"/>
  <c r="L245" i="20"/>
  <c r="L962" i="20"/>
  <c r="N245" i="20"/>
  <c r="N962" i="20"/>
  <c r="J190" i="20"/>
  <c r="J767" i="20"/>
  <c r="K190" i="20"/>
  <c r="K767" i="20"/>
  <c r="N224" i="20"/>
  <c r="N836" i="20"/>
  <c r="G197" i="20"/>
  <c r="E86" i="22" s="1"/>
  <c r="G792" i="20"/>
  <c r="G224" i="20"/>
  <c r="G836" i="20"/>
  <c r="P197" i="20"/>
  <c r="N86" i="22" s="1"/>
  <c r="P792" i="20"/>
  <c r="M245" i="20"/>
  <c r="M962" i="20"/>
  <c r="G66" i="20"/>
  <c r="G403" i="20"/>
  <c r="P407" i="20"/>
  <c r="P68" i="20" s="1"/>
  <c r="P403" i="20"/>
  <c r="N413" i="20"/>
  <c r="N403" i="20"/>
  <c r="I407" i="20"/>
  <c r="I68" i="20" s="1"/>
  <c r="I403" i="20"/>
  <c r="J413" i="20"/>
  <c r="J403" i="20"/>
  <c r="O66" i="20"/>
  <c r="O403" i="20"/>
  <c r="M66" i="20"/>
  <c r="M403" i="20"/>
  <c r="H413" i="20"/>
  <c r="H403" i="20"/>
  <c r="L413" i="20"/>
  <c r="L403" i="20"/>
  <c r="E75" i="20"/>
  <c r="I75" i="20"/>
  <c r="N75" i="20"/>
  <c r="O75" i="20"/>
  <c r="O985" i="8"/>
  <c r="O991" i="8" s="1"/>
  <c r="N985" i="8"/>
  <c r="N991" i="8" s="1"/>
  <c r="G985" i="8"/>
  <c r="G991" i="8" s="1"/>
  <c r="P957" i="8"/>
  <c r="P963" i="8" s="1"/>
  <c r="J957" i="8"/>
  <c r="J963" i="8" s="1"/>
  <c r="F987" i="8"/>
  <c r="N987" i="8"/>
  <c r="L957" i="8"/>
  <c r="L963" i="8" s="1"/>
  <c r="H957" i="8"/>
  <c r="H963" i="8" s="1"/>
  <c r="I957" i="8"/>
  <c r="I963" i="8" s="1"/>
  <c r="F957" i="8"/>
  <c r="F963" i="8" s="1"/>
  <c r="O957" i="8"/>
  <c r="O963" i="8" s="1"/>
  <c r="G957" i="8"/>
  <c r="G963" i="8" s="1"/>
  <c r="L959" i="8"/>
  <c r="H959" i="8"/>
  <c r="O959" i="8"/>
  <c r="G959" i="8"/>
  <c r="G962" i="8" s="1"/>
  <c r="I56" i="14"/>
  <c r="J56" i="14" s="1"/>
  <c r="I59" i="14"/>
  <c r="J59" i="14" s="1"/>
  <c r="L846" i="8"/>
  <c r="H846" i="8"/>
  <c r="H847" i="8" s="1"/>
  <c r="O846" i="20"/>
  <c r="K846" i="20"/>
  <c r="P846" i="20"/>
  <c r="H1254" i="20"/>
  <c r="H356" i="20" s="1"/>
  <c r="E17" i="26"/>
  <c r="E61" i="26" s="1"/>
  <c r="E25" i="26"/>
  <c r="E69" i="26" s="1"/>
  <c r="E27" i="26"/>
  <c r="E71" i="26" s="1"/>
  <c r="C202" i="28"/>
  <c r="A263" i="3"/>
  <c r="A265" i="3" s="1"/>
  <c r="A266" i="3" s="1"/>
  <c r="A267" i="3" s="1"/>
  <c r="K1256" i="8"/>
  <c r="K360" i="8" s="1"/>
  <c r="N980" i="20"/>
  <c r="L982" i="8"/>
  <c r="P987" i="8"/>
  <c r="P990" i="8" s="1"/>
  <c r="P980" i="20"/>
  <c r="G1256" i="8"/>
  <c r="G360" i="8" s="1"/>
  <c r="H1256" i="8"/>
  <c r="H360" i="8" s="1"/>
  <c r="I269" i="3"/>
  <c r="I430" i="3" s="1"/>
  <c r="I431" i="3" s="1"/>
  <c r="J982" i="8"/>
  <c r="L1256" i="8"/>
  <c r="L360" i="8" s="1"/>
  <c r="F980" i="20"/>
  <c r="L1258" i="8"/>
  <c r="L1260" i="8" s="1"/>
  <c r="L1262" i="8" s="1"/>
  <c r="L1266" i="8" s="1"/>
  <c r="L363" i="8" s="1"/>
  <c r="N1254" i="20"/>
  <c r="N356" i="20" s="1"/>
  <c r="H1256" i="20"/>
  <c r="H1258" i="20" s="1"/>
  <c r="F1256" i="8"/>
  <c r="F360" i="8" s="1"/>
  <c r="F294" i="2"/>
  <c r="O1254" i="20"/>
  <c r="O356" i="20" s="1"/>
  <c r="P1254" i="20"/>
  <c r="P356" i="20" s="1"/>
  <c r="O1256" i="20"/>
  <c r="O1258" i="20" s="1"/>
  <c r="M1256" i="8"/>
  <c r="M360" i="8" s="1"/>
  <c r="O1256" i="8"/>
  <c r="O360" i="8" s="1"/>
  <c r="P1256" i="8"/>
  <c r="P360" i="8" s="1"/>
  <c r="L1254" i="20"/>
  <c r="L356" i="20" s="1"/>
  <c r="Q1253" i="20"/>
  <c r="I1254" i="20"/>
  <c r="I356" i="20" s="1"/>
  <c r="J1254" i="20"/>
  <c r="J356" i="20" s="1"/>
  <c r="I1256" i="8"/>
  <c r="I360" i="8" s="1"/>
  <c r="K1258" i="8"/>
  <c r="K1260" i="8" s="1"/>
  <c r="K1262" i="8" s="1"/>
  <c r="K1266" i="8" s="1"/>
  <c r="K363" i="8" s="1"/>
  <c r="N201" i="8"/>
  <c r="L38" i="22" s="1"/>
  <c r="N794" i="8"/>
  <c r="I1258" i="8"/>
  <c r="I1260" i="8" s="1"/>
  <c r="M1257" i="20"/>
  <c r="M1258" i="20" s="1"/>
  <c r="Q1255" i="8"/>
  <c r="P257" i="8"/>
  <c r="P992" i="8"/>
  <c r="Q1252" i="20"/>
  <c r="F1254" i="20"/>
  <c r="F356" i="20" s="1"/>
  <c r="G802" i="8"/>
  <c r="G794" i="8"/>
  <c r="P802" i="8"/>
  <c r="P794" i="8"/>
  <c r="N1257" i="20"/>
  <c r="M1254" i="20"/>
  <c r="M356" i="20" s="1"/>
  <c r="J1256" i="8"/>
  <c r="J360" i="8" s="1"/>
  <c r="L797" i="8"/>
  <c r="L203" i="8" s="1"/>
  <c r="L794" i="8"/>
  <c r="H797" i="8"/>
  <c r="H794" i="8"/>
  <c r="K1254" i="20"/>
  <c r="K356" i="20" s="1"/>
  <c r="F793" i="8"/>
  <c r="F794" i="8"/>
  <c r="N1256" i="8"/>
  <c r="N360" i="8" s="1"/>
  <c r="J793" i="8"/>
  <c r="J794" i="8"/>
  <c r="E794" i="8"/>
  <c r="G194" i="8"/>
  <c r="G769" i="8"/>
  <c r="G1256" i="20"/>
  <c r="K797" i="8"/>
  <c r="K203" i="8" s="1"/>
  <c r="K794" i="8"/>
  <c r="O797" i="8"/>
  <c r="O794" i="8"/>
  <c r="M201" i="8"/>
  <c r="K38" i="22" s="1"/>
  <c r="M794" i="8"/>
  <c r="Q1254" i="8"/>
  <c r="K250" i="8"/>
  <c r="K964" i="8"/>
  <c r="M250" i="8"/>
  <c r="M964" i="8"/>
  <c r="N835" i="8"/>
  <c r="N836" i="8"/>
  <c r="I835" i="8"/>
  <c r="I836" i="8"/>
  <c r="P835" i="8"/>
  <c r="P836" i="8"/>
  <c r="J229" i="8"/>
  <c r="J836" i="8"/>
  <c r="P164" i="3"/>
  <c r="F409" i="8"/>
  <c r="F69" i="8" s="1"/>
  <c r="F406" i="8"/>
  <c r="M405" i="8"/>
  <c r="M406" i="8"/>
  <c r="K67" i="8"/>
  <c r="K406" i="8"/>
  <c r="E13" i="26"/>
  <c r="F846" i="8"/>
  <c r="P846" i="8"/>
  <c r="G846" i="20"/>
  <c r="L846" i="20"/>
  <c r="M846" i="20"/>
  <c r="N846" i="20"/>
  <c r="I846" i="8"/>
  <c r="M846" i="8"/>
  <c r="K846" i="8"/>
  <c r="J846" i="8"/>
  <c r="E846" i="8"/>
  <c r="I412" i="20"/>
  <c r="I401" i="8"/>
  <c r="E412" i="20"/>
  <c r="E399" i="20"/>
  <c r="J417" i="8"/>
  <c r="J414" i="8"/>
  <c r="J402" i="8"/>
  <c r="O417" i="8"/>
  <c r="J401" i="8"/>
  <c r="L417" i="8"/>
  <c r="H415" i="20"/>
  <c r="P415" i="20"/>
  <c r="K415" i="20"/>
  <c r="G415" i="20"/>
  <c r="I415" i="20"/>
  <c r="J415" i="20"/>
  <c r="F415" i="20"/>
  <c r="O415" i="20"/>
  <c r="L415" i="20"/>
  <c r="M415" i="20"/>
  <c r="N415" i="20"/>
  <c r="L76" i="8"/>
  <c r="M76" i="8"/>
  <c r="O76" i="8"/>
  <c r="K76" i="8"/>
  <c r="H76" i="8"/>
  <c r="J76" i="8"/>
  <c r="D71" i="26"/>
  <c r="D288" i="26" s="1"/>
  <c r="A99" i="20"/>
  <c r="A100" i="20" s="1"/>
  <c r="A101" i="20" s="1"/>
  <c r="A102" i="20" s="1"/>
  <c r="A103" i="20" s="1"/>
  <c r="A104" i="20" s="1"/>
  <c r="A127" i="20" s="1"/>
  <c r="A128" i="20" s="1"/>
  <c r="A129" i="20" s="1"/>
  <c r="A130" i="20" s="1"/>
  <c r="A131" i="20" s="1"/>
  <c r="A133" i="20" s="1"/>
  <c r="A134" i="20" s="1"/>
  <c r="A135" i="20" s="1"/>
  <c r="A136" i="20" s="1"/>
  <c r="A137" i="20" s="1"/>
  <c r="A138" i="20" s="1"/>
  <c r="L101" i="20"/>
  <c r="K294" i="2"/>
  <c r="L294" i="2"/>
  <c r="E294" i="2"/>
  <c r="J294" i="2"/>
  <c r="J296" i="2" s="1"/>
  <c r="N294" i="2"/>
  <c r="N300" i="2" s="1"/>
  <c r="G294" i="2"/>
  <c r="G300" i="2" s="1"/>
  <c r="D294" i="2"/>
  <c r="G40" i="26"/>
  <c r="I40" i="26" s="1"/>
  <c r="A136" i="8"/>
  <c r="A137" i="8" s="1"/>
  <c r="A138" i="8" s="1"/>
  <c r="A139" i="8" s="1"/>
  <c r="A140" i="8" s="1"/>
  <c r="A141" i="8" s="1"/>
  <c r="A143" i="8" s="1"/>
  <c r="A144" i="8" s="1"/>
  <c r="A145" i="8" s="1"/>
  <c r="A146" i="8" s="1"/>
  <c r="A147" i="8" s="1"/>
  <c r="A148" i="8" s="1"/>
  <c r="A150" i="8" s="1"/>
  <c r="A151" i="8" s="1"/>
  <c r="A152" i="8" s="1"/>
  <c r="A153" i="8" s="1"/>
  <c r="A154" i="8" s="1"/>
  <c r="A155" i="8" s="1"/>
  <c r="A157" i="8" s="1"/>
  <c r="A158" i="8" s="1"/>
  <c r="A159" i="8" s="1"/>
  <c r="A160" i="8" s="1"/>
  <c r="A161" i="8" s="1"/>
  <c r="A162" i="8" s="1"/>
  <c r="E1258" i="8"/>
  <c r="E1256" i="8"/>
  <c r="E360" i="8" s="1"/>
  <c r="A196" i="2"/>
  <c r="A197" i="2" s="1"/>
  <c r="A198" i="2" s="1"/>
  <c r="A199" i="2" s="1"/>
  <c r="A200" i="2" s="1"/>
  <c r="A219" i="2" s="1"/>
  <c r="A220" i="2" s="1"/>
  <c r="A221" i="2" s="1"/>
  <c r="A222" i="2" s="1"/>
  <c r="A224" i="2" s="1"/>
  <c r="A225" i="2" s="1"/>
  <c r="A226" i="2" s="1"/>
  <c r="A227" i="2" s="1"/>
  <c r="A228" i="2" s="1"/>
  <c r="A230" i="2" s="1"/>
  <c r="A231" i="2" s="1"/>
  <c r="A232" i="2" s="1"/>
  <c r="A233" i="2" s="1"/>
  <c r="A234" i="2" s="1"/>
  <c r="A236" i="2" s="1"/>
  <c r="A237" i="2" s="1"/>
  <c r="A238" i="2" s="1"/>
  <c r="A239" i="2" s="1"/>
  <c r="A240" i="2" s="1"/>
  <c r="A242" i="2" s="1"/>
  <c r="A243" i="2" s="1"/>
  <c r="A244" i="2" s="1"/>
  <c r="A245" i="2" s="1"/>
  <c r="A246" i="2" s="1"/>
  <c r="I134" i="2"/>
  <c r="I144" i="2"/>
  <c r="I146" i="2" s="1"/>
  <c r="K134" i="2"/>
  <c r="K144" i="2"/>
  <c r="E134" i="2"/>
  <c r="E144" i="2"/>
  <c r="E146" i="2" s="1"/>
  <c r="E650" i="20"/>
  <c r="E155" i="20" s="1"/>
  <c r="P81" i="2"/>
  <c r="A21" i="2"/>
  <c r="A22" i="2" s="1"/>
  <c r="A24" i="2" s="1"/>
  <c r="A25" i="2" s="1"/>
  <c r="J1021" i="8"/>
  <c r="P125" i="2"/>
  <c r="M134" i="20"/>
  <c r="P200" i="8"/>
  <c r="N100" i="20"/>
  <c r="P790" i="8"/>
  <c r="J495" i="20"/>
  <c r="D301" i="2"/>
  <c r="J1023" i="8"/>
  <c r="D271" i="26"/>
  <c r="D272" i="26" s="1"/>
  <c r="G272" i="26" s="1"/>
  <c r="D61" i="26"/>
  <c r="J263" i="8"/>
  <c r="I962" i="8"/>
  <c r="G39" i="26"/>
  <c r="E1259" i="8"/>
  <c r="G37" i="26"/>
  <c r="I37" i="26" s="1"/>
  <c r="G605" i="20"/>
  <c r="G607" i="20" s="1"/>
  <c r="G143" i="20" s="1"/>
  <c r="K1258" i="20"/>
  <c r="G1248" i="20"/>
  <c r="N844" i="20"/>
  <c r="E495" i="20"/>
  <c r="F1130" i="20"/>
  <c r="J1258" i="20"/>
  <c r="M1192" i="20"/>
  <c r="M1194" i="20" s="1"/>
  <c r="M1198" i="20" s="1"/>
  <c r="M325" i="20" s="1"/>
  <c r="P1258" i="20"/>
  <c r="L1258" i="20"/>
  <c r="E1258" i="20"/>
  <c r="K1192" i="20"/>
  <c r="J605" i="20"/>
  <c r="J1195" i="8"/>
  <c r="P402" i="3"/>
  <c r="E32" i="26" s="1"/>
  <c r="E76" i="26" s="1"/>
  <c r="I426" i="20"/>
  <c r="I431" i="20" s="1"/>
  <c r="I435" i="20" s="1"/>
  <c r="I76" i="20" s="1"/>
  <c r="N1116" i="20"/>
  <c r="O237" i="20"/>
  <c r="N1192" i="20"/>
  <c r="I1258" i="20"/>
  <c r="P293" i="20"/>
  <c r="N300" i="20"/>
  <c r="F314" i="20"/>
  <c r="G1192" i="20"/>
  <c r="G1194" i="20" s="1"/>
  <c r="G323" i="20" s="1"/>
  <c r="F1095" i="20"/>
  <c r="F293" i="20"/>
  <c r="N605" i="20"/>
  <c r="I58" i="14"/>
  <c r="J58" i="14"/>
  <c r="E228" i="8"/>
  <c r="N606" i="8"/>
  <c r="N1260" i="8"/>
  <c r="F1260" i="8"/>
  <c r="G606" i="8"/>
  <c r="J1260" i="8"/>
  <c r="H1260" i="8"/>
  <c r="H1262" i="8" s="1"/>
  <c r="H361" i="8" s="1"/>
  <c r="E67" i="8"/>
  <c r="K200" i="8"/>
  <c r="G768" i="8"/>
  <c r="P1195" i="8"/>
  <c r="E318" i="8"/>
  <c r="H831" i="8"/>
  <c r="M606" i="8"/>
  <c r="M608" i="8" s="1"/>
  <c r="M612" i="8" s="1"/>
  <c r="M148" i="8" s="1"/>
  <c r="G61" i="14"/>
  <c r="H625" i="8"/>
  <c r="H153" i="8" s="1"/>
  <c r="D67" i="5"/>
  <c r="G96" i="3"/>
  <c r="G23" i="23" s="1"/>
  <c r="G24" i="23" s="1"/>
  <c r="G180" i="3"/>
  <c r="J166" i="3"/>
  <c r="N96" i="3"/>
  <c r="N23" i="23" s="1"/>
  <c r="N24" i="23" s="1"/>
  <c r="E96" i="3"/>
  <c r="E23" i="23" s="1"/>
  <c r="E24" i="23" s="1"/>
  <c r="E166" i="3"/>
  <c r="L386" i="3"/>
  <c r="M1228" i="20" s="1"/>
  <c r="A38" i="15"/>
  <c r="A40" i="15" s="1"/>
  <c r="A41" i="15" s="1"/>
  <c r="A43" i="15" s="1"/>
  <c r="A44" i="15" s="1"/>
  <c r="A45" i="15" s="1"/>
  <c r="A46" i="15" s="1"/>
  <c r="A30" i="15"/>
  <c r="A31" i="15" s="1"/>
  <c r="A33" i="15" s="1"/>
  <c r="A34" i="15" s="1"/>
  <c r="A35" i="15" s="1"/>
  <c r="A36" i="15" s="1"/>
  <c r="I768" i="8"/>
  <c r="N768" i="8"/>
  <c r="P569" i="8"/>
  <c r="P139" i="8" s="1"/>
  <c r="E61" i="14"/>
  <c r="N790" i="8"/>
  <c r="G1137" i="8"/>
  <c r="O1260" i="8"/>
  <c r="N1225" i="8"/>
  <c r="E844" i="8"/>
  <c r="N1227" i="8"/>
  <c r="L402" i="8"/>
  <c r="E1168" i="8"/>
  <c r="E1173" i="8" s="1"/>
  <c r="E87" i="8"/>
  <c r="N352" i="8"/>
  <c r="P1260" i="8"/>
  <c r="E832" i="8"/>
  <c r="E1133" i="8"/>
  <c r="H832" i="8"/>
  <c r="L1133" i="8"/>
  <c r="L1139" i="8" s="1"/>
  <c r="L313" i="8" s="1"/>
  <c r="M1260" i="8"/>
  <c r="N789" i="8"/>
  <c r="K304" i="8"/>
  <c r="O479" i="8"/>
  <c r="N1036" i="8"/>
  <c r="H67" i="5"/>
  <c r="O67" i="5"/>
  <c r="L67" i="5"/>
  <c r="F67" i="5"/>
  <c r="J67" i="5"/>
  <c r="M129" i="3"/>
  <c r="M29" i="23" s="1"/>
  <c r="M30" i="23" s="1"/>
  <c r="M170" i="3"/>
  <c r="M180" i="3" s="1"/>
  <c r="M181" i="3" s="1"/>
  <c r="G67" i="5"/>
  <c r="P40" i="5"/>
  <c r="M282" i="2"/>
  <c r="N948" i="8"/>
  <c r="N951" i="8" s="1"/>
  <c r="P22" i="5"/>
  <c r="P24" i="5" s="1"/>
  <c r="O282" i="2"/>
  <c r="O294" i="2" s="1"/>
  <c r="P946" i="20"/>
  <c r="O169" i="3"/>
  <c r="O179" i="3" s="1"/>
  <c r="N169" i="3"/>
  <c r="N179" i="3" s="1"/>
  <c r="I169" i="3"/>
  <c r="I179" i="3" s="1"/>
  <c r="G169" i="3"/>
  <c r="G171" i="3" s="1"/>
  <c r="F169" i="3"/>
  <c r="F179" i="3" s="1"/>
  <c r="J567" i="8"/>
  <c r="G601" i="20"/>
  <c r="G142" i="20" s="1"/>
  <c r="M1134" i="20"/>
  <c r="P1192" i="20"/>
  <c r="J1119" i="8"/>
  <c r="J1121" i="8" s="1"/>
  <c r="J1125" i="8" s="1"/>
  <c r="J308" i="8" s="1"/>
  <c r="G409" i="8"/>
  <c r="G69" i="8" s="1"/>
  <c r="F1192" i="20"/>
  <c r="J298" i="8"/>
  <c r="O498" i="20"/>
  <c r="G621" i="20"/>
  <c r="F606" i="8"/>
  <c r="E567" i="8"/>
  <c r="M87" i="20"/>
  <c r="J498" i="20"/>
  <c r="J74" i="8"/>
  <c r="J431" i="8"/>
  <c r="M434" i="3"/>
  <c r="M441" i="3" s="1"/>
  <c r="N481" i="20"/>
  <c r="O413" i="20"/>
  <c r="J797" i="8"/>
  <c r="J203" i="8" s="1"/>
  <c r="P1188" i="20"/>
  <c r="P322" i="20" s="1"/>
  <c r="H1101" i="8"/>
  <c r="L407" i="20"/>
  <c r="L68" i="20" s="1"/>
  <c r="M413" i="20"/>
  <c r="G464" i="20"/>
  <c r="M793" i="8"/>
  <c r="M797" i="8"/>
  <c r="M802" i="8"/>
  <c r="F429" i="20"/>
  <c r="E1195" i="8"/>
  <c r="I481" i="20"/>
  <c r="O1137" i="8"/>
  <c r="J835" i="8"/>
  <c r="M102" i="8"/>
  <c r="F567" i="8"/>
  <c r="I465" i="8"/>
  <c r="I469" i="8"/>
  <c r="I83" i="8" s="1"/>
  <c r="E712" i="8"/>
  <c r="M549" i="20"/>
  <c r="G465" i="8"/>
  <c r="F433" i="20"/>
  <c r="O709" i="8"/>
  <c r="O715" i="8" s="1"/>
  <c r="F405" i="8"/>
  <c r="O762" i="20"/>
  <c r="P229" i="8"/>
  <c r="P566" i="20"/>
  <c r="P568" i="20" s="1"/>
  <c r="P572" i="20" s="1"/>
  <c r="P138" i="20" s="1"/>
  <c r="I1116" i="20"/>
  <c r="F415" i="8"/>
  <c r="F67" i="8"/>
  <c r="H549" i="20"/>
  <c r="G469" i="8"/>
  <c r="G83" i="8" s="1"/>
  <c r="P1191" i="8"/>
  <c r="P326" i="8" s="1"/>
  <c r="E131" i="8"/>
  <c r="L917" i="8"/>
  <c r="M81" i="8"/>
  <c r="J73" i="20"/>
  <c r="J482" i="8"/>
  <c r="E81" i="8"/>
  <c r="M407" i="20"/>
  <c r="M68" i="20" s="1"/>
  <c r="E431" i="8"/>
  <c r="E435" i="8"/>
  <c r="F498" i="20"/>
  <c r="P1137" i="8"/>
  <c r="P1139" i="8" s="1"/>
  <c r="P313" i="8" s="1"/>
  <c r="K532" i="20"/>
  <c r="O532" i="20"/>
  <c r="L66" i="20"/>
  <c r="N1101" i="8"/>
  <c r="M415" i="8"/>
  <c r="M465" i="8"/>
  <c r="E1236" i="8"/>
  <c r="O623" i="8"/>
  <c r="J802" i="8"/>
  <c r="G602" i="8"/>
  <c r="G145" i="8" s="1"/>
  <c r="G481" i="20"/>
  <c r="G499" i="8"/>
  <c r="N1134" i="20"/>
  <c r="I623" i="8"/>
  <c r="M567" i="8"/>
  <c r="J532" i="20"/>
  <c r="P433" i="20"/>
  <c r="H429" i="20"/>
  <c r="H433" i="20"/>
  <c r="N66" i="20"/>
  <c r="H101" i="20"/>
  <c r="O800" i="20"/>
  <c r="H465" i="8"/>
  <c r="J433" i="20"/>
  <c r="M468" i="20"/>
  <c r="M82" i="20" s="1"/>
  <c r="O74" i="8"/>
  <c r="G67" i="8"/>
  <c r="K621" i="20"/>
  <c r="M67" i="8"/>
  <c r="F533" i="8"/>
  <c r="L434" i="3"/>
  <c r="M605" i="20"/>
  <c r="J431" i="20"/>
  <c r="J74" i="20" s="1"/>
  <c r="M464" i="20"/>
  <c r="M466" i="20" s="1"/>
  <c r="M433" i="20"/>
  <c r="G468" i="20"/>
  <c r="G82" i="20" s="1"/>
  <c r="G415" i="8"/>
  <c r="I762" i="20"/>
  <c r="E469" i="8"/>
  <c r="E83" i="8" s="1"/>
  <c r="J201" i="8"/>
  <c r="H38" i="22" s="1"/>
  <c r="I229" i="8"/>
  <c r="M409" i="8"/>
  <c r="M69" i="8" s="1"/>
  <c r="M1191" i="8"/>
  <c r="M326" i="8" s="1"/>
  <c r="D434" i="3"/>
  <c r="O795" i="20"/>
  <c r="I434" i="3"/>
  <c r="N407" i="20"/>
  <c r="N68" i="20" s="1"/>
  <c r="P73" i="20"/>
  <c r="E1191" i="8"/>
  <c r="E326" i="8" s="1"/>
  <c r="K482" i="8"/>
  <c r="L910" i="20"/>
  <c r="L917" i="20" s="1"/>
  <c r="F434" i="3"/>
  <c r="P413" i="20"/>
  <c r="N601" i="20"/>
  <c r="N142" i="20" s="1"/>
  <c r="L464" i="20"/>
  <c r="L466" i="20" s="1"/>
  <c r="O434" i="3"/>
  <c r="K960" i="8"/>
  <c r="K962" i="8" s="1"/>
  <c r="O67" i="8"/>
  <c r="M960" i="8"/>
  <c r="M962" i="8" s="1"/>
  <c r="P131" i="8"/>
  <c r="K709" i="8"/>
  <c r="K715" i="8" s="1"/>
  <c r="K434" i="3"/>
  <c r="I1195" i="8"/>
  <c r="O482" i="8"/>
  <c r="O802" i="8"/>
  <c r="E434" i="3"/>
  <c r="J1036" i="8"/>
  <c r="P431" i="8"/>
  <c r="M197" i="20"/>
  <c r="K86" i="22" s="1"/>
  <c r="G1193" i="8"/>
  <c r="G1195" i="8" s="1"/>
  <c r="N1194" i="8"/>
  <c r="N1195" i="8" s="1"/>
  <c r="L80" i="20"/>
  <c r="I1191" i="8"/>
  <c r="I326" i="8" s="1"/>
  <c r="M298" i="8"/>
  <c r="I550" i="8"/>
  <c r="K549" i="20"/>
  <c r="K551" i="20" s="1"/>
  <c r="K129" i="20" s="1"/>
  <c r="I566" i="20"/>
  <c r="P435" i="8"/>
  <c r="I911" i="8"/>
  <c r="I918" i="8" s="1"/>
  <c r="N602" i="8"/>
  <c r="N145" i="8" s="1"/>
  <c r="G407" i="20"/>
  <c r="G68" i="20" s="1"/>
  <c r="N910" i="20"/>
  <c r="N917" i="20" s="1"/>
  <c r="G434" i="3"/>
  <c r="P207" i="3"/>
  <c r="H1134" i="20"/>
  <c r="F795" i="20"/>
  <c r="K1137" i="8"/>
  <c r="O201" i="8"/>
  <c r="M38" i="22" s="1"/>
  <c r="O710" i="20"/>
  <c r="J1192" i="20"/>
  <c r="H712" i="8"/>
  <c r="F435" i="8"/>
  <c r="G1188" i="20"/>
  <c r="G322" i="20" s="1"/>
  <c r="I1192" i="20"/>
  <c r="M710" i="8"/>
  <c r="M716" i="8" s="1"/>
  <c r="F101" i="20"/>
  <c r="I1188" i="20"/>
  <c r="I322" i="20" s="1"/>
  <c r="P66" i="20"/>
  <c r="F431" i="8"/>
  <c r="M800" i="20"/>
  <c r="E1056" i="8"/>
  <c r="E1062" i="8" s="1"/>
  <c r="F710" i="20"/>
  <c r="G405" i="8"/>
  <c r="E498" i="20"/>
  <c r="P498" i="20"/>
  <c r="K429" i="20"/>
  <c r="H1116" i="20"/>
  <c r="L1116" i="20"/>
  <c r="H469" i="8"/>
  <c r="H83" i="8" s="1"/>
  <c r="I1065" i="8"/>
  <c r="J910" i="20"/>
  <c r="J917" i="20" s="1"/>
  <c r="K550" i="8"/>
  <c r="E1232" i="8"/>
  <c r="E1237" i="8" s="1"/>
  <c r="I1057" i="20"/>
  <c r="I1064" i="20" s="1"/>
  <c r="G1101" i="8"/>
  <c r="F602" i="8"/>
  <c r="F145" i="8" s="1"/>
  <c r="M601" i="20"/>
  <c r="M142" i="20" s="1"/>
  <c r="K710" i="20"/>
  <c r="O407" i="20"/>
  <c r="O68" i="20" s="1"/>
  <c r="P482" i="8"/>
  <c r="H910" i="20"/>
  <c r="H917" i="20" s="1"/>
  <c r="N871" i="8"/>
  <c r="H434" i="3"/>
  <c r="J602" i="8"/>
  <c r="J145" i="8" s="1"/>
  <c r="P797" i="8"/>
  <c r="P203" i="8" s="1"/>
  <c r="M602" i="8"/>
  <c r="M145" i="8" s="1"/>
  <c r="O415" i="8"/>
  <c r="K405" i="8"/>
  <c r="G550" i="8"/>
  <c r="H464" i="20"/>
  <c r="H466" i="20" s="1"/>
  <c r="H81" i="20" s="1"/>
  <c r="K1119" i="8"/>
  <c r="M1116" i="20"/>
  <c r="K409" i="8"/>
  <c r="K69" i="8" s="1"/>
  <c r="L768" i="8"/>
  <c r="N865" i="20"/>
  <c r="N872" i="20" s="1"/>
  <c r="P793" i="8"/>
  <c r="O793" i="8"/>
  <c r="F605" i="20"/>
  <c r="E88" i="8"/>
  <c r="O409" i="8"/>
  <c r="O69" i="8" s="1"/>
  <c r="K415" i="8"/>
  <c r="P533" i="8"/>
  <c r="I1101" i="8"/>
  <c r="J604" i="8"/>
  <c r="J606" i="8" s="1"/>
  <c r="E1101" i="8"/>
  <c r="K712" i="8"/>
  <c r="P240" i="3"/>
  <c r="H431" i="8"/>
  <c r="H74" i="8"/>
  <c r="O405" i="8"/>
  <c r="N917" i="8"/>
  <c r="N865" i="8"/>
  <c r="N872" i="8" s="1"/>
  <c r="P623" i="8"/>
  <c r="P800" i="20"/>
  <c r="L498" i="20"/>
  <c r="F1173" i="8"/>
  <c r="F320" i="8" s="1"/>
  <c r="K871" i="8"/>
  <c r="P201" i="8"/>
  <c r="N38" i="22" s="1"/>
  <c r="H917" i="8"/>
  <c r="K709" i="20"/>
  <c r="N802" i="8"/>
  <c r="H80" i="20"/>
  <c r="J129" i="3"/>
  <c r="J29" i="23" s="1"/>
  <c r="J30" i="23" s="1"/>
  <c r="J434" i="3"/>
  <c r="M658" i="8"/>
  <c r="M664" i="8" s="1"/>
  <c r="G413" i="20"/>
  <c r="F766" i="8"/>
  <c r="F768" i="8" s="1"/>
  <c r="K498" i="20"/>
  <c r="F88" i="8"/>
  <c r="L621" i="20"/>
  <c r="J770" i="20"/>
  <c r="J192" i="20" s="1"/>
  <c r="P768" i="8"/>
  <c r="N431" i="8"/>
  <c r="M305" i="8"/>
  <c r="H149" i="20"/>
  <c r="E179" i="3"/>
  <c r="P257" i="3"/>
  <c r="P421" i="3"/>
  <c r="P871" i="8"/>
  <c r="E605" i="20"/>
  <c r="N713" i="8"/>
  <c r="N729" i="8" s="1"/>
  <c r="F800" i="20"/>
  <c r="L1134" i="20"/>
  <c r="L1136" i="20" s="1"/>
  <c r="M429" i="20"/>
  <c r="M431" i="20" s="1"/>
  <c r="M74" i="20" s="1"/>
  <c r="L465" i="8"/>
  <c r="G1116" i="20"/>
  <c r="N435" i="8"/>
  <c r="P532" i="20"/>
  <c r="N911" i="8"/>
  <c r="N918" i="8" s="1"/>
  <c r="G1119" i="8"/>
  <c r="E764" i="8"/>
  <c r="E778" i="8" s="1"/>
  <c r="E766" i="8"/>
  <c r="E768" i="8" s="1"/>
  <c r="L469" i="8"/>
  <c r="L83" i="8" s="1"/>
  <c r="F481" i="20"/>
  <c r="E602" i="8"/>
  <c r="E145" i="8" s="1"/>
  <c r="E623" i="8"/>
  <c r="I871" i="8"/>
  <c r="P865" i="20"/>
  <c r="P872" i="20" s="1"/>
  <c r="E606" i="8"/>
  <c r="J197" i="20"/>
  <c r="H86" i="22" s="1"/>
  <c r="J795" i="20"/>
  <c r="F129" i="3"/>
  <c r="F29" i="23" s="1"/>
  <c r="F30" i="23" s="1"/>
  <c r="K865" i="8"/>
  <c r="K872" i="8" s="1"/>
  <c r="H911" i="8"/>
  <c r="H918" i="8" s="1"/>
  <c r="N1188" i="20"/>
  <c r="N322" i="20" s="1"/>
  <c r="F601" i="20"/>
  <c r="F142" i="20" s="1"/>
  <c r="J87" i="20"/>
  <c r="E128" i="20"/>
  <c r="P795" i="20"/>
  <c r="N800" i="20"/>
  <c r="M910" i="20"/>
  <c r="M917" i="20" s="1"/>
  <c r="G1036" i="8"/>
  <c r="G201" i="8"/>
  <c r="E38" i="22" s="1"/>
  <c r="F1188" i="20"/>
  <c r="F322" i="20" s="1"/>
  <c r="N981" i="20"/>
  <c r="G795" i="20"/>
  <c r="G199" i="20" s="1"/>
  <c r="P910" i="20"/>
  <c r="P917" i="20" s="1"/>
  <c r="K766" i="8"/>
  <c r="K768" i="8" s="1"/>
  <c r="I865" i="8"/>
  <c r="I872" i="8" s="1"/>
  <c r="O128" i="20"/>
  <c r="E601" i="20"/>
  <c r="E142" i="20" s="1"/>
  <c r="N712" i="20"/>
  <c r="G800" i="20"/>
  <c r="G710" i="20"/>
  <c r="I464" i="20"/>
  <c r="O566" i="20"/>
  <c r="P465" i="8"/>
  <c r="L712" i="8"/>
  <c r="K980" i="20"/>
  <c r="N795" i="20"/>
  <c r="N199" i="20" s="1"/>
  <c r="H623" i="20"/>
  <c r="H150" i="20" s="1"/>
  <c r="H710" i="20"/>
  <c r="H865" i="20"/>
  <c r="H872" i="20" s="1"/>
  <c r="P865" i="8"/>
  <c r="P872" i="8" s="1"/>
  <c r="H709" i="20"/>
  <c r="N229" i="8"/>
  <c r="N772" i="8"/>
  <c r="N196" i="8" s="1"/>
  <c r="P424" i="3"/>
  <c r="N434" i="3"/>
  <c r="G709" i="20"/>
  <c r="P468" i="20"/>
  <c r="N797" i="8"/>
  <c r="N203" i="8" s="1"/>
  <c r="G910" i="20"/>
  <c r="G917" i="20" s="1"/>
  <c r="K772" i="8"/>
  <c r="K196" i="8" s="1"/>
  <c r="P469" i="8"/>
  <c r="P83" i="8" s="1"/>
  <c r="E1192" i="20"/>
  <c r="L911" i="8"/>
  <c r="L918" i="8" s="1"/>
  <c r="E1188" i="20"/>
  <c r="E322" i="20" s="1"/>
  <c r="N762" i="20"/>
  <c r="K469" i="8"/>
  <c r="K83" i="8" s="1"/>
  <c r="M1193" i="8"/>
  <c r="M1195" i="8" s="1"/>
  <c r="F201" i="8"/>
  <c r="D38" i="22" s="1"/>
  <c r="F710" i="8"/>
  <c r="F716" i="8" s="1"/>
  <c r="F709" i="20"/>
  <c r="K298" i="8"/>
  <c r="K1101" i="8"/>
  <c r="I1134" i="20"/>
  <c r="I499" i="8"/>
  <c r="P464" i="20"/>
  <c r="I498" i="20"/>
  <c r="F566" i="20"/>
  <c r="F568" i="20" s="1"/>
  <c r="F136" i="20" s="1"/>
  <c r="E1134" i="20"/>
  <c r="E1136" i="20" s="1"/>
  <c r="E1140" i="20" s="1"/>
  <c r="E311" i="20" s="1"/>
  <c r="K465" i="8"/>
  <c r="K467" i="8" s="1"/>
  <c r="G797" i="8"/>
  <c r="G203" i="8" s="1"/>
  <c r="I468" i="20"/>
  <c r="I82" i="20" s="1"/>
  <c r="K468" i="20"/>
  <c r="K82" i="20" s="1"/>
  <c r="I711" i="8"/>
  <c r="I717" i="8" s="1"/>
  <c r="P374" i="3"/>
  <c r="L179" i="3"/>
  <c r="G533" i="8"/>
  <c r="F865" i="8"/>
  <c r="F872" i="8" s="1"/>
  <c r="L865" i="20"/>
  <c r="L872" i="20" s="1"/>
  <c r="L709" i="8"/>
  <c r="L715" i="8" s="1"/>
  <c r="P149" i="20"/>
  <c r="I1137" i="8"/>
  <c r="K433" i="20"/>
  <c r="L131" i="8"/>
  <c r="N764" i="8"/>
  <c r="N778" i="8" s="1"/>
  <c r="L499" i="8"/>
  <c r="P95" i="8"/>
  <c r="P499" i="8"/>
  <c r="K74" i="8"/>
  <c r="K431" i="8"/>
  <c r="O481" i="20"/>
  <c r="O483" i="20" s="1"/>
  <c r="O87" i="20"/>
  <c r="P176" i="3"/>
  <c r="N464" i="20"/>
  <c r="P549" i="20"/>
  <c r="F797" i="8"/>
  <c r="F203" i="8" s="1"/>
  <c r="F910" i="20"/>
  <c r="F917" i="20" s="1"/>
  <c r="F1193" i="8"/>
  <c r="F1195" i="8" s="1"/>
  <c r="O910" i="20"/>
  <c r="O917" i="20" s="1"/>
  <c r="M865" i="20"/>
  <c r="M872" i="20" s="1"/>
  <c r="P429" i="3"/>
  <c r="K464" i="20"/>
  <c r="N793" i="8"/>
  <c r="J1188" i="20"/>
  <c r="J322" i="20" s="1"/>
  <c r="F802" i="8"/>
  <c r="G762" i="20"/>
  <c r="O431" i="8"/>
  <c r="O567" i="8"/>
  <c r="O569" i="8" s="1"/>
  <c r="O573" i="8" s="1"/>
  <c r="O141" i="8" s="1"/>
  <c r="N1028" i="20"/>
  <c r="N1035" i="20" s="1"/>
  <c r="G793" i="8"/>
  <c r="G129" i="3"/>
  <c r="G29" i="23" s="1"/>
  <c r="G30" i="23" s="1"/>
  <c r="G712" i="8"/>
  <c r="G711" i="20"/>
  <c r="I710" i="8"/>
  <c r="I716" i="8" s="1"/>
  <c r="I709" i="20"/>
  <c r="E149" i="20"/>
  <c r="E621" i="20"/>
  <c r="E623" i="20" s="1"/>
  <c r="G777" i="8"/>
  <c r="G779" i="8" s="1"/>
  <c r="F764" i="8"/>
  <c r="F778" i="8" s="1"/>
  <c r="K129" i="3"/>
  <c r="K29" i="23" s="1"/>
  <c r="K30" i="23" s="1"/>
  <c r="G659" i="20"/>
  <c r="J1028" i="20"/>
  <c r="J1035" i="20" s="1"/>
  <c r="F623" i="20"/>
  <c r="F150" i="20" s="1"/>
  <c r="P552" i="8"/>
  <c r="P132" i="8" s="1"/>
  <c r="N166" i="3"/>
  <c r="O871" i="8"/>
  <c r="Q1171" i="8"/>
  <c r="P35" i="23"/>
  <c r="E775" i="20"/>
  <c r="E777" i="20" s="1"/>
  <c r="F1116" i="20"/>
  <c r="F1118" i="20" s="1"/>
  <c r="O623" i="20"/>
  <c r="O627" i="20" s="1"/>
  <c r="O152" i="20" s="1"/>
  <c r="H659" i="20"/>
  <c r="G1030" i="8"/>
  <c r="G1037" i="8" s="1"/>
  <c r="J549" i="20"/>
  <c r="O465" i="8"/>
  <c r="O467" i="8" s="1"/>
  <c r="G847" i="8"/>
  <c r="P764" i="8"/>
  <c r="P778" i="8" s="1"/>
  <c r="P772" i="8"/>
  <c r="P196" i="8" s="1"/>
  <c r="Q319" i="8"/>
  <c r="D46" i="14" s="1"/>
  <c r="G1260" i="8"/>
  <c r="K1230" i="8"/>
  <c r="K1234" i="8" s="1"/>
  <c r="K1236" i="8" s="1"/>
  <c r="M1026" i="20"/>
  <c r="M1028" i="20" s="1"/>
  <c r="M1035" i="20" s="1"/>
  <c r="M1028" i="8"/>
  <c r="M1034" i="8" s="1"/>
  <c r="N549" i="20"/>
  <c r="J865" i="20"/>
  <c r="J872" i="20" s="1"/>
  <c r="N1030" i="8"/>
  <c r="N1037" i="8" s="1"/>
  <c r="Q761" i="20"/>
  <c r="P762" i="20"/>
  <c r="P770" i="20"/>
  <c r="P192" i="20" s="1"/>
  <c r="K795" i="20"/>
  <c r="K199" i="20" s="1"/>
  <c r="I1059" i="8"/>
  <c r="I1066" i="8" s="1"/>
  <c r="K800" i="20"/>
  <c r="Q834" i="20"/>
  <c r="J465" i="8"/>
  <c r="J467" i="8" s="1"/>
  <c r="J82" i="8" s="1"/>
  <c r="J1137" i="8"/>
  <c r="J36" i="23"/>
  <c r="P36" i="23" s="1"/>
  <c r="J469" i="8"/>
  <c r="J83" i="8" s="1"/>
  <c r="N468" i="20"/>
  <c r="N82" i="20" s="1"/>
  <c r="M552" i="8"/>
  <c r="M556" i="8" s="1"/>
  <c r="M134" i="8" s="1"/>
  <c r="N1121" i="8"/>
  <c r="N1125" i="8" s="1"/>
  <c r="N308" i="8" s="1"/>
  <c r="N988" i="8"/>
  <c r="Q907" i="20"/>
  <c r="Q401" i="20"/>
  <c r="Q532" i="8"/>
  <c r="Q763" i="8"/>
  <c r="J772" i="8"/>
  <c r="J196" i="8" s="1"/>
  <c r="J764" i="8"/>
  <c r="J778" i="8" s="1"/>
  <c r="J766" i="8"/>
  <c r="J768" i="8" s="1"/>
  <c r="O767" i="8"/>
  <c r="O768" i="8" s="1"/>
  <c r="O764" i="8"/>
  <c r="O778" i="8" s="1"/>
  <c r="F464" i="20"/>
  <c r="J179" i="3"/>
  <c r="J171" i="3"/>
  <c r="F762" i="20"/>
  <c r="K775" i="20"/>
  <c r="K777" i="20" s="1"/>
  <c r="J775" i="20"/>
  <c r="J777" i="20" s="1"/>
  <c r="K566" i="20"/>
  <c r="K568" i="20" s="1"/>
  <c r="K136" i="20" s="1"/>
  <c r="J1134" i="20"/>
  <c r="L429" i="20"/>
  <c r="P18" i="23"/>
  <c r="G661" i="8"/>
  <c r="J468" i="20"/>
  <c r="J82" i="20" s="1"/>
  <c r="Q404" i="8"/>
  <c r="I66" i="20"/>
  <c r="H566" i="20"/>
  <c r="J464" i="20"/>
  <c r="F1134" i="20"/>
  <c r="P1116" i="20"/>
  <c r="H415" i="8"/>
  <c r="P17" i="23"/>
  <c r="I711" i="20"/>
  <c r="Q463" i="20"/>
  <c r="O865" i="8"/>
  <c r="O872" i="8" s="1"/>
  <c r="I413" i="20"/>
  <c r="I623" i="20"/>
  <c r="I150" i="20" s="1"/>
  <c r="K1118" i="20"/>
  <c r="K1122" i="20" s="1"/>
  <c r="K304" i="20" s="1"/>
  <c r="E466" i="20"/>
  <c r="E81" i="20" s="1"/>
  <c r="E1116" i="20"/>
  <c r="O469" i="8"/>
  <c r="O83" i="8" s="1"/>
  <c r="I770" i="20"/>
  <c r="I192" i="20" s="1"/>
  <c r="P47" i="23"/>
  <c r="Q315" i="20"/>
  <c r="I910" i="20"/>
  <c r="I917" i="20" s="1"/>
  <c r="K910" i="20"/>
  <c r="K917" i="20" s="1"/>
  <c r="O601" i="20"/>
  <c r="O142" i="20" s="1"/>
  <c r="N83" i="8"/>
  <c r="F913" i="8"/>
  <c r="F917" i="8" s="1"/>
  <c r="F911" i="8"/>
  <c r="F918" i="8" s="1"/>
  <c r="H601" i="20"/>
  <c r="H603" i="20"/>
  <c r="E201" i="8"/>
  <c r="C38" i="22" s="1"/>
  <c r="E802" i="8"/>
  <c r="E804" i="8" s="1"/>
  <c r="O658" i="8"/>
  <c r="O664" i="8" s="1"/>
  <c r="O667" i="8" s="1"/>
  <c r="O656" i="20"/>
  <c r="O659" i="20" s="1"/>
  <c r="N621" i="20"/>
  <c r="N149" i="20"/>
  <c r="L135" i="20"/>
  <c r="L566" i="20"/>
  <c r="J710" i="8"/>
  <c r="J716" i="8" s="1"/>
  <c r="J709" i="20"/>
  <c r="E305" i="8"/>
  <c r="E1119" i="8"/>
  <c r="F312" i="8"/>
  <c r="F1137" i="8"/>
  <c r="L770" i="20"/>
  <c r="L192" i="20" s="1"/>
  <c r="L762" i="20"/>
  <c r="P1119" i="8"/>
  <c r="P305" i="8"/>
  <c r="L1190" i="20"/>
  <c r="L1192" i="20" s="1"/>
  <c r="L1188" i="20"/>
  <c r="L322" i="20" s="1"/>
  <c r="G1056" i="8"/>
  <c r="G1062" i="8" s="1"/>
  <c r="G1054" i="20"/>
  <c r="O605" i="8"/>
  <c r="O606" i="8" s="1"/>
  <c r="M710" i="20"/>
  <c r="M711" i="8"/>
  <c r="M717" i="8" s="1"/>
  <c r="J959" i="8"/>
  <c r="J962" i="8" s="1"/>
  <c r="M772" i="8"/>
  <c r="M196" i="8" s="1"/>
  <c r="M764" i="8"/>
  <c r="M778" i="8" s="1"/>
  <c r="M766" i="8"/>
  <c r="M768" i="8" s="1"/>
  <c r="L604" i="20"/>
  <c r="L605" i="20" s="1"/>
  <c r="L601" i="20"/>
  <c r="L142" i="20" s="1"/>
  <c r="M94" i="20"/>
  <c r="Q497" i="20"/>
  <c r="H87" i="20"/>
  <c r="H481" i="20"/>
  <c r="M913" i="8"/>
  <c r="M917" i="8" s="1"/>
  <c r="M911" i="8"/>
  <c r="M918" i="8" s="1"/>
  <c r="H1190" i="20"/>
  <c r="H1192" i="20" s="1"/>
  <c r="Q1186" i="20"/>
  <c r="H1188" i="20"/>
  <c r="Q906" i="20"/>
  <c r="E910" i="20"/>
  <c r="H865" i="8"/>
  <c r="H872" i="8" s="1"/>
  <c r="H870" i="8"/>
  <c r="P601" i="20"/>
  <c r="P142" i="20" s="1"/>
  <c r="P604" i="20"/>
  <c r="P605" i="20" s="1"/>
  <c r="M621" i="20"/>
  <c r="M149" i="20"/>
  <c r="G566" i="20"/>
  <c r="G135" i="20"/>
  <c r="Q565" i="20"/>
  <c r="I980" i="20"/>
  <c r="I982" i="8"/>
  <c r="I985" i="8" s="1"/>
  <c r="I991" i="8" s="1"/>
  <c r="L298" i="8"/>
  <c r="Q1100" i="8"/>
  <c r="E292" i="26" s="1"/>
  <c r="E293" i="26" s="1"/>
  <c r="L1101" i="8"/>
  <c r="H201" i="8"/>
  <c r="F38" i="22" s="1"/>
  <c r="H793" i="8"/>
  <c r="H802" i="8"/>
  <c r="E1230" i="20"/>
  <c r="I604" i="20"/>
  <c r="I605" i="20" s="1"/>
  <c r="J710" i="20"/>
  <c r="J711" i="8"/>
  <c r="J717" i="8" s="1"/>
  <c r="K161" i="3"/>
  <c r="P959" i="8"/>
  <c r="P962" i="8" s="1"/>
  <c r="E914" i="8"/>
  <c r="Q908" i="8"/>
  <c r="H602" i="8"/>
  <c r="Q600" i="8"/>
  <c r="H604" i="8"/>
  <c r="F294" i="20"/>
  <c r="Q1097" i="20"/>
  <c r="L433" i="20"/>
  <c r="Q953" i="20"/>
  <c r="H708" i="20"/>
  <c r="H709" i="8"/>
  <c r="F152" i="8"/>
  <c r="F623" i="8"/>
  <c r="Q622" i="8"/>
  <c r="Q790" i="20"/>
  <c r="E795" i="20"/>
  <c r="E197" i="20"/>
  <c r="J96" i="3"/>
  <c r="J23" i="23" s="1"/>
  <c r="J24" i="23" s="1"/>
  <c r="J621" i="20"/>
  <c r="J149" i="20"/>
  <c r="H567" i="8"/>
  <c r="H138" i="8"/>
  <c r="Q760" i="20"/>
  <c r="H762" i="20"/>
  <c r="K604" i="20"/>
  <c r="K605" i="20" s="1"/>
  <c r="K601" i="20"/>
  <c r="K142" i="20" s="1"/>
  <c r="Q1168" i="20"/>
  <c r="K1191" i="8"/>
  <c r="K326" i="8" s="1"/>
  <c r="K1194" i="8"/>
  <c r="K1195" i="8" s="1"/>
  <c r="F658" i="8"/>
  <c r="F656" i="20"/>
  <c r="F659" i="20" s="1"/>
  <c r="L1191" i="8"/>
  <c r="L326" i="8" s="1"/>
  <c r="L1193" i="8"/>
  <c r="L1195" i="8" s="1"/>
  <c r="P916" i="8"/>
  <c r="P917" i="8" s="1"/>
  <c r="P911" i="8"/>
  <c r="P918" i="8" s="1"/>
  <c r="Q908" i="20"/>
  <c r="E867" i="8"/>
  <c r="E865" i="8"/>
  <c r="E872" i="8" s="1"/>
  <c r="Q861" i="8"/>
  <c r="Q601" i="8"/>
  <c r="H605" i="8"/>
  <c r="L605" i="8"/>
  <c r="L606" i="8" s="1"/>
  <c r="L608" i="8" s="1"/>
  <c r="L602" i="8"/>
  <c r="L145" i="8" s="1"/>
  <c r="Q1189" i="8"/>
  <c r="K138" i="8"/>
  <c r="K567" i="8"/>
  <c r="K569" i="8" s="1"/>
  <c r="N550" i="8"/>
  <c r="N131" i="8"/>
  <c r="H409" i="8"/>
  <c r="H67" i="8"/>
  <c r="H405" i="8"/>
  <c r="K777" i="8"/>
  <c r="K779" i="8" s="1"/>
  <c r="K194" i="8"/>
  <c r="M95" i="8"/>
  <c r="M499" i="8"/>
  <c r="F305" i="8"/>
  <c r="F1119" i="8"/>
  <c r="Q548" i="20"/>
  <c r="F128" i="20"/>
  <c r="J66" i="20"/>
  <c r="J407" i="20"/>
  <c r="H1191" i="8"/>
  <c r="H1193" i="8"/>
  <c r="O911" i="8"/>
  <c r="O918" i="8" s="1"/>
  <c r="O914" i="8"/>
  <c r="O917" i="8" s="1"/>
  <c r="Q864" i="20"/>
  <c r="I764" i="8"/>
  <c r="I778" i="8" s="1"/>
  <c r="I772" i="8"/>
  <c r="I196" i="8" s="1"/>
  <c r="P605" i="8"/>
  <c r="P606" i="8" s="1"/>
  <c r="P602" i="8"/>
  <c r="P145" i="8" s="1"/>
  <c r="H161" i="3"/>
  <c r="H179" i="3"/>
  <c r="P159" i="3"/>
  <c r="M623" i="8"/>
  <c r="M625" i="8" s="1"/>
  <c r="M629" i="8" s="1"/>
  <c r="M155" i="8" s="1"/>
  <c r="M152" i="8"/>
  <c r="I101" i="20"/>
  <c r="I532" i="20"/>
  <c r="I534" i="20" s="1"/>
  <c r="H960" i="8"/>
  <c r="K179" i="3"/>
  <c r="K171" i="3"/>
  <c r="O605" i="20"/>
  <c r="Q952" i="20"/>
  <c r="Q910" i="8"/>
  <c r="G916" i="8"/>
  <c r="E865" i="20"/>
  <c r="E872" i="20" s="1"/>
  <c r="Q861" i="20"/>
  <c r="Q620" i="20"/>
  <c r="M498" i="20"/>
  <c r="Q480" i="20"/>
  <c r="L960" i="8"/>
  <c r="J911" i="8"/>
  <c r="J918" i="8" s="1"/>
  <c r="J913" i="8"/>
  <c r="J917" i="8" s="1"/>
  <c r="J867" i="8"/>
  <c r="J871" i="8" s="1"/>
  <c r="J865" i="8"/>
  <c r="J872" i="8" s="1"/>
  <c r="I602" i="8"/>
  <c r="I145" i="8" s="1"/>
  <c r="I605" i="8"/>
  <c r="I606" i="8" s="1"/>
  <c r="E312" i="8"/>
  <c r="E1137" i="8"/>
  <c r="Q1136" i="8"/>
  <c r="Q1133" i="20"/>
  <c r="F960" i="8"/>
  <c r="Q955" i="8"/>
  <c r="L711" i="8"/>
  <c r="L717" i="8" s="1"/>
  <c r="L710" i="20"/>
  <c r="K656" i="20"/>
  <c r="K659" i="20" s="1"/>
  <c r="K658" i="8"/>
  <c r="K664" i="8" s="1"/>
  <c r="J152" i="8"/>
  <c r="J623" i="8"/>
  <c r="J625" i="8" s="1"/>
  <c r="H772" i="8"/>
  <c r="H766" i="8"/>
  <c r="H768" i="8" s="1"/>
  <c r="Q762" i="8"/>
  <c r="H764" i="8"/>
  <c r="H778" i="8" s="1"/>
  <c r="K605" i="8"/>
  <c r="K606" i="8" s="1"/>
  <c r="K602" i="8"/>
  <c r="K145" i="8" s="1"/>
  <c r="N95" i="8"/>
  <c r="N499" i="8"/>
  <c r="F835" i="8"/>
  <c r="F229" i="8"/>
  <c r="O1191" i="20"/>
  <c r="O1192" i="20" s="1"/>
  <c r="O1194" i="20" s="1"/>
  <c r="O1198" i="20" s="1"/>
  <c r="O325" i="20" s="1"/>
  <c r="O1188" i="20"/>
  <c r="O322" i="20" s="1"/>
  <c r="Q909" i="20"/>
  <c r="G865" i="20"/>
  <c r="G872" i="20" s="1"/>
  <c r="Q863" i="20"/>
  <c r="P1101" i="8"/>
  <c r="P1103" i="8" s="1"/>
  <c r="P298" i="8"/>
  <c r="N533" i="8"/>
  <c r="N102" i="8"/>
  <c r="L88" i="8"/>
  <c r="L482" i="8"/>
  <c r="Q464" i="8"/>
  <c r="F81" i="8"/>
  <c r="F469" i="8"/>
  <c r="F465" i="8"/>
  <c r="L74" i="8"/>
  <c r="L431" i="8"/>
  <c r="H482" i="8"/>
  <c r="H88" i="8"/>
  <c r="Q481" i="8"/>
  <c r="K201" i="8"/>
  <c r="I38" i="22" s="1"/>
  <c r="K793" i="8"/>
  <c r="K802" i="8"/>
  <c r="F131" i="8"/>
  <c r="F550" i="8"/>
  <c r="O865" i="20"/>
  <c r="O872" i="20" s="1"/>
  <c r="Q549" i="8"/>
  <c r="K914" i="8"/>
  <c r="K917" i="8" s="1"/>
  <c r="K911" i="8"/>
  <c r="K918" i="8" s="1"/>
  <c r="E913" i="8"/>
  <c r="E911" i="8"/>
  <c r="E918" i="8" s="1"/>
  <c r="Q907" i="8"/>
  <c r="F865" i="20"/>
  <c r="F872" i="20" s="1"/>
  <c r="Q862" i="20"/>
  <c r="L865" i="8"/>
  <c r="L872" i="8" s="1"/>
  <c r="L870" i="8"/>
  <c r="L871" i="8" s="1"/>
  <c r="O960" i="8"/>
  <c r="Q1187" i="20"/>
  <c r="E1057" i="20"/>
  <c r="E708" i="20"/>
  <c r="G709" i="8"/>
  <c r="G708" i="20"/>
  <c r="Q308" i="20"/>
  <c r="F468" i="20"/>
  <c r="L802" i="8"/>
  <c r="L793" i="8"/>
  <c r="L201" i="8"/>
  <c r="J38" i="22" s="1"/>
  <c r="N623" i="8"/>
  <c r="N152" i="8"/>
  <c r="L567" i="8"/>
  <c r="L138" i="8"/>
  <c r="L772" i="8"/>
  <c r="L196" i="8" s="1"/>
  <c r="L764" i="8"/>
  <c r="L778" i="8" s="1"/>
  <c r="L710" i="8"/>
  <c r="L716" i="8" s="1"/>
  <c r="L709" i="20"/>
  <c r="N94" i="20"/>
  <c r="N498" i="20"/>
  <c r="N567" i="8"/>
  <c r="N138" i="8"/>
  <c r="P117" i="3"/>
  <c r="N959" i="8"/>
  <c r="N962" i="8" s="1"/>
  <c r="H1194" i="8"/>
  <c r="Q1190" i="8"/>
  <c r="O1191" i="8"/>
  <c r="O326" i="8" s="1"/>
  <c r="O1194" i="8"/>
  <c r="O1195" i="8" s="1"/>
  <c r="Q954" i="8"/>
  <c r="E959" i="8"/>
  <c r="G914" i="8"/>
  <c r="G911" i="8"/>
  <c r="G918" i="8" s="1"/>
  <c r="I915" i="8"/>
  <c r="Q909" i="8"/>
  <c r="G869" i="8"/>
  <c r="G865" i="8"/>
  <c r="G872" i="8" s="1"/>
  <c r="Q863" i="8"/>
  <c r="M762" i="20"/>
  <c r="M770" i="20"/>
  <c r="M192" i="20" s="1"/>
  <c r="H604" i="20"/>
  <c r="J550" i="8"/>
  <c r="J131" i="8"/>
  <c r="N532" i="20"/>
  <c r="N534" i="20" s="1"/>
  <c r="N101" i="20"/>
  <c r="H407" i="20"/>
  <c r="H66" i="20"/>
  <c r="Q498" i="8"/>
  <c r="H499" i="8"/>
  <c r="H95" i="8"/>
  <c r="L87" i="20"/>
  <c r="L481" i="20"/>
  <c r="L483" i="20" s="1"/>
  <c r="O468" i="20"/>
  <c r="O80" i="20"/>
  <c r="Q864" i="8"/>
  <c r="F959" i="8"/>
  <c r="M865" i="8"/>
  <c r="M872" i="8" s="1"/>
  <c r="M867" i="8"/>
  <c r="M871" i="8" s="1"/>
  <c r="F868" i="8"/>
  <c r="Q868" i="8" s="1"/>
  <c r="Q862" i="8"/>
  <c r="G138" i="8"/>
  <c r="Q566" i="8"/>
  <c r="G567" i="8"/>
  <c r="I533" i="8"/>
  <c r="I102" i="8"/>
  <c r="O835" i="8"/>
  <c r="O229" i="8"/>
  <c r="H197" i="20"/>
  <c r="F86" i="22" s="1"/>
  <c r="H795" i="20"/>
  <c r="P478" i="20"/>
  <c r="I951" i="8"/>
  <c r="M100" i="20"/>
  <c r="G844" i="20"/>
  <c r="H228" i="8"/>
  <c r="N1224" i="20"/>
  <c r="L311" i="8"/>
  <c r="K496" i="8"/>
  <c r="O832" i="20"/>
  <c r="I495" i="20"/>
  <c r="I479" i="8"/>
  <c r="E65" i="20"/>
  <c r="F706" i="8"/>
  <c r="P704" i="8"/>
  <c r="P186" i="8" s="1"/>
  <c r="P703" i="20"/>
  <c r="P705" i="20" s="1"/>
  <c r="E652" i="8"/>
  <c r="E158" i="8" s="1"/>
  <c r="L1050" i="8"/>
  <c r="L1051" i="8"/>
  <c r="H703" i="20"/>
  <c r="H704" i="8"/>
  <c r="F251" i="20"/>
  <c r="F976" i="20"/>
  <c r="P65" i="5"/>
  <c r="O96" i="3"/>
  <c r="O23" i="23" s="1"/>
  <c r="O24" i="23" s="1"/>
  <c r="O327" i="3"/>
  <c r="O430" i="3"/>
  <c r="O431" i="3" s="1"/>
  <c r="L983" i="8"/>
  <c r="L981" i="20"/>
  <c r="M166" i="3"/>
  <c r="J983" i="8"/>
  <c r="J981" i="20"/>
  <c r="J983" i="20" s="1"/>
  <c r="J989" i="20" s="1"/>
  <c r="H305" i="3"/>
  <c r="H301" i="3"/>
  <c r="F323" i="3"/>
  <c r="P317" i="3"/>
  <c r="F321" i="3"/>
  <c r="K384" i="3"/>
  <c r="K388" i="3" s="1"/>
  <c r="K387" i="3"/>
  <c r="P1055" i="20"/>
  <c r="P1057" i="20" s="1"/>
  <c r="P1064" i="20" s="1"/>
  <c r="P1057" i="8"/>
  <c r="K274" i="3"/>
  <c r="L123" i="3"/>
  <c r="L170" i="3" s="1"/>
  <c r="L125" i="3"/>
  <c r="L96" i="3"/>
  <c r="L23" i="23" s="1"/>
  <c r="L24" i="23" s="1"/>
  <c r="H327" i="3"/>
  <c r="H430" i="3"/>
  <c r="H431" i="3" s="1"/>
  <c r="J1054" i="20"/>
  <c r="J1057" i="20" s="1"/>
  <c r="J1064" i="20" s="1"/>
  <c r="J1056" i="8"/>
  <c r="G326" i="3"/>
  <c r="P320" i="3"/>
  <c r="G321" i="3"/>
  <c r="G327" i="3" s="1"/>
  <c r="E306" i="3"/>
  <c r="E301" i="3"/>
  <c r="P300" i="3"/>
  <c r="N659" i="8"/>
  <c r="N657" i="20"/>
  <c r="N659" i="20" s="1"/>
  <c r="O1230" i="8"/>
  <c r="O1234" i="8" s="1"/>
  <c r="O1228" i="20"/>
  <c r="M96" i="3"/>
  <c r="M23" i="23" s="1"/>
  <c r="H1024" i="20"/>
  <c r="H1028" i="20" s="1"/>
  <c r="H1035" i="20" s="1"/>
  <c r="N1225" i="20"/>
  <c r="J303" i="3"/>
  <c r="J301" i="3"/>
  <c r="I123" i="3"/>
  <c r="I170" i="3" s="1"/>
  <c r="I125" i="3"/>
  <c r="P267" i="3"/>
  <c r="N123" i="3"/>
  <c r="N170" i="3" s="1"/>
  <c r="N126" i="3"/>
  <c r="F96" i="3"/>
  <c r="F23" i="23" s="1"/>
  <c r="F24" i="23" s="1"/>
  <c r="K67" i="5"/>
  <c r="P121" i="3"/>
  <c r="D127" i="3"/>
  <c r="F712" i="8"/>
  <c r="F711" i="20"/>
  <c r="P383" i="3"/>
  <c r="E384" i="3"/>
  <c r="E388" i="3" s="1"/>
  <c r="E387" i="3"/>
  <c r="M67" i="5"/>
  <c r="J274" i="3"/>
  <c r="I96" i="3"/>
  <c r="I23" i="23" s="1"/>
  <c r="I24" i="23" s="1"/>
  <c r="E659" i="8"/>
  <c r="E665" i="8" s="1"/>
  <c r="P94" i="3"/>
  <c r="E657" i="20"/>
  <c r="I67" i="5"/>
  <c r="E272" i="3"/>
  <c r="E274" i="3"/>
  <c r="P266" i="3"/>
  <c r="D430" i="3"/>
  <c r="D271" i="3"/>
  <c r="E982" i="8" s="1"/>
  <c r="G307" i="3"/>
  <c r="G425" i="3"/>
  <c r="K303" i="3"/>
  <c r="K301" i="3"/>
  <c r="D305" i="3"/>
  <c r="P299" i="3"/>
  <c r="N303" i="3"/>
  <c r="N301" i="3"/>
  <c r="N307" i="3" s="1"/>
  <c r="D123" i="3"/>
  <c r="D170" i="3" s="1"/>
  <c r="P120" i="3"/>
  <c r="D126" i="3"/>
  <c r="E658" i="8"/>
  <c r="E656" i="20"/>
  <c r="P93" i="3"/>
  <c r="P95" i="3"/>
  <c r="J660" i="8"/>
  <c r="J658" i="20"/>
  <c r="J659" i="20" s="1"/>
  <c r="H96" i="3"/>
  <c r="H23" i="23" s="1"/>
  <c r="H24" i="23" s="1"/>
  <c r="D301" i="3"/>
  <c r="D304" i="3"/>
  <c r="P298" i="3"/>
  <c r="M1230" i="8"/>
  <c r="I384" i="3"/>
  <c r="I386" i="3"/>
  <c r="P657" i="8"/>
  <c r="P655" i="20"/>
  <c r="P659" i="20" s="1"/>
  <c r="O123" i="3"/>
  <c r="O170" i="3" s="1"/>
  <c r="O125" i="3"/>
  <c r="P1231" i="8"/>
  <c r="P1235" i="8" s="1"/>
  <c r="P1229" i="20"/>
  <c r="L271" i="3"/>
  <c r="O386" i="3"/>
  <c r="O384" i="3"/>
  <c r="O388" i="3" s="1"/>
  <c r="N384" i="3"/>
  <c r="N388" i="3" s="1"/>
  <c r="J323" i="3"/>
  <c r="J321" i="3"/>
  <c r="J327" i="3" s="1"/>
  <c r="M386" i="3"/>
  <c r="M384" i="3"/>
  <c r="H665" i="8"/>
  <c r="H661" i="8"/>
  <c r="G271" i="3"/>
  <c r="E983" i="8"/>
  <c r="E988" i="8" s="1"/>
  <c r="E981" i="20"/>
  <c r="H1228" i="20"/>
  <c r="H1230" i="8"/>
  <c r="N67" i="5"/>
  <c r="K96" i="3"/>
  <c r="K23" i="23" s="1"/>
  <c r="K24" i="23" s="1"/>
  <c r="O305" i="3"/>
  <c r="O301" i="3"/>
  <c r="K321" i="3"/>
  <c r="K327" i="3" s="1"/>
  <c r="K323" i="3"/>
  <c r="H123" i="3"/>
  <c r="H170" i="3" s="1"/>
  <c r="H125" i="3"/>
  <c r="D96" i="3"/>
  <c r="D23" i="23" s="1"/>
  <c r="D24" i="23" s="1"/>
  <c r="P90" i="3"/>
  <c r="P165" i="3" s="1"/>
  <c r="N325" i="3"/>
  <c r="N321" i="3"/>
  <c r="I1230" i="8"/>
  <c r="I1228" i="20"/>
  <c r="E125" i="3"/>
  <c r="E123" i="3"/>
  <c r="E170" i="3" s="1"/>
  <c r="P119" i="3"/>
  <c r="M323" i="3"/>
  <c r="M321" i="3"/>
  <c r="I657" i="8"/>
  <c r="P92" i="3"/>
  <c r="I655" i="20"/>
  <c r="P382" i="3"/>
  <c r="F384" i="3"/>
  <c r="F386" i="3"/>
  <c r="P297" i="3"/>
  <c r="P47" i="5"/>
  <c r="L388" i="3"/>
  <c r="L425" i="3"/>
  <c r="H352" i="8"/>
  <c r="G1224" i="20"/>
  <c r="M789" i="8"/>
  <c r="M795" i="8" s="1"/>
  <c r="M799" i="8" s="1"/>
  <c r="M790" i="8"/>
  <c r="N976" i="20"/>
  <c r="H65" i="20"/>
  <c r="F951" i="8"/>
  <c r="L704" i="8"/>
  <c r="N832" i="20"/>
  <c r="N977" i="20"/>
  <c r="O134" i="2"/>
  <c r="G134" i="2"/>
  <c r="G1225" i="20"/>
  <c r="F1164" i="20"/>
  <c r="F1170" i="20" s="1"/>
  <c r="F316" i="20" s="1"/>
  <c r="O759" i="8"/>
  <c r="P1095" i="20"/>
  <c r="G788" i="20"/>
  <c r="H307" i="20"/>
  <c r="M1225" i="8"/>
  <c r="J428" i="8"/>
  <c r="I414" i="8"/>
  <c r="O193" i="8"/>
  <c r="H1225" i="8"/>
  <c r="N979" i="8"/>
  <c r="F1183" i="20"/>
  <c r="I620" i="8"/>
  <c r="N1050" i="20"/>
  <c r="F977" i="20"/>
  <c r="L263" i="8"/>
  <c r="G355" i="20"/>
  <c r="G977" i="20"/>
  <c r="I249" i="8"/>
  <c r="H1227" i="8"/>
  <c r="H462" i="8"/>
  <c r="E1186" i="8"/>
  <c r="G251" i="20"/>
  <c r="K652" i="8"/>
  <c r="K654" i="8" s="1"/>
  <c r="L1022" i="8"/>
  <c r="L1021" i="8"/>
  <c r="G146" i="2"/>
  <c r="H1248" i="20"/>
  <c r="E301" i="2"/>
  <c r="K949" i="8"/>
  <c r="M1133" i="8"/>
  <c r="J704" i="8"/>
  <c r="H355" i="20"/>
  <c r="P132" i="2"/>
  <c r="P144" i="2" s="1"/>
  <c r="K137" i="8"/>
  <c r="I790" i="8"/>
  <c r="H1170" i="20"/>
  <c r="H316" i="20" s="1"/>
  <c r="K759" i="8"/>
  <c r="M301" i="2"/>
  <c r="N978" i="8"/>
  <c r="K758" i="8"/>
  <c r="K1115" i="8"/>
  <c r="F1186" i="8"/>
  <c r="O1185" i="8"/>
  <c r="G976" i="20"/>
  <c r="N977" i="8"/>
  <c r="L596" i="20"/>
  <c r="N1049" i="20"/>
  <c r="G1095" i="20"/>
  <c r="O1095" i="20"/>
  <c r="L832" i="20"/>
  <c r="E1185" i="8"/>
  <c r="F705" i="8"/>
  <c r="F547" i="8"/>
  <c r="E1134" i="8"/>
  <c r="H151" i="8"/>
  <c r="I200" i="8"/>
  <c r="O1186" i="8"/>
  <c r="G758" i="8"/>
  <c r="N189" i="20"/>
  <c r="F703" i="20"/>
  <c r="F182" i="20" s="1"/>
  <c r="M618" i="20"/>
  <c r="F151" i="8"/>
  <c r="E530" i="8"/>
  <c r="J301" i="2"/>
  <c r="L479" i="8"/>
  <c r="F950" i="8"/>
  <c r="F1182" i="20"/>
  <c r="J832" i="8"/>
  <c r="F1251" i="8"/>
  <c r="H94" i="8"/>
  <c r="G597" i="8"/>
  <c r="K461" i="20"/>
  <c r="M428" i="8"/>
  <c r="L401" i="8"/>
  <c r="F788" i="20"/>
  <c r="D284" i="2"/>
  <c r="L355" i="20"/>
  <c r="L788" i="20"/>
  <c r="L1248" i="20"/>
  <c r="L66" i="8"/>
  <c r="G301" i="2"/>
  <c r="I1225" i="20"/>
  <c r="E903" i="20"/>
  <c r="K844" i="8"/>
  <c r="K847" i="8" s="1"/>
  <c r="M596" i="20"/>
  <c r="H596" i="20"/>
  <c r="O461" i="20"/>
  <c r="O466" i="20" s="1"/>
  <c r="O81" i="20" s="1"/>
  <c r="E1183" i="20"/>
  <c r="K950" i="8"/>
  <c r="M307" i="20"/>
  <c r="L284" i="2"/>
  <c r="N321" i="20"/>
  <c r="I402" i="8"/>
  <c r="I66" i="8"/>
  <c r="K951" i="8"/>
  <c r="H789" i="8"/>
  <c r="N426" i="20"/>
  <c r="N431" i="20" s="1"/>
  <c r="N74" i="20" s="1"/>
  <c r="H790" i="8"/>
  <c r="G193" i="8"/>
  <c r="G223" i="20"/>
  <c r="J759" i="8"/>
  <c r="F359" i="8"/>
  <c r="P251" i="20"/>
  <c r="K652" i="20"/>
  <c r="F93" i="20"/>
  <c r="I348" i="20"/>
  <c r="O844" i="20"/>
  <c r="M79" i="20"/>
  <c r="P1021" i="8"/>
  <c r="E293" i="20"/>
  <c r="L1050" i="20"/>
  <c r="P263" i="8"/>
  <c r="P976" i="20"/>
  <c r="N495" i="20"/>
  <c r="H478" i="20"/>
  <c r="J758" i="8"/>
  <c r="F1185" i="8"/>
  <c r="P596" i="20"/>
  <c r="J1112" i="20"/>
  <c r="J1118" i="20" s="1"/>
  <c r="J1122" i="20" s="1"/>
  <c r="J304" i="20" s="1"/>
  <c r="P1023" i="8"/>
  <c r="E788" i="20"/>
  <c r="I1131" i="20"/>
  <c r="H1130" i="20"/>
  <c r="E1021" i="20"/>
  <c r="K976" i="20"/>
  <c r="L193" i="8"/>
  <c r="F478" i="20"/>
  <c r="M478" i="20"/>
  <c r="N311" i="8"/>
  <c r="J1182" i="20"/>
  <c r="K1131" i="20"/>
  <c r="K355" i="20"/>
  <c r="J65" i="20"/>
  <c r="L1121" i="8"/>
  <c r="L1125" i="8" s="1"/>
  <c r="L308" i="8" s="1"/>
  <c r="O412" i="20"/>
  <c r="O143" i="2"/>
  <c r="O146" i="2" s="1"/>
  <c r="M546" i="20"/>
  <c r="H1113" i="20"/>
  <c r="O301" i="2"/>
  <c r="I976" i="20"/>
  <c r="F1248" i="20"/>
  <c r="H1112" i="20"/>
  <c r="E462" i="8"/>
  <c r="O790" i="8"/>
  <c r="L844" i="20"/>
  <c r="Q786" i="20"/>
  <c r="G495" i="20"/>
  <c r="F301" i="2"/>
  <c r="E1049" i="8"/>
  <c r="E1050" i="8" s="1"/>
  <c r="G1098" i="8"/>
  <c r="N1133" i="8"/>
  <c r="N1139" i="8" s="1"/>
  <c r="N1143" i="8" s="1"/>
  <c r="N315" i="8" s="1"/>
  <c r="P188" i="2"/>
  <c r="F307" i="20"/>
  <c r="J399" i="20"/>
  <c r="P134" i="20"/>
  <c r="L759" i="8"/>
  <c r="L80" i="8"/>
  <c r="L462" i="8"/>
  <c r="H399" i="20"/>
  <c r="L1112" i="20"/>
  <c r="O789" i="8"/>
  <c r="I462" i="8"/>
  <c r="I903" i="20"/>
  <c r="M1095" i="20"/>
  <c r="E1182" i="20"/>
  <c r="O978" i="8"/>
  <c r="G1050" i="20"/>
  <c r="J284" i="2"/>
  <c r="P1130" i="20"/>
  <c r="P1136" i="20" s="1"/>
  <c r="P309" i="20" s="1"/>
  <c r="N1113" i="20"/>
  <c r="K237" i="20"/>
  <c r="F949" i="8"/>
  <c r="H757" i="20"/>
  <c r="H189" i="20"/>
  <c r="L831" i="8"/>
  <c r="L228" i="8"/>
  <c r="F1134" i="8"/>
  <c r="F311" i="8"/>
  <c r="F1133" i="8"/>
  <c r="L101" i="8"/>
  <c r="L530" i="8"/>
  <c r="L535" i="8" s="1"/>
  <c r="G948" i="20"/>
  <c r="I948" i="20"/>
  <c r="L844" i="8"/>
  <c r="K478" i="20"/>
  <c r="K483" i="20" s="1"/>
  <c r="G1185" i="8"/>
  <c r="J596" i="20"/>
  <c r="J1052" i="8"/>
  <c r="P546" i="20"/>
  <c r="K1249" i="20"/>
  <c r="E1225" i="20"/>
  <c r="Q757" i="8"/>
  <c r="J325" i="8"/>
  <c r="J1185" i="8"/>
  <c r="J1186" i="8"/>
  <c r="G950" i="8"/>
  <c r="G249" i="8"/>
  <c r="G949" i="8"/>
  <c r="N949" i="20"/>
  <c r="N244" i="20"/>
  <c r="I950" i="8"/>
  <c r="G244" i="20"/>
  <c r="K789" i="8"/>
  <c r="K795" i="8" s="1"/>
  <c r="O596" i="20"/>
  <c r="I596" i="20"/>
  <c r="F426" i="20"/>
  <c r="L1052" i="8"/>
  <c r="L1227" i="8"/>
  <c r="L1049" i="20"/>
  <c r="O856" i="8"/>
  <c r="O857" i="8" s="1"/>
  <c r="K479" i="8"/>
  <c r="E1020" i="20"/>
  <c r="J652" i="8"/>
  <c r="J654" i="8" s="1"/>
  <c r="L1226" i="8"/>
  <c r="O293" i="2"/>
  <c r="M1168" i="8"/>
  <c r="G462" i="8"/>
  <c r="E284" i="2"/>
  <c r="L529" i="20"/>
  <c r="M1226" i="8"/>
  <c r="J1183" i="20"/>
  <c r="G1186" i="8"/>
  <c r="L290" i="8"/>
  <c r="O352" i="8"/>
  <c r="O1225" i="8"/>
  <c r="O1226" i="8"/>
  <c r="I832" i="8"/>
  <c r="I831" i="8"/>
  <c r="I228" i="8"/>
  <c r="O650" i="20"/>
  <c r="O652" i="8"/>
  <c r="K228" i="8"/>
  <c r="K831" i="8"/>
  <c r="N307" i="20"/>
  <c r="N1131" i="20"/>
  <c r="N1130" i="20"/>
  <c r="N948" i="20"/>
  <c r="N650" i="20"/>
  <c r="I100" i="20"/>
  <c r="N158" i="8"/>
  <c r="M1227" i="8"/>
  <c r="N1182" i="20"/>
  <c r="E758" i="8"/>
  <c r="O426" i="20"/>
  <c r="O431" i="20" s="1"/>
  <c r="O435" i="20" s="1"/>
  <c r="O76" i="20" s="1"/>
  <c r="L426" i="20"/>
  <c r="P461" i="20"/>
  <c r="I301" i="2"/>
  <c r="I128" i="2"/>
  <c r="O979" i="8"/>
  <c r="M856" i="20"/>
  <c r="J86" i="20"/>
  <c r="P189" i="20"/>
  <c r="K1130" i="20"/>
  <c r="O703" i="20"/>
  <c r="O705" i="20" s="1"/>
  <c r="L1225" i="8"/>
  <c r="M1167" i="8"/>
  <c r="J290" i="8"/>
  <c r="L146" i="2"/>
  <c r="M1134" i="8"/>
  <c r="H301" i="2"/>
  <c r="I461" i="20"/>
  <c r="J144" i="8"/>
  <c r="J597" i="8"/>
  <c r="H904" i="8"/>
  <c r="H903" i="8"/>
  <c r="H242" i="8"/>
  <c r="J618" i="20"/>
  <c r="J148" i="20"/>
  <c r="M1186" i="8"/>
  <c r="M325" i="8"/>
  <c r="N1186" i="8"/>
  <c r="N325" i="8"/>
  <c r="K223" i="20"/>
  <c r="K832" i="20"/>
  <c r="L258" i="20"/>
  <c r="L1021" i="20"/>
  <c r="L1020" i="20"/>
  <c r="P479" i="8"/>
  <c r="P87" i="8"/>
  <c r="J1226" i="8"/>
  <c r="J1225" i="8"/>
  <c r="J352" i="8"/>
  <c r="J757" i="20"/>
  <c r="J189" i="20"/>
  <c r="E1170" i="20"/>
  <c r="E1174" i="20" s="1"/>
  <c r="E318" i="20" s="1"/>
  <c r="O80" i="8"/>
  <c r="K1022" i="8"/>
  <c r="Q461" i="8"/>
  <c r="O66" i="8"/>
  <c r="L948" i="8"/>
  <c r="L951" i="8" s="1"/>
  <c r="L652" i="8"/>
  <c r="L654" i="8" s="1"/>
  <c r="I1130" i="20"/>
  <c r="J300" i="20"/>
  <c r="I193" i="8"/>
  <c r="K1023" i="8"/>
  <c r="G618" i="20"/>
  <c r="G148" i="20"/>
  <c r="F856" i="8"/>
  <c r="F856" i="20"/>
  <c r="K352" i="8"/>
  <c r="K1225" i="8"/>
  <c r="K1226" i="8"/>
  <c r="H652" i="8"/>
  <c r="H650" i="20"/>
  <c r="I352" i="8"/>
  <c r="I1226" i="8"/>
  <c r="I1225" i="8"/>
  <c r="L314" i="20"/>
  <c r="L1165" i="20"/>
  <c r="O304" i="8"/>
  <c r="O1115" i="8"/>
  <c r="O1116" i="8"/>
  <c r="L618" i="20"/>
  <c r="L148" i="20"/>
  <c r="H412" i="20"/>
  <c r="N653" i="8"/>
  <c r="L1164" i="20"/>
  <c r="G1049" i="20"/>
  <c r="Q619" i="8"/>
  <c r="K263" i="8"/>
  <c r="J652" i="20"/>
  <c r="N284" i="2"/>
  <c r="O256" i="8"/>
  <c r="G1097" i="8"/>
  <c r="K155" i="20"/>
  <c r="P307" i="20"/>
  <c r="P462" i="8"/>
  <c r="I759" i="8"/>
  <c r="G151" i="8"/>
  <c r="G620" i="8"/>
  <c r="G625" i="8" s="1"/>
  <c r="G652" i="8"/>
  <c r="G650" i="20"/>
  <c r="G703" i="20"/>
  <c r="G704" i="8"/>
  <c r="G186" i="8" s="1"/>
  <c r="N856" i="20"/>
  <c r="N856" i="8"/>
  <c r="I311" i="8"/>
  <c r="I1134" i="8"/>
  <c r="I1133" i="8"/>
  <c r="E1097" i="8"/>
  <c r="E297" i="8"/>
  <c r="E1098" i="8"/>
  <c r="I903" i="8"/>
  <c r="I242" i="8"/>
  <c r="E348" i="20"/>
  <c r="E1224" i="20"/>
  <c r="G128" i="2"/>
  <c r="P193" i="8"/>
  <c r="P759" i="8"/>
  <c r="L1167" i="8"/>
  <c r="L318" i="8"/>
  <c r="L1168" i="8"/>
  <c r="O1113" i="20"/>
  <c r="O300" i="20"/>
  <c r="H304" i="8"/>
  <c r="H1115" i="8"/>
  <c r="H1116" i="8"/>
  <c r="L151" i="8"/>
  <c r="L620" i="8"/>
  <c r="L625" i="8" s="1"/>
  <c r="J127" i="20"/>
  <c r="J546" i="20"/>
  <c r="J230" i="20"/>
  <c r="J858" i="20"/>
  <c r="M242" i="8"/>
  <c r="M903" i="8"/>
  <c r="I1097" i="8"/>
  <c r="I297" i="8"/>
  <c r="I1098" i="8"/>
  <c r="H1097" i="8"/>
  <c r="H297" i="8"/>
  <c r="H1098" i="8"/>
  <c r="P228" i="8"/>
  <c r="P831" i="8"/>
  <c r="P832" i="8"/>
  <c r="K311" i="8"/>
  <c r="K1134" i="8"/>
  <c r="K1133" i="8"/>
  <c r="F73" i="8"/>
  <c r="F428" i="8"/>
  <c r="F977" i="8"/>
  <c r="F978" i="8"/>
  <c r="N478" i="20"/>
  <c r="L1113" i="20"/>
  <c r="F256" i="8"/>
  <c r="K426" i="20"/>
  <c r="G461" i="20"/>
  <c r="P757" i="20"/>
  <c r="F1249" i="20"/>
  <c r="K976" i="8"/>
  <c r="K978" i="8" s="1"/>
  <c r="O402" i="8"/>
  <c r="O414" i="8"/>
  <c r="Q755" i="20"/>
  <c r="M1131" i="20"/>
  <c r="K251" i="20"/>
  <c r="H1139" i="8"/>
  <c r="N301" i="2"/>
  <c r="F137" i="8"/>
  <c r="F564" i="8"/>
  <c r="I189" i="20"/>
  <c r="I757" i="20"/>
  <c r="J130" i="8"/>
  <c r="J547" i="8"/>
  <c r="O65" i="20"/>
  <c r="O399" i="20"/>
  <c r="K1021" i="20"/>
  <c r="K1020" i="20"/>
  <c r="K258" i="20"/>
  <c r="J858" i="8"/>
  <c r="J857" i="8"/>
  <c r="J235" i="8"/>
  <c r="K1225" i="20"/>
  <c r="K1224" i="20"/>
  <c r="K348" i="20"/>
  <c r="M237" i="20"/>
  <c r="M903" i="20"/>
  <c r="L73" i="8"/>
  <c r="L428" i="8"/>
  <c r="I977" i="20"/>
  <c r="I251" i="20"/>
  <c r="K143" i="2"/>
  <c r="P832" i="20"/>
  <c r="P223" i="20"/>
  <c r="J134" i="2"/>
  <c r="J146" i="2"/>
  <c r="H1021" i="20"/>
  <c r="H1020" i="20"/>
  <c r="H258" i="20"/>
  <c r="P94" i="8"/>
  <c r="P496" i="8"/>
  <c r="I530" i="8"/>
  <c r="I101" i="8"/>
  <c r="O73" i="8"/>
  <c r="O428" i="8"/>
  <c r="L948" i="20"/>
  <c r="F1050" i="20"/>
  <c r="F286" i="20"/>
  <c r="F1049" i="20"/>
  <c r="F1018" i="20"/>
  <c r="F1020" i="8"/>
  <c r="N703" i="20"/>
  <c r="N704" i="8"/>
  <c r="N186" i="8" s="1"/>
  <c r="P1051" i="8"/>
  <c r="P1050" i="8"/>
  <c r="P290" i="8"/>
  <c r="P1052" i="8"/>
  <c r="N134" i="20"/>
  <c r="N563" i="20"/>
  <c r="N568" i="20" s="1"/>
  <c r="N136" i="20" s="1"/>
  <c r="E127" i="20"/>
  <c r="E546" i="20"/>
  <c r="E551" i="20" s="1"/>
  <c r="H100" i="20"/>
  <c r="H529" i="20"/>
  <c r="N461" i="20"/>
  <c r="N79" i="20"/>
  <c r="G72" i="20"/>
  <c r="G426" i="20"/>
  <c r="N1251" i="8"/>
  <c r="N359" i="8"/>
  <c r="N1250" i="8"/>
  <c r="I321" i="20"/>
  <c r="I1183" i="20"/>
  <c r="Q1181" i="20"/>
  <c r="I1182" i="20"/>
  <c r="I314" i="20"/>
  <c r="I1165" i="20"/>
  <c r="I1164" i="20"/>
  <c r="O949" i="20"/>
  <c r="O244" i="20"/>
  <c r="O948" i="20"/>
  <c r="M979" i="8"/>
  <c r="M977" i="8"/>
  <c r="M978" i="8"/>
  <c r="M256" i="8"/>
  <c r="K293" i="2"/>
  <c r="K284" i="2"/>
  <c r="D299" i="2"/>
  <c r="P1167" i="8"/>
  <c r="P318" i="8"/>
  <c r="P1168" i="8"/>
  <c r="J1130" i="20"/>
  <c r="J1131" i="20"/>
  <c r="J307" i="20"/>
  <c r="E290" i="2"/>
  <c r="N237" i="20"/>
  <c r="N903" i="20"/>
  <c r="F650" i="20"/>
  <c r="F652" i="8"/>
  <c r="G352" i="8"/>
  <c r="G1226" i="8"/>
  <c r="G1227" i="8"/>
  <c r="H1050" i="20"/>
  <c r="H286" i="20"/>
  <c r="H1049" i="20"/>
  <c r="O1249" i="20"/>
  <c r="O355" i="20"/>
  <c r="M1047" i="20"/>
  <c r="M1049" i="8"/>
  <c r="H284" i="2"/>
  <c r="I703" i="20"/>
  <c r="I704" i="8"/>
  <c r="I186" i="8" s="1"/>
  <c r="N620" i="8"/>
  <c r="N151" i="8"/>
  <c r="N144" i="8"/>
  <c r="N597" i="8"/>
  <c r="E134" i="20"/>
  <c r="E563" i="20"/>
  <c r="E568" i="20" s="1"/>
  <c r="H130" i="8"/>
  <c r="H547" i="8"/>
  <c r="H552" i="8" s="1"/>
  <c r="K529" i="20"/>
  <c r="K100" i="20"/>
  <c r="M80" i="8"/>
  <c r="M462" i="8"/>
  <c r="F79" i="20"/>
  <c r="F461" i="20"/>
  <c r="H73" i="8"/>
  <c r="H428" i="8"/>
  <c r="L293" i="2"/>
  <c r="K290" i="2"/>
  <c r="O318" i="8"/>
  <c r="O1168" i="8"/>
  <c r="O1167" i="8"/>
  <c r="G304" i="8"/>
  <c r="G1116" i="8"/>
  <c r="G1115" i="8"/>
  <c r="J237" i="20"/>
  <c r="J903" i="20"/>
  <c r="M495" i="20"/>
  <c r="M93" i="20"/>
  <c r="H1022" i="8"/>
  <c r="H263" i="8"/>
  <c r="H1023" i="8"/>
  <c r="H1021" i="8"/>
  <c r="P495" i="20"/>
  <c r="P93" i="20"/>
  <c r="J137" i="8"/>
  <c r="J564" i="8"/>
  <c r="I547" i="8"/>
  <c r="I130" i="8"/>
  <c r="L93" i="20"/>
  <c r="L495" i="20"/>
  <c r="M1165" i="20"/>
  <c r="M1170" i="20" s="1"/>
  <c r="M314" i="20"/>
  <c r="I1018" i="20"/>
  <c r="I1020" i="8"/>
  <c r="E137" i="8"/>
  <c r="E564" i="8"/>
  <c r="K530" i="8"/>
  <c r="K535" i="8" s="1"/>
  <c r="K101" i="8"/>
  <c r="J87" i="8"/>
  <c r="J479" i="8"/>
  <c r="E856" i="8"/>
  <c r="E856" i="20"/>
  <c r="K293" i="20"/>
  <c r="H948" i="20"/>
  <c r="L705" i="20"/>
  <c r="L1186" i="8"/>
  <c r="K596" i="20"/>
  <c r="N596" i="20"/>
  <c r="K1049" i="20"/>
  <c r="O148" i="20"/>
  <c r="J1050" i="8"/>
  <c r="O1165" i="20"/>
  <c r="O1170" i="20" s="1"/>
  <c r="O314" i="20"/>
  <c r="G1113" i="20"/>
  <c r="G300" i="20"/>
  <c r="J903" i="8"/>
  <c r="J242" i="8"/>
  <c r="F831" i="8"/>
  <c r="F228" i="8"/>
  <c r="F832" i="8"/>
  <c r="P951" i="8"/>
  <c r="P950" i="8"/>
  <c r="P949" i="8"/>
  <c r="P249" i="8"/>
  <c r="O563" i="20"/>
  <c r="O134" i="20"/>
  <c r="N1165" i="20"/>
  <c r="N1170" i="20" s="1"/>
  <c r="N1174" i="20" s="1"/>
  <c r="N318" i="20" s="1"/>
  <c r="N314" i="20"/>
  <c r="L1098" i="8"/>
  <c r="L1097" i="8"/>
  <c r="L297" i="8"/>
  <c r="E193" i="8"/>
  <c r="E759" i="8"/>
  <c r="P414" i="8"/>
  <c r="P401" i="8"/>
  <c r="P402" i="8"/>
  <c r="P66" i="8"/>
  <c r="J286" i="20"/>
  <c r="J1050" i="20"/>
  <c r="J182" i="20"/>
  <c r="J705" i="20"/>
  <c r="L1183" i="20"/>
  <c r="L321" i="20"/>
  <c r="O151" i="8"/>
  <c r="O620" i="8"/>
  <c r="J134" i="20"/>
  <c r="J563" i="20"/>
  <c r="J568" i="20" s="1"/>
  <c r="I127" i="20"/>
  <c r="I546" i="20"/>
  <c r="I551" i="20" s="1"/>
  <c r="L94" i="8"/>
  <c r="L496" i="8"/>
  <c r="I856" i="8"/>
  <c r="I856" i="20"/>
  <c r="J359" i="8"/>
  <c r="J1251" i="8"/>
  <c r="E300" i="20"/>
  <c r="E1113" i="20"/>
  <c r="K151" i="8"/>
  <c r="K620" i="8"/>
  <c r="K625" i="8" s="1"/>
  <c r="F596" i="20"/>
  <c r="F141" i="20"/>
  <c r="I137" i="8"/>
  <c r="I564" i="8"/>
  <c r="I569" i="8" s="1"/>
  <c r="L547" i="8"/>
  <c r="L552" i="8" s="1"/>
  <c r="L130" i="8"/>
  <c r="O530" i="8"/>
  <c r="O101" i="8"/>
  <c r="O496" i="8"/>
  <c r="O501" i="8" s="1"/>
  <c r="O94" i="8"/>
  <c r="G94" i="8"/>
  <c r="Q495" i="8"/>
  <c r="G496" i="8"/>
  <c r="K428" i="8"/>
  <c r="K73" i="8"/>
  <c r="K297" i="8"/>
  <c r="K1098" i="8"/>
  <c r="K1097" i="8"/>
  <c r="E948" i="8"/>
  <c r="E946" i="20"/>
  <c r="K856" i="20"/>
  <c r="K856" i="8"/>
  <c r="F189" i="20"/>
  <c r="J1249" i="20"/>
  <c r="J355" i="20"/>
  <c r="E304" i="8"/>
  <c r="E1116" i="8"/>
  <c r="E1115" i="8"/>
  <c r="N148" i="20"/>
  <c r="N618" i="20"/>
  <c r="M564" i="8"/>
  <c r="M137" i="8"/>
  <c r="H127" i="20"/>
  <c r="H546" i="20"/>
  <c r="F80" i="8"/>
  <c r="F462" i="8"/>
  <c r="P856" i="20"/>
  <c r="P856" i="8"/>
  <c r="L325" i="8"/>
  <c r="M568" i="20"/>
  <c r="M572" i="20" s="1"/>
  <c r="M138" i="20" s="1"/>
  <c r="H426" i="20"/>
  <c r="O128" i="2"/>
  <c r="F757" i="20"/>
  <c r="J299" i="2"/>
  <c r="L301" i="2"/>
  <c r="L290" i="2"/>
  <c r="H146" i="2"/>
  <c r="Q617" i="20"/>
  <c r="O1251" i="8"/>
  <c r="O1250" i="8"/>
  <c r="O359" i="8"/>
  <c r="P1165" i="20"/>
  <c r="P1170" i="20" s="1"/>
  <c r="P314" i="20"/>
  <c r="J311" i="8"/>
  <c r="J1134" i="8"/>
  <c r="J1133" i="8"/>
  <c r="N903" i="8"/>
  <c r="N242" i="8"/>
  <c r="M193" i="8"/>
  <c r="M759" i="8"/>
  <c r="E620" i="8"/>
  <c r="E151" i="8"/>
  <c r="N318" i="8"/>
  <c r="N1168" i="8"/>
  <c r="N1167" i="8"/>
  <c r="L293" i="20"/>
  <c r="E189" i="20"/>
  <c r="E757" i="20"/>
  <c r="H87" i="8"/>
  <c r="H479" i="8"/>
  <c r="P399" i="20"/>
  <c r="P65" i="20"/>
  <c r="P412" i="20"/>
  <c r="F1050" i="8"/>
  <c r="F1051" i="8"/>
  <c r="F1052" i="8"/>
  <c r="F290" i="8"/>
  <c r="P1050" i="20"/>
  <c r="P286" i="20"/>
  <c r="N137" i="8"/>
  <c r="N564" i="8"/>
  <c r="E130" i="8"/>
  <c r="E547" i="8"/>
  <c r="E552" i="8" s="1"/>
  <c r="H101" i="8"/>
  <c r="H530" i="8"/>
  <c r="H535" i="8" s="1"/>
  <c r="N80" i="8"/>
  <c r="N462" i="8"/>
  <c r="N467" i="8" s="1"/>
  <c r="G73" i="8"/>
  <c r="G428" i="8"/>
  <c r="L155" i="20"/>
  <c r="L652" i="20"/>
  <c r="E704" i="8"/>
  <c r="E186" i="8" s="1"/>
  <c r="E703" i="20"/>
  <c r="N355" i="20"/>
  <c r="N1249" i="20"/>
  <c r="I1185" i="8"/>
  <c r="I1186" i="8"/>
  <c r="I325" i="8"/>
  <c r="I318" i="8"/>
  <c r="I1167" i="8"/>
  <c r="I1168" i="8"/>
  <c r="O949" i="8"/>
  <c r="O950" i="8"/>
  <c r="O249" i="8"/>
  <c r="O951" i="8"/>
  <c r="M977" i="20"/>
  <c r="M251" i="20"/>
  <c r="D296" i="2"/>
  <c r="D290" i="2"/>
  <c r="M1020" i="8"/>
  <c r="M1018" i="20"/>
  <c r="M703" i="20"/>
  <c r="M704" i="8"/>
  <c r="M186" i="8" s="1"/>
  <c r="K148" i="20"/>
  <c r="K618" i="20"/>
  <c r="F144" i="8"/>
  <c r="F597" i="8"/>
  <c r="I563" i="20"/>
  <c r="I134" i="20"/>
  <c r="L127" i="20"/>
  <c r="L546" i="20"/>
  <c r="L551" i="20" s="1"/>
  <c r="O529" i="20"/>
  <c r="O100" i="20"/>
  <c r="O495" i="20"/>
  <c r="O93" i="20"/>
  <c r="Q494" i="20"/>
  <c r="M87" i="8"/>
  <c r="M479" i="8"/>
  <c r="M484" i="8" s="1"/>
  <c r="F479" i="8"/>
  <c r="F87" i="8"/>
  <c r="L974" i="20"/>
  <c r="Q974" i="20" s="1"/>
  <c r="L976" i="8"/>
  <c r="E263" i="8"/>
  <c r="E1021" i="8"/>
  <c r="E1022" i="8"/>
  <c r="E1023" i="8"/>
  <c r="P281" i="2"/>
  <c r="F284" i="2"/>
  <c r="F293" i="2"/>
  <c r="Q902" i="8"/>
  <c r="F242" i="8"/>
  <c r="F903" i="8"/>
  <c r="F904" i="8"/>
  <c r="O144" i="8"/>
  <c r="O597" i="8"/>
  <c r="O1131" i="20"/>
  <c r="O307" i="20"/>
  <c r="O1130" i="20"/>
  <c r="J293" i="20"/>
  <c r="Q1093" i="20"/>
  <c r="I355" i="20"/>
  <c r="I1249" i="20"/>
  <c r="I1248" i="20"/>
  <c r="G314" i="20"/>
  <c r="G1165" i="20"/>
  <c r="G1164" i="20"/>
  <c r="Q1163" i="20"/>
  <c r="J832" i="20"/>
  <c r="J223" i="20"/>
  <c r="J844" i="20"/>
  <c r="Q830" i="20"/>
  <c r="G134" i="20"/>
  <c r="G563" i="20"/>
  <c r="Q562" i="20"/>
  <c r="N1021" i="20"/>
  <c r="N1020" i="20"/>
  <c r="N258" i="20"/>
  <c r="M399" i="20"/>
  <c r="M412" i="20"/>
  <c r="M65" i="20"/>
  <c r="N479" i="8"/>
  <c r="N484" i="8" s="1"/>
  <c r="N87" i="8"/>
  <c r="Q478" i="8"/>
  <c r="K65" i="20"/>
  <c r="K412" i="20"/>
  <c r="K399" i="20"/>
  <c r="Q397" i="20"/>
  <c r="P1116" i="8"/>
  <c r="P304" i="8"/>
  <c r="P1115" i="8"/>
  <c r="P597" i="8"/>
  <c r="P144" i="8"/>
  <c r="K1167" i="8"/>
  <c r="K1168" i="8"/>
  <c r="K318" i="8"/>
  <c r="G1130" i="20"/>
  <c r="G1131" i="20"/>
  <c r="G307" i="20"/>
  <c r="Q1129" i="20"/>
  <c r="M300" i="20"/>
  <c r="M1113" i="20"/>
  <c r="K325" i="8"/>
  <c r="K1185" i="8"/>
  <c r="K1186" i="8"/>
  <c r="Q1184" i="8"/>
  <c r="G530" i="8"/>
  <c r="G101" i="8"/>
  <c r="P122" i="2"/>
  <c r="J1095" i="20"/>
  <c r="N66" i="8"/>
  <c r="N401" i="8"/>
  <c r="N414" i="8"/>
  <c r="N402" i="8"/>
  <c r="P903" i="20"/>
  <c r="P237" i="20"/>
  <c r="H564" i="8"/>
  <c r="H137" i="8"/>
  <c r="P1183" i="20"/>
  <c r="P321" i="20"/>
  <c r="F237" i="20"/>
  <c r="F903" i="20"/>
  <c r="Q901" i="20"/>
  <c r="P140" i="2"/>
  <c r="F101" i="8"/>
  <c r="F530" i="8"/>
  <c r="G478" i="20"/>
  <c r="G86" i="20"/>
  <c r="Q477" i="20"/>
  <c r="O311" i="8"/>
  <c r="O1133" i="8"/>
  <c r="O1134" i="8"/>
  <c r="I1116" i="8"/>
  <c r="I304" i="8"/>
  <c r="I1115" i="8"/>
  <c r="J251" i="20"/>
  <c r="J977" i="20"/>
  <c r="O1021" i="20"/>
  <c r="O1020" i="20"/>
  <c r="O258" i="20"/>
  <c r="L856" i="20"/>
  <c r="L856" i="8"/>
  <c r="P1250" i="8"/>
  <c r="P359" i="8"/>
  <c r="P1251" i="8"/>
  <c r="N299" i="2"/>
  <c r="M650" i="20"/>
  <c r="M652" i="8"/>
  <c r="H134" i="20"/>
  <c r="H563" i="20"/>
  <c r="P1185" i="8"/>
  <c r="P325" i="8"/>
  <c r="P618" i="20"/>
  <c r="P623" i="20" s="1"/>
  <c r="P148" i="20"/>
  <c r="F1115" i="8"/>
  <c r="F1116" i="8"/>
  <c r="Q1114" i="8"/>
  <c r="F304" i="8"/>
  <c r="M858" i="8"/>
  <c r="M857" i="8"/>
  <c r="M235" i="8"/>
  <c r="K144" i="8"/>
  <c r="K597" i="8"/>
  <c r="E1249" i="20"/>
  <c r="E355" i="20"/>
  <c r="Q1247" i="20"/>
  <c r="M223" i="20"/>
  <c r="M832" i="20"/>
  <c r="J200" i="8"/>
  <c r="J789" i="8"/>
  <c r="J795" i="8" s="1"/>
  <c r="N130" i="8"/>
  <c r="N547" i="8"/>
  <c r="Q528" i="20"/>
  <c r="F529" i="20"/>
  <c r="F100" i="20"/>
  <c r="F412" i="20"/>
  <c r="F65" i="20"/>
  <c r="F399" i="20"/>
  <c r="J1167" i="8"/>
  <c r="J1168" i="8"/>
  <c r="J318" i="8"/>
  <c r="J529" i="20"/>
  <c r="J100" i="20"/>
  <c r="G311" i="8"/>
  <c r="Q1132" i="8"/>
  <c r="G1134" i="8"/>
  <c r="G1133" i="8"/>
  <c r="I300" i="20"/>
  <c r="I1113" i="20"/>
  <c r="M950" i="8"/>
  <c r="M249" i="8"/>
  <c r="M949" i="8"/>
  <c r="N293" i="20"/>
  <c r="N1095" i="20"/>
  <c r="L903" i="8"/>
  <c r="L242" i="8"/>
  <c r="D13" i="26"/>
  <c r="D185" i="26" s="1"/>
  <c r="D186" i="26" s="1"/>
  <c r="G186" i="26" s="1"/>
  <c r="I244" i="20"/>
  <c r="I949" i="20"/>
  <c r="J256" i="8"/>
  <c r="J979" i="8"/>
  <c r="J977" i="8"/>
  <c r="J978" i="8"/>
  <c r="K1050" i="8"/>
  <c r="K1051" i="8"/>
  <c r="K290" i="8"/>
  <c r="P650" i="20"/>
  <c r="P652" i="8"/>
  <c r="P355" i="20"/>
  <c r="P1249" i="20"/>
  <c r="P529" i="20"/>
  <c r="P100" i="20"/>
  <c r="F352" i="8"/>
  <c r="F1226" i="8"/>
  <c r="F1225" i="8"/>
  <c r="Q1224" i="8"/>
  <c r="H1185" i="8"/>
  <c r="H325" i="8"/>
  <c r="H1186" i="8"/>
  <c r="I1047" i="20"/>
  <c r="I1049" i="8"/>
  <c r="P278" i="2"/>
  <c r="L134" i="20"/>
  <c r="L563" i="20"/>
  <c r="O130" i="8"/>
  <c r="O547" i="8"/>
  <c r="O552" i="8" s="1"/>
  <c r="G130" i="8"/>
  <c r="Q546" i="8"/>
  <c r="G547" i="8"/>
  <c r="Q788" i="8"/>
  <c r="L949" i="20"/>
  <c r="L244" i="20"/>
  <c r="Q1111" i="20"/>
  <c r="O706" i="8"/>
  <c r="O705" i="8"/>
  <c r="P1226" i="8"/>
  <c r="P1227" i="8"/>
  <c r="P1225" i="8"/>
  <c r="P352" i="8"/>
  <c r="M1249" i="20"/>
  <c r="M355" i="20"/>
  <c r="E141" i="20"/>
  <c r="Q595" i="20"/>
  <c r="H290" i="8"/>
  <c r="H1052" i="8"/>
  <c r="H1050" i="8"/>
  <c r="H1051" i="8"/>
  <c r="E286" i="20"/>
  <c r="E1050" i="20"/>
  <c r="M1248" i="20"/>
  <c r="P151" i="8"/>
  <c r="P620" i="8"/>
  <c r="G856" i="8"/>
  <c r="P170" i="2"/>
  <c r="G856" i="20"/>
  <c r="M228" i="8"/>
  <c r="M832" i="8"/>
  <c r="M831" i="8"/>
  <c r="G564" i="8"/>
  <c r="Q563" i="8"/>
  <c r="G137" i="8"/>
  <c r="F66" i="8"/>
  <c r="F401" i="8"/>
  <c r="F402" i="8"/>
  <c r="F414" i="8"/>
  <c r="Q400" i="8"/>
  <c r="G904" i="8"/>
  <c r="G903" i="8"/>
  <c r="G242" i="8"/>
  <c r="K1165" i="20"/>
  <c r="K1170" i="20" s="1"/>
  <c r="K314" i="20"/>
  <c r="N1098" i="8"/>
  <c r="N1103" i="8" s="1"/>
  <c r="N297" i="8"/>
  <c r="G529" i="20"/>
  <c r="G534" i="20" s="1"/>
  <c r="G100" i="20"/>
  <c r="G66" i="8"/>
  <c r="G414" i="8"/>
  <c r="G402" i="8"/>
  <c r="G401" i="8"/>
  <c r="Q529" i="8"/>
  <c r="O1047" i="20"/>
  <c r="O1049" i="8"/>
  <c r="N146" i="2"/>
  <c r="G293" i="2"/>
  <c r="G284" i="2"/>
  <c r="P1225" i="20"/>
  <c r="P348" i="20"/>
  <c r="P1224" i="20"/>
  <c r="Q1222" i="20"/>
  <c r="P101" i="8"/>
  <c r="P530" i="8"/>
  <c r="H321" i="20"/>
  <c r="H1183" i="20"/>
  <c r="H401" i="8"/>
  <c r="H66" i="8"/>
  <c r="H414" i="8"/>
  <c r="K130" i="8"/>
  <c r="K547" i="8"/>
  <c r="P200" i="2"/>
  <c r="H290" i="2"/>
  <c r="P288" i="2"/>
  <c r="H296" i="2"/>
  <c r="I144" i="8"/>
  <c r="I597" i="8"/>
  <c r="E144" i="8"/>
  <c r="Q596" i="8"/>
  <c r="E597" i="8"/>
  <c r="G546" i="20"/>
  <c r="G127" i="20"/>
  <c r="Q545" i="20"/>
  <c r="H977" i="20"/>
  <c r="H251" i="20"/>
  <c r="Q1096" i="8"/>
  <c r="E596" i="20"/>
  <c r="P426" i="20"/>
  <c r="P431" i="20" s="1"/>
  <c r="P74" i="20" s="1"/>
  <c r="P1113" i="20"/>
  <c r="P300" i="20"/>
  <c r="I1250" i="8"/>
  <c r="I359" i="8"/>
  <c r="I1251" i="8"/>
  <c r="Q1249" i="8"/>
  <c r="G1167" i="8"/>
  <c r="G1168" i="8"/>
  <c r="Q1166" i="8"/>
  <c r="G318" i="8"/>
  <c r="J228" i="8"/>
  <c r="Q830" i="8"/>
  <c r="J831" i="8"/>
  <c r="J196" i="20"/>
  <c r="Q196" i="20" s="1"/>
  <c r="J788" i="20"/>
  <c r="N127" i="20"/>
  <c r="N546" i="20"/>
  <c r="N263" i="8"/>
  <c r="N1021" i="8"/>
  <c r="N1023" i="8"/>
  <c r="N1022" i="8"/>
  <c r="M401" i="8"/>
  <c r="M414" i="8"/>
  <c r="M66" i="8"/>
  <c r="M402" i="8"/>
  <c r="F143" i="2"/>
  <c r="J461" i="20"/>
  <c r="J79" i="20"/>
  <c r="Q460" i="20"/>
  <c r="H318" i="8"/>
  <c r="H1168" i="8"/>
  <c r="H1167" i="8"/>
  <c r="M304" i="8"/>
  <c r="M1116" i="8"/>
  <c r="M1115" i="8"/>
  <c r="M244" i="20"/>
  <c r="M949" i="20"/>
  <c r="K321" i="20"/>
  <c r="K1182" i="20"/>
  <c r="K1183" i="20"/>
  <c r="J1097" i="8"/>
  <c r="J297" i="8"/>
  <c r="J1098" i="8"/>
  <c r="L237" i="20"/>
  <c r="L903" i="20"/>
  <c r="P1186" i="8"/>
  <c r="N399" i="20"/>
  <c r="N65" i="20"/>
  <c r="G412" i="20"/>
  <c r="G65" i="20"/>
  <c r="G399" i="20"/>
  <c r="O858" i="20"/>
  <c r="O230" i="20"/>
  <c r="K286" i="20"/>
  <c r="K1050" i="20"/>
  <c r="G1018" i="20"/>
  <c r="G1020" i="8"/>
  <c r="P194" i="2"/>
  <c r="K703" i="20"/>
  <c r="P87" i="2"/>
  <c r="K704" i="8"/>
  <c r="K186" i="8" s="1"/>
  <c r="H856" i="20"/>
  <c r="H856" i="8"/>
  <c r="P242" i="8"/>
  <c r="P903" i="8"/>
  <c r="Q427" i="8"/>
  <c r="P428" i="8"/>
  <c r="P73" i="8"/>
  <c r="N412" i="20"/>
  <c r="E251" i="20"/>
  <c r="E977" i="20"/>
  <c r="I650" i="20"/>
  <c r="I652" i="8"/>
  <c r="P295" i="2"/>
  <c r="E299" i="2"/>
  <c r="M1251" i="8"/>
  <c r="M359" i="8"/>
  <c r="M1250" i="8"/>
  <c r="L137" i="8"/>
  <c r="L564" i="8"/>
  <c r="O546" i="20"/>
  <c r="O551" i="20" s="1"/>
  <c r="O127" i="20"/>
  <c r="K301" i="2"/>
  <c r="H299" i="2"/>
  <c r="M299" i="2"/>
  <c r="P145" i="2"/>
  <c r="I299" i="2"/>
  <c r="P69" i="8"/>
  <c r="P48" i="23"/>
  <c r="F551" i="20"/>
  <c r="I847" i="20"/>
  <c r="E324" i="3"/>
  <c r="P318" i="3"/>
  <c r="E321" i="3"/>
  <c r="Q1118" i="8"/>
  <c r="O305" i="8"/>
  <c r="O1119" i="8"/>
  <c r="I793" i="8"/>
  <c r="I797" i="8"/>
  <c r="I802" i="8"/>
  <c r="I804" i="8" s="1"/>
  <c r="E276" i="26"/>
  <c r="I201" i="8"/>
  <c r="H1032" i="8"/>
  <c r="H1030" i="8"/>
  <c r="H1037" i="8" s="1"/>
  <c r="I988" i="8"/>
  <c r="L1035" i="8"/>
  <c r="O987" i="8"/>
  <c r="O990" i="8" s="1"/>
  <c r="J1170" i="20"/>
  <c r="I182" i="2"/>
  <c r="P180" i="2"/>
  <c r="I282" i="2"/>
  <c r="I294" i="2" s="1"/>
  <c r="E532" i="20"/>
  <c r="E534" i="20" s="1"/>
  <c r="Q531" i="20"/>
  <c r="E101" i="20"/>
  <c r="O1116" i="20"/>
  <c r="O301" i="20"/>
  <c r="Q301" i="20" s="1"/>
  <c r="Q1115" i="20"/>
  <c r="G73" i="20"/>
  <c r="G433" i="20"/>
  <c r="G429" i="20"/>
  <c r="Q428" i="20"/>
  <c r="H249" i="8"/>
  <c r="H951" i="8"/>
  <c r="H950" i="8"/>
  <c r="H949" i="8"/>
  <c r="M1032" i="8"/>
  <c r="P128" i="3"/>
  <c r="J712" i="8"/>
  <c r="J711" i="20"/>
  <c r="E72" i="20"/>
  <c r="E426" i="20"/>
  <c r="Q425" i="20"/>
  <c r="G74" i="8"/>
  <c r="Q430" i="8"/>
  <c r="G431" i="8"/>
  <c r="G435" i="8"/>
  <c r="F54" i="23"/>
  <c r="P54" i="23" s="1"/>
  <c r="P53" i="23"/>
  <c r="K1230" i="20"/>
  <c r="F1258" i="20"/>
  <c r="L199" i="20"/>
  <c r="E67" i="5"/>
  <c r="P54" i="5"/>
  <c r="E229" i="8"/>
  <c r="E835" i="8"/>
  <c r="I74" i="8"/>
  <c r="I435" i="8"/>
  <c r="I431" i="8"/>
  <c r="H42" i="23"/>
  <c r="P41" i="23"/>
  <c r="K987" i="8"/>
  <c r="K990" i="8" s="1"/>
  <c r="H949" i="20"/>
  <c r="H244" i="20"/>
  <c r="L1063" i="8"/>
  <c r="G987" i="8"/>
  <c r="J1030" i="8"/>
  <c r="J1037" i="8" s="1"/>
  <c r="P709" i="20"/>
  <c r="P710" i="8"/>
  <c r="M1061" i="8"/>
  <c r="M1059" i="8"/>
  <c r="M1066" i="8" s="1"/>
  <c r="Q834" i="8"/>
  <c r="L229" i="8"/>
  <c r="L835" i="8"/>
  <c r="M1057" i="20"/>
  <c r="M1064" i="20" s="1"/>
  <c r="G988" i="8"/>
  <c r="M659" i="20"/>
  <c r="L664" i="8"/>
  <c r="L661" i="8"/>
  <c r="L659" i="20"/>
  <c r="K666" i="8"/>
  <c r="O1231" i="8"/>
  <c r="O1229" i="20"/>
  <c r="J665" i="8"/>
  <c r="E407" i="8" l="1"/>
  <c r="E411" i="8" s="1"/>
  <c r="E802" i="20"/>
  <c r="Q776" i="20"/>
  <c r="Q414" i="20"/>
  <c r="H106" i="26" s="1"/>
  <c r="F847" i="8"/>
  <c r="E416" i="20"/>
  <c r="P407" i="8"/>
  <c r="H795" i="8"/>
  <c r="L677" i="8"/>
  <c r="L795" i="8"/>
  <c r="P837" i="8"/>
  <c r="P841" i="8" s="1"/>
  <c r="E847" i="8"/>
  <c r="E418" i="8"/>
  <c r="Q803" i="8"/>
  <c r="F110" i="26" s="1"/>
  <c r="G268" i="26" s="1"/>
  <c r="Q793" i="8"/>
  <c r="N795" i="8"/>
  <c r="I795" i="8"/>
  <c r="I202" i="8" s="1"/>
  <c r="E795" i="8"/>
  <c r="E202" i="8" s="1"/>
  <c r="O795" i="8"/>
  <c r="Q794" i="8"/>
  <c r="H273" i="26" s="1"/>
  <c r="G795" i="8"/>
  <c r="F795" i="8"/>
  <c r="P418" i="8"/>
  <c r="F837" i="8"/>
  <c r="E1177" i="8"/>
  <c r="E322" i="8" s="1"/>
  <c r="E320" i="8"/>
  <c r="Q845" i="8"/>
  <c r="F106" i="26" s="1"/>
  <c r="H677" i="8"/>
  <c r="G677" i="8"/>
  <c r="A795" i="8"/>
  <c r="A797" i="8" s="1"/>
  <c r="A799" i="8" s="1"/>
  <c r="A801" i="8" s="1"/>
  <c r="A802" i="8" s="1"/>
  <c r="A803" i="8" s="1"/>
  <c r="A804" i="8" s="1"/>
  <c r="A806" i="8" s="1"/>
  <c r="A794" i="8"/>
  <c r="E837" i="8"/>
  <c r="P795" i="8"/>
  <c r="L470" i="20"/>
  <c r="L83" i="20" s="1"/>
  <c r="L81" i="20"/>
  <c r="K804" i="8"/>
  <c r="K202" i="8" s="1"/>
  <c r="O804" i="8"/>
  <c r="G770" i="8"/>
  <c r="G195" i="8" s="1"/>
  <c r="H804" i="8"/>
  <c r="M804" i="8"/>
  <c r="M202" i="8" s="1"/>
  <c r="J804" i="8"/>
  <c r="J202" i="8" s="1"/>
  <c r="F804" i="8"/>
  <c r="P804" i="8"/>
  <c r="G804" i="8"/>
  <c r="N804" i="8"/>
  <c r="L804" i="8"/>
  <c r="L202" i="8" s="1"/>
  <c r="K770" i="8"/>
  <c r="K195" i="8" s="1"/>
  <c r="K407" i="8"/>
  <c r="N407" i="8"/>
  <c r="G407" i="8"/>
  <c r="G411" i="8" s="1"/>
  <c r="I407" i="8"/>
  <c r="I411" i="8" s="1"/>
  <c r="J407" i="8"/>
  <c r="M407" i="8"/>
  <c r="O407" i="8"/>
  <c r="O411" i="8" s="1"/>
  <c r="F407" i="8"/>
  <c r="H407" i="8"/>
  <c r="L407" i="8"/>
  <c r="G802" i="20"/>
  <c r="F802" i="20"/>
  <c r="A801" i="20"/>
  <c r="A802" i="20" s="1"/>
  <c r="A804" i="20" s="1"/>
  <c r="A533" i="20"/>
  <c r="A534" i="20" s="1"/>
  <c r="A536" i="20" s="1"/>
  <c r="A538" i="20" s="1"/>
  <c r="A541" i="20" s="1"/>
  <c r="A543" i="20" s="1"/>
  <c r="A545" i="20" s="1"/>
  <c r="A546" i="20" s="1"/>
  <c r="A548" i="20" s="1"/>
  <c r="A549" i="20" s="1"/>
  <c r="A551" i="20" s="1"/>
  <c r="A553" i="20" s="1"/>
  <c r="A555" i="20" s="1"/>
  <c r="A558" i="20" s="1"/>
  <c r="A560" i="20" s="1"/>
  <c r="A562" i="20" s="1"/>
  <c r="A563" i="20" s="1"/>
  <c r="A565" i="20" s="1"/>
  <c r="A566" i="20" s="1"/>
  <c r="A568" i="20" s="1"/>
  <c r="A570" i="20" s="1"/>
  <c r="A572" i="20" s="1"/>
  <c r="A593" i="20" s="1"/>
  <c r="A595" i="20" s="1"/>
  <c r="A596" i="20" s="1"/>
  <c r="A598" i="20" s="1"/>
  <c r="A599" i="20" s="1"/>
  <c r="A600" i="20" s="1"/>
  <c r="A602" i="20" s="1"/>
  <c r="A603" i="20" s="1"/>
  <c r="A604" i="20" s="1"/>
  <c r="A607" i="20" s="1"/>
  <c r="A609" i="20" s="1"/>
  <c r="A611" i="20" s="1"/>
  <c r="A613" i="20" s="1"/>
  <c r="A615" i="20" s="1"/>
  <c r="A617" i="20" s="1"/>
  <c r="A618" i="20" s="1"/>
  <c r="A620" i="20" s="1"/>
  <c r="A621" i="20" s="1"/>
  <c r="A623" i="20" s="1"/>
  <c r="A625" i="20" s="1"/>
  <c r="A627" i="20" s="1"/>
  <c r="O252" i="20"/>
  <c r="P993" i="8"/>
  <c r="P997" i="8" s="1"/>
  <c r="P260" i="8" s="1"/>
  <c r="H1103" i="8"/>
  <c r="E69" i="8"/>
  <c r="Q294" i="20"/>
  <c r="K349" i="20"/>
  <c r="K1235" i="20"/>
  <c r="L1103" i="8"/>
  <c r="L1107" i="8" s="1"/>
  <c r="L301" i="8" s="1"/>
  <c r="E349" i="20"/>
  <c r="Q1099" i="20"/>
  <c r="H109" i="26" s="1"/>
  <c r="G990" i="20"/>
  <c r="O990" i="20"/>
  <c r="J990" i="20"/>
  <c r="I535" i="8"/>
  <c r="I103" i="8" s="1"/>
  <c r="I1103" i="8"/>
  <c r="I299" i="8" s="1"/>
  <c r="E1103" i="8"/>
  <c r="G1103" i="8"/>
  <c r="P299" i="8"/>
  <c r="Q1102" i="8"/>
  <c r="F109" i="26" s="1"/>
  <c r="J1103" i="8"/>
  <c r="J1107" i="8" s="1"/>
  <c r="J301" i="8" s="1"/>
  <c r="K1103" i="8"/>
  <c r="K1107" i="8" s="1"/>
  <c r="K301" i="8" s="1"/>
  <c r="E962" i="20"/>
  <c r="Q961" i="20"/>
  <c r="A987" i="20"/>
  <c r="E918" i="20"/>
  <c r="Q917" i="20"/>
  <c r="E873" i="20"/>
  <c r="Q872" i="20"/>
  <c r="K500" i="20"/>
  <c r="K504" i="20" s="1"/>
  <c r="K97" i="20" s="1"/>
  <c r="J483" i="20"/>
  <c r="J88" i="20" s="1"/>
  <c r="M767" i="20"/>
  <c r="F767" i="20"/>
  <c r="H767" i="20"/>
  <c r="L767" i="20"/>
  <c r="N767" i="20"/>
  <c r="L500" i="20"/>
  <c r="L95" i="20" s="1"/>
  <c r="H534" i="20"/>
  <c r="H102" i="20" s="1"/>
  <c r="P767" i="20"/>
  <c r="N983" i="20"/>
  <c r="N989" i="20" s="1"/>
  <c r="G483" i="20"/>
  <c r="G487" i="20" s="1"/>
  <c r="G90" i="20" s="1"/>
  <c r="H483" i="20"/>
  <c r="H487" i="20" s="1"/>
  <c r="H90" i="20" s="1"/>
  <c r="L666" i="20"/>
  <c r="N666" i="20"/>
  <c r="F666" i="20"/>
  <c r="E83" i="22"/>
  <c r="J500" i="20"/>
  <c r="J95" i="20" s="1"/>
  <c r="Q482" i="20"/>
  <c r="H111" i="26" s="1"/>
  <c r="Q533" i="20"/>
  <c r="H112" i="26" s="1"/>
  <c r="M666" i="20"/>
  <c r="P666" i="20"/>
  <c r="I83" i="22"/>
  <c r="P534" i="20"/>
  <c r="P538" i="20" s="1"/>
  <c r="P104" i="20" s="1"/>
  <c r="J666" i="20"/>
  <c r="K666" i="20"/>
  <c r="P483" i="20"/>
  <c r="P487" i="20" s="1"/>
  <c r="P90" i="20" s="1"/>
  <c r="N102" i="20"/>
  <c r="J534" i="20"/>
  <c r="J102" i="20" s="1"/>
  <c r="F534" i="20"/>
  <c r="F102" i="20" s="1"/>
  <c r="E500" i="20"/>
  <c r="E95" i="20" s="1"/>
  <c r="Q955" i="20"/>
  <c r="Q499" i="20"/>
  <c r="O534" i="20"/>
  <c r="O102" i="20" s="1"/>
  <c r="G500" i="20"/>
  <c r="G504" i="20" s="1"/>
  <c r="G97" i="20" s="1"/>
  <c r="M500" i="20"/>
  <c r="M95" i="20" s="1"/>
  <c r="G252" i="20"/>
  <c r="N483" i="20"/>
  <c r="N88" i="20" s="1"/>
  <c r="M483" i="20"/>
  <c r="M88" i="20" s="1"/>
  <c r="I483" i="20"/>
  <c r="I88" i="20" s="1"/>
  <c r="L534" i="20"/>
  <c r="L102" i="20" s="1"/>
  <c r="N500" i="20"/>
  <c r="N95" i="20" s="1"/>
  <c r="O500" i="20"/>
  <c r="P500" i="20"/>
  <c r="K534" i="20"/>
  <c r="K538" i="20" s="1"/>
  <c r="K104" i="20" s="1"/>
  <c r="F483" i="20"/>
  <c r="F88" i="20" s="1"/>
  <c r="I500" i="20"/>
  <c r="I504" i="20" s="1"/>
  <c r="I97" i="20" s="1"/>
  <c r="F500" i="20"/>
  <c r="F504" i="20" s="1"/>
  <c r="F97" i="20" s="1"/>
  <c r="E287" i="20"/>
  <c r="E1065" i="20"/>
  <c r="M259" i="20"/>
  <c r="M1036" i="20"/>
  <c r="J259" i="20"/>
  <c r="J1036" i="20"/>
  <c r="K983" i="20"/>
  <c r="K989" i="20" s="1"/>
  <c r="I287" i="20"/>
  <c r="I1065" i="20"/>
  <c r="P983" i="20"/>
  <c r="P989" i="20" s="1"/>
  <c r="H259" i="20"/>
  <c r="H1036" i="20"/>
  <c r="M287" i="20"/>
  <c r="M1065" i="20"/>
  <c r="I983" i="20"/>
  <c r="I989" i="20" s="1"/>
  <c r="N259" i="20"/>
  <c r="N1036" i="20"/>
  <c r="L983" i="20"/>
  <c r="L989" i="20" s="1"/>
  <c r="J287" i="20"/>
  <c r="J1065" i="20"/>
  <c r="P287" i="20"/>
  <c r="P1065" i="20"/>
  <c r="J252" i="20"/>
  <c r="J1038" i="8"/>
  <c r="J1039" i="8" s="1"/>
  <c r="J265" i="8" s="1"/>
  <c r="N257" i="8"/>
  <c r="K965" i="8"/>
  <c r="K969" i="8" s="1"/>
  <c r="K253" i="8" s="1"/>
  <c r="E484" i="8"/>
  <c r="E488" i="8" s="1"/>
  <c r="Q963" i="8"/>
  <c r="M965" i="8"/>
  <c r="E919" i="8"/>
  <c r="Q918" i="8"/>
  <c r="M35" i="22"/>
  <c r="E873" i="8"/>
  <c r="E96" i="8"/>
  <c r="M535" i="8"/>
  <c r="M539" i="8" s="1"/>
  <c r="M105" i="8" s="1"/>
  <c r="H667" i="8"/>
  <c r="I769" i="8"/>
  <c r="I770" i="8" s="1"/>
  <c r="M769" i="8"/>
  <c r="M770" i="8" s="1"/>
  <c r="G668" i="8"/>
  <c r="F799" i="8"/>
  <c r="L769" i="8"/>
  <c r="L770" i="8" s="1"/>
  <c r="O769" i="8"/>
  <c r="O770" i="8" s="1"/>
  <c r="P501" i="8"/>
  <c r="P505" i="8" s="1"/>
  <c r="P98" i="8" s="1"/>
  <c r="H769" i="8"/>
  <c r="H770" i="8" s="1"/>
  <c r="N720" i="8"/>
  <c r="H668" i="8"/>
  <c r="L668" i="8"/>
  <c r="F484" i="8"/>
  <c r="F89" i="8" s="1"/>
  <c r="J769" i="8"/>
  <c r="J770" i="8" s="1"/>
  <c r="F535" i="8"/>
  <c r="E718" i="8"/>
  <c r="G718" i="8"/>
  <c r="K718" i="8"/>
  <c r="K719" i="8" s="1"/>
  <c r="H718" i="8"/>
  <c r="F718" i="8"/>
  <c r="G535" i="8"/>
  <c r="G103" i="8" s="1"/>
  <c r="J484" i="8"/>
  <c r="J89" i="8" s="1"/>
  <c r="L484" i="8"/>
  <c r="L89" i="8" s="1"/>
  <c r="L718" i="8"/>
  <c r="L719" i="8" s="1"/>
  <c r="Q500" i="8"/>
  <c r="G501" i="8"/>
  <c r="P484" i="8"/>
  <c r="P89" i="8" s="1"/>
  <c r="L962" i="8"/>
  <c r="O484" i="8"/>
  <c r="O89" i="8" s="1"/>
  <c r="J666" i="8"/>
  <c r="J667" i="8" s="1"/>
  <c r="M667" i="8"/>
  <c r="N501" i="8"/>
  <c r="N96" i="8" s="1"/>
  <c r="N535" i="8"/>
  <c r="N103" i="8" s="1"/>
  <c r="L501" i="8"/>
  <c r="L96" i="8" s="1"/>
  <c r="K411" i="8"/>
  <c r="I501" i="8"/>
  <c r="I96" i="8" s="1"/>
  <c r="I484" i="8"/>
  <c r="I488" i="8" s="1"/>
  <c r="I91" i="8" s="1"/>
  <c r="Q483" i="8"/>
  <c r="F111" i="26" s="1"/>
  <c r="G111" i="26" s="1"/>
  <c r="I111" i="26" s="1"/>
  <c r="K501" i="8"/>
  <c r="K96" i="8" s="1"/>
  <c r="M501" i="8"/>
  <c r="M505" i="8" s="1"/>
  <c r="M98" i="8" s="1"/>
  <c r="H484" i="8"/>
  <c r="H488" i="8" s="1"/>
  <c r="H91" i="8" s="1"/>
  <c r="O535" i="8"/>
  <c r="O539" i="8" s="1"/>
  <c r="O105" i="8" s="1"/>
  <c r="E535" i="8"/>
  <c r="E103" i="8" s="1"/>
  <c r="K484" i="8"/>
  <c r="K89" i="8" s="1"/>
  <c r="P535" i="8"/>
  <c r="H501" i="8"/>
  <c r="H505" i="8" s="1"/>
  <c r="H98" i="8" s="1"/>
  <c r="N992" i="8"/>
  <c r="M199" i="20"/>
  <c r="Q403" i="20"/>
  <c r="Q224" i="20"/>
  <c r="L231" i="20"/>
  <c r="L873" i="20"/>
  <c r="I190" i="20"/>
  <c r="I767" i="20"/>
  <c r="F231" i="20"/>
  <c r="F873" i="20"/>
  <c r="O231" i="20"/>
  <c r="O873" i="20"/>
  <c r="G231" i="20"/>
  <c r="G873" i="20"/>
  <c r="J231" i="20"/>
  <c r="J873" i="20"/>
  <c r="G190" i="20"/>
  <c r="G767" i="20"/>
  <c r="H231" i="20"/>
  <c r="H873" i="20"/>
  <c r="N727" i="20"/>
  <c r="N719" i="20"/>
  <c r="O190" i="20"/>
  <c r="O767" i="20"/>
  <c r="O238" i="20"/>
  <c r="O918" i="20"/>
  <c r="H238" i="20"/>
  <c r="H918" i="20"/>
  <c r="O674" i="20"/>
  <c r="O666" i="20"/>
  <c r="K238" i="20"/>
  <c r="K918" i="20"/>
  <c r="H669" i="20"/>
  <c r="H158" i="20" s="1"/>
  <c r="H666" i="20"/>
  <c r="G674" i="20"/>
  <c r="G666" i="20"/>
  <c r="F238" i="20"/>
  <c r="F918" i="20"/>
  <c r="G238" i="20"/>
  <c r="G918" i="20"/>
  <c r="P238" i="20"/>
  <c r="P918" i="20"/>
  <c r="P231" i="20"/>
  <c r="P873" i="20"/>
  <c r="N231" i="20"/>
  <c r="N873" i="20"/>
  <c r="O245" i="20"/>
  <c r="O962" i="20"/>
  <c r="N238" i="20"/>
  <c r="N918" i="20"/>
  <c r="F245" i="20"/>
  <c r="F962" i="20"/>
  <c r="I238" i="20"/>
  <c r="I918" i="20"/>
  <c r="M231" i="20"/>
  <c r="M873" i="20"/>
  <c r="M238" i="20"/>
  <c r="M918" i="20"/>
  <c r="J238" i="20"/>
  <c r="J918" i="20"/>
  <c r="L238" i="20"/>
  <c r="L918" i="20"/>
  <c r="Q836" i="20"/>
  <c r="Q792" i="20"/>
  <c r="J75" i="20"/>
  <c r="P75" i="20"/>
  <c r="P847" i="20"/>
  <c r="L75" i="20"/>
  <c r="M75" i="20"/>
  <c r="K75" i="20"/>
  <c r="H75" i="20"/>
  <c r="F75" i="20"/>
  <c r="N990" i="8"/>
  <c r="G990" i="8"/>
  <c r="L985" i="8"/>
  <c r="L991" i="8" s="1"/>
  <c r="E985" i="8"/>
  <c r="E991" i="8" s="1"/>
  <c r="J985" i="8"/>
  <c r="J991" i="8" s="1"/>
  <c r="L987" i="8"/>
  <c r="Q957" i="8"/>
  <c r="I987" i="8"/>
  <c r="I990" i="8" s="1"/>
  <c r="J987" i="8"/>
  <c r="O962" i="8"/>
  <c r="H962" i="8"/>
  <c r="A920" i="8"/>
  <c r="A922" i="8" s="1"/>
  <c r="A924" i="8" s="1"/>
  <c r="A946" i="8" s="1"/>
  <c r="A948" i="8" s="1"/>
  <c r="A949" i="8" s="1"/>
  <c r="A950" i="8" s="1"/>
  <c r="A951" i="8" s="1"/>
  <c r="A953" i="8" s="1"/>
  <c r="A954" i="8" s="1"/>
  <c r="A955" i="8" s="1"/>
  <c r="M847" i="8"/>
  <c r="A268" i="3"/>
  <c r="A270" i="3" s="1"/>
  <c r="A271" i="3" s="1"/>
  <c r="A272" i="3" s="1"/>
  <c r="H203" i="8"/>
  <c r="Q1256" i="20"/>
  <c r="Q1257" i="20"/>
  <c r="N837" i="8"/>
  <c r="N841" i="8" s="1"/>
  <c r="G1258" i="20"/>
  <c r="G1260" i="20" s="1"/>
  <c r="G1264" i="20" s="1"/>
  <c r="G359" i="20" s="1"/>
  <c r="Q1254" i="20"/>
  <c r="Q1258" i="8"/>
  <c r="E203" i="8"/>
  <c r="N777" i="8"/>
  <c r="N779" i="8" s="1"/>
  <c r="N769" i="8"/>
  <c r="N770" i="8" s="1"/>
  <c r="M291" i="8"/>
  <c r="M1067" i="8"/>
  <c r="K257" i="8"/>
  <c r="K992" i="8"/>
  <c r="O203" i="8"/>
  <c r="P194" i="8"/>
  <c r="P769" i="8"/>
  <c r="P770" i="8" s="1"/>
  <c r="E194" i="8"/>
  <c r="E769" i="8"/>
  <c r="E770" i="8" s="1"/>
  <c r="N1258" i="20"/>
  <c r="N1260" i="20" s="1"/>
  <c r="N1264" i="20" s="1"/>
  <c r="N359" i="20" s="1"/>
  <c r="H264" i="8"/>
  <c r="H1038" i="8"/>
  <c r="E353" i="8"/>
  <c r="E1238" i="8"/>
  <c r="E1239" i="8" s="1"/>
  <c r="N264" i="8"/>
  <c r="N1038" i="8"/>
  <c r="Q356" i="20"/>
  <c r="F194" i="8"/>
  <c r="F769" i="8"/>
  <c r="F770" i="8" s="1"/>
  <c r="Q836" i="8"/>
  <c r="I291" i="8"/>
  <c r="I1067" i="8"/>
  <c r="G257" i="8"/>
  <c r="G992" i="8"/>
  <c r="O257" i="8"/>
  <c r="O992" i="8"/>
  <c r="G264" i="8"/>
  <c r="G1038" i="8"/>
  <c r="P250" i="8"/>
  <c r="P964" i="8"/>
  <c r="P965" i="8" s="1"/>
  <c r="J250" i="8"/>
  <c r="J964" i="8"/>
  <c r="H250" i="8"/>
  <c r="H964" i="8"/>
  <c r="G250" i="8"/>
  <c r="G964" i="8"/>
  <c r="G965" i="8" s="1"/>
  <c r="F250" i="8"/>
  <c r="F964" i="8"/>
  <c r="L250" i="8"/>
  <c r="L964" i="8"/>
  <c r="N250" i="8"/>
  <c r="N964" i="8"/>
  <c r="O250" i="8"/>
  <c r="O964" i="8"/>
  <c r="I250" i="8"/>
  <c r="I964" i="8"/>
  <c r="P243" i="8"/>
  <c r="P919" i="8"/>
  <c r="O243" i="8"/>
  <c r="O919" i="8"/>
  <c r="N243" i="8"/>
  <c r="N919" i="8"/>
  <c r="M243" i="8"/>
  <c r="M919" i="8"/>
  <c r="L243" i="8"/>
  <c r="L919" i="8"/>
  <c r="K243" i="8"/>
  <c r="K919" i="8"/>
  <c r="J243" i="8"/>
  <c r="J919" i="8"/>
  <c r="I243" i="8"/>
  <c r="I919" i="8"/>
  <c r="H243" i="8"/>
  <c r="H919" i="8"/>
  <c r="G243" i="8"/>
  <c r="G919" i="8"/>
  <c r="F243" i="8"/>
  <c r="F919" i="8"/>
  <c r="P236" i="8"/>
  <c r="P873" i="8"/>
  <c r="O236" i="8"/>
  <c r="O873" i="8"/>
  <c r="N236" i="8"/>
  <c r="N873" i="8"/>
  <c r="M236" i="8"/>
  <c r="M873" i="8"/>
  <c r="L236" i="8"/>
  <c r="L873" i="8"/>
  <c r="K236" i="8"/>
  <c r="K873" i="8"/>
  <c r="J236" i="8"/>
  <c r="J873" i="8"/>
  <c r="I236" i="8"/>
  <c r="I873" i="8"/>
  <c r="H236" i="8"/>
  <c r="H873" i="8"/>
  <c r="G236" i="8"/>
  <c r="G873" i="8"/>
  <c r="F236" i="8"/>
  <c r="F873" i="8"/>
  <c r="J837" i="8"/>
  <c r="Q406" i="8"/>
  <c r="I35" i="22"/>
  <c r="I837" i="8"/>
  <c r="I841" i="8" s="1"/>
  <c r="J418" i="8"/>
  <c r="L418" i="8"/>
  <c r="M837" i="8"/>
  <c r="M841" i="8" s="1"/>
  <c r="L837" i="8"/>
  <c r="F841" i="8"/>
  <c r="F849" i="8" s="1"/>
  <c r="K837" i="8"/>
  <c r="K841" i="8" s="1"/>
  <c r="H837" i="8"/>
  <c r="H841" i="8" s="1"/>
  <c r="H849" i="8" s="1"/>
  <c r="H232" i="8" s="1"/>
  <c r="H26" i="8" s="1"/>
  <c r="O837" i="8"/>
  <c r="O841" i="8" s="1"/>
  <c r="O849" i="8" s="1"/>
  <c r="M433" i="8"/>
  <c r="M437" i="8" s="1"/>
  <c r="M77" i="8" s="1"/>
  <c r="N433" i="8"/>
  <c r="N75" i="8" s="1"/>
  <c r="E433" i="8"/>
  <c r="E75" i="8" s="1"/>
  <c r="C203" i="28"/>
  <c r="C204" i="28" s="1"/>
  <c r="E202" i="28"/>
  <c r="E76" i="8"/>
  <c r="I76" i="8"/>
  <c r="F76" i="8"/>
  <c r="N76" i="8"/>
  <c r="P76" i="8"/>
  <c r="M284" i="2"/>
  <c r="M294" i="2"/>
  <c r="M296" i="2" s="1"/>
  <c r="M470" i="20"/>
  <c r="M83" i="20" s="1"/>
  <c r="A186" i="8"/>
  <c r="A187" i="8" s="1"/>
  <c r="A188" i="8" s="1"/>
  <c r="A189" i="8" s="1"/>
  <c r="A190" i="8" s="1"/>
  <c r="A192" i="8" s="1"/>
  <c r="A193" i="8" s="1"/>
  <c r="A194" i="8" s="1"/>
  <c r="A195" i="8" s="1"/>
  <c r="A196" i="8" s="1"/>
  <c r="A197" i="8" s="1"/>
  <c r="A199" i="8" s="1"/>
  <c r="A200" i="8" s="1"/>
  <c r="A201" i="8" s="1"/>
  <c r="A202" i="8" s="1"/>
  <c r="A203" i="8" s="1"/>
  <c r="A204" i="8" s="1"/>
  <c r="J706" i="8"/>
  <c r="J186" i="8"/>
  <c r="N723" i="8"/>
  <c r="N189" i="8" s="1"/>
  <c r="N187" i="8"/>
  <c r="L706" i="8"/>
  <c r="L186" i="8"/>
  <c r="H705" i="8"/>
  <c r="H186" i="8"/>
  <c r="Q1256" i="8"/>
  <c r="E1260" i="8"/>
  <c r="E1262" i="8" s="1"/>
  <c r="E361" i="8" s="1"/>
  <c r="Q360" i="8"/>
  <c r="D49" i="14" s="1"/>
  <c r="Q1259" i="8"/>
  <c r="A248" i="2"/>
  <c r="A249" i="2" s="1"/>
  <c r="A250" i="2" s="1"/>
  <c r="A251" i="2" s="1"/>
  <c r="A252" i="2" s="1"/>
  <c r="A268" i="2" s="1"/>
  <c r="A269" i="2" s="1"/>
  <c r="A270" i="2" s="1"/>
  <c r="A271" i="2" s="1"/>
  <c r="A273" i="2" s="1"/>
  <c r="A275" i="2" s="1"/>
  <c r="A276" i="2" s="1"/>
  <c r="E652" i="20"/>
  <c r="A26" i="2"/>
  <c r="A27" i="2" s="1"/>
  <c r="A29" i="2" s="1"/>
  <c r="A30" i="2" s="1"/>
  <c r="A31" i="2" s="1"/>
  <c r="A32" i="2" s="1"/>
  <c r="A34" i="2" s="1"/>
  <c r="E300" i="2"/>
  <c r="E302" i="2" s="1"/>
  <c r="K300" i="2"/>
  <c r="E277" i="26"/>
  <c r="E273" i="26" s="1"/>
  <c r="E1260" i="20"/>
  <c r="E1264" i="20" s="1"/>
  <c r="G623" i="20"/>
  <c r="G150" i="20" s="1"/>
  <c r="H1260" i="20"/>
  <c r="H1264" i="20" s="1"/>
  <c r="H359" i="20" s="1"/>
  <c r="O1260" i="20"/>
  <c r="O357" i="20" s="1"/>
  <c r="K1260" i="20"/>
  <c r="K1264" i="20" s="1"/>
  <c r="K359" i="20" s="1"/>
  <c r="P1260" i="20"/>
  <c r="P1264" i="20" s="1"/>
  <c r="P359" i="20" s="1"/>
  <c r="J1260" i="20"/>
  <c r="J357" i="20" s="1"/>
  <c r="M1136" i="20"/>
  <c r="M1140" i="20" s="1"/>
  <c r="M311" i="20" s="1"/>
  <c r="L1260" i="20"/>
  <c r="L357" i="20" s="1"/>
  <c r="K1136" i="20"/>
  <c r="K309" i="20" s="1"/>
  <c r="I416" i="20"/>
  <c r="F1136" i="20"/>
  <c r="F309" i="20" s="1"/>
  <c r="N1118" i="20"/>
  <c r="N1122" i="20" s="1"/>
  <c r="N304" i="20" s="1"/>
  <c r="Q800" i="20"/>
  <c r="O775" i="20"/>
  <c r="O777" i="20" s="1"/>
  <c r="Q1095" i="20"/>
  <c r="J607" i="20"/>
  <c r="J143" i="20" s="1"/>
  <c r="Q413" i="20"/>
  <c r="H120" i="26" s="1"/>
  <c r="E150" i="26" s="1"/>
  <c r="D57" i="26"/>
  <c r="K296" i="2"/>
  <c r="N1194" i="20"/>
  <c r="N323" i="20" s="1"/>
  <c r="G56" i="23"/>
  <c r="N607" i="20"/>
  <c r="N143" i="20" s="1"/>
  <c r="J1262" i="8"/>
  <c r="J361" i="8" s="1"/>
  <c r="F1262" i="8"/>
  <c r="F361" i="8" s="1"/>
  <c r="G608" i="8"/>
  <c r="G612" i="8" s="1"/>
  <c r="G148" i="8" s="1"/>
  <c r="N608" i="8"/>
  <c r="N146" i="8" s="1"/>
  <c r="E467" i="8"/>
  <c r="O1107" i="8"/>
  <c r="O301" i="8" s="1"/>
  <c r="H629" i="8"/>
  <c r="H155" i="8" s="1"/>
  <c r="P573" i="8"/>
  <c r="P141" i="8" s="1"/>
  <c r="N249" i="8"/>
  <c r="M171" i="3"/>
  <c r="G166" i="3"/>
  <c r="J569" i="8"/>
  <c r="J139" i="8" s="1"/>
  <c r="E98" i="8"/>
  <c r="N950" i="8"/>
  <c r="N949" i="8"/>
  <c r="O284" i="2"/>
  <c r="P949" i="20"/>
  <c r="P244" i="20"/>
  <c r="P948" i="20"/>
  <c r="L705" i="8"/>
  <c r="E653" i="8"/>
  <c r="E654" i="8"/>
  <c r="O441" i="3"/>
  <c r="L441" i="3"/>
  <c r="I441" i="3"/>
  <c r="G179" i="3"/>
  <c r="G441" i="3" s="1"/>
  <c r="F171" i="3"/>
  <c r="F441" i="3"/>
  <c r="P169" i="3"/>
  <c r="P1194" i="20"/>
  <c r="P323" i="20" s="1"/>
  <c r="E569" i="8"/>
  <c r="E573" i="8" s="1"/>
  <c r="E141" i="8" s="1"/>
  <c r="F1194" i="20"/>
  <c r="F1198" i="20" s="1"/>
  <c r="F325" i="20" s="1"/>
  <c r="G466" i="20"/>
  <c r="G470" i="20" s="1"/>
  <c r="G83" i="20" s="1"/>
  <c r="F608" i="8"/>
  <c r="F612" i="8" s="1"/>
  <c r="F431" i="20"/>
  <c r="F435" i="20" s="1"/>
  <c r="F76" i="20" s="1"/>
  <c r="M203" i="8"/>
  <c r="J433" i="8"/>
  <c r="J75" i="8" s="1"/>
  <c r="M847" i="20"/>
  <c r="E1197" i="8"/>
  <c r="E327" i="8" s="1"/>
  <c r="H847" i="20"/>
  <c r="J847" i="8"/>
  <c r="K555" i="20"/>
  <c r="K131" i="20" s="1"/>
  <c r="H551" i="20"/>
  <c r="H129" i="20" s="1"/>
  <c r="I467" i="8"/>
  <c r="I82" i="8" s="1"/>
  <c r="K441" i="3"/>
  <c r="M467" i="8"/>
  <c r="M82" i="8" s="1"/>
  <c r="F569" i="8"/>
  <c r="F573" i="8" s="1"/>
  <c r="F141" i="8" s="1"/>
  <c r="P847" i="8"/>
  <c r="I847" i="8"/>
  <c r="E608" i="8"/>
  <c r="E146" i="8" s="1"/>
  <c r="M551" i="20"/>
  <c r="M555" i="20" s="1"/>
  <c r="M131" i="20" s="1"/>
  <c r="I625" i="8"/>
  <c r="I629" i="8" s="1"/>
  <c r="I155" i="8" s="1"/>
  <c r="Q658" i="20"/>
  <c r="I1118" i="20"/>
  <c r="I302" i="20" s="1"/>
  <c r="G467" i="8"/>
  <c r="G82" i="8" s="1"/>
  <c r="O625" i="8"/>
  <c r="O153" i="8" s="1"/>
  <c r="N299" i="8"/>
  <c r="M569" i="8"/>
  <c r="M573" i="8" s="1"/>
  <c r="M141" i="8" s="1"/>
  <c r="J435" i="20"/>
  <c r="J76" i="20" s="1"/>
  <c r="N538" i="20"/>
  <c r="N104" i="20" s="1"/>
  <c r="M607" i="20"/>
  <c r="M611" i="20" s="1"/>
  <c r="M145" i="20" s="1"/>
  <c r="E35" i="22"/>
  <c r="I775" i="20"/>
  <c r="I777" i="20" s="1"/>
  <c r="P82" i="20"/>
  <c r="K623" i="20"/>
  <c r="K627" i="20" s="1"/>
  <c r="K152" i="20" s="1"/>
  <c r="E1059" i="8"/>
  <c r="E1066" i="8" s="1"/>
  <c r="H467" i="8"/>
  <c r="H82" i="8" s="1"/>
  <c r="Q67" i="8"/>
  <c r="Q73" i="20"/>
  <c r="K847" i="20"/>
  <c r="H431" i="20"/>
  <c r="H435" i="20" s="1"/>
  <c r="H76" i="20" s="1"/>
  <c r="H433" i="8"/>
  <c r="H75" i="8" s="1"/>
  <c r="E607" i="20"/>
  <c r="E143" i="20" s="1"/>
  <c r="G1198" i="20"/>
  <c r="G325" i="20" s="1"/>
  <c r="O199" i="20"/>
  <c r="H674" i="20"/>
  <c r="H156" i="20"/>
  <c r="F84" i="22" s="1"/>
  <c r="C35" i="22"/>
  <c r="N847" i="8"/>
  <c r="I568" i="20"/>
  <c r="I136" i="20" s="1"/>
  <c r="F199" i="20"/>
  <c r="M102" i="20"/>
  <c r="F607" i="20"/>
  <c r="F143" i="20" s="1"/>
  <c r="K431" i="20"/>
  <c r="K435" i="20" s="1"/>
  <c r="K76" i="20" s="1"/>
  <c r="L623" i="20"/>
  <c r="L150" i="20" s="1"/>
  <c r="H1136" i="20"/>
  <c r="H1140" i="20" s="1"/>
  <c r="H311" i="20" s="1"/>
  <c r="P1118" i="20"/>
  <c r="P302" i="20" s="1"/>
  <c r="F1177" i="8"/>
  <c r="F322" i="8" s="1"/>
  <c r="I552" i="8"/>
  <c r="I132" i="8" s="1"/>
  <c r="N1197" i="8"/>
  <c r="N1201" i="8" s="1"/>
  <c r="N329" i="8" s="1"/>
  <c r="H441" i="3"/>
  <c r="E441" i="3"/>
  <c r="Q464" i="20"/>
  <c r="K418" i="8"/>
  <c r="N728" i="8"/>
  <c r="N730" i="8" s="1"/>
  <c r="I627" i="20"/>
  <c r="I152" i="20" s="1"/>
  <c r="K552" i="8"/>
  <c r="K556" i="8" s="1"/>
  <c r="K134" i="8" s="1"/>
  <c r="F433" i="8"/>
  <c r="F437" i="8" s="1"/>
  <c r="F77" i="8" s="1"/>
  <c r="J608" i="8"/>
  <c r="J612" i="8" s="1"/>
  <c r="J148" i="8" s="1"/>
  <c r="J103" i="8"/>
  <c r="K712" i="20"/>
  <c r="F627" i="20"/>
  <c r="F152" i="20" s="1"/>
  <c r="E625" i="8"/>
  <c r="E629" i="8" s="1"/>
  <c r="E155" i="8" s="1"/>
  <c r="L467" i="8"/>
  <c r="L471" i="8" s="1"/>
  <c r="L84" i="8" s="1"/>
  <c r="P161" i="3"/>
  <c r="L568" i="20"/>
  <c r="L572" i="20" s="1"/>
  <c r="L138" i="20" s="1"/>
  <c r="Q417" i="8"/>
  <c r="M1118" i="20"/>
  <c r="M1122" i="20" s="1"/>
  <c r="M304" i="20" s="1"/>
  <c r="E777" i="8"/>
  <c r="E88" i="20"/>
  <c r="L569" i="8"/>
  <c r="L573" i="8" s="1"/>
  <c r="L141" i="8" s="1"/>
  <c r="P625" i="8"/>
  <c r="P153" i="8" s="1"/>
  <c r="K1121" i="8"/>
  <c r="K1125" i="8" s="1"/>
  <c r="K308" i="8" s="1"/>
  <c r="K713" i="8"/>
  <c r="K729" i="8" s="1"/>
  <c r="Q405" i="8"/>
  <c r="G847" i="20"/>
  <c r="P467" i="8"/>
  <c r="P471" i="8" s="1"/>
  <c r="P84" i="8" s="1"/>
  <c r="J441" i="3"/>
  <c r="P434" i="3"/>
  <c r="J199" i="20"/>
  <c r="M661" i="8"/>
  <c r="M677" i="8" s="1"/>
  <c r="H627" i="20"/>
  <c r="H152" i="20" s="1"/>
  <c r="G1118" i="20"/>
  <c r="G302" i="20" s="1"/>
  <c r="K1232" i="8"/>
  <c r="K1237" i="8" s="1"/>
  <c r="H712" i="20"/>
  <c r="P199" i="20"/>
  <c r="P777" i="8"/>
  <c r="P779" i="8" s="1"/>
  <c r="G156" i="20"/>
  <c r="E84" i="22" s="1"/>
  <c r="Q128" i="20"/>
  <c r="L1143" i="8"/>
  <c r="L315" i="8" s="1"/>
  <c r="M435" i="20"/>
  <c r="M76" i="20" s="1"/>
  <c r="O568" i="20"/>
  <c r="O572" i="20" s="1"/>
  <c r="O138" i="20" s="1"/>
  <c r="P551" i="20"/>
  <c r="P129" i="20" s="1"/>
  <c r="J96" i="8"/>
  <c r="G669" i="20"/>
  <c r="G158" i="20" s="1"/>
  <c r="N625" i="8"/>
  <c r="N153" i="8" s="1"/>
  <c r="N466" i="20"/>
  <c r="N470" i="20" s="1"/>
  <c r="N83" i="20" s="1"/>
  <c r="O607" i="20"/>
  <c r="O611" i="20" s="1"/>
  <c r="O145" i="20" s="1"/>
  <c r="I274" i="3"/>
  <c r="N35" i="22"/>
  <c r="K433" i="8"/>
  <c r="K75" i="8" s="1"/>
  <c r="I466" i="20"/>
  <c r="I81" i="20" s="1"/>
  <c r="M146" i="8"/>
  <c r="N623" i="20"/>
  <c r="N627" i="20" s="1"/>
  <c r="N152" i="20" s="1"/>
  <c r="K302" i="20"/>
  <c r="Q498" i="20"/>
  <c r="E627" i="20"/>
  <c r="E152" i="20" s="1"/>
  <c r="E150" i="20"/>
  <c r="G712" i="20"/>
  <c r="N183" i="20"/>
  <c r="M1030" i="8"/>
  <c r="M1037" i="8" s="1"/>
  <c r="N722" i="20"/>
  <c r="N185" i="20" s="1"/>
  <c r="M1036" i="8"/>
  <c r="N551" i="20"/>
  <c r="M1197" i="8"/>
  <c r="M327" i="8" s="1"/>
  <c r="P466" i="20"/>
  <c r="P470" i="20" s="1"/>
  <c r="P83" i="20" s="1"/>
  <c r="P126" i="3"/>
  <c r="N83" i="22"/>
  <c r="N194" i="8"/>
  <c r="O88" i="20"/>
  <c r="O487" i="20"/>
  <c r="O90" i="20" s="1"/>
  <c r="N441" i="3"/>
  <c r="P556" i="8"/>
  <c r="P134" i="8" s="1"/>
  <c r="Q468" i="20"/>
  <c r="H97" i="26" s="1"/>
  <c r="H35" i="22"/>
  <c r="Q469" i="8"/>
  <c r="F97" i="26" s="1"/>
  <c r="J56" i="23"/>
  <c r="N190" i="20"/>
  <c r="N775" i="20"/>
  <c r="N777" i="20" s="1"/>
  <c r="G611" i="20"/>
  <c r="G145" i="20" s="1"/>
  <c r="K471" i="8"/>
  <c r="K84" i="8" s="1"/>
  <c r="J551" i="20"/>
  <c r="J555" i="20" s="1"/>
  <c r="J131" i="20" s="1"/>
  <c r="K466" i="20"/>
  <c r="K81" i="20" s="1"/>
  <c r="G775" i="20"/>
  <c r="G777" i="20" s="1"/>
  <c r="N847" i="20"/>
  <c r="Q1134" i="20"/>
  <c r="Q481" i="20"/>
  <c r="Q767" i="8"/>
  <c r="F777" i="8"/>
  <c r="F779" i="8" s="1"/>
  <c r="F195" i="8" s="1"/>
  <c r="Q66" i="20"/>
  <c r="K56" i="23"/>
  <c r="Q657" i="20"/>
  <c r="J180" i="3"/>
  <c r="J181" i="3" s="1"/>
  <c r="G83" i="22"/>
  <c r="Q549" i="20"/>
  <c r="O150" i="20"/>
  <c r="E470" i="20"/>
  <c r="E83" i="20" s="1"/>
  <c r="O139" i="8"/>
  <c r="F572" i="20"/>
  <c r="F138" i="20" s="1"/>
  <c r="Q305" i="8"/>
  <c r="D44" i="14" s="1"/>
  <c r="F847" i="20"/>
  <c r="H568" i="20"/>
  <c r="H136" i="20" s="1"/>
  <c r="N569" i="8"/>
  <c r="N573" i="8" s="1"/>
  <c r="N141" i="8" s="1"/>
  <c r="F552" i="8"/>
  <c r="F556" i="8" s="1"/>
  <c r="F134" i="8" s="1"/>
  <c r="K35" i="22"/>
  <c r="Q566" i="20"/>
  <c r="L361" i="8"/>
  <c r="H1174" i="20"/>
  <c r="H318" i="20" s="1"/>
  <c r="O471" i="8"/>
  <c r="O84" i="8" s="1"/>
  <c r="P607" i="20"/>
  <c r="P143" i="20" s="1"/>
  <c r="O847" i="20"/>
  <c r="G849" i="8"/>
  <c r="G232" i="8" s="1"/>
  <c r="G26" i="8" s="1"/>
  <c r="Q795" i="20"/>
  <c r="H98" i="26" s="1"/>
  <c r="D83" i="22"/>
  <c r="G1262" i="8"/>
  <c r="G361" i="8" s="1"/>
  <c r="I608" i="8"/>
  <c r="I146" i="8" s="1"/>
  <c r="Q465" i="8"/>
  <c r="Q768" i="8"/>
  <c r="L1194" i="20"/>
  <c r="L1198" i="20" s="1"/>
  <c r="L325" i="20" s="1"/>
  <c r="Q658" i="8"/>
  <c r="Q533" i="8"/>
  <c r="Q192" i="20"/>
  <c r="L712" i="20"/>
  <c r="F1174" i="20"/>
  <c r="F318" i="20" s="1"/>
  <c r="Q846" i="20"/>
  <c r="Q407" i="20"/>
  <c r="H94" i="26" s="1"/>
  <c r="P190" i="20"/>
  <c r="P775" i="20"/>
  <c r="P777" i="20" s="1"/>
  <c r="P608" i="8"/>
  <c r="P612" i="8" s="1"/>
  <c r="P148" i="8" s="1"/>
  <c r="H83" i="22"/>
  <c r="Q621" i="20"/>
  <c r="Q135" i="20"/>
  <c r="Q1190" i="20"/>
  <c r="K661" i="8"/>
  <c r="K677" i="8" s="1"/>
  <c r="M132" i="8"/>
  <c r="L433" i="8"/>
  <c r="L75" i="8" s="1"/>
  <c r="L306" i="8"/>
  <c r="O661" i="8"/>
  <c r="O677" i="8" s="1"/>
  <c r="J83" i="22"/>
  <c r="G159" i="8"/>
  <c r="E36" i="22" s="1"/>
  <c r="G676" i="8"/>
  <c r="G671" i="8"/>
  <c r="G161" i="8" s="1"/>
  <c r="O777" i="8"/>
  <c r="O779" i="8" s="1"/>
  <c r="O195" i="8" s="1"/>
  <c r="O194" i="8"/>
  <c r="J194" i="8"/>
  <c r="J777" i="8"/>
  <c r="J779" i="8" s="1"/>
  <c r="J195" i="8" s="1"/>
  <c r="N306" i="8"/>
  <c r="Q916" i="8"/>
  <c r="Q766" i="8"/>
  <c r="F466" i="20"/>
  <c r="F470" i="20" s="1"/>
  <c r="F83" i="20" s="1"/>
  <c r="L431" i="20"/>
  <c r="L74" i="20" s="1"/>
  <c r="E1139" i="8"/>
  <c r="E1143" i="8" s="1"/>
  <c r="E315" i="8" s="1"/>
  <c r="M83" i="22"/>
  <c r="Q88" i="8"/>
  <c r="D22" i="14" s="1"/>
  <c r="F190" i="20"/>
  <c r="F775" i="20"/>
  <c r="F777" i="20" s="1"/>
  <c r="L88" i="20"/>
  <c r="L487" i="20"/>
  <c r="L90" i="20" s="1"/>
  <c r="Q229" i="8"/>
  <c r="D36" i="14" s="1"/>
  <c r="Q499" i="8"/>
  <c r="N552" i="8"/>
  <c r="N556" i="8" s="1"/>
  <c r="N134" i="8" s="1"/>
  <c r="P387" i="3"/>
  <c r="F871" i="8"/>
  <c r="Q660" i="8"/>
  <c r="F505" i="8"/>
  <c r="F98" i="8" s="1"/>
  <c r="I74" i="20"/>
  <c r="H418" i="8"/>
  <c r="K607" i="20"/>
  <c r="K143" i="20" s="1"/>
  <c r="L1197" i="8"/>
  <c r="L1201" i="8" s="1"/>
  <c r="L329" i="8" s="1"/>
  <c r="O156" i="20"/>
  <c r="M84" i="22" s="1"/>
  <c r="Q87" i="20"/>
  <c r="D35" i="22"/>
  <c r="L35" i="22"/>
  <c r="Q312" i="8"/>
  <c r="D45" i="14" s="1"/>
  <c r="Q1192" i="20"/>
  <c r="Q81" i="8"/>
  <c r="D21" i="14" s="1"/>
  <c r="J661" i="8"/>
  <c r="J677" i="8" s="1"/>
  <c r="K82" i="8"/>
  <c r="Q415" i="8"/>
  <c r="Q770" i="20"/>
  <c r="J623" i="20"/>
  <c r="J150" i="20" s="1"/>
  <c r="Q1194" i="8"/>
  <c r="L83" i="22"/>
  <c r="Q131" i="8"/>
  <c r="D25" i="14" s="1"/>
  <c r="L713" i="8"/>
  <c r="L729" i="8" s="1"/>
  <c r="J153" i="8"/>
  <c r="J629" i="8"/>
  <c r="J155" i="8" s="1"/>
  <c r="L612" i="8"/>
  <c r="L148" i="8" s="1"/>
  <c r="L146" i="8"/>
  <c r="K573" i="8"/>
  <c r="K141" i="8" s="1"/>
  <c r="K139" i="8"/>
  <c r="H569" i="8"/>
  <c r="H573" i="8" s="1"/>
  <c r="H141" i="8" s="1"/>
  <c r="P1107" i="8"/>
  <c r="P301" i="8" s="1"/>
  <c r="Q567" i="8"/>
  <c r="O82" i="20"/>
  <c r="G871" i="8"/>
  <c r="Q869" i="8"/>
  <c r="G917" i="8"/>
  <c r="Q138" i="8"/>
  <c r="D26" i="14" s="1"/>
  <c r="E243" i="8"/>
  <c r="Q911" i="8"/>
  <c r="Q550" i="8"/>
  <c r="Q482" i="8"/>
  <c r="F83" i="8"/>
  <c r="Q83" i="8" s="1"/>
  <c r="J35" i="22"/>
  <c r="J68" i="20"/>
  <c r="E236" i="8"/>
  <c r="Q865" i="8"/>
  <c r="F664" i="8"/>
  <c r="F667" i="8" s="1"/>
  <c r="F661" i="8"/>
  <c r="Q149" i="20"/>
  <c r="C86" i="22"/>
  <c r="O86" i="22" s="1"/>
  <c r="Q197" i="20"/>
  <c r="Q623" i="8"/>
  <c r="H606" i="8"/>
  <c r="Q604" i="8"/>
  <c r="Q914" i="8"/>
  <c r="F625" i="8"/>
  <c r="Q1101" i="8"/>
  <c r="H292" i="26" s="1"/>
  <c r="H293" i="26" s="1"/>
  <c r="H871" i="8"/>
  <c r="Q870" i="8"/>
  <c r="H322" i="20"/>
  <c r="Q322" i="20" s="1"/>
  <c r="Q1188" i="20"/>
  <c r="H142" i="20"/>
  <c r="Q142" i="20" s="1"/>
  <c r="Q601" i="20"/>
  <c r="L607" i="20"/>
  <c r="L611" i="20" s="1"/>
  <c r="E250" i="8"/>
  <c r="F962" i="8"/>
  <c r="Q960" i="8"/>
  <c r="H326" i="8"/>
  <c r="Q326" i="8" s="1"/>
  <c r="D47" i="14" s="1"/>
  <c r="Q1191" i="8"/>
  <c r="N425" i="3"/>
  <c r="N426" i="3" s="1"/>
  <c r="Q95" i="8"/>
  <c r="D23" i="14" s="1"/>
  <c r="Q605" i="8"/>
  <c r="Q867" i="8"/>
  <c r="E871" i="8"/>
  <c r="E199" i="20"/>
  <c r="Q152" i="8"/>
  <c r="D28" i="14" s="1"/>
  <c r="M194" i="8"/>
  <c r="M777" i="8"/>
  <c r="M779" i="8" s="1"/>
  <c r="M195" i="8" s="1"/>
  <c r="L190" i="20"/>
  <c r="L775" i="20"/>
  <c r="L777" i="20" s="1"/>
  <c r="D179" i="3"/>
  <c r="F82" i="20"/>
  <c r="H69" i="8"/>
  <c r="Q409" i="8"/>
  <c r="F156" i="20"/>
  <c r="D84" i="22" s="1"/>
  <c r="F669" i="20"/>
  <c r="F674" i="20"/>
  <c r="E190" i="26"/>
  <c r="E187" i="26" s="1"/>
  <c r="G187" i="26" s="1"/>
  <c r="E57" i="26"/>
  <c r="H605" i="20"/>
  <c r="Q605" i="20" s="1"/>
  <c r="Q603" i="20"/>
  <c r="P384" i="3"/>
  <c r="M153" i="8"/>
  <c r="H1194" i="20"/>
  <c r="H1198" i="20" s="1"/>
  <c r="H325" i="20" s="1"/>
  <c r="O608" i="8"/>
  <c r="O146" i="8" s="1"/>
  <c r="F467" i="8"/>
  <c r="F82" i="8" s="1"/>
  <c r="H68" i="20"/>
  <c r="M190" i="20"/>
  <c r="M775" i="20"/>
  <c r="M777" i="20" s="1"/>
  <c r="Q959" i="8"/>
  <c r="E962" i="8"/>
  <c r="Q913" i="8"/>
  <c r="E917" i="8"/>
  <c r="H196" i="8"/>
  <c r="Q196" i="8" s="1"/>
  <c r="Q772" i="8"/>
  <c r="K608" i="8"/>
  <c r="K146" i="8" s="1"/>
  <c r="J552" i="8"/>
  <c r="J132" i="8" s="1"/>
  <c r="I607" i="20"/>
  <c r="I611" i="20" s="1"/>
  <c r="I145" i="20" s="1"/>
  <c r="M623" i="20"/>
  <c r="M150" i="20" s="1"/>
  <c r="Q656" i="20"/>
  <c r="O669" i="20"/>
  <c r="H199" i="20"/>
  <c r="Q102" i="8"/>
  <c r="D24" i="14" s="1"/>
  <c r="G35" i="22"/>
  <c r="Q604" i="20"/>
  <c r="Q915" i="8"/>
  <c r="I917" i="8"/>
  <c r="L194" i="8"/>
  <c r="L777" i="8"/>
  <c r="L779" i="8" s="1"/>
  <c r="L195" i="8" s="1"/>
  <c r="G715" i="8"/>
  <c r="G713" i="8"/>
  <c r="Q80" i="20"/>
  <c r="H194" i="8"/>
  <c r="H777" i="8"/>
  <c r="H779" i="8" s="1"/>
  <c r="Q764" i="8"/>
  <c r="Q1137" i="8"/>
  <c r="E231" i="20"/>
  <c r="Q865" i="20"/>
  <c r="E245" i="20"/>
  <c r="Q1191" i="20"/>
  <c r="I777" i="8"/>
  <c r="I779" i="8" s="1"/>
  <c r="I194" i="8"/>
  <c r="H1195" i="8"/>
  <c r="Q1195" i="8" s="1"/>
  <c r="H190" i="20"/>
  <c r="Q762" i="20"/>
  <c r="H775" i="20"/>
  <c r="H777" i="20" s="1"/>
  <c r="H715" i="8"/>
  <c r="H713" i="8"/>
  <c r="H729" i="8" s="1"/>
  <c r="H145" i="8"/>
  <c r="Q145" i="8" s="1"/>
  <c r="D27" i="14" s="1"/>
  <c r="Q602" i="8"/>
  <c r="Q1193" i="8"/>
  <c r="Q298" i="8"/>
  <c r="D43" i="14" s="1"/>
  <c r="E238" i="20"/>
  <c r="Q910" i="20"/>
  <c r="Q94" i="20"/>
  <c r="K83" i="22"/>
  <c r="E1051" i="8"/>
  <c r="O74" i="20"/>
  <c r="O1197" i="8"/>
  <c r="O327" i="8" s="1"/>
  <c r="H706" i="8"/>
  <c r="F1197" i="8"/>
  <c r="F1201" i="8" s="1"/>
  <c r="F329" i="8" s="1"/>
  <c r="P182" i="20"/>
  <c r="P705" i="8"/>
  <c r="P134" i="2"/>
  <c r="O182" i="20"/>
  <c r="I418" i="8"/>
  <c r="L426" i="3"/>
  <c r="P1028" i="8"/>
  <c r="P1026" i="20"/>
  <c r="P1028" i="20" s="1"/>
  <c r="P1035" i="20" s="1"/>
  <c r="H982" i="8"/>
  <c r="H985" i="8" s="1"/>
  <c r="H991" i="8" s="1"/>
  <c r="H980" i="20"/>
  <c r="K307" i="3"/>
  <c r="K425" i="3"/>
  <c r="K1026" i="8"/>
  <c r="K1024" i="20"/>
  <c r="N661" i="8"/>
  <c r="N665" i="8"/>
  <c r="N667" i="8" s="1"/>
  <c r="L988" i="8"/>
  <c r="Q659" i="8"/>
  <c r="L1055" i="8"/>
  <c r="L1053" i="20"/>
  <c r="L1057" i="20" s="1"/>
  <c r="L1064" i="20" s="1"/>
  <c r="H1230" i="20"/>
  <c r="N1228" i="20"/>
  <c r="N1230" i="8"/>
  <c r="P709" i="8"/>
  <c r="P715" i="8" s="1"/>
  <c r="P708" i="20"/>
  <c r="P712" i="20" s="1"/>
  <c r="D431" i="3"/>
  <c r="P269" i="3"/>
  <c r="F180" i="3"/>
  <c r="F181" i="3" s="1"/>
  <c r="F166" i="3"/>
  <c r="F327" i="3"/>
  <c r="F430" i="3"/>
  <c r="F431" i="3" s="1"/>
  <c r="K653" i="8"/>
  <c r="H182" i="20"/>
  <c r="P706" i="8"/>
  <c r="I663" i="8"/>
  <c r="Q657" i="8"/>
  <c r="I661" i="8"/>
  <c r="E129" i="3"/>
  <c r="E29" i="23" s="1"/>
  <c r="E30" i="23" s="1"/>
  <c r="E56" i="23" s="1"/>
  <c r="N430" i="3"/>
  <c r="N431" i="3" s="1"/>
  <c r="N327" i="3"/>
  <c r="D166" i="3"/>
  <c r="K166" i="3"/>
  <c r="K180" i="3"/>
  <c r="H159" i="8"/>
  <c r="F36" i="22" s="1"/>
  <c r="H676" i="8"/>
  <c r="H671" i="8"/>
  <c r="M980" i="20"/>
  <c r="M982" i="8"/>
  <c r="M985" i="8" s="1"/>
  <c r="M991" i="8" s="1"/>
  <c r="O171" i="3"/>
  <c r="O129" i="3"/>
  <c r="O29" i="23" s="1"/>
  <c r="O30" i="23" s="1"/>
  <c r="O56" i="23" s="1"/>
  <c r="I388" i="3"/>
  <c r="I425" i="3"/>
  <c r="P303" i="3"/>
  <c r="E1027" i="8"/>
  <c r="P304" i="3"/>
  <c r="E1025" i="20"/>
  <c r="E664" i="8"/>
  <c r="E667" i="8" s="1"/>
  <c r="E661" i="8"/>
  <c r="G426" i="3"/>
  <c r="E659" i="20"/>
  <c r="I166" i="3"/>
  <c r="F1231" i="8"/>
  <c r="F1229" i="20"/>
  <c r="O710" i="8"/>
  <c r="O709" i="20"/>
  <c r="O712" i="20" s="1"/>
  <c r="I129" i="3"/>
  <c r="I29" i="23" s="1"/>
  <c r="I30" i="23" s="1"/>
  <c r="I56" i="23" s="1"/>
  <c r="I171" i="3"/>
  <c r="E307" i="3"/>
  <c r="E425" i="3"/>
  <c r="E426" i="3" s="1"/>
  <c r="H1058" i="8"/>
  <c r="H1056" i="20"/>
  <c r="P326" i="3"/>
  <c r="L129" i="3"/>
  <c r="L29" i="23" s="1"/>
  <c r="L30" i="23" s="1"/>
  <c r="L56" i="23" s="1"/>
  <c r="L171" i="3"/>
  <c r="G1230" i="8"/>
  <c r="G1228" i="20"/>
  <c r="P386" i="3"/>
  <c r="Q655" i="20"/>
  <c r="I659" i="20"/>
  <c r="N1055" i="8"/>
  <c r="N1053" i="20"/>
  <c r="N1057" i="20" s="1"/>
  <c r="N1064" i="20" s="1"/>
  <c r="I1230" i="20"/>
  <c r="H129" i="3"/>
  <c r="H29" i="23" s="1"/>
  <c r="H30" i="23" s="1"/>
  <c r="H56" i="23" s="1"/>
  <c r="H171" i="3"/>
  <c r="H1232" i="8"/>
  <c r="H1237" i="8" s="1"/>
  <c r="H1234" i="8"/>
  <c r="H1236" i="8" s="1"/>
  <c r="M388" i="3"/>
  <c r="M425" i="3"/>
  <c r="P1230" i="8"/>
  <c r="P1228" i="20"/>
  <c r="P663" i="8"/>
  <c r="P667" i="8" s="1"/>
  <c r="P661" i="8"/>
  <c r="M1232" i="8"/>
  <c r="M1237" i="8" s="1"/>
  <c r="M1234" i="8"/>
  <c r="M1236" i="8" s="1"/>
  <c r="E980" i="20"/>
  <c r="E983" i="20" s="1"/>
  <c r="P271" i="3"/>
  <c r="F981" i="20"/>
  <c r="F983" i="20" s="1"/>
  <c r="F989" i="20" s="1"/>
  <c r="F983" i="8"/>
  <c r="F985" i="8" s="1"/>
  <c r="F991" i="8" s="1"/>
  <c r="P272" i="3"/>
  <c r="L166" i="3"/>
  <c r="H307" i="3"/>
  <c r="H425" i="3"/>
  <c r="P96" i="3"/>
  <c r="F388" i="3"/>
  <c r="F425" i="3"/>
  <c r="I1234" i="8"/>
  <c r="I1236" i="8" s="1"/>
  <c r="I1232" i="8"/>
  <c r="I1237" i="8" s="1"/>
  <c r="G274" i="3"/>
  <c r="G430" i="3"/>
  <c r="G431" i="3" s="1"/>
  <c r="L274" i="3"/>
  <c r="L430" i="3"/>
  <c r="L431" i="3" s="1"/>
  <c r="J1228" i="20"/>
  <c r="J1230" i="8"/>
  <c r="H166" i="3"/>
  <c r="P123" i="3"/>
  <c r="P170" i="3" s="1"/>
  <c r="D129" i="3"/>
  <c r="L1024" i="20"/>
  <c r="L1028" i="20" s="1"/>
  <c r="L1035" i="20" s="1"/>
  <c r="L1026" i="8"/>
  <c r="E710" i="20"/>
  <c r="Q710" i="20" s="1"/>
  <c r="E711" i="8"/>
  <c r="P127" i="3"/>
  <c r="J708" i="20"/>
  <c r="J712" i="20" s="1"/>
  <c r="J709" i="8"/>
  <c r="J715" i="8" s="1"/>
  <c r="M709" i="8"/>
  <c r="M708" i="20"/>
  <c r="M712" i="20" s="1"/>
  <c r="P1063" i="8"/>
  <c r="P1065" i="8" s="1"/>
  <c r="P1059" i="8"/>
  <c r="P1066" i="8" s="1"/>
  <c r="I1026" i="20"/>
  <c r="I1028" i="20" s="1"/>
  <c r="I1035" i="20" s="1"/>
  <c r="I1028" i="8"/>
  <c r="P67" i="5"/>
  <c r="H705" i="20"/>
  <c r="K146" i="2"/>
  <c r="M327" i="3"/>
  <c r="M430" i="3"/>
  <c r="M431" i="3" s="1"/>
  <c r="F709" i="8"/>
  <c r="F708" i="20"/>
  <c r="P125" i="3"/>
  <c r="O1055" i="20"/>
  <c r="O1057" i="8"/>
  <c r="P325" i="3"/>
  <c r="I708" i="20"/>
  <c r="I712" i="20" s="1"/>
  <c r="I709" i="8"/>
  <c r="O307" i="3"/>
  <c r="O425" i="3"/>
  <c r="K1053" i="20"/>
  <c r="K1057" i="20" s="1"/>
  <c r="K1064" i="20" s="1"/>
  <c r="K1055" i="8"/>
  <c r="P156" i="20"/>
  <c r="N84" i="22" s="1"/>
  <c r="P674" i="20"/>
  <c r="P669" i="20"/>
  <c r="M1230" i="20"/>
  <c r="D307" i="3"/>
  <c r="D425" i="3"/>
  <c r="P301" i="3"/>
  <c r="E710" i="8"/>
  <c r="E709" i="20"/>
  <c r="O1024" i="20"/>
  <c r="O1028" i="20" s="1"/>
  <c r="O1035" i="20" s="1"/>
  <c r="O1026" i="8"/>
  <c r="P305" i="3"/>
  <c r="E1028" i="8"/>
  <c r="E1026" i="20"/>
  <c r="J430" i="3"/>
  <c r="J431" i="3" s="1"/>
  <c r="N129" i="3"/>
  <c r="N29" i="23" s="1"/>
  <c r="N30" i="23" s="1"/>
  <c r="N56" i="23" s="1"/>
  <c r="J307" i="3"/>
  <c r="J425" i="3"/>
  <c r="N156" i="20"/>
  <c r="L84" i="22" s="1"/>
  <c r="N674" i="20"/>
  <c r="N669" i="20"/>
  <c r="F1029" i="8"/>
  <c r="F1027" i="20"/>
  <c r="P306" i="3"/>
  <c r="J1062" i="8"/>
  <c r="J1065" i="8" s="1"/>
  <c r="J1059" i="8"/>
  <c r="J1066" i="8" s="1"/>
  <c r="K430" i="3"/>
  <c r="K431" i="3" s="1"/>
  <c r="L1229" i="20"/>
  <c r="L1231" i="8"/>
  <c r="G1055" i="8"/>
  <c r="G1053" i="20"/>
  <c r="P323" i="3"/>
  <c r="J988" i="8"/>
  <c r="O166" i="3"/>
  <c r="L296" i="2"/>
  <c r="Q790" i="8"/>
  <c r="J705" i="8"/>
  <c r="M1107" i="8"/>
  <c r="M301" i="8" s="1"/>
  <c r="P1140" i="20"/>
  <c r="P311" i="20" s="1"/>
  <c r="K158" i="8"/>
  <c r="O323" i="20"/>
  <c r="Q86" i="20"/>
  <c r="N316" i="20"/>
  <c r="P136" i="20"/>
  <c r="M136" i="20"/>
  <c r="L1170" i="20"/>
  <c r="L1174" i="20" s="1"/>
  <c r="L318" i="20" s="1"/>
  <c r="H1266" i="8"/>
  <c r="H363" i="8" s="1"/>
  <c r="G1197" i="8"/>
  <c r="G327" i="8" s="1"/>
  <c r="O416" i="20"/>
  <c r="I1136" i="20"/>
  <c r="I1140" i="20" s="1"/>
  <c r="I311" i="20" s="1"/>
  <c r="J1194" i="20"/>
  <c r="J323" i="20" s="1"/>
  <c r="J158" i="8"/>
  <c r="L1118" i="20"/>
  <c r="L302" i="20" s="1"/>
  <c r="F300" i="2"/>
  <c r="P143" i="2"/>
  <c r="Q200" i="8"/>
  <c r="C32" i="14" s="1"/>
  <c r="O1173" i="8"/>
  <c r="O320" i="8" s="1"/>
  <c r="M1139" i="8"/>
  <c r="M1143" i="8" s="1"/>
  <c r="M315" i="8" s="1"/>
  <c r="E1194" i="20"/>
  <c r="E1198" i="20" s="1"/>
  <c r="E325" i="20" s="1"/>
  <c r="G230" i="8"/>
  <c r="P301" i="2"/>
  <c r="M146" i="2"/>
  <c r="D146" i="2"/>
  <c r="F705" i="20"/>
  <c r="N652" i="20"/>
  <c r="P128" i="2"/>
  <c r="O235" i="8"/>
  <c r="E290" i="8"/>
  <c r="O299" i="2"/>
  <c r="N435" i="20"/>
  <c r="N76" i="20" s="1"/>
  <c r="M323" i="20"/>
  <c r="M858" i="20"/>
  <c r="E309" i="20"/>
  <c r="L949" i="8"/>
  <c r="J653" i="8"/>
  <c r="P1143" i="8"/>
  <c r="P315" i="8" s="1"/>
  <c r="Q1112" i="20"/>
  <c r="H1118" i="20"/>
  <c r="H1122" i="20" s="1"/>
  <c r="H304" i="20" s="1"/>
  <c r="Q141" i="20"/>
  <c r="Q844" i="20"/>
  <c r="Q758" i="8"/>
  <c r="Q1224" i="20"/>
  <c r="L847" i="20"/>
  <c r="E1052" i="8"/>
  <c r="Q844" i="8"/>
  <c r="J306" i="8"/>
  <c r="Q1182" i="20"/>
  <c r="M230" i="20"/>
  <c r="O858" i="8"/>
  <c r="P416" i="20"/>
  <c r="P435" i="20"/>
  <c r="P76" i="20" s="1"/>
  <c r="J471" i="8"/>
  <c r="J84" i="8" s="1"/>
  <c r="Q495" i="20"/>
  <c r="M1173" i="8"/>
  <c r="M1177" i="8" s="1"/>
  <c r="M322" i="8" s="1"/>
  <c r="Q307" i="20"/>
  <c r="O1262" i="8"/>
  <c r="O1266" i="8" s="1"/>
  <c r="O363" i="8" s="1"/>
  <c r="K1139" i="8"/>
  <c r="K1143" i="8" s="1"/>
  <c r="K315" i="8" s="1"/>
  <c r="H1121" i="8"/>
  <c r="H306" i="8" s="1"/>
  <c r="E296" i="2"/>
  <c r="F296" i="2"/>
  <c r="N1262" i="8"/>
  <c r="N1266" i="8" s="1"/>
  <c r="N363" i="8" s="1"/>
  <c r="Q759" i="8"/>
  <c r="K979" i="8"/>
  <c r="Q757" i="20"/>
  <c r="Q976" i="8"/>
  <c r="L300" i="2"/>
  <c r="N572" i="20"/>
  <c r="N138" i="20" s="1"/>
  <c r="Q94" i="8"/>
  <c r="C23" i="14" s="1"/>
  <c r="J1136" i="20"/>
  <c r="J1140" i="20" s="1"/>
  <c r="J311" i="20" s="1"/>
  <c r="N1136" i="20"/>
  <c r="N1140" i="20" s="1"/>
  <c r="N311" i="20" s="1"/>
  <c r="J1197" i="8"/>
  <c r="J327" i="8" s="1"/>
  <c r="K88" i="20"/>
  <c r="K487" i="20"/>
  <c r="K90" i="20" s="1"/>
  <c r="O654" i="8"/>
  <c r="O158" i="8"/>
  <c r="O653" i="8"/>
  <c r="N155" i="20"/>
  <c r="H470" i="20"/>
  <c r="H83" i="20" s="1"/>
  <c r="L249" i="8"/>
  <c r="Q461" i="20"/>
  <c r="Q228" i="8"/>
  <c r="C36" i="14" s="1"/>
  <c r="I1173" i="8"/>
  <c r="I320" i="8" s="1"/>
  <c r="I1197" i="8"/>
  <c r="I1201" i="8" s="1"/>
  <c r="I329" i="8" s="1"/>
  <c r="Q704" i="8"/>
  <c r="Q189" i="20"/>
  <c r="O155" i="20"/>
  <c r="O652" i="20"/>
  <c r="L539" i="8"/>
  <c r="L105" i="8" s="1"/>
  <c r="L103" i="8"/>
  <c r="F1260" i="20"/>
  <c r="F1264" i="20" s="1"/>
  <c r="F359" i="20" s="1"/>
  <c r="E316" i="20"/>
  <c r="H95" i="20"/>
  <c r="K572" i="20"/>
  <c r="K138" i="20" s="1"/>
  <c r="N313" i="8"/>
  <c r="O418" i="8"/>
  <c r="Q1225" i="20"/>
  <c r="Q789" i="8"/>
  <c r="N296" i="2"/>
  <c r="O1136" i="20"/>
  <c r="Q193" i="8"/>
  <c r="C31" i="14" s="1"/>
  <c r="Q1225" i="8"/>
  <c r="H416" i="20"/>
  <c r="Q596" i="20"/>
  <c r="O82" i="8"/>
  <c r="M81" i="20"/>
  <c r="L950" i="8"/>
  <c r="Q1047" i="20"/>
  <c r="Q151" i="8"/>
  <c r="C28" i="14" s="1"/>
  <c r="J1139" i="8"/>
  <c r="J313" i="8" s="1"/>
  <c r="Q93" i="20"/>
  <c r="Q348" i="20"/>
  <c r="L1140" i="20"/>
  <c r="L311" i="20" s="1"/>
  <c r="L309" i="20"/>
  <c r="F1139" i="8"/>
  <c r="P316" i="20"/>
  <c r="P1174" i="20"/>
  <c r="P318" i="20" s="1"/>
  <c r="L555" i="20"/>
  <c r="L131" i="20" s="1"/>
  <c r="L129" i="20"/>
  <c r="Q101" i="8"/>
  <c r="C24" i="14" s="1"/>
  <c r="J302" i="20"/>
  <c r="K977" i="8"/>
  <c r="Q1251" i="8"/>
  <c r="Q618" i="20"/>
  <c r="Q148" i="20"/>
  <c r="Q237" i="20"/>
  <c r="Q1113" i="20"/>
  <c r="L653" i="8"/>
  <c r="N858" i="8"/>
  <c r="N235" i="8"/>
  <c r="N857" i="8"/>
  <c r="G155" i="20"/>
  <c r="G652" i="20"/>
  <c r="H653" i="8"/>
  <c r="H158" i="8"/>
  <c r="H654" i="8"/>
  <c r="F230" i="20"/>
  <c r="F858" i="20"/>
  <c r="J300" i="2"/>
  <c r="J302" i="2" s="1"/>
  <c r="E1118" i="20"/>
  <c r="E302" i="20" s="1"/>
  <c r="P293" i="2"/>
  <c r="Q650" i="20"/>
  <c r="Q428" i="8"/>
  <c r="K256" i="8"/>
  <c r="M1260" i="20"/>
  <c r="Q462" i="8"/>
  <c r="I1260" i="20"/>
  <c r="I1264" i="20" s="1"/>
  <c r="I359" i="20" s="1"/>
  <c r="Q80" i="8"/>
  <c r="C21" i="14" s="1"/>
  <c r="L158" i="8"/>
  <c r="K299" i="2"/>
  <c r="L1173" i="8"/>
  <c r="N858" i="20"/>
  <c r="N230" i="20"/>
  <c r="G653" i="8"/>
  <c r="G158" i="8"/>
  <c r="G654" i="8"/>
  <c r="F857" i="8"/>
  <c r="F235" i="8"/>
  <c r="F858" i="8"/>
  <c r="L153" i="8"/>
  <c r="L629" i="8"/>
  <c r="L155" i="8" s="1"/>
  <c r="G705" i="8"/>
  <c r="G706" i="8"/>
  <c r="G153" i="8"/>
  <c r="G629" i="8"/>
  <c r="G155" i="8" s="1"/>
  <c r="Q72" i="20"/>
  <c r="Q297" i="8"/>
  <c r="C43" i="14" s="1"/>
  <c r="Q321" i="20"/>
  <c r="J1173" i="8"/>
  <c r="J320" i="8" s="1"/>
  <c r="Q65" i="20"/>
  <c r="Q87" i="8"/>
  <c r="C22" i="14" s="1"/>
  <c r="Q223" i="20"/>
  <c r="Q1165" i="20"/>
  <c r="Q652" i="8"/>
  <c r="H1143" i="8"/>
  <c r="H315" i="8" s="1"/>
  <c r="H313" i="8"/>
  <c r="I1139" i="8"/>
  <c r="G182" i="20"/>
  <c r="G705" i="20"/>
  <c r="H652" i="20"/>
  <c r="H155" i="20"/>
  <c r="J136" i="20"/>
  <c r="J572" i="20"/>
  <c r="J138" i="20" s="1"/>
  <c r="M316" i="20"/>
  <c r="M1174" i="20"/>
  <c r="M318" i="20" s="1"/>
  <c r="I555" i="20"/>
  <c r="I131" i="20" s="1"/>
  <c r="I129" i="20"/>
  <c r="O316" i="20"/>
  <c r="O1174" i="20"/>
  <c r="O318" i="20" s="1"/>
  <c r="Q402" i="8"/>
  <c r="M1021" i="20"/>
  <c r="M1020" i="20"/>
  <c r="M258" i="20"/>
  <c r="N82" i="8"/>
  <c r="N471" i="8"/>
  <c r="N84" i="8" s="1"/>
  <c r="E556" i="8"/>
  <c r="E134" i="8" s="1"/>
  <c r="E132" i="8"/>
  <c r="P235" i="8"/>
  <c r="P858" i="8"/>
  <c r="P857" i="8"/>
  <c r="K235" i="8"/>
  <c r="K857" i="8"/>
  <c r="K858" i="8"/>
  <c r="E249" i="8"/>
  <c r="E950" i="8"/>
  <c r="E951" i="8"/>
  <c r="E949" i="8"/>
  <c r="Q496" i="8"/>
  <c r="O96" i="8"/>
  <c r="O505" i="8"/>
  <c r="O98" i="8" s="1"/>
  <c r="L132" i="8"/>
  <c r="L556" i="8"/>
  <c r="L134" i="8" s="1"/>
  <c r="I235" i="8"/>
  <c r="I858" i="8"/>
  <c r="I857" i="8"/>
  <c r="E230" i="20"/>
  <c r="E858" i="20"/>
  <c r="I1023" i="8"/>
  <c r="I1021" i="8"/>
  <c r="I263" i="8"/>
  <c r="I1022" i="8"/>
  <c r="I705" i="20"/>
  <c r="I182" i="20"/>
  <c r="M286" i="20"/>
  <c r="M1050" i="20"/>
  <c r="M1049" i="20"/>
  <c r="F155" i="20"/>
  <c r="F652" i="20"/>
  <c r="E129" i="20"/>
  <c r="E555" i="20"/>
  <c r="E131" i="20" s="1"/>
  <c r="F263" i="8"/>
  <c r="F1023" i="8"/>
  <c r="F1021" i="8"/>
  <c r="F1022" i="8"/>
  <c r="M416" i="20"/>
  <c r="Q904" i="8"/>
  <c r="Q127" i="20"/>
  <c r="Q144" i="8"/>
  <c r="C27" i="14" s="1"/>
  <c r="Q325" i="8"/>
  <c r="C47" i="14" s="1"/>
  <c r="Q1226" i="8"/>
  <c r="Q100" i="20"/>
  <c r="J466" i="20"/>
  <c r="K1173" i="8"/>
  <c r="K320" i="8" s="1"/>
  <c r="Q293" i="20"/>
  <c r="L256" i="8"/>
  <c r="L978" i="8"/>
  <c r="Q978" i="8" s="1"/>
  <c r="L977" i="8"/>
  <c r="L979" i="8"/>
  <c r="M488" i="8"/>
  <c r="M91" i="8" s="1"/>
  <c r="M89" i="8"/>
  <c r="M1022" i="8"/>
  <c r="M263" i="8"/>
  <c r="M1023" i="8"/>
  <c r="M1021" i="8"/>
  <c r="D300" i="2"/>
  <c r="D302" i="2" s="1"/>
  <c r="P858" i="20"/>
  <c r="P230" i="20"/>
  <c r="K230" i="20"/>
  <c r="K858" i="20"/>
  <c r="I139" i="8"/>
  <c r="I573" i="8"/>
  <c r="I141" i="8" s="1"/>
  <c r="K629" i="8"/>
  <c r="K155" i="8" s="1"/>
  <c r="K153" i="8"/>
  <c r="E857" i="8"/>
  <c r="E858" i="8"/>
  <c r="E235" i="8"/>
  <c r="K103" i="8"/>
  <c r="K539" i="8"/>
  <c r="K105" i="8" s="1"/>
  <c r="I1020" i="20"/>
  <c r="I258" i="20"/>
  <c r="I1021" i="20"/>
  <c r="P1173" i="8"/>
  <c r="I1194" i="20"/>
  <c r="F1021" i="20"/>
  <c r="F1020" i="20"/>
  <c r="F258" i="20"/>
  <c r="Q478" i="20"/>
  <c r="O470" i="20"/>
  <c r="O83" i="20" s="1"/>
  <c r="Q479" i="8"/>
  <c r="O433" i="8"/>
  <c r="O437" i="8" s="1"/>
  <c r="O77" i="8" s="1"/>
  <c r="Q73" i="8"/>
  <c r="C20" i="14" s="1"/>
  <c r="D14" i="26"/>
  <c r="K1194" i="20"/>
  <c r="K323" i="20" s="1"/>
  <c r="Q79" i="20"/>
  <c r="Q1168" i="8"/>
  <c r="Q359" i="8"/>
  <c r="C49" i="14" s="1"/>
  <c r="Q1185" i="8"/>
  <c r="Q788" i="20"/>
  <c r="Q130" i="8"/>
  <c r="C25" i="14" s="1"/>
  <c r="Q352" i="8"/>
  <c r="C48" i="14" s="1"/>
  <c r="Q300" i="20"/>
  <c r="Q311" i="8"/>
  <c r="C45" i="14" s="1"/>
  <c r="P1262" i="8"/>
  <c r="P1266" i="8" s="1"/>
  <c r="P363" i="8" s="1"/>
  <c r="I1121" i="8"/>
  <c r="I1125" i="8" s="1"/>
  <c r="I308" i="8" s="1"/>
  <c r="Q1186" i="8"/>
  <c r="G1136" i="20"/>
  <c r="G309" i="20" s="1"/>
  <c r="G1170" i="20"/>
  <c r="L977" i="20"/>
  <c r="L976" i="20"/>
  <c r="Q976" i="20" s="1"/>
  <c r="L251" i="20"/>
  <c r="Q251" i="20" s="1"/>
  <c r="M706" i="8"/>
  <c r="M705" i="8"/>
  <c r="E705" i="20"/>
  <c r="E182" i="20"/>
  <c r="H103" i="8"/>
  <c r="H539" i="8"/>
  <c r="H105" i="8" s="1"/>
  <c r="N1173" i="8"/>
  <c r="E1121" i="8"/>
  <c r="L299" i="2"/>
  <c r="G1121" i="8"/>
  <c r="I1170" i="20"/>
  <c r="N706" i="8"/>
  <c r="N705" i="8"/>
  <c r="P1197" i="8"/>
  <c r="P1201" i="8" s="1"/>
  <c r="P329" i="8" s="1"/>
  <c r="M182" i="20"/>
  <c r="M705" i="20"/>
  <c r="E706" i="8"/>
  <c r="E705" i="8"/>
  <c r="E949" i="20"/>
  <c r="E244" i="20"/>
  <c r="E948" i="20"/>
  <c r="F1107" i="8"/>
  <c r="F301" i="8" s="1"/>
  <c r="F299" i="8"/>
  <c r="I858" i="20"/>
  <c r="I230" i="20"/>
  <c r="H556" i="8"/>
  <c r="H134" i="8" s="1"/>
  <c r="H132" i="8"/>
  <c r="I705" i="8"/>
  <c r="I706" i="8"/>
  <c r="M290" i="8"/>
  <c r="M1050" i="8"/>
  <c r="M1051" i="8"/>
  <c r="M1052" i="8"/>
  <c r="F158" i="8"/>
  <c r="F653" i="8"/>
  <c r="F654" i="8"/>
  <c r="N705" i="20"/>
  <c r="N182" i="20"/>
  <c r="K1174" i="20"/>
  <c r="K318" i="20" s="1"/>
  <c r="K316" i="20"/>
  <c r="P654" i="8"/>
  <c r="P653" i="8"/>
  <c r="P158" i="8"/>
  <c r="Q1116" i="8"/>
  <c r="Q1097" i="8"/>
  <c r="I155" i="20"/>
  <c r="I652" i="20"/>
  <c r="P433" i="8"/>
  <c r="K705" i="20"/>
  <c r="K182" i="20"/>
  <c r="Q831" i="8"/>
  <c r="Q546" i="20"/>
  <c r="O1051" i="8"/>
  <c r="O1052" i="8"/>
  <c r="O290" i="8"/>
  <c r="O1050" i="8"/>
  <c r="Q137" i="8"/>
  <c r="C26" i="14" s="1"/>
  <c r="G858" i="20"/>
  <c r="Q856" i="20"/>
  <c r="G230" i="20"/>
  <c r="Q703" i="20"/>
  <c r="P652" i="20"/>
  <c r="P155" i="20"/>
  <c r="Q1134" i="8"/>
  <c r="F1121" i="8"/>
  <c r="Q1115" i="8"/>
  <c r="K1197" i="8"/>
  <c r="O1139" i="8"/>
  <c r="Q1164" i="20"/>
  <c r="K361" i="8"/>
  <c r="Q1130" i="20"/>
  <c r="O129" i="20"/>
  <c r="O555" i="20"/>
  <c r="O131" i="20" s="1"/>
  <c r="H230" i="20"/>
  <c r="H858" i="20"/>
  <c r="Q414" i="8"/>
  <c r="Q1098" i="8"/>
  <c r="Q1183" i="20"/>
  <c r="Q597" i="8"/>
  <c r="G296" i="2"/>
  <c r="G299" i="2"/>
  <c r="G302" i="2" s="1"/>
  <c r="O1050" i="20"/>
  <c r="O286" i="20"/>
  <c r="O1049" i="20"/>
  <c r="Q401" i="8"/>
  <c r="H185" i="26" s="1"/>
  <c r="G552" i="8"/>
  <c r="Q547" i="8"/>
  <c r="Q620" i="8"/>
  <c r="Q1249" i="20"/>
  <c r="Q304" i="8"/>
  <c r="C44" i="14" s="1"/>
  <c r="M652" i="20"/>
  <c r="M155" i="20"/>
  <c r="L858" i="20"/>
  <c r="L230" i="20"/>
  <c r="Q530" i="8"/>
  <c r="P1121" i="8"/>
  <c r="Q134" i="20"/>
  <c r="I654" i="8"/>
  <c r="I653" i="8"/>
  <c r="I158" i="8"/>
  <c r="G258" i="20"/>
  <c r="G1021" i="20"/>
  <c r="G1020" i="20"/>
  <c r="Q1018" i="20"/>
  <c r="O296" i="2"/>
  <c r="O300" i="2"/>
  <c r="Q318" i="8"/>
  <c r="C46" i="14" s="1"/>
  <c r="G418" i="8"/>
  <c r="I286" i="20"/>
  <c r="I1050" i="20"/>
  <c r="I1049" i="20"/>
  <c r="Q1133" i="8"/>
  <c r="G1139" i="8"/>
  <c r="N418" i="8"/>
  <c r="J847" i="20"/>
  <c r="Q903" i="8"/>
  <c r="Q412" i="20"/>
  <c r="Q399" i="20"/>
  <c r="Q529" i="20"/>
  <c r="F418" i="8"/>
  <c r="M1262" i="8"/>
  <c r="H857" i="8"/>
  <c r="H858" i="8"/>
  <c r="H235" i="8"/>
  <c r="P290" i="2"/>
  <c r="O132" i="8"/>
  <c r="O556" i="8"/>
  <c r="O134" i="8" s="1"/>
  <c r="Q355" i="20"/>
  <c r="G551" i="20"/>
  <c r="M158" i="8"/>
  <c r="M653" i="8"/>
  <c r="M654" i="8"/>
  <c r="L235" i="8"/>
  <c r="L858" i="8"/>
  <c r="L857" i="8"/>
  <c r="Q563" i="20"/>
  <c r="G568" i="20"/>
  <c r="Q242" i="8"/>
  <c r="N416" i="20"/>
  <c r="G416" i="20"/>
  <c r="Q1227" i="8"/>
  <c r="Q1250" i="8"/>
  <c r="Q832" i="8"/>
  <c r="K705" i="8"/>
  <c r="K706" i="8"/>
  <c r="G263" i="8"/>
  <c r="G1021" i="8"/>
  <c r="G1022" i="8"/>
  <c r="G1023" i="8"/>
  <c r="Q1020" i="8"/>
  <c r="M1121" i="8"/>
  <c r="H1173" i="8"/>
  <c r="F146" i="2"/>
  <c r="F299" i="2"/>
  <c r="M418" i="8"/>
  <c r="Q1167" i="8"/>
  <c r="G1173" i="8"/>
  <c r="I1262" i="8"/>
  <c r="N302" i="2"/>
  <c r="G538" i="20"/>
  <c r="G104" i="20" s="1"/>
  <c r="G102" i="20"/>
  <c r="Q66" i="8"/>
  <c r="G569" i="8"/>
  <c r="Q564" i="8"/>
  <c r="G858" i="8"/>
  <c r="G235" i="8"/>
  <c r="Q856" i="8"/>
  <c r="G857" i="8"/>
  <c r="H300" i="2"/>
  <c r="H302" i="2" s="1"/>
  <c r="Q1131" i="20"/>
  <c r="I290" i="8"/>
  <c r="I1050" i="8"/>
  <c r="I1052" i="8"/>
  <c r="I1051" i="8"/>
  <c r="P627" i="20"/>
  <c r="P152" i="20" s="1"/>
  <c r="P150" i="20"/>
  <c r="Q1049" i="8"/>
  <c r="Q903" i="20"/>
  <c r="N89" i="8"/>
  <c r="N488" i="8"/>
  <c r="N91" i="8" s="1"/>
  <c r="Q832" i="20"/>
  <c r="Q314" i="20"/>
  <c r="Q1248" i="20"/>
  <c r="F56" i="23"/>
  <c r="L416" i="20"/>
  <c r="J416" i="20"/>
  <c r="G488" i="8"/>
  <c r="G89" i="8"/>
  <c r="F555" i="20"/>
  <c r="F129" i="20"/>
  <c r="E136" i="20"/>
  <c r="E572" i="20"/>
  <c r="F416" i="20"/>
  <c r="M24" i="23"/>
  <c r="P23" i="23"/>
  <c r="I538" i="20"/>
  <c r="I104" i="20" s="1"/>
  <c r="I102" i="20"/>
  <c r="Q431" i="8"/>
  <c r="G433" i="8"/>
  <c r="E431" i="20"/>
  <c r="Q426" i="20"/>
  <c r="G431" i="20"/>
  <c r="Q429" i="20"/>
  <c r="Q532" i="20"/>
  <c r="F1122" i="20"/>
  <c r="F304" i="20" s="1"/>
  <c r="F302" i="20"/>
  <c r="I284" i="2"/>
  <c r="P282" i="2"/>
  <c r="P294" i="2" s="1"/>
  <c r="Q802" i="8"/>
  <c r="P42" i="23"/>
  <c r="Q711" i="20"/>
  <c r="G75" i="20"/>
  <c r="Q433" i="20"/>
  <c r="H96" i="26" s="1"/>
  <c r="E1065" i="8"/>
  <c r="K416" i="20"/>
  <c r="I203" i="8"/>
  <c r="Q797" i="8"/>
  <c r="F98" i="26" s="1"/>
  <c r="O1121" i="8"/>
  <c r="Q1119" i="8"/>
  <c r="E327" i="3"/>
  <c r="P321" i="3"/>
  <c r="E430" i="3"/>
  <c r="I433" i="8"/>
  <c r="Q74" i="8"/>
  <c r="D20" i="14" s="1"/>
  <c r="J718" i="8"/>
  <c r="Q712" i="8"/>
  <c r="Q1116" i="20"/>
  <c r="O1118" i="20"/>
  <c r="Q101" i="20"/>
  <c r="C83" i="22"/>
  <c r="Q415" i="20"/>
  <c r="J948" i="8"/>
  <c r="J946" i="20"/>
  <c r="P182" i="2"/>
  <c r="D15" i="26" s="1"/>
  <c r="G38" i="22"/>
  <c r="O38" i="22" s="1"/>
  <c r="Q201" i="8"/>
  <c r="D32" i="14" s="1"/>
  <c r="F32" i="14" s="1"/>
  <c r="H276" i="26"/>
  <c r="H277" i="26" s="1"/>
  <c r="G76" i="8"/>
  <c r="Q435" i="8"/>
  <c r="J316" i="20"/>
  <c r="J1174" i="20"/>
  <c r="H1036" i="8"/>
  <c r="F1054" i="20"/>
  <c r="P324" i="3"/>
  <c r="F1056" i="8"/>
  <c r="P716" i="8"/>
  <c r="J264" i="8"/>
  <c r="L847" i="8"/>
  <c r="Q846" i="8"/>
  <c r="Q835" i="8"/>
  <c r="M1065" i="8"/>
  <c r="O1230" i="20"/>
  <c r="O1235" i="20" s="1"/>
  <c r="K667" i="8"/>
  <c r="L159" i="8"/>
  <c r="J36" i="22" s="1"/>
  <c r="L671" i="8"/>
  <c r="L676" i="8"/>
  <c r="K156" i="20"/>
  <c r="I84" i="22" s="1"/>
  <c r="K669" i="20"/>
  <c r="K674" i="20"/>
  <c r="M156" i="20"/>
  <c r="K84" i="22" s="1"/>
  <c r="M674" i="20"/>
  <c r="M669" i="20"/>
  <c r="O1232" i="8"/>
  <c r="O1235" i="8"/>
  <c r="L674" i="20"/>
  <c r="L156" i="20"/>
  <c r="J84" i="22" s="1"/>
  <c r="L669" i="20"/>
  <c r="J674" i="20"/>
  <c r="J156" i="20"/>
  <c r="H84" i="22" s="1"/>
  <c r="J669" i="20"/>
  <c r="L667" i="8"/>
  <c r="J187" i="26" l="1"/>
  <c r="H190" i="26"/>
  <c r="H187" i="26"/>
  <c r="O202" i="8"/>
  <c r="G273" i="26"/>
  <c r="K273" i="26" s="1"/>
  <c r="F57" i="26"/>
  <c r="Q407" i="8"/>
  <c r="H272" i="26"/>
  <c r="K272" i="26" s="1"/>
  <c r="F61" i="26"/>
  <c r="H195" i="8"/>
  <c r="P195" i="8"/>
  <c r="E420" i="8"/>
  <c r="I195" i="8"/>
  <c r="H202" i="8"/>
  <c r="G106" i="26"/>
  <c r="H874" i="8"/>
  <c r="H237" i="8" s="1"/>
  <c r="P677" i="8"/>
  <c r="G202" i="8"/>
  <c r="Q847" i="8"/>
  <c r="E677" i="8"/>
  <c r="E668" i="8"/>
  <c r="E669" i="8" s="1"/>
  <c r="F68" i="8"/>
  <c r="P849" i="8"/>
  <c r="P232" i="8" s="1"/>
  <c r="P26" i="8" s="1"/>
  <c r="G284" i="26"/>
  <c r="G109" i="26"/>
  <c r="I109" i="26" s="1"/>
  <c r="F677" i="8"/>
  <c r="N195" i="8"/>
  <c r="E1107" i="8"/>
  <c r="E301" i="8" s="1"/>
  <c r="Q1103" i="8"/>
  <c r="F202" i="8"/>
  <c r="N677" i="8"/>
  <c r="E471" i="8"/>
  <c r="E84" i="8" s="1"/>
  <c r="E82" i="8"/>
  <c r="J411" i="8"/>
  <c r="J420" i="8" s="1"/>
  <c r="J70" i="8" s="1"/>
  <c r="J68" i="8"/>
  <c r="N202" i="8"/>
  <c r="Q795" i="8"/>
  <c r="E799" i="8"/>
  <c r="I677" i="8"/>
  <c r="E230" i="8"/>
  <c r="E841" i="8"/>
  <c r="E849" i="8" s="1"/>
  <c r="E68" i="8"/>
  <c r="N555" i="20"/>
  <c r="N131" i="20" s="1"/>
  <c r="N129" i="20"/>
  <c r="P202" i="8"/>
  <c r="O232" i="8"/>
  <c r="O26" i="8" s="1"/>
  <c r="F806" i="8"/>
  <c r="F204" i="8" s="1"/>
  <c r="G669" i="8"/>
  <c r="G673" i="8" s="1"/>
  <c r="N721" i="8"/>
  <c r="N188" i="8" s="1"/>
  <c r="Q777" i="8"/>
  <c r="E779" i="8"/>
  <c r="E195" i="8" s="1"/>
  <c r="G729" i="8"/>
  <c r="L669" i="8"/>
  <c r="E91" i="8"/>
  <c r="E89" i="8"/>
  <c r="H122" i="26"/>
  <c r="H150" i="26" s="1"/>
  <c r="A989" i="20"/>
  <c r="A990" i="20" s="1"/>
  <c r="A991" i="20" s="1"/>
  <c r="A993" i="20" s="1"/>
  <c r="A995" i="20" s="1"/>
  <c r="H669" i="8"/>
  <c r="H678" i="8"/>
  <c r="G678" i="8"/>
  <c r="L678" i="8"/>
  <c r="E676" i="8"/>
  <c r="E678" i="8" s="1"/>
  <c r="H920" i="8"/>
  <c r="H244" i="8" s="1"/>
  <c r="M920" i="8"/>
  <c r="M244" i="8" s="1"/>
  <c r="L920" i="8"/>
  <c r="L244" i="8" s="1"/>
  <c r="O920" i="8"/>
  <c r="O924" i="8" s="1"/>
  <c r="O246" i="8" s="1"/>
  <c r="P920" i="8"/>
  <c r="P244" i="8" s="1"/>
  <c r="M874" i="8"/>
  <c r="M237" i="8" s="1"/>
  <c r="Q872" i="8"/>
  <c r="H349" i="20"/>
  <c r="H1235" i="20"/>
  <c r="O1238" i="8"/>
  <c r="O1237" i="8"/>
  <c r="I349" i="20"/>
  <c r="I1235" i="20"/>
  <c r="M349" i="20"/>
  <c r="M1235" i="20"/>
  <c r="E990" i="20"/>
  <c r="N990" i="20"/>
  <c r="F990" i="20"/>
  <c r="L990" i="20"/>
  <c r="P990" i="20"/>
  <c r="I990" i="20"/>
  <c r="K990" i="20"/>
  <c r="H1039" i="8"/>
  <c r="F965" i="8"/>
  <c r="F969" i="8" s="1"/>
  <c r="F253" i="8" s="1"/>
  <c r="I1068" i="8"/>
  <c r="G993" i="8"/>
  <c r="M1068" i="8"/>
  <c r="M292" i="8" s="1"/>
  <c r="I920" i="8"/>
  <c r="I924" i="8" s="1"/>
  <c r="I246" i="8" s="1"/>
  <c r="N993" i="8"/>
  <c r="N258" i="8" s="1"/>
  <c r="J487" i="20"/>
  <c r="J90" i="20" s="1"/>
  <c r="N252" i="20"/>
  <c r="K95" i="20"/>
  <c r="H538" i="20"/>
  <c r="H104" i="20" s="1"/>
  <c r="Q962" i="20"/>
  <c r="J719" i="20"/>
  <c r="P719" i="20"/>
  <c r="O719" i="20"/>
  <c r="I487" i="20"/>
  <c r="I90" i="20" s="1"/>
  <c r="P88" i="20"/>
  <c r="I719" i="20"/>
  <c r="M719" i="20"/>
  <c r="I666" i="20"/>
  <c r="M487" i="20"/>
  <c r="M90" i="20" s="1"/>
  <c r="F95" i="20"/>
  <c r="K252" i="20"/>
  <c r="L538" i="20"/>
  <c r="L104" i="20" s="1"/>
  <c r="G95" i="20"/>
  <c r="F538" i="20"/>
  <c r="F104" i="20" s="1"/>
  <c r="M983" i="20"/>
  <c r="M989" i="20" s="1"/>
  <c r="L259" i="20"/>
  <c r="L1036" i="20"/>
  <c r="O259" i="20"/>
  <c r="O1036" i="20"/>
  <c r="L287" i="20"/>
  <c r="L1065" i="20"/>
  <c r="H983" i="20"/>
  <c r="H989" i="20" s="1"/>
  <c r="I252" i="20"/>
  <c r="L252" i="20"/>
  <c r="K287" i="20"/>
  <c r="K1065" i="20"/>
  <c r="N287" i="20"/>
  <c r="N1065" i="20"/>
  <c r="P252" i="20"/>
  <c r="I259" i="20"/>
  <c r="I1036" i="20"/>
  <c r="P259" i="20"/>
  <c r="P1036" i="20"/>
  <c r="G1039" i="8"/>
  <c r="N1039" i="8"/>
  <c r="N1043" i="8" s="1"/>
  <c r="N267" i="8" s="1"/>
  <c r="H965" i="8"/>
  <c r="H251" i="8" s="1"/>
  <c r="I505" i="8"/>
  <c r="I98" i="8" s="1"/>
  <c r="K993" i="8"/>
  <c r="K258" i="8" s="1"/>
  <c r="G920" i="8"/>
  <c r="G924" i="8" s="1"/>
  <c r="G246" i="8" s="1"/>
  <c r="Q991" i="8"/>
  <c r="O965" i="8"/>
  <c r="O251" i="8" s="1"/>
  <c r="N965" i="8"/>
  <c r="N251" i="8" s="1"/>
  <c r="P874" i="8"/>
  <c r="J774" i="8"/>
  <c r="J781" i="8" s="1"/>
  <c r="O993" i="8"/>
  <c r="O258" i="8" s="1"/>
  <c r="O874" i="8"/>
  <c r="O237" i="8" s="1"/>
  <c r="G251" i="8"/>
  <c r="H719" i="8"/>
  <c r="L965" i="8"/>
  <c r="L969" i="8" s="1"/>
  <c r="L253" i="8" s="1"/>
  <c r="E965" i="8"/>
  <c r="E251" i="8" s="1"/>
  <c r="I965" i="8"/>
  <c r="I251" i="8" s="1"/>
  <c r="L874" i="8"/>
  <c r="I874" i="8"/>
  <c r="E920" i="8"/>
  <c r="J920" i="8"/>
  <c r="J924" i="8" s="1"/>
  <c r="J246" i="8" s="1"/>
  <c r="N920" i="8"/>
  <c r="N244" i="8" s="1"/>
  <c r="F920" i="8"/>
  <c r="F244" i="8" s="1"/>
  <c r="K920" i="8"/>
  <c r="K244" i="8" s="1"/>
  <c r="G874" i="8"/>
  <c r="E874" i="8"/>
  <c r="I774" i="8"/>
  <c r="I781" i="8" s="1"/>
  <c r="K874" i="8"/>
  <c r="F874" i="8"/>
  <c r="H774" i="8"/>
  <c r="L774" i="8"/>
  <c r="L781" i="8" s="1"/>
  <c r="N874" i="8"/>
  <c r="J874" i="8"/>
  <c r="J237" i="8" s="1"/>
  <c r="M103" i="8"/>
  <c r="M774" i="8"/>
  <c r="Q666" i="8"/>
  <c r="N668" i="8"/>
  <c r="F668" i="8"/>
  <c r="K720" i="8"/>
  <c r="G719" i="8"/>
  <c r="O774" i="8"/>
  <c r="F488" i="8"/>
  <c r="F91" i="8" s="1"/>
  <c r="P668" i="8"/>
  <c r="H96" i="8"/>
  <c r="L720" i="8"/>
  <c r="I668" i="8"/>
  <c r="F774" i="8"/>
  <c r="F781" i="8" s="1"/>
  <c r="K505" i="8"/>
  <c r="K98" i="8" s="1"/>
  <c r="N505" i="8"/>
  <c r="N98" i="8" s="1"/>
  <c r="I89" i="8"/>
  <c r="P774" i="8"/>
  <c r="M96" i="8"/>
  <c r="E671" i="8"/>
  <c r="O103" i="8"/>
  <c r="E539" i="8"/>
  <c r="E105" i="8" s="1"/>
  <c r="N539" i="8"/>
  <c r="N105" i="8" s="1"/>
  <c r="Q534" i="8"/>
  <c r="F112" i="26" s="1"/>
  <c r="G112" i="26" s="1"/>
  <c r="I112" i="26" s="1"/>
  <c r="Q962" i="8"/>
  <c r="A956" i="8"/>
  <c r="A958" i="8" s="1"/>
  <c r="A959" i="8" s="1"/>
  <c r="A960" i="8" s="1"/>
  <c r="A961" i="8" s="1"/>
  <c r="M849" i="8"/>
  <c r="M232" i="8" s="1"/>
  <c r="M26" i="8" s="1"/>
  <c r="Q245" i="20"/>
  <c r="Q918" i="20"/>
  <c r="Q873" i="20"/>
  <c r="Q767" i="20"/>
  <c r="G727" i="20"/>
  <c r="G719" i="20"/>
  <c r="Q238" i="20"/>
  <c r="E674" i="20"/>
  <c r="E666" i="20"/>
  <c r="L722" i="20"/>
  <c r="L719" i="20"/>
  <c r="H722" i="20"/>
  <c r="H719" i="20"/>
  <c r="K183" i="20"/>
  <c r="I85" i="22" s="1"/>
  <c r="I87" i="22" s="1"/>
  <c r="K719" i="20"/>
  <c r="Q75" i="20"/>
  <c r="F94" i="26"/>
  <c r="G171" i="26" s="1"/>
  <c r="P68" i="8"/>
  <c r="L990" i="8"/>
  <c r="J990" i="8"/>
  <c r="Q985" i="8"/>
  <c r="F232" i="8"/>
  <c r="F26" i="8" s="1"/>
  <c r="K849" i="8"/>
  <c r="D211" i="26"/>
  <c r="G211" i="26" s="1"/>
  <c r="C38" i="14"/>
  <c r="A290" i="3"/>
  <c r="A291" i="3" s="1"/>
  <c r="A292" i="3" s="1"/>
  <c r="A293" i="3" s="1"/>
  <c r="A294" i="3" s="1"/>
  <c r="A296" i="3" s="1"/>
  <c r="A297" i="3" s="1"/>
  <c r="A298" i="3" s="1"/>
  <c r="A299" i="3" s="1"/>
  <c r="A300" i="3" s="1"/>
  <c r="A302" i="3" s="1"/>
  <c r="A303" i="3" s="1"/>
  <c r="A304" i="3" s="1"/>
  <c r="A305" i="3" s="1"/>
  <c r="A306" i="3" s="1"/>
  <c r="A307" i="3" s="1"/>
  <c r="A309" i="3" s="1"/>
  <c r="A310" i="3" s="1"/>
  <c r="A311" i="3" s="1"/>
  <c r="A312" i="3" s="1"/>
  <c r="A313" i="3" s="1"/>
  <c r="A314" i="3" s="1"/>
  <c r="A316" i="3" s="1"/>
  <c r="A317" i="3" s="1"/>
  <c r="A318" i="3" s="1"/>
  <c r="A319" i="3" s="1"/>
  <c r="A320" i="3" s="1"/>
  <c r="A322" i="3" s="1"/>
  <c r="A323" i="3" s="1"/>
  <c r="A324" i="3" s="1"/>
  <c r="A325" i="3" s="1"/>
  <c r="A326" i="3" s="1"/>
  <c r="A327" i="3" s="1"/>
  <c r="A329" i="3" s="1"/>
  <c r="A330" i="3" s="1"/>
  <c r="A331" i="3" s="1"/>
  <c r="A332" i="3" s="1"/>
  <c r="A334" i="3" s="1"/>
  <c r="A335" i="3" s="1"/>
  <c r="A336" i="3" s="1"/>
  <c r="A337" i="3" s="1"/>
  <c r="A353" i="3" s="1"/>
  <c r="A354" i="3" s="1"/>
  <c r="A355" i="3" s="1"/>
  <c r="A357" i="3" s="1"/>
  <c r="A358" i="3" s="1"/>
  <c r="A359" i="3" s="1"/>
  <c r="A360" i="3" s="1"/>
  <c r="A362" i="3" s="1"/>
  <c r="A363" i="3" s="1"/>
  <c r="A364" i="3" s="1"/>
  <c r="A365" i="3" s="1"/>
  <c r="A367" i="3" s="1"/>
  <c r="A368" i="3" s="1"/>
  <c r="A369" i="3" s="1"/>
  <c r="A371" i="3" s="1"/>
  <c r="A372" i="3" s="1"/>
  <c r="A373" i="3" s="1"/>
  <c r="A374" i="3" s="1"/>
  <c r="A376" i="3" s="1"/>
  <c r="A377" i="3" s="1"/>
  <c r="A378" i="3" s="1"/>
  <c r="A379" i="3" s="1"/>
  <c r="A381" i="3" s="1"/>
  <c r="A382" i="3" s="1"/>
  <c r="A383" i="3" s="1"/>
  <c r="A385" i="3" s="1"/>
  <c r="A386" i="3" s="1"/>
  <c r="A387" i="3" s="1"/>
  <c r="A388" i="3" s="1"/>
  <c r="A390" i="3" s="1"/>
  <c r="A391" i="3" s="1"/>
  <c r="A392" i="3" s="1"/>
  <c r="A393" i="3" s="1"/>
  <c r="A395" i="3" s="1"/>
  <c r="A396" i="3" s="1"/>
  <c r="A397" i="3" s="1"/>
  <c r="A399" i="3" s="1"/>
  <c r="A400" i="3" s="1"/>
  <c r="A401" i="3" s="1"/>
  <c r="A402" i="3" s="1"/>
  <c r="A418" i="3" s="1"/>
  <c r="A419" i="3" s="1"/>
  <c r="A420" i="3" s="1"/>
  <c r="A421" i="3" s="1"/>
  <c r="A423" i="3" s="1"/>
  <c r="A424" i="3" s="1"/>
  <c r="A425" i="3" s="1"/>
  <c r="A426" i="3" s="1"/>
  <c r="A428" i="3" s="1"/>
  <c r="A429" i="3" s="1"/>
  <c r="A430" i="3" s="1"/>
  <c r="A431" i="3" s="1"/>
  <c r="A433" i="3" s="1"/>
  <c r="A434" i="3" s="1"/>
  <c r="A435" i="3" s="1"/>
  <c r="A436" i="3" s="1"/>
  <c r="A440" i="3" s="1"/>
  <c r="A441" i="3" s="1"/>
  <c r="A442" i="3" s="1"/>
  <c r="A443" i="3" s="1"/>
  <c r="A273" i="3"/>
  <c r="A274" i="3" s="1"/>
  <c r="F122" i="26"/>
  <c r="P274" i="3"/>
  <c r="N437" i="8"/>
  <c r="N77" i="8" s="1"/>
  <c r="N849" i="8"/>
  <c r="N232" i="8" s="1"/>
  <c r="N26" i="8" s="1"/>
  <c r="N774" i="8"/>
  <c r="P258" i="8"/>
  <c r="Q964" i="8"/>
  <c r="Q769" i="8"/>
  <c r="F60" i="26" s="1"/>
  <c r="E1243" i="8"/>
  <c r="E356" i="8" s="1"/>
  <c r="E354" i="8"/>
  <c r="J257" i="8"/>
  <c r="J992" i="8"/>
  <c r="Q1258" i="20"/>
  <c r="H76" i="26" s="1"/>
  <c r="K353" i="8"/>
  <c r="K1238" i="8"/>
  <c r="P291" i="8"/>
  <c r="P1067" i="8"/>
  <c r="I257" i="8"/>
  <c r="I992" i="8"/>
  <c r="I993" i="8" s="1"/>
  <c r="K68" i="8"/>
  <c r="E291" i="8"/>
  <c r="E1067" i="8"/>
  <c r="E1068" i="8" s="1"/>
  <c r="E292" i="8" s="1"/>
  <c r="E774" i="8"/>
  <c r="J291" i="8"/>
  <c r="J1067" i="8"/>
  <c r="I353" i="8"/>
  <c r="I1238" i="8"/>
  <c r="I1239" i="8" s="1"/>
  <c r="L257" i="8"/>
  <c r="L992" i="8"/>
  <c r="Q236" i="8"/>
  <c r="D37" i="14" s="1"/>
  <c r="M264" i="8"/>
  <c r="M1038" i="8"/>
  <c r="M1039" i="8" s="1"/>
  <c r="M353" i="8"/>
  <c r="M1238" i="8"/>
  <c r="M1239" i="8" s="1"/>
  <c r="H353" i="8"/>
  <c r="H1238" i="8"/>
  <c r="Q243" i="8"/>
  <c r="D38" i="14" s="1"/>
  <c r="Q250" i="8"/>
  <c r="D39" i="14" s="1"/>
  <c r="Q919" i="8"/>
  <c r="Q873" i="8"/>
  <c r="Q231" i="20"/>
  <c r="H187" i="8"/>
  <c r="F37" i="22" s="1"/>
  <c r="H720" i="8"/>
  <c r="G187" i="8"/>
  <c r="E37" i="22" s="1"/>
  <c r="E39" i="22" s="1"/>
  <c r="G720" i="8"/>
  <c r="O159" i="8"/>
  <c r="M36" i="22" s="1"/>
  <c r="O668" i="8"/>
  <c r="O669" i="8" s="1"/>
  <c r="M671" i="8"/>
  <c r="M668" i="8"/>
  <c r="M669" i="8" s="1"/>
  <c r="K671" i="8"/>
  <c r="K668" i="8"/>
  <c r="K669" i="8" s="1"/>
  <c r="J159" i="8"/>
  <c r="H36" i="22" s="1"/>
  <c r="J668" i="8"/>
  <c r="J669" i="8" s="1"/>
  <c r="L68" i="8"/>
  <c r="D19" i="14"/>
  <c r="H116" i="26"/>
  <c r="H117" i="26" s="1"/>
  <c r="H186" i="26"/>
  <c r="C19" i="14"/>
  <c r="F72" i="26"/>
  <c r="G235" i="26" s="1"/>
  <c r="F75" i="26"/>
  <c r="G237" i="26" s="1"/>
  <c r="E437" i="8"/>
  <c r="E77" i="8" s="1"/>
  <c r="F74" i="26"/>
  <c r="G285" i="26" s="1"/>
  <c r="F73" i="26"/>
  <c r="G236" i="26" s="1"/>
  <c r="M75" i="8"/>
  <c r="H74" i="26"/>
  <c r="H155" i="26"/>
  <c r="F120" i="26"/>
  <c r="G172" i="26" s="1"/>
  <c r="F71" i="26"/>
  <c r="Q76" i="8"/>
  <c r="H102" i="26"/>
  <c r="H103" i="26" s="1"/>
  <c r="H73" i="26"/>
  <c r="H75" i="26"/>
  <c r="H72" i="26"/>
  <c r="G98" i="26"/>
  <c r="I98" i="26" s="1"/>
  <c r="C21" i="28"/>
  <c r="E21" i="28" s="1"/>
  <c r="E20" i="28"/>
  <c r="C35" i="28"/>
  <c r="E35" i="28" s="1"/>
  <c r="C37" i="28"/>
  <c r="C23" i="28"/>
  <c r="C34" i="28"/>
  <c r="C32" i="28" s="1"/>
  <c r="E203" i="28"/>
  <c r="F96" i="26"/>
  <c r="G96" i="26" s="1"/>
  <c r="I96" i="26" s="1"/>
  <c r="G266" i="26"/>
  <c r="A277" i="2"/>
  <c r="A278" i="2" s="1"/>
  <c r="A280" i="2" s="1"/>
  <c r="A281" i="2" s="1"/>
  <c r="A282" i="2" s="1"/>
  <c r="A283" i="2" s="1"/>
  <c r="A284" i="2" s="1"/>
  <c r="A286" i="2" s="1"/>
  <c r="A287" i="2" s="1"/>
  <c r="A288" i="2" s="1"/>
  <c r="A289" i="2" s="1"/>
  <c r="A290" i="2" s="1"/>
  <c r="A292" i="2" s="1"/>
  <c r="A293" i="2" s="1"/>
  <c r="A294" i="2" s="1"/>
  <c r="A295" i="2" s="1"/>
  <c r="A296" i="2" s="1"/>
  <c r="A298" i="2" s="1"/>
  <c r="A299" i="2" s="1"/>
  <c r="A300" i="2" s="1"/>
  <c r="A301" i="2" s="1"/>
  <c r="A302" i="2" s="1"/>
  <c r="F62" i="26"/>
  <c r="G177" i="26" s="1"/>
  <c r="Q186" i="8"/>
  <c r="C30" i="14" s="1"/>
  <c r="K728" i="8"/>
  <c r="K187" i="8"/>
  <c r="I37" i="22" s="1"/>
  <c r="L728" i="8"/>
  <c r="L187" i="8"/>
  <c r="J37" i="22" s="1"/>
  <c r="J39" i="22" s="1"/>
  <c r="G774" i="8"/>
  <c r="Q1260" i="8"/>
  <c r="Q69" i="8"/>
  <c r="F68" i="26"/>
  <c r="G207" i="26" s="1"/>
  <c r="F67" i="26"/>
  <c r="G180" i="26" s="1"/>
  <c r="A35" i="2"/>
  <c r="A36" i="2" s="1"/>
  <c r="A37" i="2" s="1"/>
  <c r="A39" i="2" s="1"/>
  <c r="A40" i="2" s="1"/>
  <c r="A41" i="2" s="1"/>
  <c r="A42" i="2" s="1"/>
  <c r="A44" i="2" s="1"/>
  <c r="A45" i="2" s="1"/>
  <c r="A46" i="2" s="1"/>
  <c r="A47" i="2" s="1"/>
  <c r="A49" i="2" s="1"/>
  <c r="A50" i="2" s="1"/>
  <c r="A51" i="2" s="1"/>
  <c r="A52" i="2" s="1"/>
  <c r="A68" i="2" s="1"/>
  <c r="A69" i="2" s="1"/>
  <c r="A70" i="2" s="1"/>
  <c r="A72" i="2" s="1"/>
  <c r="A73" i="2" s="1"/>
  <c r="A74" i="2" s="1"/>
  <c r="A75" i="2" s="1"/>
  <c r="A77" i="2" s="1"/>
  <c r="M300" i="2"/>
  <c r="M302" i="2" s="1"/>
  <c r="K302" i="2"/>
  <c r="J504" i="20"/>
  <c r="J97" i="20" s="1"/>
  <c r="J1043" i="8"/>
  <c r="J267" i="8" s="1"/>
  <c r="K357" i="20"/>
  <c r="G357" i="20"/>
  <c r="E1266" i="8"/>
  <c r="E363" i="8" s="1"/>
  <c r="G146" i="8"/>
  <c r="J1266" i="8"/>
  <c r="J363" i="8" s="1"/>
  <c r="F64" i="26"/>
  <c r="H288" i="26"/>
  <c r="F116" i="26"/>
  <c r="F102" i="26"/>
  <c r="G173" i="26" s="1"/>
  <c r="H271" i="26"/>
  <c r="F70" i="26"/>
  <c r="G182" i="26" s="1"/>
  <c r="F63" i="26"/>
  <c r="I63" i="26" s="1"/>
  <c r="G97" i="26"/>
  <c r="I97" i="26" s="1"/>
  <c r="F66" i="26"/>
  <c r="G176" i="26" s="1"/>
  <c r="F65" i="26"/>
  <c r="H357" i="20"/>
  <c r="G627" i="20"/>
  <c r="G152" i="20" s="1"/>
  <c r="E357" i="20"/>
  <c r="N357" i="20"/>
  <c r="O1264" i="20"/>
  <c r="O359" i="20" s="1"/>
  <c r="L1264" i="20"/>
  <c r="L359" i="20" s="1"/>
  <c r="J1264" i="20"/>
  <c r="J359" i="20" s="1"/>
  <c r="P357" i="20"/>
  <c r="M309" i="20"/>
  <c r="H68" i="26"/>
  <c r="N1198" i="20"/>
  <c r="N325" i="20" s="1"/>
  <c r="E504" i="20"/>
  <c r="E97" i="20" s="1"/>
  <c r="N302" i="20"/>
  <c r="H64" i="26"/>
  <c r="H63" i="26"/>
  <c r="H70" i="26"/>
  <c r="H66" i="26"/>
  <c r="H67" i="26"/>
  <c r="H69" i="26"/>
  <c r="J611" i="20"/>
  <c r="J145" i="20" s="1"/>
  <c r="H65" i="26"/>
  <c r="N611" i="20"/>
  <c r="N145" i="20" s="1"/>
  <c r="H62" i="26"/>
  <c r="K1140" i="20"/>
  <c r="K311" i="20" s="1"/>
  <c r="F1140" i="20"/>
  <c r="F311" i="20" s="1"/>
  <c r="Q1049" i="20"/>
  <c r="Q775" i="20"/>
  <c r="Q777" i="20" s="1"/>
  <c r="Q1020" i="20"/>
  <c r="Q416" i="20"/>
  <c r="D59" i="26"/>
  <c r="D241" i="26"/>
  <c r="D242" i="26" s="1"/>
  <c r="G242" i="26" s="1"/>
  <c r="D58" i="26"/>
  <c r="D210" i="26"/>
  <c r="D212" i="26" s="1"/>
  <c r="G212" i="26" s="1"/>
  <c r="D42" i="26"/>
  <c r="F151" i="26" s="1"/>
  <c r="P1198" i="20"/>
  <c r="P325" i="20" s="1"/>
  <c r="F1266" i="8"/>
  <c r="F363" i="8" s="1"/>
  <c r="L411" i="8"/>
  <c r="L420" i="8" s="1"/>
  <c r="L70" i="8" s="1"/>
  <c r="N612" i="8"/>
  <c r="N148" i="8" s="1"/>
  <c r="E139" i="8"/>
  <c r="O488" i="8"/>
  <c r="O91" i="8" s="1"/>
  <c r="J573" i="8"/>
  <c r="J141" i="8" s="1"/>
  <c r="H230" i="8"/>
  <c r="Q710" i="8"/>
  <c r="G181" i="3"/>
  <c r="F323" i="20"/>
  <c r="G81" i="20"/>
  <c r="F74" i="20"/>
  <c r="Q203" i="8"/>
  <c r="N487" i="20"/>
  <c r="N90" i="20" s="1"/>
  <c r="G88" i="20"/>
  <c r="F146" i="8"/>
  <c r="M129" i="20"/>
  <c r="P488" i="8"/>
  <c r="P91" i="8" s="1"/>
  <c r="I1122" i="20"/>
  <c r="I304" i="20" s="1"/>
  <c r="J437" i="8"/>
  <c r="J77" i="8" s="1"/>
  <c r="P102" i="20"/>
  <c r="E1201" i="8"/>
  <c r="E329" i="8" s="1"/>
  <c r="J488" i="8"/>
  <c r="J91" i="8" s="1"/>
  <c r="I849" i="8"/>
  <c r="I232" i="8" s="1"/>
  <c r="I26" i="8" s="1"/>
  <c r="I471" i="8"/>
  <c r="I84" i="8" s="1"/>
  <c r="F139" i="8"/>
  <c r="M143" i="20"/>
  <c r="H323" i="20"/>
  <c r="M139" i="8"/>
  <c r="J538" i="20"/>
  <c r="J104" i="20" s="1"/>
  <c r="H437" i="8"/>
  <c r="H77" i="8" s="1"/>
  <c r="H555" i="20"/>
  <c r="H131" i="20" s="1"/>
  <c r="O538" i="20"/>
  <c r="O104" i="20" s="1"/>
  <c r="K150" i="20"/>
  <c r="O629" i="8"/>
  <c r="O155" i="8" s="1"/>
  <c r="I153" i="8"/>
  <c r="M471" i="8"/>
  <c r="M84" i="8" s="1"/>
  <c r="E612" i="8"/>
  <c r="E148" i="8" s="1"/>
  <c r="H471" i="8"/>
  <c r="H84" i="8" s="1"/>
  <c r="G471" i="8"/>
  <c r="G84" i="8" s="1"/>
  <c r="H309" i="20"/>
  <c r="K102" i="20"/>
  <c r="N327" i="8"/>
  <c r="L504" i="20"/>
  <c r="L97" i="20" s="1"/>
  <c r="N1107" i="8"/>
  <c r="N301" i="8" s="1"/>
  <c r="K488" i="8"/>
  <c r="K91" i="8" s="1"/>
  <c r="H74" i="20"/>
  <c r="I572" i="20"/>
  <c r="I138" i="20" s="1"/>
  <c r="J556" i="8"/>
  <c r="J134" i="8" s="1"/>
  <c r="P799" i="8"/>
  <c r="P806" i="8" s="1"/>
  <c r="E611" i="20"/>
  <c r="E145" i="20" s="1"/>
  <c r="N799" i="8"/>
  <c r="F75" i="8"/>
  <c r="K723" i="8"/>
  <c r="P1122" i="20"/>
  <c r="P304" i="20" s="1"/>
  <c r="N230" i="8"/>
  <c r="L82" i="8"/>
  <c r="F611" i="20"/>
  <c r="F145" i="20" s="1"/>
  <c r="I470" i="20"/>
  <c r="I83" i="20" s="1"/>
  <c r="K727" i="20"/>
  <c r="K722" i="20"/>
  <c r="G1122" i="20"/>
  <c r="G304" i="20" s="1"/>
  <c r="P555" i="20"/>
  <c r="P131" i="20" s="1"/>
  <c r="N150" i="20"/>
  <c r="E153" i="8"/>
  <c r="I556" i="8"/>
  <c r="I134" i="8" s="1"/>
  <c r="P629" i="8"/>
  <c r="P155" i="8" s="1"/>
  <c r="I539" i="8"/>
  <c r="I105" i="8" s="1"/>
  <c r="K420" i="8"/>
  <c r="K70" i="8" s="1"/>
  <c r="P96" i="8"/>
  <c r="J146" i="8"/>
  <c r="K132" i="8"/>
  <c r="L136" i="20"/>
  <c r="P82" i="8"/>
  <c r="F487" i="20"/>
  <c r="F90" i="20" s="1"/>
  <c r="M159" i="8"/>
  <c r="K36" i="22" s="1"/>
  <c r="L627" i="20"/>
  <c r="L152" i="20" s="1"/>
  <c r="H572" i="20"/>
  <c r="H138" i="20" s="1"/>
  <c r="K676" i="8"/>
  <c r="L799" i="8"/>
  <c r="L806" i="8" s="1"/>
  <c r="L139" i="8"/>
  <c r="K74" i="20"/>
  <c r="L37" i="22"/>
  <c r="M676" i="8"/>
  <c r="J129" i="20"/>
  <c r="Q568" i="20"/>
  <c r="M302" i="20"/>
  <c r="K306" i="8"/>
  <c r="N81" i="20"/>
  <c r="O143" i="20"/>
  <c r="N504" i="20"/>
  <c r="N97" i="20" s="1"/>
  <c r="G539" i="8"/>
  <c r="G105" i="8" s="1"/>
  <c r="K774" i="8"/>
  <c r="M1201" i="8"/>
  <c r="M329" i="8" s="1"/>
  <c r="O136" i="20"/>
  <c r="H727" i="20"/>
  <c r="H183" i="20"/>
  <c r="F85" i="22" s="1"/>
  <c r="G183" i="20"/>
  <c r="E85" i="22" s="1"/>
  <c r="E87" i="22" s="1"/>
  <c r="G722" i="20"/>
  <c r="F327" i="8"/>
  <c r="N629" i="8"/>
  <c r="N155" i="8" s="1"/>
  <c r="Q625" i="8"/>
  <c r="I95" i="20"/>
  <c r="K612" i="8"/>
  <c r="K148" i="8" s="1"/>
  <c r="P81" i="20"/>
  <c r="L85" i="22"/>
  <c r="L87" i="22" s="1"/>
  <c r="G799" i="8"/>
  <c r="O612" i="8"/>
  <c r="O148" i="8" s="1"/>
  <c r="K437" i="8"/>
  <c r="K77" i="8" s="1"/>
  <c r="L143" i="20"/>
  <c r="Q551" i="20"/>
  <c r="P146" i="8"/>
  <c r="L435" i="20"/>
  <c r="L76" i="20" s="1"/>
  <c r="K470" i="20"/>
  <c r="K83" i="20" s="1"/>
  <c r="Q483" i="20"/>
  <c r="M504" i="20"/>
  <c r="M97" i="20" s="1"/>
  <c r="E313" i="8"/>
  <c r="L505" i="8"/>
  <c r="L98" i="8" s="1"/>
  <c r="Q82" i="20"/>
  <c r="L727" i="20"/>
  <c r="H89" i="8"/>
  <c r="G1266" i="8"/>
  <c r="G363" i="8" s="1"/>
  <c r="O676" i="8"/>
  <c r="O678" i="8" s="1"/>
  <c r="Q1231" i="8"/>
  <c r="J713" i="8"/>
  <c r="J729" i="8" s="1"/>
  <c r="K299" i="8"/>
  <c r="N132" i="8"/>
  <c r="I612" i="8"/>
  <c r="I148" i="8" s="1"/>
  <c r="F81" i="20"/>
  <c r="J627" i="20"/>
  <c r="J152" i="20" s="1"/>
  <c r="F132" i="8"/>
  <c r="O671" i="8"/>
  <c r="P611" i="20"/>
  <c r="P145" i="20" s="1"/>
  <c r="L327" i="8"/>
  <c r="N139" i="8"/>
  <c r="Q190" i="20"/>
  <c r="Q199" i="20"/>
  <c r="Q665" i="8"/>
  <c r="K159" i="8"/>
  <c r="I36" i="22" s="1"/>
  <c r="L323" i="20"/>
  <c r="P327" i="3"/>
  <c r="O230" i="8"/>
  <c r="L183" i="20"/>
  <c r="J85" i="22" s="1"/>
  <c r="J87" i="22" s="1"/>
  <c r="K611" i="20"/>
  <c r="K145" i="20" s="1"/>
  <c r="Q68" i="20"/>
  <c r="H139" i="8"/>
  <c r="L437" i="8"/>
  <c r="L77" i="8" s="1"/>
  <c r="L723" i="8"/>
  <c r="F471" i="8"/>
  <c r="F84" i="8" s="1"/>
  <c r="P713" i="8"/>
  <c r="P729" i="8" s="1"/>
  <c r="H1197" i="8"/>
  <c r="H1201" i="8" s="1"/>
  <c r="H329" i="8" s="1"/>
  <c r="I143" i="20"/>
  <c r="H88" i="20"/>
  <c r="L488" i="8"/>
  <c r="L91" i="8" s="1"/>
  <c r="J676" i="8"/>
  <c r="Q467" i="8"/>
  <c r="Q623" i="20"/>
  <c r="J671" i="8"/>
  <c r="N435" i="3"/>
  <c r="N436" i="3" s="1"/>
  <c r="G1201" i="8"/>
  <c r="G329" i="8" s="1"/>
  <c r="H180" i="3"/>
  <c r="H181" i="3" s="1"/>
  <c r="L180" i="3"/>
  <c r="L181" i="3" s="1"/>
  <c r="Q194" i="8"/>
  <c r="D31" i="14" s="1"/>
  <c r="F31" i="14" s="1"/>
  <c r="P183" i="20"/>
  <c r="N85" i="22" s="1"/>
  <c r="P722" i="20"/>
  <c r="P727" i="20"/>
  <c r="Q1026" i="20"/>
  <c r="F35" i="22"/>
  <c r="O35" i="22" s="1"/>
  <c r="Q917" i="8"/>
  <c r="Q484" i="8"/>
  <c r="H302" i="20"/>
  <c r="H1125" i="8"/>
  <c r="H308" i="8" s="1"/>
  <c r="P307" i="3"/>
  <c r="P388" i="3"/>
  <c r="Q661" i="8"/>
  <c r="H607" i="20"/>
  <c r="Q606" i="8"/>
  <c r="F69" i="26" s="1"/>
  <c r="G181" i="26" s="1"/>
  <c r="H608" i="8"/>
  <c r="O158" i="20"/>
  <c r="P179" i="3"/>
  <c r="D441" i="3"/>
  <c r="P441" i="3" s="1"/>
  <c r="F629" i="8"/>
  <c r="F155" i="8" s="1"/>
  <c r="F153" i="8"/>
  <c r="F676" i="8"/>
  <c r="F159" i="8"/>
  <c r="D36" i="22" s="1"/>
  <c r="F671" i="8"/>
  <c r="F83" i="22"/>
  <c r="O83" i="22" s="1"/>
  <c r="M627" i="20"/>
  <c r="M152" i="20" s="1"/>
  <c r="P425" i="3"/>
  <c r="L435" i="3"/>
  <c r="L436" i="3" s="1"/>
  <c r="H723" i="8"/>
  <c r="H728" i="8"/>
  <c r="H730" i="8" s="1"/>
  <c r="G728" i="8"/>
  <c r="G723" i="8"/>
  <c r="F158" i="20"/>
  <c r="Q871" i="8"/>
  <c r="K251" i="8"/>
  <c r="L316" i="20"/>
  <c r="E323" i="20"/>
  <c r="O1201" i="8"/>
  <c r="O329" i="8" s="1"/>
  <c r="I420" i="8"/>
  <c r="I70" i="8" s="1"/>
  <c r="O1032" i="8"/>
  <c r="O1036" i="8" s="1"/>
  <c r="O1030" i="8"/>
  <c r="O1037" i="8" s="1"/>
  <c r="O426" i="3"/>
  <c r="O435" i="3"/>
  <c r="O436" i="3" s="1"/>
  <c r="F712" i="20"/>
  <c r="Q708" i="20"/>
  <c r="D171" i="3"/>
  <c r="F252" i="20"/>
  <c r="Q981" i="20"/>
  <c r="P1230" i="20"/>
  <c r="I674" i="20"/>
  <c r="I156" i="20"/>
  <c r="G84" i="22" s="1"/>
  <c r="I669" i="20"/>
  <c r="G1232" i="8"/>
  <c r="G1237" i="8" s="1"/>
  <c r="G1234" i="8"/>
  <c r="Q1230" i="8"/>
  <c r="H1057" i="20"/>
  <c r="H1064" i="20" s="1"/>
  <c r="Q1056" i="20"/>
  <c r="F1230" i="20"/>
  <c r="E156" i="20"/>
  <c r="C84" i="22" s="1"/>
  <c r="E669" i="20"/>
  <c r="D180" i="3"/>
  <c r="N1230" i="20"/>
  <c r="L1061" i="8"/>
  <c r="L1065" i="8" s="1"/>
  <c r="L1059" i="8"/>
  <c r="L1066" i="8" s="1"/>
  <c r="K1028" i="20"/>
  <c r="K1035" i="20" s="1"/>
  <c r="Q1024" i="20"/>
  <c r="Q664" i="8"/>
  <c r="L1235" i="8"/>
  <c r="L1236" i="8" s="1"/>
  <c r="L1232" i="8"/>
  <c r="L1237" i="8" s="1"/>
  <c r="N158" i="20"/>
  <c r="O1063" i="8"/>
  <c r="O1059" i="8"/>
  <c r="O1066" i="8" s="1"/>
  <c r="Q1057" i="8"/>
  <c r="F715" i="8"/>
  <c r="F719" i="8" s="1"/>
  <c r="F713" i="8"/>
  <c r="Q709" i="8"/>
  <c r="I1034" i="8"/>
  <c r="I1036" i="8" s="1"/>
  <c r="I1030" i="8"/>
  <c r="I1037" i="8" s="1"/>
  <c r="M183" i="20"/>
  <c r="K85" i="22" s="1"/>
  <c r="K87" i="22" s="1"/>
  <c r="M722" i="20"/>
  <c r="M727" i="20"/>
  <c r="D29" i="23"/>
  <c r="P129" i="3"/>
  <c r="J1234" i="8"/>
  <c r="J1236" i="8" s="1"/>
  <c r="J1232" i="8"/>
  <c r="J1237" i="8" s="1"/>
  <c r="F435" i="3"/>
  <c r="F426" i="3"/>
  <c r="P1234" i="8"/>
  <c r="P1236" i="8" s="1"/>
  <c r="P1232" i="8"/>
  <c r="P1237" i="8" s="1"/>
  <c r="H1059" i="8"/>
  <c r="H1066" i="8" s="1"/>
  <c r="H1064" i="8"/>
  <c r="Q1058" i="8"/>
  <c r="F1235" i="8"/>
  <c r="F1236" i="8" s="1"/>
  <c r="F1232" i="8"/>
  <c r="F1237" i="8" s="1"/>
  <c r="Q1025" i="20"/>
  <c r="E1028" i="20"/>
  <c r="I426" i="3"/>
  <c r="I435" i="3"/>
  <c r="I436" i="3" s="1"/>
  <c r="M987" i="8"/>
  <c r="M990" i="8" s="1"/>
  <c r="E171" i="3"/>
  <c r="E180" i="3"/>
  <c r="E181" i="3" s="1"/>
  <c r="I667" i="8"/>
  <c r="Q663" i="8"/>
  <c r="K1032" i="8"/>
  <c r="K1030" i="8"/>
  <c r="K1037" i="8" s="1"/>
  <c r="Q1026" i="8"/>
  <c r="H987" i="8"/>
  <c r="H990" i="8" s="1"/>
  <c r="G1061" i="8"/>
  <c r="G1059" i="8"/>
  <c r="G1066" i="8" s="1"/>
  <c r="Q1055" i="8"/>
  <c r="F1035" i="8"/>
  <c r="F1030" i="8"/>
  <c r="F1037" i="8" s="1"/>
  <c r="Q1029" i="8"/>
  <c r="Q659" i="20"/>
  <c r="F302" i="2"/>
  <c r="O180" i="3"/>
  <c r="L1230" i="20"/>
  <c r="N180" i="3"/>
  <c r="N181" i="3" s="1"/>
  <c r="N171" i="3"/>
  <c r="E1034" i="8"/>
  <c r="Q1028" i="8"/>
  <c r="Q709" i="20"/>
  <c r="E712" i="20"/>
  <c r="K1059" i="8"/>
  <c r="K1066" i="8" s="1"/>
  <c r="K1061" i="8"/>
  <c r="K1065" i="8" s="1"/>
  <c r="I715" i="8"/>
  <c r="I719" i="8" s="1"/>
  <c r="I713" i="8"/>
  <c r="O1057" i="20"/>
  <c r="O1064" i="20" s="1"/>
  <c r="Q1055" i="20"/>
  <c r="M713" i="8"/>
  <c r="M715" i="8"/>
  <c r="M719" i="8" s="1"/>
  <c r="E717" i="8"/>
  <c r="Q717" i="8" s="1"/>
  <c r="Q711" i="8"/>
  <c r="L1032" i="8"/>
  <c r="L1036" i="8" s="1"/>
  <c r="L1030" i="8"/>
  <c r="L1037" i="8" s="1"/>
  <c r="J1230" i="20"/>
  <c r="H426" i="3"/>
  <c r="H435" i="3"/>
  <c r="H436" i="3" s="1"/>
  <c r="Q982" i="8"/>
  <c r="E247" i="26" s="1"/>
  <c r="E987" i="8"/>
  <c r="E990" i="8" s="1"/>
  <c r="E992" i="8"/>
  <c r="P159" i="8"/>
  <c r="N36" i="22" s="1"/>
  <c r="P676" i="8"/>
  <c r="P671" i="8"/>
  <c r="M426" i="3"/>
  <c r="M435" i="3"/>
  <c r="O183" i="20"/>
  <c r="M85" i="22" s="1"/>
  <c r="M87" i="22" s="1"/>
  <c r="O722" i="20"/>
  <c r="O727" i="20"/>
  <c r="I180" i="3"/>
  <c r="G435" i="3"/>
  <c r="K181" i="3"/>
  <c r="P166" i="3"/>
  <c r="K435" i="3"/>
  <c r="K436" i="3" s="1"/>
  <c r="K426" i="3"/>
  <c r="J435" i="3"/>
  <c r="J426" i="3"/>
  <c r="Q1229" i="20"/>
  <c r="G1057" i="20"/>
  <c r="G1064" i="20" s="1"/>
  <c r="Q1053" i="20"/>
  <c r="F1028" i="20"/>
  <c r="F1035" i="20" s="1"/>
  <c r="Q1027" i="20"/>
  <c r="E716" i="8"/>
  <c r="E713" i="8"/>
  <c r="E729" i="8" s="1"/>
  <c r="D426" i="3"/>
  <c r="D435" i="3"/>
  <c r="D436" i="3" s="1"/>
  <c r="P158" i="20"/>
  <c r="I722" i="20"/>
  <c r="I183" i="20"/>
  <c r="G85" i="22" s="1"/>
  <c r="I727" i="20"/>
  <c r="F988" i="8"/>
  <c r="F990" i="8" s="1"/>
  <c r="Q983" i="8"/>
  <c r="E248" i="26" s="1"/>
  <c r="Q980" i="20"/>
  <c r="N1061" i="8"/>
  <c r="N1065" i="8" s="1"/>
  <c r="N1059" i="8"/>
  <c r="N1066" i="8" s="1"/>
  <c r="G1230" i="20"/>
  <c r="Q1228" i="20"/>
  <c r="O716" i="8"/>
  <c r="O719" i="8" s="1"/>
  <c r="O713" i="8"/>
  <c r="E159" i="8"/>
  <c r="C36" i="22" s="1"/>
  <c r="E1033" i="8"/>
  <c r="E1030" i="8"/>
  <c r="E1037" i="8" s="1"/>
  <c r="Q1027" i="8"/>
  <c r="H161" i="8"/>
  <c r="I159" i="8"/>
  <c r="G36" i="22" s="1"/>
  <c r="I671" i="8"/>
  <c r="I676" i="8"/>
  <c r="N1234" i="8"/>
  <c r="N1236" i="8" s="1"/>
  <c r="N1232" i="8"/>
  <c r="N1237" i="8" s="1"/>
  <c r="N676" i="8"/>
  <c r="N671" i="8"/>
  <c r="N159" i="8"/>
  <c r="L36" i="22" s="1"/>
  <c r="P1034" i="8"/>
  <c r="P1036" i="8" s="1"/>
  <c r="P1030" i="8"/>
  <c r="P1037" i="8" s="1"/>
  <c r="K230" i="8"/>
  <c r="F357" i="20"/>
  <c r="H799" i="8"/>
  <c r="H806" i="8" s="1"/>
  <c r="L302" i="2"/>
  <c r="P299" i="2"/>
  <c r="N361" i="8"/>
  <c r="I68" i="8"/>
  <c r="I309" i="20"/>
  <c r="I1177" i="8"/>
  <c r="I322" i="8" s="1"/>
  <c r="O1177" i="8"/>
  <c r="O322" i="8" s="1"/>
  <c r="P146" i="2"/>
  <c r="O420" i="8"/>
  <c r="O70" i="8" s="1"/>
  <c r="J1198" i="20"/>
  <c r="J325" i="20" s="1"/>
  <c r="L1122" i="20"/>
  <c r="L304" i="20" s="1"/>
  <c r="O799" i="8"/>
  <c r="M320" i="8"/>
  <c r="M313" i="8"/>
  <c r="G969" i="8"/>
  <c r="G253" i="8" s="1"/>
  <c r="O302" i="2"/>
  <c r="Q977" i="20"/>
  <c r="I1107" i="8"/>
  <c r="I301" i="8" s="1"/>
  <c r="J299" i="8"/>
  <c r="L299" i="8"/>
  <c r="O361" i="8"/>
  <c r="Q847" i="20"/>
  <c r="I230" i="8"/>
  <c r="O68" i="8"/>
  <c r="I306" i="8"/>
  <c r="P327" i="8"/>
  <c r="P361" i="8"/>
  <c r="J309" i="20"/>
  <c r="E299" i="8"/>
  <c r="N309" i="20"/>
  <c r="K313" i="8"/>
  <c r="Q977" i="8"/>
  <c r="G1107" i="8"/>
  <c r="G301" i="8" s="1"/>
  <c r="G299" i="8"/>
  <c r="K799" i="8"/>
  <c r="Q1170" i="20"/>
  <c r="Q256" i="8"/>
  <c r="C40" i="14" s="1"/>
  <c r="J1201" i="8"/>
  <c r="J329" i="8" s="1"/>
  <c r="K1177" i="8"/>
  <c r="K322" i="8" s="1"/>
  <c r="J1177" i="8"/>
  <c r="J322" i="8" s="1"/>
  <c r="J1143" i="8"/>
  <c r="J315" i="8" s="1"/>
  <c r="Q1136" i="20"/>
  <c r="Q1021" i="20"/>
  <c r="O75" i="8"/>
  <c r="I327" i="8"/>
  <c r="H1107" i="8"/>
  <c r="H301" i="8" s="1"/>
  <c r="H299" i="8"/>
  <c r="Q290" i="8"/>
  <c r="C42" i="14" s="1"/>
  <c r="G68" i="8"/>
  <c r="O1140" i="20"/>
  <c r="O311" i="20" s="1"/>
  <c r="F1143" i="8"/>
  <c r="F315" i="8" s="1"/>
  <c r="F313" i="8"/>
  <c r="O309" i="20"/>
  <c r="K1198" i="20"/>
  <c r="K325" i="20" s="1"/>
  <c r="P230" i="8"/>
  <c r="Q1022" i="8"/>
  <c r="G1140" i="20"/>
  <c r="I1143" i="8"/>
  <c r="I315" i="8" s="1"/>
  <c r="I313" i="8"/>
  <c r="M1264" i="20"/>
  <c r="M359" i="20" s="1"/>
  <c r="M357" i="20"/>
  <c r="Q1260" i="20"/>
  <c r="Q155" i="20"/>
  <c r="Q158" i="8"/>
  <c r="C29" i="14" s="1"/>
  <c r="I357" i="20"/>
  <c r="Q653" i="8"/>
  <c r="P95" i="20"/>
  <c r="P504" i="20"/>
  <c r="P97" i="20" s="1"/>
  <c r="L1177" i="8"/>
  <c r="L322" i="8" s="1"/>
  <c r="L320" i="8"/>
  <c r="F230" i="8"/>
  <c r="E1122" i="20"/>
  <c r="E304" i="20" s="1"/>
  <c r="Q263" i="8"/>
  <c r="C41" i="14" s="1"/>
  <c r="Q654" i="8"/>
  <c r="Q182" i="20"/>
  <c r="I316" i="20"/>
  <c r="I1174" i="20"/>
  <c r="I318" i="20" s="1"/>
  <c r="N320" i="8"/>
  <c r="N1177" i="8"/>
  <c r="N322" i="8" s="1"/>
  <c r="P320" i="8"/>
  <c r="P1177" i="8"/>
  <c r="P322" i="8" s="1"/>
  <c r="Q1194" i="20"/>
  <c r="Q418" i="8"/>
  <c r="G306" i="8"/>
  <c r="G1125" i="8"/>
  <c r="G308" i="8" s="1"/>
  <c r="O504" i="20"/>
  <c r="O97" i="20" s="1"/>
  <c r="O95" i="20"/>
  <c r="G316" i="20"/>
  <c r="G1174" i="20"/>
  <c r="G318" i="20" s="1"/>
  <c r="Q500" i="20"/>
  <c r="P969" i="8"/>
  <c r="P253" i="8" s="1"/>
  <c r="P251" i="8"/>
  <c r="G96" i="8"/>
  <c r="G505" i="8"/>
  <c r="G98" i="8" s="1"/>
  <c r="Q501" i="8"/>
  <c r="Q466" i="20"/>
  <c r="J81" i="20"/>
  <c r="M230" i="8"/>
  <c r="Q1051" i="8"/>
  <c r="Q1023" i="8"/>
  <c r="Q705" i="20"/>
  <c r="J470" i="20"/>
  <c r="Q258" i="20"/>
  <c r="P411" i="8"/>
  <c r="P420" i="8" s="1"/>
  <c r="P70" i="8" s="1"/>
  <c r="E306" i="8"/>
  <c r="E1125" i="8"/>
  <c r="E308" i="8" s="1"/>
  <c r="I323" i="20"/>
  <c r="I1198" i="20"/>
  <c r="I325" i="20" s="1"/>
  <c r="Q979" i="8"/>
  <c r="M251" i="8"/>
  <c r="M969" i="8"/>
  <c r="M253" i="8" s="1"/>
  <c r="Q858" i="8"/>
  <c r="I361" i="8"/>
  <c r="I1266" i="8"/>
  <c r="I363" i="8" s="1"/>
  <c r="M306" i="8"/>
  <c r="M1125" i="8"/>
  <c r="M308" i="8" s="1"/>
  <c r="Q1021" i="8"/>
  <c r="Q1262" i="8"/>
  <c r="Q1052" i="8"/>
  <c r="N68" i="8"/>
  <c r="N411" i="8"/>
  <c r="N420" i="8" s="1"/>
  <c r="N70" i="8" s="1"/>
  <c r="M361" i="8"/>
  <c r="M1266" i="8"/>
  <c r="M363" i="8" s="1"/>
  <c r="M411" i="8"/>
  <c r="M420" i="8" s="1"/>
  <c r="M70" i="8" s="1"/>
  <c r="M68" i="8"/>
  <c r="F306" i="8"/>
  <c r="F1125" i="8"/>
  <c r="F308" i="8" s="1"/>
  <c r="Q858" i="20"/>
  <c r="J841" i="8"/>
  <c r="J849" i="8" s="1"/>
  <c r="J232" i="8" s="1"/>
  <c r="J230" i="8"/>
  <c r="Q1050" i="8"/>
  <c r="Q235" i="8"/>
  <c r="C37" i="14" s="1"/>
  <c r="H320" i="8"/>
  <c r="H1177" i="8"/>
  <c r="H322" i="8" s="1"/>
  <c r="Q706" i="8"/>
  <c r="P1125" i="8"/>
  <c r="P308" i="8" s="1"/>
  <c r="P306" i="8"/>
  <c r="O313" i="8"/>
  <c r="O1143" i="8"/>
  <c r="O315" i="8" s="1"/>
  <c r="Q230" i="20"/>
  <c r="H68" i="8"/>
  <c r="H411" i="8"/>
  <c r="H420" i="8" s="1"/>
  <c r="H70" i="8" s="1"/>
  <c r="G139" i="8"/>
  <c r="G573" i="8"/>
  <c r="Q569" i="8"/>
  <c r="Q705" i="8"/>
  <c r="J799" i="8"/>
  <c r="J806" i="8" s="1"/>
  <c r="G313" i="8"/>
  <c r="G1143" i="8"/>
  <c r="Q1139" i="8"/>
  <c r="Q552" i="8"/>
  <c r="G556" i="8"/>
  <c r="G132" i="8"/>
  <c r="K1201" i="8"/>
  <c r="K329" i="8" s="1"/>
  <c r="K327" i="8"/>
  <c r="Q652" i="20"/>
  <c r="G420" i="8"/>
  <c r="G70" i="8" s="1"/>
  <c r="Q857" i="8"/>
  <c r="G1177" i="8"/>
  <c r="G320" i="8"/>
  <c r="Q1173" i="8"/>
  <c r="G572" i="20"/>
  <c r="G138" i="20" s="1"/>
  <c r="G136" i="20"/>
  <c r="G555" i="20"/>
  <c r="G131" i="20" s="1"/>
  <c r="G129" i="20"/>
  <c r="Q1050" i="20"/>
  <c r="P539" i="8"/>
  <c r="P105" i="8" s="1"/>
  <c r="P103" i="8"/>
  <c r="Q286" i="20"/>
  <c r="F539" i="8"/>
  <c r="Q535" i="8"/>
  <c r="F103" i="8"/>
  <c r="F411" i="8"/>
  <c r="F420" i="8" s="1"/>
  <c r="F70" i="8" s="1"/>
  <c r="P75" i="8"/>
  <c r="P437" i="8"/>
  <c r="P77" i="8" s="1"/>
  <c r="E138" i="20"/>
  <c r="F131" i="20"/>
  <c r="G91" i="8"/>
  <c r="Q1054" i="20"/>
  <c r="F1057" i="20"/>
  <c r="J318" i="20"/>
  <c r="J949" i="8"/>
  <c r="J951" i="8"/>
  <c r="J249" i="8"/>
  <c r="Q249" i="8" s="1"/>
  <c r="J950" i="8"/>
  <c r="Q950" i="8" s="1"/>
  <c r="H242" i="26" s="1"/>
  <c r="Q948" i="8"/>
  <c r="E232" i="8"/>
  <c r="E26" i="8" s="1"/>
  <c r="I296" i="2"/>
  <c r="P296" i="2" s="1"/>
  <c r="I300" i="2"/>
  <c r="E102" i="20"/>
  <c r="E538" i="20"/>
  <c r="Q534" i="20"/>
  <c r="G437" i="8"/>
  <c r="G75" i="8"/>
  <c r="Q433" i="8"/>
  <c r="O302" i="20"/>
  <c r="Q1118" i="20"/>
  <c r="O1122" i="20"/>
  <c r="Q718" i="8"/>
  <c r="J719" i="8"/>
  <c r="I437" i="8"/>
  <c r="I77" i="8" s="1"/>
  <c r="I75" i="8"/>
  <c r="P284" i="2"/>
  <c r="P24" i="23"/>
  <c r="M56" i="23"/>
  <c r="F1062" i="8"/>
  <c r="F1059" i="8"/>
  <c r="F1066" i="8" s="1"/>
  <c r="Q1056" i="8"/>
  <c r="E431" i="3"/>
  <c r="P431" i="3" s="1"/>
  <c r="E435" i="3"/>
  <c r="P430" i="3"/>
  <c r="O1125" i="8"/>
  <c r="O306" i="8"/>
  <c r="Q1121" i="8"/>
  <c r="J722" i="20"/>
  <c r="J183" i="20"/>
  <c r="H85" i="22" s="1"/>
  <c r="J727" i="20"/>
  <c r="G74" i="20"/>
  <c r="G435" i="20"/>
  <c r="G76" i="20" s="1"/>
  <c r="E435" i="20"/>
  <c r="E76" i="20" s="1"/>
  <c r="Q431" i="20"/>
  <c r="E74" i="20"/>
  <c r="I799" i="8"/>
  <c r="I806" i="8" s="1"/>
  <c r="J244" i="20"/>
  <c r="Q244" i="20" s="1"/>
  <c r="J949" i="20"/>
  <c r="J948" i="20"/>
  <c r="Q948" i="20" s="1"/>
  <c r="Q946" i="20"/>
  <c r="F148" i="8"/>
  <c r="E359" i="20"/>
  <c r="P719" i="8"/>
  <c r="L841" i="8"/>
  <c r="L230" i="8"/>
  <c r="Q837" i="8"/>
  <c r="L158" i="20"/>
  <c r="O1236" i="8"/>
  <c r="K158" i="20"/>
  <c r="O349" i="20"/>
  <c r="J158" i="20"/>
  <c r="L161" i="8"/>
  <c r="O353" i="8"/>
  <c r="M158" i="20"/>
  <c r="L145" i="20"/>
  <c r="K242" i="26" l="1"/>
  <c r="H160" i="8"/>
  <c r="E37" i="28"/>
  <c r="C39" i="28"/>
  <c r="E23" i="28"/>
  <c r="E25" i="28" s="1"/>
  <c r="C25" i="28"/>
  <c r="J186" i="26"/>
  <c r="E250" i="26"/>
  <c r="E155" i="26"/>
  <c r="I155" i="26"/>
  <c r="G175" i="26"/>
  <c r="E676" i="20"/>
  <c r="O673" i="8"/>
  <c r="O680" i="8" s="1"/>
  <c r="E237" i="8"/>
  <c r="E878" i="8"/>
  <c r="E239" i="8" s="1"/>
  <c r="H721" i="8"/>
  <c r="H725" i="8" s="1"/>
  <c r="H732" i="8" s="1"/>
  <c r="P669" i="8"/>
  <c r="P673" i="8" s="1"/>
  <c r="L160" i="8"/>
  <c r="Q411" i="8"/>
  <c r="E673" i="8"/>
  <c r="E680" i="8" s="1"/>
  <c r="Q420" i="8"/>
  <c r="I106" i="26"/>
  <c r="E244" i="8"/>
  <c r="E924" i="8"/>
  <c r="E246" i="8" s="1"/>
  <c r="Q799" i="8"/>
  <c r="E806" i="8"/>
  <c r="P19" i="8"/>
  <c r="F117" i="26"/>
  <c r="G174" i="26"/>
  <c r="G160" i="8"/>
  <c r="G680" i="8"/>
  <c r="G162" i="8" s="1"/>
  <c r="O160" i="8"/>
  <c r="E160" i="8"/>
  <c r="K232" i="8"/>
  <c r="K26" i="8" s="1"/>
  <c r="F22" i="8"/>
  <c r="D21" i="22"/>
  <c r="G806" i="8"/>
  <c r="G204" i="8" s="1"/>
  <c r="N806" i="8"/>
  <c r="N204" i="8" s="1"/>
  <c r="L204" i="8"/>
  <c r="L22" i="8" s="1"/>
  <c r="H204" i="8"/>
  <c r="F21" i="22" s="1"/>
  <c r="M806" i="8"/>
  <c r="M204" i="8" s="1"/>
  <c r="K21" i="22" s="1"/>
  <c r="O806" i="8"/>
  <c r="O204" i="8" s="1"/>
  <c r="K806" i="8"/>
  <c r="K204" i="8" s="1"/>
  <c r="K22" i="8" s="1"/>
  <c r="J204" i="8"/>
  <c r="H21" i="22" s="1"/>
  <c r="P204" i="8"/>
  <c r="P22" i="8" s="1"/>
  <c r="G730" i="8"/>
  <c r="G781" i="8"/>
  <c r="G197" i="8" s="1"/>
  <c r="H781" i="8"/>
  <c r="H197" i="8" s="1"/>
  <c r="P781" i="8"/>
  <c r="P197" i="8" s="1"/>
  <c r="L197" i="8"/>
  <c r="O781" i="8"/>
  <c r="O197" i="8" s="1"/>
  <c r="M781" i="8"/>
  <c r="M197" i="8" s="1"/>
  <c r="I197" i="8"/>
  <c r="N781" i="8"/>
  <c r="N197" i="8" s="1"/>
  <c r="K781" i="8"/>
  <c r="K197" i="8" s="1"/>
  <c r="E781" i="8"/>
  <c r="J197" i="8"/>
  <c r="L721" i="8"/>
  <c r="L725" i="8" s="1"/>
  <c r="G721" i="8"/>
  <c r="G725" i="8" s="1"/>
  <c r="K721" i="8"/>
  <c r="K725" i="8" s="1"/>
  <c r="I729" i="8"/>
  <c r="K730" i="8"/>
  <c r="O729" i="8"/>
  <c r="M729" i="8"/>
  <c r="F729" i="8"/>
  <c r="L730" i="8"/>
  <c r="L924" i="8"/>
  <c r="L246" i="8" s="1"/>
  <c r="G122" i="26"/>
  <c r="I122" i="26" s="1"/>
  <c r="H802" i="20"/>
  <c r="Q677" i="8"/>
  <c r="E70" i="8"/>
  <c r="M924" i="8"/>
  <c r="M246" i="8" s="1"/>
  <c r="H924" i="8"/>
  <c r="H246" i="8" s="1"/>
  <c r="F669" i="8"/>
  <c r="F673" i="8" s="1"/>
  <c r="N669" i="8"/>
  <c r="N673" i="8" s="1"/>
  <c r="I669" i="8"/>
  <c r="I673" i="8" s="1"/>
  <c r="I678" i="8"/>
  <c r="F678" i="8"/>
  <c r="K678" i="8"/>
  <c r="K160" i="8" s="1"/>
  <c r="P678" i="8"/>
  <c r="N678" i="8"/>
  <c r="J678" i="8"/>
  <c r="J160" i="8" s="1"/>
  <c r="M678" i="8"/>
  <c r="M160" i="8" s="1"/>
  <c r="P924" i="8"/>
  <c r="P246" i="8" s="1"/>
  <c r="O244" i="8"/>
  <c r="M878" i="8"/>
  <c r="M239" i="8" s="1"/>
  <c r="J673" i="8"/>
  <c r="A963" i="8"/>
  <c r="A964" i="8" s="1"/>
  <c r="A965" i="8" s="1"/>
  <c r="A967" i="8" s="1"/>
  <c r="A969" i="8" s="1"/>
  <c r="A972" i="8" s="1"/>
  <c r="A974" i="8" s="1"/>
  <c r="A976" i="8" s="1"/>
  <c r="A977" i="8" s="1"/>
  <c r="A978" i="8" s="1"/>
  <c r="A979" i="8" s="1"/>
  <c r="A981" i="8" s="1"/>
  <c r="A982" i="8" s="1"/>
  <c r="A983" i="8" s="1"/>
  <c r="A984" i="8" s="1"/>
  <c r="A986" i="8" s="1"/>
  <c r="A987" i="8" s="1"/>
  <c r="A988" i="8" s="1"/>
  <c r="A989" i="8" s="1"/>
  <c r="F1065" i="20"/>
  <c r="F1064" i="20"/>
  <c r="J349" i="20"/>
  <c r="H89" i="22" s="1"/>
  <c r="J1235" i="20"/>
  <c r="F349" i="20"/>
  <c r="F1235" i="20"/>
  <c r="G349" i="20"/>
  <c r="G1235" i="20"/>
  <c r="O1239" i="8"/>
  <c r="H1239" i="8"/>
  <c r="H1243" i="8" s="1"/>
  <c r="H356" i="8" s="1"/>
  <c r="P349" i="20"/>
  <c r="N89" i="22" s="1"/>
  <c r="P1235" i="20"/>
  <c r="L349" i="20"/>
  <c r="J89" i="22" s="1"/>
  <c r="J91" i="22" s="1"/>
  <c r="L1235" i="20"/>
  <c r="N349" i="20"/>
  <c r="L89" i="22" s="1"/>
  <c r="L91" i="22" s="1"/>
  <c r="N1235" i="20"/>
  <c r="K1239" i="8"/>
  <c r="K1243" i="8" s="1"/>
  <c r="K356" i="8" s="1"/>
  <c r="Q1237" i="8"/>
  <c r="F108" i="26" s="1"/>
  <c r="E1036" i="20"/>
  <c r="Q1035" i="20"/>
  <c r="H185" i="20"/>
  <c r="F76" i="22" s="1"/>
  <c r="H990" i="20"/>
  <c r="Q989" i="20"/>
  <c r="M990" i="20"/>
  <c r="L993" i="8"/>
  <c r="L997" i="8" s="1"/>
  <c r="L260" i="8" s="1"/>
  <c r="F1067" i="8"/>
  <c r="Q1066" i="8"/>
  <c r="P1068" i="8"/>
  <c r="P292" i="8" s="1"/>
  <c r="N265" i="8"/>
  <c r="J1068" i="8"/>
  <c r="J1072" i="8" s="1"/>
  <c r="J294" i="8" s="1"/>
  <c r="E719" i="20"/>
  <c r="F719" i="20"/>
  <c r="Q666" i="20"/>
  <c r="G89" i="22"/>
  <c r="F259" i="20"/>
  <c r="F1036" i="20"/>
  <c r="O287" i="20"/>
  <c r="M89" i="22" s="1"/>
  <c r="M91" i="22" s="1"/>
  <c r="O1065" i="20"/>
  <c r="K259" i="20"/>
  <c r="I89" i="22" s="1"/>
  <c r="I91" i="22" s="1"/>
  <c r="K1036" i="20"/>
  <c r="G287" i="20"/>
  <c r="G1065" i="20"/>
  <c r="H287" i="20"/>
  <c r="H1065" i="20"/>
  <c r="H252" i="20"/>
  <c r="M252" i="20"/>
  <c r="K89" i="22" s="1"/>
  <c r="K91" i="22" s="1"/>
  <c r="E1038" i="8"/>
  <c r="Q1037" i="8"/>
  <c r="O997" i="8"/>
  <c r="O260" i="8" s="1"/>
  <c r="J878" i="8"/>
  <c r="J239" i="8" s="1"/>
  <c r="I258" i="8"/>
  <c r="J993" i="8"/>
  <c r="J997" i="8" s="1"/>
  <c r="J260" i="8" s="1"/>
  <c r="E993" i="8"/>
  <c r="K924" i="8"/>
  <c r="K246" i="8" s="1"/>
  <c r="I969" i="8"/>
  <c r="I253" i="8" s="1"/>
  <c r="J965" i="8"/>
  <c r="Q965" i="8" s="1"/>
  <c r="J244" i="8"/>
  <c r="N924" i="8"/>
  <c r="N246" i="8" s="1"/>
  <c r="Q920" i="8"/>
  <c r="F924" i="8"/>
  <c r="F246" i="8" s="1"/>
  <c r="J720" i="8"/>
  <c r="P720" i="8"/>
  <c r="Q89" i="8"/>
  <c r="O969" i="8"/>
  <c r="O253" i="8" s="1"/>
  <c r="N997" i="8"/>
  <c r="N260" i="8" s="1"/>
  <c r="H969" i="8"/>
  <c r="H253" i="8" s="1"/>
  <c r="E244" i="26"/>
  <c r="G244" i="26" s="1"/>
  <c r="L185" i="20"/>
  <c r="J76" i="22" s="1"/>
  <c r="G94" i="26"/>
  <c r="I94" i="26" s="1"/>
  <c r="L76" i="22"/>
  <c r="E219" i="26"/>
  <c r="H149" i="26"/>
  <c r="G267" i="26"/>
  <c r="K161" i="8"/>
  <c r="Q668" i="8"/>
  <c r="Q770" i="8"/>
  <c r="I244" i="8"/>
  <c r="M354" i="8"/>
  <c r="M1243" i="8"/>
  <c r="M356" i="8" s="1"/>
  <c r="I354" i="8"/>
  <c r="I1243" i="8"/>
  <c r="I356" i="8" s="1"/>
  <c r="G291" i="8"/>
  <c r="G1067" i="8"/>
  <c r="O291" i="8"/>
  <c r="O1067" i="8"/>
  <c r="K291" i="8"/>
  <c r="K1067" i="8"/>
  <c r="L291" i="8"/>
  <c r="L1067" i="8"/>
  <c r="G74" i="26"/>
  <c r="I74" i="26" s="1"/>
  <c r="P353" i="8"/>
  <c r="P1238" i="8"/>
  <c r="H257" i="8"/>
  <c r="H992" i="8"/>
  <c r="L353" i="8"/>
  <c r="L1238" i="8"/>
  <c r="L1239" i="8" s="1"/>
  <c r="N291" i="8"/>
  <c r="N1067" i="8"/>
  <c r="F353" i="8"/>
  <c r="F1238" i="8"/>
  <c r="I264" i="8"/>
  <c r="G41" i="22" s="1"/>
  <c r="I1038" i="8"/>
  <c r="O264" i="8"/>
  <c r="O1038" i="8"/>
  <c r="J353" i="8"/>
  <c r="H41" i="22" s="1"/>
  <c r="J1238" i="8"/>
  <c r="M161" i="8"/>
  <c r="G244" i="8"/>
  <c r="F257" i="8"/>
  <c r="F992" i="8"/>
  <c r="N353" i="8"/>
  <c r="N1238" i="8"/>
  <c r="P264" i="8"/>
  <c r="P1038" i="8"/>
  <c r="F264" i="8"/>
  <c r="F1038" i="8"/>
  <c r="M257" i="8"/>
  <c r="K41" i="22" s="1"/>
  <c r="M992" i="8"/>
  <c r="L264" i="8"/>
  <c r="L1038" i="8"/>
  <c r="K264" i="8"/>
  <c r="K1038" i="8"/>
  <c r="H291" i="8"/>
  <c r="H1067" i="8"/>
  <c r="G353" i="8"/>
  <c r="G1238" i="8"/>
  <c r="O187" i="8"/>
  <c r="M37" i="22" s="1"/>
  <c r="M39" i="22" s="1"/>
  <c r="O720" i="8"/>
  <c r="O721" i="8" s="1"/>
  <c r="M187" i="8"/>
  <c r="K37" i="22" s="1"/>
  <c r="K39" i="22" s="1"/>
  <c r="M720" i="8"/>
  <c r="M721" i="8" s="1"/>
  <c r="I187" i="8"/>
  <c r="G37" i="22" s="1"/>
  <c r="G39" i="22" s="1"/>
  <c r="I720" i="8"/>
  <c r="I721" i="8" s="1"/>
  <c r="F187" i="8"/>
  <c r="D37" i="22" s="1"/>
  <c r="D39" i="22" s="1"/>
  <c r="F720" i="8"/>
  <c r="F721" i="8" s="1"/>
  <c r="E187" i="8"/>
  <c r="C37" i="22" s="1"/>
  <c r="C39" i="22" s="1"/>
  <c r="E720" i="8"/>
  <c r="I997" i="8"/>
  <c r="I260" i="8" s="1"/>
  <c r="F251" i="8"/>
  <c r="G120" i="26"/>
  <c r="I120" i="26" s="1"/>
  <c r="E149" i="26"/>
  <c r="F76" i="26"/>
  <c r="G76" i="26" s="1"/>
  <c r="I76" i="26" s="1"/>
  <c r="H212" i="26"/>
  <c r="K212" i="26" s="1"/>
  <c r="H211" i="26"/>
  <c r="K211" i="26" s="1"/>
  <c r="D243" i="26"/>
  <c r="G243" i="26" s="1"/>
  <c r="G62" i="26"/>
  <c r="I62" i="26" s="1"/>
  <c r="H151" i="26"/>
  <c r="I151" i="26"/>
  <c r="I152" i="26" s="1"/>
  <c r="G151" i="26"/>
  <c r="G152" i="26" s="1"/>
  <c r="E15" i="26"/>
  <c r="P728" i="8"/>
  <c r="P187" i="8"/>
  <c r="N37" i="22" s="1"/>
  <c r="J728" i="8"/>
  <c r="J187" i="8"/>
  <c r="G73" i="26"/>
  <c r="I73" i="26" s="1"/>
  <c r="G68" i="26"/>
  <c r="I68" i="26" s="1"/>
  <c r="G67" i="26"/>
  <c r="I67" i="26" s="1"/>
  <c r="A78" i="2"/>
  <c r="G64" i="26"/>
  <c r="I64" i="26" s="1"/>
  <c r="E216" i="26"/>
  <c r="E218" i="26"/>
  <c r="E217" i="26"/>
  <c r="E14" i="26"/>
  <c r="G116" i="26"/>
  <c r="G117" i="26" s="1"/>
  <c r="G75" i="26"/>
  <c r="I75" i="26" s="1"/>
  <c r="G102" i="26"/>
  <c r="G103" i="26" s="1"/>
  <c r="G63" i="26"/>
  <c r="G66" i="26"/>
  <c r="I66" i="26" s="1"/>
  <c r="F103" i="26"/>
  <c r="G65" i="26"/>
  <c r="I65" i="26" s="1"/>
  <c r="G72" i="26"/>
  <c r="I72" i="26" s="1"/>
  <c r="G70" i="26"/>
  <c r="I70" i="26" s="1"/>
  <c r="I60" i="26"/>
  <c r="H210" i="26"/>
  <c r="G69" i="26"/>
  <c r="I69" i="26" s="1"/>
  <c r="G206" i="26"/>
  <c r="D78" i="26"/>
  <c r="I39" i="22"/>
  <c r="M19" i="8"/>
  <c r="N969" i="8"/>
  <c r="N253" i="8" s="1"/>
  <c r="Q90" i="20"/>
  <c r="Q88" i="20"/>
  <c r="Q150" i="20"/>
  <c r="J19" i="8"/>
  <c r="Q84" i="8"/>
  <c r="F22" i="26" s="1"/>
  <c r="Q102" i="20"/>
  <c r="Q82" i="8"/>
  <c r="K19" i="8"/>
  <c r="L19" i="8"/>
  <c r="K189" i="8"/>
  <c r="H18" i="22"/>
  <c r="Q153" i="8"/>
  <c r="Q74" i="20"/>
  <c r="G185" i="20"/>
  <c r="L39" i="22"/>
  <c r="Q129" i="20"/>
  <c r="Q1197" i="8"/>
  <c r="I18" i="22"/>
  <c r="K185" i="20"/>
  <c r="I76" i="22" s="1"/>
  <c r="Q487" i="20"/>
  <c r="Q136" i="20"/>
  <c r="Q96" i="8"/>
  <c r="Q774" i="8"/>
  <c r="Q155" i="8"/>
  <c r="F26" i="26" s="1"/>
  <c r="O878" i="8"/>
  <c r="O239" i="8" s="1"/>
  <c r="I19" i="8"/>
  <c r="O19" i="8"/>
  <c r="H442" i="3"/>
  <c r="H443" i="3" s="1"/>
  <c r="J723" i="8"/>
  <c r="J189" i="8" s="1"/>
  <c r="Q139" i="8"/>
  <c r="Q98" i="8"/>
  <c r="F19" i="26" s="1"/>
  <c r="J161" i="8"/>
  <c r="P185" i="20"/>
  <c r="P723" i="8"/>
  <c r="Q488" i="8"/>
  <c r="Q132" i="8"/>
  <c r="O161" i="8"/>
  <c r="Q629" i="8"/>
  <c r="H327" i="8"/>
  <c r="Q327" i="8" s="1"/>
  <c r="Q1230" i="20"/>
  <c r="Q152" i="20"/>
  <c r="H26" i="26" s="1"/>
  <c r="N442" i="3"/>
  <c r="N443" i="3" s="1"/>
  <c r="Q81" i="20"/>
  <c r="Q91" i="8"/>
  <c r="J18" i="22"/>
  <c r="Q715" i="8"/>
  <c r="Q627" i="20"/>
  <c r="Q1232" i="8"/>
  <c r="Q471" i="8"/>
  <c r="L189" i="8"/>
  <c r="J28" i="22" s="1"/>
  <c r="Q159" i="8"/>
  <c r="Q302" i="20"/>
  <c r="O36" i="22"/>
  <c r="Q667" i="8"/>
  <c r="Q323" i="20"/>
  <c r="F39" i="22"/>
  <c r="Q669" i="20"/>
  <c r="P426" i="3"/>
  <c r="F161" i="8"/>
  <c r="Q676" i="8"/>
  <c r="G189" i="8"/>
  <c r="Q156" i="20"/>
  <c r="M18" i="22"/>
  <c r="L442" i="3"/>
  <c r="L443" i="3" s="1"/>
  <c r="H143" i="20"/>
  <c r="Q143" i="20" s="1"/>
  <c r="Q607" i="20"/>
  <c r="H611" i="20"/>
  <c r="H612" i="8"/>
  <c r="H146" i="8"/>
  <c r="Q146" i="8" s="1"/>
  <c r="Q608" i="8"/>
  <c r="Q716" i="8"/>
  <c r="P435" i="3"/>
  <c r="E1072" i="8"/>
  <c r="E294" i="8" s="1"/>
  <c r="P171" i="3"/>
  <c r="H189" i="8"/>
  <c r="F28" i="22" s="1"/>
  <c r="F87" i="22"/>
  <c r="G18" i="22"/>
  <c r="I161" i="8"/>
  <c r="E728" i="8"/>
  <c r="E723" i="8"/>
  <c r="J442" i="3"/>
  <c r="J443" i="3" s="1"/>
  <c r="J436" i="3"/>
  <c r="G436" i="3"/>
  <c r="G442" i="3"/>
  <c r="G443" i="3" s="1"/>
  <c r="I158" i="20"/>
  <c r="Q1235" i="8"/>
  <c r="Q674" i="20"/>
  <c r="E264" i="8"/>
  <c r="Q1030" i="8"/>
  <c r="Q988" i="8"/>
  <c r="E719" i="8"/>
  <c r="E721" i="8" s="1"/>
  <c r="I181" i="3"/>
  <c r="I442" i="3"/>
  <c r="I443" i="3" s="1"/>
  <c r="M436" i="3"/>
  <c r="M442" i="3"/>
  <c r="M443" i="3" s="1"/>
  <c r="E722" i="20"/>
  <c r="E183" i="20"/>
  <c r="E727" i="20"/>
  <c r="E729" i="20" s="1"/>
  <c r="Q712" i="20"/>
  <c r="O181" i="3"/>
  <c r="O442" i="3"/>
  <c r="O443" i="3" s="1"/>
  <c r="G1065" i="8"/>
  <c r="Q1061" i="8"/>
  <c r="K1036" i="8"/>
  <c r="Q1032" i="8"/>
  <c r="E259" i="20"/>
  <c r="Q1028" i="20"/>
  <c r="M185" i="20"/>
  <c r="G87" i="22"/>
  <c r="F183" i="20"/>
  <c r="D85" i="22" s="1"/>
  <c r="D87" i="22" s="1"/>
  <c r="F727" i="20"/>
  <c r="F722" i="20"/>
  <c r="Q713" i="8"/>
  <c r="N161" i="8"/>
  <c r="Q1033" i="8"/>
  <c r="E1036" i="8"/>
  <c r="O728" i="8"/>
  <c r="O723" i="8"/>
  <c r="E252" i="20"/>
  <c r="Q983" i="20"/>
  <c r="K442" i="3"/>
  <c r="K443" i="3" s="1"/>
  <c r="E257" i="8"/>
  <c r="M723" i="8"/>
  <c r="M728" i="8"/>
  <c r="F1036" i="8"/>
  <c r="Q1035" i="8"/>
  <c r="H219" i="26" s="1"/>
  <c r="H1065" i="8"/>
  <c r="Q1064" i="8"/>
  <c r="E158" i="20"/>
  <c r="Q1234" i="8"/>
  <c r="G1236" i="8"/>
  <c r="Q1034" i="8"/>
  <c r="Q671" i="8"/>
  <c r="E161" i="8"/>
  <c r="I185" i="20"/>
  <c r="O185" i="20"/>
  <c r="P161" i="8"/>
  <c r="Q987" i="8"/>
  <c r="I723" i="8"/>
  <c r="I728" i="8"/>
  <c r="F436" i="3"/>
  <c r="F442" i="3"/>
  <c r="F443" i="3" s="1"/>
  <c r="D30" i="23"/>
  <c r="P29" i="23"/>
  <c r="F728" i="8"/>
  <c r="F723" i="8"/>
  <c r="O1065" i="8"/>
  <c r="Q1063" i="8"/>
  <c r="D181" i="3"/>
  <c r="P180" i="3"/>
  <c r="D442" i="3"/>
  <c r="D443" i="3" s="1"/>
  <c r="Q316" i="20"/>
  <c r="Q95" i="20"/>
  <c r="K997" i="8"/>
  <c r="K260" i="8" s="1"/>
  <c r="L251" i="8"/>
  <c r="Q357" i="20"/>
  <c r="Q1107" i="8"/>
  <c r="Q329" i="8"/>
  <c r="F31" i="26" s="1"/>
  <c r="Q299" i="8"/>
  <c r="Q309" i="20"/>
  <c r="Q313" i="8"/>
  <c r="Q359" i="20"/>
  <c r="H32" i="26" s="1"/>
  <c r="E54" i="19" s="1"/>
  <c r="Q138" i="20"/>
  <c r="H26" i="14" s="1"/>
  <c r="Q103" i="8"/>
  <c r="M1072" i="8"/>
  <c r="M294" i="8" s="1"/>
  <c r="Q555" i="20"/>
  <c r="Q97" i="20"/>
  <c r="H19" i="26" s="1"/>
  <c r="Q1264" i="20"/>
  <c r="Q361" i="8"/>
  <c r="Q1174" i="20"/>
  <c r="H673" i="8"/>
  <c r="Q504" i="20"/>
  <c r="Q131" i="20"/>
  <c r="H23" i="26" s="1"/>
  <c r="N18" i="22"/>
  <c r="H878" i="8"/>
  <c r="H239" i="8" s="1"/>
  <c r="F878" i="8"/>
  <c r="F239" i="8" s="1"/>
  <c r="F237" i="8"/>
  <c r="N237" i="8"/>
  <c r="N878" i="8"/>
  <c r="N239" i="8" s="1"/>
  <c r="Q572" i="20"/>
  <c r="G311" i="20"/>
  <c r="Q311" i="20" s="1"/>
  <c r="Q1140" i="20"/>
  <c r="Q1198" i="20"/>
  <c r="K237" i="8"/>
  <c r="K878" i="8"/>
  <c r="K239" i="8" s="1"/>
  <c r="I878" i="8"/>
  <c r="I239" i="8" s="1"/>
  <c r="I237" i="8"/>
  <c r="Q1266" i="8"/>
  <c r="Q325" i="20"/>
  <c r="H31" i="26" s="1"/>
  <c r="E53" i="19" s="1"/>
  <c r="Q318" i="20"/>
  <c r="H30" i="26" s="1"/>
  <c r="E52" i="19" s="1"/>
  <c r="M1043" i="8"/>
  <c r="M267" i="8" s="1"/>
  <c r="M265" i="8"/>
  <c r="P878" i="8"/>
  <c r="P239" i="8" s="1"/>
  <c r="P237" i="8"/>
  <c r="J83" i="20"/>
  <c r="Q83" i="20" s="1"/>
  <c r="Q470" i="20"/>
  <c r="N725" i="8"/>
  <c r="Q505" i="8"/>
  <c r="K18" i="22"/>
  <c r="E969" i="8"/>
  <c r="E253" i="8" s="1"/>
  <c r="G134" i="8"/>
  <c r="Q134" i="8" s="1"/>
  <c r="Q556" i="8"/>
  <c r="Q306" i="8"/>
  <c r="G315" i="8"/>
  <c r="Q315" i="8" s="1"/>
  <c r="Q1143" i="8"/>
  <c r="Q539" i="8"/>
  <c r="F105" i="8"/>
  <c r="Q105" i="8" s="1"/>
  <c r="Q320" i="8"/>
  <c r="G237" i="8"/>
  <c r="G878" i="8"/>
  <c r="Q874" i="8"/>
  <c r="I292" i="8"/>
  <c r="I1072" i="8"/>
  <c r="I294" i="8" s="1"/>
  <c r="L18" i="22"/>
  <c r="N19" i="8"/>
  <c r="G265" i="8"/>
  <c r="G1043" i="8"/>
  <c r="G267" i="8" s="1"/>
  <c r="Q1201" i="8"/>
  <c r="Q202" i="8"/>
  <c r="G322" i="8"/>
  <c r="Q322" i="8" s="1"/>
  <c r="Q1177" i="8"/>
  <c r="G141" i="8"/>
  <c r="Q141" i="8" s="1"/>
  <c r="Q573" i="8"/>
  <c r="L878" i="8"/>
  <c r="L239" i="8" s="1"/>
  <c r="L237" i="8"/>
  <c r="F197" i="8"/>
  <c r="Q230" i="8"/>
  <c r="O304" i="20"/>
  <c r="Q304" i="20" s="1"/>
  <c r="H28" i="26" s="1"/>
  <c r="E50" i="19" s="1"/>
  <c r="Q1122" i="20"/>
  <c r="E104" i="20"/>
  <c r="Q104" i="20" s="1"/>
  <c r="H20" i="26" s="1"/>
  <c r="Q538" i="20"/>
  <c r="Q951" i="8"/>
  <c r="H243" i="26" s="1"/>
  <c r="Q76" i="20"/>
  <c r="Q435" i="20"/>
  <c r="O308" i="8"/>
  <c r="Q308" i="8" s="1"/>
  <c r="F28" i="26" s="1"/>
  <c r="Q1125" i="8"/>
  <c r="H265" i="8"/>
  <c r="H1043" i="8"/>
  <c r="F1065" i="8"/>
  <c r="Q1062" i="8"/>
  <c r="Q75" i="8"/>
  <c r="I302" i="2"/>
  <c r="P302" i="2" s="1"/>
  <c r="P300" i="2"/>
  <c r="Q949" i="8"/>
  <c r="F291" i="8"/>
  <c r="Q1059" i="8"/>
  <c r="Q949" i="20"/>
  <c r="J185" i="20"/>
  <c r="G77" i="8"/>
  <c r="Q437" i="8"/>
  <c r="F287" i="20"/>
  <c r="Q1057" i="20"/>
  <c r="E436" i="3"/>
  <c r="E442" i="3"/>
  <c r="E443" i="3" s="1"/>
  <c r="Q301" i="8"/>
  <c r="F27" i="26" s="1"/>
  <c r="C39" i="14"/>
  <c r="C51" i="14" s="1"/>
  <c r="G997" i="8"/>
  <c r="G260" i="8" s="1"/>
  <c r="G258" i="8"/>
  <c r="N87" i="22"/>
  <c r="L849" i="8"/>
  <c r="Q849" i="8" s="1"/>
  <c r="Q841" i="8"/>
  <c r="Q363" i="8"/>
  <c r="F32" i="26" s="1"/>
  <c r="J26" i="8"/>
  <c r="H87" i="22"/>
  <c r="O84" i="22"/>
  <c r="L673" i="8"/>
  <c r="H247" i="26" l="1"/>
  <c r="E220" i="26"/>
  <c r="E213" i="26" s="1"/>
  <c r="G213" i="26" s="1"/>
  <c r="J22" i="8"/>
  <c r="G239" i="26"/>
  <c r="E151" i="26"/>
  <c r="E152" i="26" s="1"/>
  <c r="F160" i="8"/>
  <c r="L188" i="8"/>
  <c r="K188" i="8"/>
  <c r="G234" i="26"/>
  <c r="G188" i="8"/>
  <c r="O730" i="8"/>
  <c r="O188" i="8" s="1"/>
  <c r="N160" i="8"/>
  <c r="H188" i="8"/>
  <c r="Q669" i="8"/>
  <c r="Q729" i="8"/>
  <c r="F107" i="26" s="1"/>
  <c r="I160" i="8"/>
  <c r="E19" i="8"/>
  <c r="Q70" i="8"/>
  <c r="E19" i="14" s="1"/>
  <c r="G19" i="14" s="1"/>
  <c r="I117" i="26"/>
  <c r="Q806" i="8"/>
  <c r="Q728" i="8"/>
  <c r="E730" i="8"/>
  <c r="P680" i="8"/>
  <c r="P162" i="8" s="1"/>
  <c r="P160" i="8"/>
  <c r="H22" i="8"/>
  <c r="M21" i="22"/>
  <c r="O22" i="8"/>
  <c r="G22" i="8"/>
  <c r="E21" i="22"/>
  <c r="L21" i="22"/>
  <c r="N22" i="8"/>
  <c r="N21" i="22"/>
  <c r="M22" i="8"/>
  <c r="I21" i="22"/>
  <c r="J21" i="22"/>
  <c r="E204" i="8"/>
  <c r="E22" i="8" s="1"/>
  <c r="Q781" i="8"/>
  <c r="E197" i="8"/>
  <c r="Q197" i="8" s="1"/>
  <c r="G732" i="8"/>
  <c r="G190" i="8" s="1"/>
  <c r="L732" i="8"/>
  <c r="L190" i="8" s="1"/>
  <c r="K732" i="8"/>
  <c r="K190" i="8" s="1"/>
  <c r="F730" i="8"/>
  <c r="J721" i="8"/>
  <c r="H190" i="8"/>
  <c r="N732" i="8"/>
  <c r="N190" i="8" s="1"/>
  <c r="M730" i="8"/>
  <c r="M188" i="8" s="1"/>
  <c r="P721" i="8"/>
  <c r="I730" i="8"/>
  <c r="I188" i="8" s="1"/>
  <c r="J730" i="8"/>
  <c r="P730" i="8"/>
  <c r="Q1064" i="20"/>
  <c r="I802" i="20"/>
  <c r="Q719" i="20"/>
  <c r="H91" i="22"/>
  <c r="F676" i="20"/>
  <c r="Q1235" i="20"/>
  <c r="H108" i="26" s="1"/>
  <c r="C18" i="22"/>
  <c r="N680" i="8"/>
  <c r="N162" i="8" s="1"/>
  <c r="I680" i="8"/>
  <c r="I162" i="8" s="1"/>
  <c r="H680" i="8"/>
  <c r="H162" i="8" s="1"/>
  <c r="L680" i="8"/>
  <c r="L162" i="8" s="1"/>
  <c r="J680" i="8"/>
  <c r="J162" i="8" s="1"/>
  <c r="E162" i="8"/>
  <c r="E20" i="8" s="1"/>
  <c r="Q678" i="8"/>
  <c r="F680" i="8"/>
  <c r="F162" i="8" s="1"/>
  <c r="M993" i="8"/>
  <c r="H993" i="8"/>
  <c r="H258" i="8" s="1"/>
  <c r="N1068" i="8"/>
  <c r="N292" i="8" s="1"/>
  <c r="K1068" i="8"/>
  <c r="K292" i="8" s="1"/>
  <c r="F993" i="8"/>
  <c r="F258" i="8" s="1"/>
  <c r="N1239" i="8"/>
  <c r="N1243" i="8" s="1"/>
  <c r="N356" i="8" s="1"/>
  <c r="N27" i="8" s="1"/>
  <c r="O1039" i="8"/>
  <c r="O265" i="8" s="1"/>
  <c r="P1039" i="8"/>
  <c r="P265" i="8" s="1"/>
  <c r="L1039" i="8"/>
  <c r="L1043" i="8" s="1"/>
  <c r="L267" i="8" s="1"/>
  <c r="J1239" i="8"/>
  <c r="J1243" i="8" s="1"/>
  <c r="J356" i="8" s="1"/>
  <c r="K673" i="8"/>
  <c r="O725" i="8"/>
  <c r="F725" i="8"/>
  <c r="M725" i="8"/>
  <c r="M673" i="8"/>
  <c r="F41" i="22"/>
  <c r="F43" i="22" s="1"/>
  <c r="Q68" i="8"/>
  <c r="G1239" i="8"/>
  <c r="J292" i="8"/>
  <c r="K354" i="8"/>
  <c r="A991" i="8"/>
  <c r="A992" i="8" s="1"/>
  <c r="A993" i="8" s="1"/>
  <c r="A995" i="8" s="1"/>
  <c r="A997" i="8" s="1"/>
  <c r="K1039" i="8"/>
  <c r="O1068" i="8"/>
  <c r="F1068" i="8"/>
  <c r="Q349" i="20"/>
  <c r="H354" i="8"/>
  <c r="H1068" i="8"/>
  <c r="H1072" i="8" s="1"/>
  <c r="H294" i="8" s="1"/>
  <c r="Q990" i="20"/>
  <c r="F1239" i="8"/>
  <c r="F354" i="8" s="1"/>
  <c r="L1243" i="8"/>
  <c r="L356" i="8" s="1"/>
  <c r="E89" i="22"/>
  <c r="E91" i="22" s="1"/>
  <c r="P1239" i="8"/>
  <c r="P1243" i="8" s="1"/>
  <c r="P356" i="8" s="1"/>
  <c r="J28" i="8"/>
  <c r="Q246" i="8"/>
  <c r="E38" i="14" s="1"/>
  <c r="E26" i="19" s="1"/>
  <c r="L1068" i="8"/>
  <c r="L1072" i="8" s="1"/>
  <c r="L294" i="8" s="1"/>
  <c r="L28" i="8" s="1"/>
  <c r="G1068" i="8"/>
  <c r="P1072" i="8"/>
  <c r="P294" i="8" s="1"/>
  <c r="P28" i="8" s="1"/>
  <c r="G91" i="22"/>
  <c r="N91" i="22"/>
  <c r="Q259" i="20"/>
  <c r="Q1036" i="20"/>
  <c r="Q1065" i="20"/>
  <c r="F89" i="22"/>
  <c r="F91" i="22" s="1"/>
  <c r="F1039" i="8"/>
  <c r="E1039" i="8"/>
  <c r="E265" i="8" s="1"/>
  <c r="I1039" i="8"/>
  <c r="I1043" i="8" s="1"/>
  <c r="I267" i="8" s="1"/>
  <c r="Q195" i="8"/>
  <c r="J258" i="8"/>
  <c r="M27" i="8"/>
  <c r="L258" i="8"/>
  <c r="Q722" i="20"/>
  <c r="H95" i="26" s="1"/>
  <c r="H99" i="26" s="1"/>
  <c r="H21" i="26"/>
  <c r="I41" i="22"/>
  <c r="I43" i="22" s="1"/>
  <c r="Q353" i="8"/>
  <c r="D48" i="14" s="1"/>
  <c r="I28" i="22"/>
  <c r="H152" i="26"/>
  <c r="G269" i="26" s="1"/>
  <c r="F271" i="26" s="1"/>
  <c r="N76" i="22"/>
  <c r="M76" i="22"/>
  <c r="E76" i="22"/>
  <c r="H76" i="22"/>
  <c r="L41" i="22"/>
  <c r="L43" i="22" s="1"/>
  <c r="M41" i="22"/>
  <c r="M43" i="22" s="1"/>
  <c r="Q1038" i="8"/>
  <c r="Q244" i="8"/>
  <c r="E41" i="22"/>
  <c r="E43" i="22" s="1"/>
  <c r="N41" i="22"/>
  <c r="J41" i="22"/>
  <c r="J43" i="22" s="1"/>
  <c r="Q992" i="8"/>
  <c r="H244" i="26" s="1"/>
  <c r="K244" i="26" s="1"/>
  <c r="C89" i="22"/>
  <c r="Q1067" i="8"/>
  <c r="K43" i="22"/>
  <c r="G43" i="22"/>
  <c r="Q264" i="8"/>
  <c r="D41" i="14" s="1"/>
  <c r="Q1238" i="8"/>
  <c r="Q720" i="8"/>
  <c r="H213" i="26" s="1"/>
  <c r="D29" i="14"/>
  <c r="I28" i="8"/>
  <c r="L354" i="8"/>
  <c r="Q1236" i="8"/>
  <c r="H249" i="26" s="1"/>
  <c r="Q719" i="8"/>
  <c r="F58" i="26" s="1"/>
  <c r="G238" i="26"/>
  <c r="K243" i="26"/>
  <c r="E59" i="26"/>
  <c r="E58" i="26"/>
  <c r="E204" i="28"/>
  <c r="L28" i="22"/>
  <c r="E28" i="22"/>
  <c r="G76" i="22"/>
  <c r="E22" i="14"/>
  <c r="G22" i="14" s="1"/>
  <c r="F18" i="26"/>
  <c r="H22" i="14"/>
  <c r="H18" i="26"/>
  <c r="K76" i="22"/>
  <c r="H28" i="22"/>
  <c r="Q187" i="8"/>
  <c r="D30" i="14" s="1"/>
  <c r="F30" i="14" s="1"/>
  <c r="H37" i="22"/>
  <c r="H39" i="22" s="1"/>
  <c r="H43" i="22" s="1"/>
  <c r="I102" i="26"/>
  <c r="E19" i="22"/>
  <c r="G20" i="8"/>
  <c r="A79" i="2"/>
  <c r="A80" i="2" s="1"/>
  <c r="A81" i="2" s="1"/>
  <c r="A83" i="2" s="1"/>
  <c r="A84" i="2" s="1"/>
  <c r="A85" i="2" s="1"/>
  <c r="A86" i="2" s="1"/>
  <c r="A87" i="2" s="1"/>
  <c r="A89" i="2" s="1"/>
  <c r="A90" i="2" s="1"/>
  <c r="A91" i="2" s="1"/>
  <c r="A92" i="2" s="1"/>
  <c r="A93" i="2" s="1"/>
  <c r="A95" i="2" s="1"/>
  <c r="A96" i="2" s="1"/>
  <c r="A97" i="2" s="1"/>
  <c r="A98" i="2" s="1"/>
  <c r="A99" i="2" s="1"/>
  <c r="A119" i="2" s="1"/>
  <c r="A120" i="2" s="1"/>
  <c r="I116" i="26"/>
  <c r="H218" i="26"/>
  <c r="E42" i="26"/>
  <c r="I103" i="26"/>
  <c r="H248" i="26"/>
  <c r="H217" i="26"/>
  <c r="H216" i="26"/>
  <c r="H241" i="26"/>
  <c r="I19" i="26"/>
  <c r="G178" i="26"/>
  <c r="E21" i="14"/>
  <c r="E19" i="19" s="1"/>
  <c r="P189" i="8"/>
  <c r="N28" i="22" s="1"/>
  <c r="E28" i="14"/>
  <c r="G28" i="14" s="1"/>
  <c r="G26" i="26"/>
  <c r="I26" i="26" s="1"/>
  <c r="Q924" i="8"/>
  <c r="G19" i="26"/>
  <c r="E23" i="14"/>
  <c r="G23" i="14" s="1"/>
  <c r="H28" i="14"/>
  <c r="P442" i="3"/>
  <c r="P443" i="3"/>
  <c r="Q727" i="20"/>
  <c r="Q158" i="20"/>
  <c r="P181" i="3"/>
  <c r="H148" i="8"/>
  <c r="Q612" i="8"/>
  <c r="H145" i="20"/>
  <c r="Q145" i="20" s="1"/>
  <c r="Q611" i="20"/>
  <c r="P436" i="3"/>
  <c r="C41" i="22"/>
  <c r="C43" i="22" s="1"/>
  <c r="Q257" i="8"/>
  <c r="D40" i="14" s="1"/>
  <c r="O189" i="8"/>
  <c r="M28" i="22" s="1"/>
  <c r="F185" i="20"/>
  <c r="C85" i="22"/>
  <c r="Q183" i="20"/>
  <c r="Q723" i="8"/>
  <c r="F95" i="26" s="1"/>
  <c r="F99" i="26" s="1"/>
  <c r="Q161" i="8"/>
  <c r="Q990" i="8"/>
  <c r="M189" i="8"/>
  <c r="Q252" i="20"/>
  <c r="E185" i="20"/>
  <c r="F189" i="8"/>
  <c r="D28" i="22" s="1"/>
  <c r="P30" i="23"/>
  <c r="P56" i="23" s="1"/>
  <c r="D56" i="23"/>
  <c r="I189" i="8"/>
  <c r="G28" i="22" s="1"/>
  <c r="Q1036" i="8"/>
  <c r="E189" i="8"/>
  <c r="C28" i="22" s="1"/>
  <c r="G32" i="26"/>
  <c r="I32" i="26" s="1"/>
  <c r="H49" i="14"/>
  <c r="E47" i="14"/>
  <c r="G47" i="14" s="1"/>
  <c r="G31" i="26"/>
  <c r="I31" i="26" s="1"/>
  <c r="H24" i="26"/>
  <c r="H47" i="14"/>
  <c r="E18" i="22"/>
  <c r="G19" i="8"/>
  <c r="F19" i="8"/>
  <c r="H23" i="14"/>
  <c r="H25" i="14"/>
  <c r="H46" i="14"/>
  <c r="H29" i="26"/>
  <c r="E51" i="19" s="1"/>
  <c r="H45" i="14"/>
  <c r="Q237" i="8"/>
  <c r="H22" i="26"/>
  <c r="G22" i="26" s="1"/>
  <c r="I22" i="26" s="1"/>
  <c r="H21" i="14"/>
  <c r="F30" i="26"/>
  <c r="G283" i="26" s="1"/>
  <c r="E46" i="14"/>
  <c r="D18" i="22"/>
  <c r="G239" i="8"/>
  <c r="Q239" i="8" s="1"/>
  <c r="E37" i="14" s="1"/>
  <c r="G37" i="14" s="1"/>
  <c r="Q878" i="8"/>
  <c r="F29" i="26"/>
  <c r="E45" i="14"/>
  <c r="F20" i="26"/>
  <c r="G179" i="26" s="1"/>
  <c r="E24" i="14"/>
  <c r="G24" i="14" s="1"/>
  <c r="G28" i="26"/>
  <c r="I28" i="26" s="1"/>
  <c r="F24" i="26"/>
  <c r="E26" i="14"/>
  <c r="G26" i="14" s="1"/>
  <c r="I26" i="14" s="1"/>
  <c r="J26" i="14" s="1"/>
  <c r="F23" i="26"/>
  <c r="E25" i="14"/>
  <c r="G25" i="14" s="1"/>
  <c r="I204" i="8"/>
  <c r="Q77" i="8"/>
  <c r="J969" i="8"/>
  <c r="J251" i="8"/>
  <c r="E44" i="14"/>
  <c r="D89" i="22"/>
  <c r="D91" i="22" s="1"/>
  <c r="Q287" i="20"/>
  <c r="D41" i="22"/>
  <c r="D43" i="22" s="1"/>
  <c r="Q291" i="8"/>
  <c r="D42" i="14" s="1"/>
  <c r="H267" i="8"/>
  <c r="H27" i="8" s="1"/>
  <c r="H24" i="14"/>
  <c r="H44" i="14"/>
  <c r="E43" i="14"/>
  <c r="H20" i="14"/>
  <c r="Q1065" i="8"/>
  <c r="N39" i="22"/>
  <c r="L232" i="8"/>
  <c r="E49" i="14"/>
  <c r="O1243" i="8"/>
  <c r="O354" i="8"/>
  <c r="G108" i="26" l="1"/>
  <c r="I108" i="26" s="1"/>
  <c r="C206" i="28"/>
  <c r="H220" i="26"/>
  <c r="I219" i="26" s="1"/>
  <c r="F59" i="26"/>
  <c r="G155" i="26" s="1"/>
  <c r="G158" i="26" s="1"/>
  <c r="H250" i="26"/>
  <c r="F241" i="26" s="1"/>
  <c r="G183" i="26"/>
  <c r="F185" i="26" s="1"/>
  <c r="E158" i="26"/>
  <c r="Q673" i="8"/>
  <c r="K213" i="26"/>
  <c r="G205" i="26"/>
  <c r="F113" i="26"/>
  <c r="J188" i="8"/>
  <c r="E188" i="8"/>
  <c r="P188" i="8"/>
  <c r="F732" i="8"/>
  <c r="F190" i="8" s="1"/>
  <c r="F188" i="8"/>
  <c r="O162" i="8"/>
  <c r="O20" i="8" s="1"/>
  <c r="C21" i="22"/>
  <c r="F20" i="22"/>
  <c r="H21" i="8"/>
  <c r="F16" i="26"/>
  <c r="E31" i="14"/>
  <c r="E22" i="19" s="1"/>
  <c r="N21" i="8"/>
  <c r="L20" i="22"/>
  <c r="L21" i="8"/>
  <c r="J20" i="22"/>
  <c r="K21" i="8"/>
  <c r="I20" i="22"/>
  <c r="E20" i="22"/>
  <c r="E22" i="22" s="1"/>
  <c r="G21" i="8"/>
  <c r="G23" i="8" s="1"/>
  <c r="O732" i="8"/>
  <c r="O190" i="8" s="1"/>
  <c r="M732" i="8"/>
  <c r="M190" i="8" s="1"/>
  <c r="Q730" i="8"/>
  <c r="H997" i="8"/>
  <c r="H260" i="8" s="1"/>
  <c r="J802" i="20"/>
  <c r="F729" i="20"/>
  <c r="G676" i="20"/>
  <c r="J354" i="8"/>
  <c r="K1072" i="8"/>
  <c r="K294" i="8" s="1"/>
  <c r="K28" i="8" s="1"/>
  <c r="F19" i="22"/>
  <c r="H20" i="8"/>
  <c r="N19" i="22"/>
  <c r="P20" i="8"/>
  <c r="D19" i="22"/>
  <c r="F20" i="8"/>
  <c r="G19" i="22"/>
  <c r="I20" i="8"/>
  <c r="N20" i="8"/>
  <c r="L19" i="22"/>
  <c r="J20" i="8"/>
  <c r="H19" i="22"/>
  <c r="L20" i="8"/>
  <c r="J19" i="22"/>
  <c r="K680" i="8"/>
  <c r="K162" i="8" s="1"/>
  <c r="N1072" i="8"/>
  <c r="N294" i="8" s="1"/>
  <c r="N28" i="8" s="1"/>
  <c r="N34" i="8" s="1"/>
  <c r="M680" i="8"/>
  <c r="M162" i="8" s="1"/>
  <c r="N354" i="8"/>
  <c r="L265" i="8"/>
  <c r="F997" i="8"/>
  <c r="F260" i="8" s="1"/>
  <c r="O1043" i="8"/>
  <c r="O267" i="8" s="1"/>
  <c r="P1043" i="8"/>
  <c r="P267" i="8" s="1"/>
  <c r="I725" i="8"/>
  <c r="P354" i="8"/>
  <c r="L27" i="8"/>
  <c r="P725" i="8"/>
  <c r="P732" i="8" s="1"/>
  <c r="G38" i="14"/>
  <c r="F1243" i="8"/>
  <c r="F356" i="8" s="1"/>
  <c r="Q1239" i="8"/>
  <c r="L292" i="8"/>
  <c r="I27" i="8"/>
  <c r="I34" i="8" s="1"/>
  <c r="G24" i="22"/>
  <c r="Q721" i="8"/>
  <c r="I265" i="8"/>
  <c r="J725" i="8"/>
  <c r="H19" i="8"/>
  <c r="Q19" i="8" s="1"/>
  <c r="D76" i="22"/>
  <c r="C76" i="22"/>
  <c r="N43" i="22"/>
  <c r="O43" i="22" s="1"/>
  <c r="H292" i="8"/>
  <c r="M258" i="8"/>
  <c r="M997" i="8"/>
  <c r="M260" i="8" s="1"/>
  <c r="F29" i="14"/>
  <c r="F51" i="14" s="1"/>
  <c r="F63" i="14" s="1"/>
  <c r="D51" i="14"/>
  <c r="I22" i="14"/>
  <c r="J22" i="14" s="1"/>
  <c r="F155" i="26"/>
  <c r="Q160" i="8"/>
  <c r="E78" i="26"/>
  <c r="C70" i="28"/>
  <c r="E66" i="28"/>
  <c r="K28" i="22"/>
  <c r="L365" i="8"/>
  <c r="L377" i="8" s="1"/>
  <c r="H365" i="8"/>
  <c r="H377" i="8" s="1"/>
  <c r="O37" i="22"/>
  <c r="O39" i="22" s="1"/>
  <c r="F21" i="26"/>
  <c r="G21" i="26" s="1"/>
  <c r="I21" i="26" s="1"/>
  <c r="C19" i="22"/>
  <c r="A121" i="2"/>
  <c r="A122" i="2" s="1"/>
  <c r="A124" i="2" s="1"/>
  <c r="A125" i="2" s="1"/>
  <c r="A126" i="2" s="1"/>
  <c r="A127" i="2" s="1"/>
  <c r="A128" i="2" s="1"/>
  <c r="A130" i="2" s="1"/>
  <c r="A131" i="2" s="1"/>
  <c r="A132" i="2" s="1"/>
  <c r="A133" i="2" s="1"/>
  <c r="A134" i="2" s="1"/>
  <c r="A136" i="2" s="1"/>
  <c r="A137" i="2" s="1"/>
  <c r="A138" i="2" s="1"/>
  <c r="A139" i="2" s="1"/>
  <c r="A140" i="2" s="1"/>
  <c r="A142" i="2" s="1"/>
  <c r="A143" i="2" s="1"/>
  <c r="A144" i="2" s="1"/>
  <c r="A145" i="2" s="1"/>
  <c r="A146" i="2" s="1"/>
  <c r="G203" i="26"/>
  <c r="G95" i="26"/>
  <c r="H121" i="26"/>
  <c r="F150" i="26" s="1"/>
  <c r="G23" i="26"/>
  <c r="I23" i="26" s="1"/>
  <c r="G30" i="26"/>
  <c r="I30" i="26" s="1"/>
  <c r="H28" i="8"/>
  <c r="G21" i="14"/>
  <c r="I21" i="14" s="1"/>
  <c r="J21" i="14" s="1"/>
  <c r="I28" i="14"/>
  <c r="J28" i="14" s="1"/>
  <c r="G18" i="26"/>
  <c r="I18" i="26" s="1"/>
  <c r="Q185" i="20"/>
  <c r="E35" i="19"/>
  <c r="G24" i="26"/>
  <c r="I24" i="26" s="1"/>
  <c r="Q148" i="8"/>
  <c r="F18" i="22"/>
  <c r="O89" i="22"/>
  <c r="H25" i="26"/>
  <c r="H27" i="14"/>
  <c r="E1043" i="8"/>
  <c r="Q1039" i="8"/>
  <c r="F1043" i="8"/>
  <c r="F267" i="8" s="1"/>
  <c r="F265" i="8"/>
  <c r="Q189" i="8"/>
  <c r="G1072" i="8"/>
  <c r="G294" i="8" s="1"/>
  <c r="G292" i="8"/>
  <c r="E997" i="8"/>
  <c r="E258" i="8"/>
  <c r="Q993" i="8"/>
  <c r="E725" i="8"/>
  <c r="E732" i="8" s="1"/>
  <c r="C87" i="22"/>
  <c r="C91" i="22" s="1"/>
  <c r="O91" i="22" s="1"/>
  <c r="O85" i="22"/>
  <c r="O87" i="22" s="1"/>
  <c r="O41" i="22"/>
  <c r="K265" i="8"/>
  <c r="K1043" i="8"/>
  <c r="K267" i="8" s="1"/>
  <c r="G354" i="8"/>
  <c r="G1243" i="8"/>
  <c r="G356" i="8" s="1"/>
  <c r="G27" i="8" s="1"/>
  <c r="O1072" i="8"/>
  <c r="O294" i="8" s="1"/>
  <c r="O28" i="8" s="1"/>
  <c r="O292" i="8"/>
  <c r="I47" i="14"/>
  <c r="J47" i="14" s="1"/>
  <c r="I25" i="14"/>
  <c r="J25" i="14" s="1"/>
  <c r="I23" i="14"/>
  <c r="J23" i="14" s="1"/>
  <c r="E25" i="19"/>
  <c r="I24" i="14"/>
  <c r="J24" i="14" s="1"/>
  <c r="G29" i="26"/>
  <c r="I29" i="26" s="1"/>
  <c r="E33" i="19"/>
  <c r="G45" i="14"/>
  <c r="I45" i="14" s="1"/>
  <c r="J45" i="14" s="1"/>
  <c r="G20" i="26"/>
  <c r="I20" i="26" s="1"/>
  <c r="E34" i="19"/>
  <c r="G46" i="14"/>
  <c r="I46" i="14" s="1"/>
  <c r="J46" i="14" s="1"/>
  <c r="J24" i="22"/>
  <c r="F1072" i="8"/>
  <c r="F292" i="8"/>
  <c r="Q1068" i="8"/>
  <c r="Q251" i="8"/>
  <c r="E32" i="19"/>
  <c r="G44" i="14"/>
  <c r="I44" i="14" s="1"/>
  <c r="J44" i="14" s="1"/>
  <c r="J253" i="8"/>
  <c r="Q969" i="8"/>
  <c r="E20" i="14"/>
  <c r="I22" i="8"/>
  <c r="G21" i="22"/>
  <c r="Q204" i="8"/>
  <c r="G43" i="14"/>
  <c r="E31" i="19"/>
  <c r="F24" i="22"/>
  <c r="E17" i="19"/>
  <c r="E37" i="19"/>
  <c r="G49" i="14"/>
  <c r="I49" i="14" s="1"/>
  <c r="J49" i="14" s="1"/>
  <c r="L26" i="8"/>
  <c r="Q26" i="8" s="1"/>
  <c r="Q232" i="8"/>
  <c r="O356" i="8"/>
  <c r="I216" i="26" l="1"/>
  <c r="I248" i="26"/>
  <c r="I247" i="26"/>
  <c r="I249" i="26"/>
  <c r="G185" i="26"/>
  <c r="G31" i="14"/>
  <c r="I16" i="26"/>
  <c r="N23" i="8"/>
  <c r="N36" i="8" s="1"/>
  <c r="Q680" i="8"/>
  <c r="M19" i="22"/>
  <c r="F22" i="22"/>
  <c r="F27" i="22" s="1"/>
  <c r="F30" i="22" s="1"/>
  <c r="L22" i="22"/>
  <c r="D20" i="22"/>
  <c r="D22" i="22" s="1"/>
  <c r="F21" i="8"/>
  <c r="F23" i="8" s="1"/>
  <c r="O21" i="8"/>
  <c r="O23" i="8" s="1"/>
  <c r="M20" i="22"/>
  <c r="M21" i="8"/>
  <c r="K20" i="22"/>
  <c r="H23" i="8"/>
  <c r="I732" i="8"/>
  <c r="I190" i="8" s="1"/>
  <c r="J732" i="8"/>
  <c r="J190" i="8" s="1"/>
  <c r="J22" i="22"/>
  <c r="J27" i="22" s="1"/>
  <c r="J30" i="22" s="1"/>
  <c r="E190" i="8"/>
  <c r="L23" i="8"/>
  <c r="Q162" i="8"/>
  <c r="E29" i="14" s="1"/>
  <c r="G29" i="14" s="1"/>
  <c r="G729" i="20"/>
  <c r="K802" i="20"/>
  <c r="H676" i="20"/>
  <c r="P27" i="8"/>
  <c r="P34" i="8" s="1"/>
  <c r="N365" i="8"/>
  <c r="N377" i="8" s="1"/>
  <c r="L24" i="22"/>
  <c r="M20" i="8"/>
  <c r="K19" i="22"/>
  <c r="I19" i="22"/>
  <c r="I22" i="22" s="1"/>
  <c r="K20" i="8"/>
  <c r="K23" i="8" s="1"/>
  <c r="M365" i="8"/>
  <c r="M377" i="8" s="1"/>
  <c r="N24" i="22"/>
  <c r="O27" i="8"/>
  <c r="Q354" i="8"/>
  <c r="F27" i="8"/>
  <c r="F17" i="26"/>
  <c r="G265" i="26" s="1"/>
  <c r="K24" i="22"/>
  <c r="M28" i="8"/>
  <c r="M34" i="8" s="1"/>
  <c r="F121" i="26"/>
  <c r="G204" i="26" s="1"/>
  <c r="F13" i="26"/>
  <c r="G170" i="26" s="1"/>
  <c r="G184" i="26" s="1"/>
  <c r="E206" i="28"/>
  <c r="C213" i="28"/>
  <c r="C214" i="28" s="1"/>
  <c r="E159" i="28"/>
  <c r="C71" i="28"/>
  <c r="E70" i="28"/>
  <c r="D150" i="26"/>
  <c r="I95" i="26"/>
  <c r="G99" i="26"/>
  <c r="K27" i="8"/>
  <c r="K34" i="8" s="1"/>
  <c r="K365" i="8"/>
  <c r="K377" i="8" s="1"/>
  <c r="G28" i="8"/>
  <c r="G34" i="8" s="1"/>
  <c r="G36" i="8" s="1"/>
  <c r="G365" i="8"/>
  <c r="G377" i="8" s="1"/>
  <c r="O365" i="8"/>
  <c r="O377" i="8" s="1"/>
  <c r="I218" i="26"/>
  <c r="I217" i="26"/>
  <c r="I220" i="26" s="1"/>
  <c r="D155" i="26"/>
  <c r="I156" i="26" s="1"/>
  <c r="F78" i="26"/>
  <c r="H123" i="26"/>
  <c r="J27" i="8"/>
  <c r="J34" i="8" s="1"/>
  <c r="O18" i="22"/>
  <c r="H34" i="8"/>
  <c r="Q1243" i="8"/>
  <c r="O76" i="22"/>
  <c r="O28" i="22"/>
  <c r="Q188" i="8"/>
  <c r="F25" i="26"/>
  <c r="E27" i="14"/>
  <c r="G27" i="14" s="1"/>
  <c r="I27" i="14" s="1"/>
  <c r="J27" i="14" s="1"/>
  <c r="Q725" i="8"/>
  <c r="I24" i="22"/>
  <c r="E260" i="8"/>
  <c r="Q997" i="8"/>
  <c r="E267" i="8"/>
  <c r="E27" i="8" s="1"/>
  <c r="Q1043" i="8"/>
  <c r="E24" i="22"/>
  <c r="E27" i="22" s="1"/>
  <c r="E30" i="22" s="1"/>
  <c r="Q265" i="8"/>
  <c r="Q258" i="8"/>
  <c r="Q292" i="8"/>
  <c r="O21" i="22"/>
  <c r="F294" i="8"/>
  <c r="F28" i="8" s="1"/>
  <c r="Q1072" i="8"/>
  <c r="E32" i="14"/>
  <c r="Q22" i="8"/>
  <c r="H24" i="22"/>
  <c r="Q253" i="8"/>
  <c r="G20" i="14"/>
  <c r="I20" i="14" s="1"/>
  <c r="J20" i="14" s="1"/>
  <c r="E18" i="19"/>
  <c r="L34" i="8"/>
  <c r="E36" i="14"/>
  <c r="P190" i="8"/>
  <c r="M24" i="22"/>
  <c r="Q356" i="8"/>
  <c r="E71" i="28" l="1"/>
  <c r="E73" i="28" s="1"/>
  <c r="C73" i="28"/>
  <c r="C81" i="28" s="1"/>
  <c r="I250" i="26"/>
  <c r="F149" i="26"/>
  <c r="D149" i="26" s="1"/>
  <c r="D152" i="26" s="1"/>
  <c r="F123" i="26"/>
  <c r="I99" i="26"/>
  <c r="M22" i="22"/>
  <c r="M27" i="22" s="1"/>
  <c r="M30" i="22" s="1"/>
  <c r="Q732" i="8"/>
  <c r="L27" i="22"/>
  <c r="L30" i="22" s="1"/>
  <c r="H36" i="8"/>
  <c r="L36" i="8"/>
  <c r="J365" i="8"/>
  <c r="J377" i="8" s="1"/>
  <c r="H20" i="22"/>
  <c r="H22" i="22" s="1"/>
  <c r="H27" i="22" s="1"/>
  <c r="H30" i="22" s="1"/>
  <c r="J21" i="8"/>
  <c r="J23" i="8" s="1"/>
  <c r="J36" i="8" s="1"/>
  <c r="I365" i="8"/>
  <c r="I377" i="8" s="1"/>
  <c r="I21" i="8"/>
  <c r="I23" i="8" s="1"/>
  <c r="I36" i="8" s="1"/>
  <c r="G20" i="22"/>
  <c r="G22" i="22" s="1"/>
  <c r="G27" i="22" s="1"/>
  <c r="G30" i="22" s="1"/>
  <c r="E21" i="8"/>
  <c r="E23" i="8" s="1"/>
  <c r="C20" i="22"/>
  <c r="C22" i="22" s="1"/>
  <c r="K22" i="22"/>
  <c r="K27" i="22" s="1"/>
  <c r="K30" i="22" s="1"/>
  <c r="M23" i="8"/>
  <c r="M36" i="8" s="1"/>
  <c r="O19" i="22"/>
  <c r="H729" i="20"/>
  <c r="L802" i="20"/>
  <c r="I676" i="20"/>
  <c r="Q20" i="8"/>
  <c r="K36" i="8"/>
  <c r="I27" i="22"/>
  <c r="I30" i="22" s="1"/>
  <c r="G121" i="26"/>
  <c r="G123" i="26" s="1"/>
  <c r="E214" i="28"/>
  <c r="F365" i="8"/>
  <c r="F377" i="8" s="1"/>
  <c r="P365" i="8"/>
  <c r="P377" i="8" s="1"/>
  <c r="E28" i="8"/>
  <c r="E365" i="8"/>
  <c r="E377" i="8" s="1"/>
  <c r="H156" i="26"/>
  <c r="G156" i="26"/>
  <c r="F156" i="26"/>
  <c r="G25" i="26"/>
  <c r="I25" i="26" s="1"/>
  <c r="C24" i="22"/>
  <c r="Q260" i="8"/>
  <c r="Q267" i="8"/>
  <c r="E41" i="14" s="1"/>
  <c r="E39" i="14"/>
  <c r="E27" i="19" s="1"/>
  <c r="G32" i="14"/>
  <c r="E23" i="19"/>
  <c r="D24" i="22"/>
  <c r="D27" i="22" s="1"/>
  <c r="D30" i="22" s="1"/>
  <c r="Q294" i="8"/>
  <c r="E42" i="14" s="1"/>
  <c r="E24" i="19"/>
  <c r="G36" i="14"/>
  <c r="N20" i="22"/>
  <c r="P21" i="8"/>
  <c r="Q190" i="8"/>
  <c r="O34" i="8"/>
  <c r="O36" i="8" s="1"/>
  <c r="E20" i="19"/>
  <c r="E48" i="14"/>
  <c r="C85" i="28" l="1"/>
  <c r="C79" i="28"/>
  <c r="F152" i="26"/>
  <c r="I729" i="20"/>
  <c r="C27" i="22"/>
  <c r="C30" i="22" s="1"/>
  <c r="M802" i="20"/>
  <c r="J676" i="20"/>
  <c r="I123" i="26"/>
  <c r="I121" i="26"/>
  <c r="F14" i="26"/>
  <c r="C162" i="28"/>
  <c r="E156" i="26"/>
  <c r="D156" i="26" s="1"/>
  <c r="E40" i="14"/>
  <c r="G40" i="14" s="1"/>
  <c r="E34" i="8"/>
  <c r="E36" i="8" s="1"/>
  <c r="Q27" i="8"/>
  <c r="G41" i="14"/>
  <c r="E29" i="19"/>
  <c r="F15" i="26"/>
  <c r="G39" i="14"/>
  <c r="Q365" i="8"/>
  <c r="Q377" i="8" s="1"/>
  <c r="O24" i="22"/>
  <c r="F34" i="8"/>
  <c r="F36" i="8" s="1"/>
  <c r="Q28" i="8"/>
  <c r="E30" i="19"/>
  <c r="G42" i="14"/>
  <c r="P23" i="8"/>
  <c r="Q21" i="8"/>
  <c r="N22" i="22"/>
  <c r="N27" i="22" s="1"/>
  <c r="N30" i="22" s="1"/>
  <c r="O20" i="22"/>
  <c r="O22" i="22" s="1"/>
  <c r="E30" i="14"/>
  <c r="G48" i="14"/>
  <c r="E36" i="19"/>
  <c r="E85" i="28" l="1"/>
  <c r="C86" i="28"/>
  <c r="G208" i="26"/>
  <c r="F210" i="26" s="1"/>
  <c r="G233" i="26"/>
  <c r="G240" i="26" s="1"/>
  <c r="G202" i="26"/>
  <c r="F158" i="26"/>
  <c r="J729" i="20"/>
  <c r="N802" i="20"/>
  <c r="K729" i="20"/>
  <c r="K676" i="20"/>
  <c r="E51" i="14"/>
  <c r="E63" i="14" s="1"/>
  <c r="E162" i="28"/>
  <c r="E215" i="28"/>
  <c r="F42" i="26"/>
  <c r="E28" i="19"/>
  <c r="Q34" i="8"/>
  <c r="O27" i="22"/>
  <c r="E21" i="19"/>
  <c r="G30" i="14"/>
  <c r="G51" i="14" s="1"/>
  <c r="G63" i="14" s="1"/>
  <c r="P36" i="8"/>
  <c r="Q36" i="8" s="1"/>
  <c r="Q23" i="8"/>
  <c r="C217" i="28" l="1"/>
  <c r="F38" i="19"/>
  <c r="G209" i="26"/>
  <c r="O802" i="20"/>
  <c r="L729" i="20"/>
  <c r="L676" i="20"/>
  <c r="O30" i="22"/>
  <c r="V27" i="1"/>
  <c r="E23" i="27"/>
  <c r="C88" i="28"/>
  <c r="F40" i="19"/>
  <c r="P802" i="20" l="1"/>
  <c r="Q801" i="20"/>
  <c r="M729" i="20"/>
  <c r="M676" i="20"/>
  <c r="V42" i="1"/>
  <c r="D975" i="20" s="1"/>
  <c r="E975" i="20" s="1"/>
  <c r="V33" i="1"/>
  <c r="D756" i="20" s="1"/>
  <c r="L756" i="20" s="1"/>
  <c r="V43" i="1"/>
  <c r="V40" i="1"/>
  <c r="D902" i="20" s="1"/>
  <c r="O902" i="20" s="1"/>
  <c r="G210" i="26"/>
  <c r="V39" i="1"/>
  <c r="D857" i="20" s="1"/>
  <c r="J857" i="20" s="1"/>
  <c r="V44" i="1"/>
  <c r="D1048" i="20" s="1"/>
  <c r="H1048" i="20" s="1"/>
  <c r="E16" i="27"/>
  <c r="V28" i="1"/>
  <c r="D704" i="20" s="1"/>
  <c r="O704" i="20" s="1"/>
  <c r="V41" i="1"/>
  <c r="D947" i="20" s="1"/>
  <c r="I947" i="20" s="1"/>
  <c r="V50" i="1"/>
  <c r="D1223" i="20" s="1"/>
  <c r="H1223" i="20" s="1"/>
  <c r="G241" i="26"/>
  <c r="E86" i="28"/>
  <c r="D651" i="20"/>
  <c r="E77" i="28"/>
  <c r="Q802" i="20" l="1"/>
  <c r="H110" i="26"/>
  <c r="G110" i="26" s="1"/>
  <c r="I110" i="26" s="1"/>
  <c r="G214" i="26"/>
  <c r="G216" i="26" s="1"/>
  <c r="G245" i="26"/>
  <c r="G248" i="26" s="1"/>
  <c r="F248" i="26" s="1"/>
  <c r="K241" i="26"/>
  <c r="N729" i="20"/>
  <c r="N676" i="20"/>
  <c r="K857" i="20"/>
  <c r="N704" i="20"/>
  <c r="D1019" i="20"/>
  <c r="L1019" i="20" s="1"/>
  <c r="P857" i="20"/>
  <c r="N857" i="20"/>
  <c r="M857" i="20"/>
  <c r="L857" i="20"/>
  <c r="M975" i="20"/>
  <c r="K975" i="20"/>
  <c r="J975" i="20"/>
  <c r="E902" i="20"/>
  <c r="N902" i="20"/>
  <c r="M1048" i="20"/>
  <c r="G857" i="20"/>
  <c r="L902" i="20"/>
  <c r="G756" i="20"/>
  <c r="F857" i="20"/>
  <c r="O857" i="20"/>
  <c r="G902" i="20"/>
  <c r="I857" i="20"/>
  <c r="E857" i="20"/>
  <c r="H902" i="20"/>
  <c r="H857" i="20"/>
  <c r="J902" i="20"/>
  <c r="F902" i="20"/>
  <c r="H975" i="20"/>
  <c r="N975" i="20"/>
  <c r="G975" i="20"/>
  <c r="I756" i="20"/>
  <c r="E756" i="20"/>
  <c r="I975" i="20"/>
  <c r="P975" i="20"/>
  <c r="O975" i="20"/>
  <c r="O756" i="20"/>
  <c r="L975" i="20"/>
  <c r="F975" i="20"/>
  <c r="J756" i="20"/>
  <c r="M756" i="20"/>
  <c r="E1223" i="20"/>
  <c r="E166" i="28"/>
  <c r="L1223" i="20"/>
  <c r="M1223" i="20"/>
  <c r="F756" i="20"/>
  <c r="P756" i="20"/>
  <c r="K756" i="20"/>
  <c r="N756" i="20"/>
  <c r="H756" i="20"/>
  <c r="I902" i="20"/>
  <c r="P902" i="20"/>
  <c r="K902" i="20"/>
  <c r="M902" i="20"/>
  <c r="N1048" i="20"/>
  <c r="F704" i="20"/>
  <c r="J704" i="20"/>
  <c r="I704" i="20"/>
  <c r="H704" i="20"/>
  <c r="E704" i="20"/>
  <c r="L704" i="20"/>
  <c r="K704" i="20"/>
  <c r="P704" i="20"/>
  <c r="I1223" i="20"/>
  <c r="J1223" i="20"/>
  <c r="F1223" i="20"/>
  <c r="K1048" i="20"/>
  <c r="L1048" i="20"/>
  <c r="G1048" i="20"/>
  <c r="K1223" i="20"/>
  <c r="G1223" i="20"/>
  <c r="O1223" i="20"/>
  <c r="E1048" i="20"/>
  <c r="I1048" i="20"/>
  <c r="P1048" i="20"/>
  <c r="G704" i="20"/>
  <c r="M704" i="20"/>
  <c r="K210" i="26"/>
  <c r="P1223" i="20"/>
  <c r="N1223" i="20"/>
  <c r="J1048" i="20"/>
  <c r="O1048" i="20"/>
  <c r="F1048" i="20"/>
  <c r="O947" i="20"/>
  <c r="F947" i="20"/>
  <c r="P947" i="20"/>
  <c r="N947" i="20"/>
  <c r="K947" i="20"/>
  <c r="G947" i="20"/>
  <c r="L947" i="20"/>
  <c r="M947" i="20"/>
  <c r="J947" i="20"/>
  <c r="E947" i="20"/>
  <c r="H947" i="20"/>
  <c r="K651" i="20"/>
  <c r="G651" i="20"/>
  <c r="N651" i="20"/>
  <c r="J651" i="20"/>
  <c r="H651" i="20"/>
  <c r="O651" i="20"/>
  <c r="L651" i="20"/>
  <c r="F651" i="20"/>
  <c r="M651" i="20"/>
  <c r="E651" i="20"/>
  <c r="I651" i="20"/>
  <c r="P651" i="20"/>
  <c r="G249" i="26" l="1"/>
  <c r="F249" i="26" s="1"/>
  <c r="G247" i="26"/>
  <c r="F247" i="26" s="1"/>
  <c r="G219" i="26"/>
  <c r="F219" i="26" s="1"/>
  <c r="O729" i="20"/>
  <c r="O676" i="20"/>
  <c r="H1019" i="20"/>
  <c r="J1019" i="20"/>
  <c r="P1019" i="20"/>
  <c r="G1019" i="20"/>
  <c r="N1019" i="20"/>
  <c r="F1019" i="20"/>
  <c r="E1019" i="20"/>
  <c r="M1019" i="20"/>
  <c r="K1019" i="20"/>
  <c r="I1019" i="20"/>
  <c r="O1019" i="20"/>
  <c r="Q857" i="20"/>
  <c r="Q902" i="20"/>
  <c r="Q756" i="20"/>
  <c r="Q975" i="20"/>
  <c r="Q1223" i="20"/>
  <c r="G217" i="26"/>
  <c r="F217" i="26" s="1"/>
  <c r="R39" i="1" s="1"/>
  <c r="D868" i="20" s="1"/>
  <c r="G218" i="26"/>
  <c r="F218" i="26" s="1"/>
  <c r="E19" i="27" s="1"/>
  <c r="Q1048" i="20"/>
  <c r="Q704" i="20"/>
  <c r="C176" i="28"/>
  <c r="Q947" i="20"/>
  <c r="Q651" i="20"/>
  <c r="K249" i="26" l="1"/>
  <c r="K247" i="26"/>
  <c r="S41" i="1"/>
  <c r="G250" i="26"/>
  <c r="E20" i="27"/>
  <c r="K219" i="26"/>
  <c r="K248" i="26"/>
  <c r="K216" i="26"/>
  <c r="F216" i="26"/>
  <c r="G220" i="26"/>
  <c r="P729" i="20"/>
  <c r="Q728" i="20"/>
  <c r="Q729" i="20" s="1"/>
  <c r="P676" i="20"/>
  <c r="Q675" i="20"/>
  <c r="E24" i="27"/>
  <c r="Q50" i="1"/>
  <c r="D1232" i="20" s="1"/>
  <c r="F1232" i="20" s="1"/>
  <c r="Q33" i="1"/>
  <c r="Q42" i="1"/>
  <c r="Q41" i="1"/>
  <c r="D170" i="28" s="1"/>
  <c r="E170" i="28" s="1"/>
  <c r="Q1019" i="20"/>
  <c r="R33" i="1"/>
  <c r="R43" i="1"/>
  <c r="K218" i="26"/>
  <c r="R40" i="1"/>
  <c r="D913" i="20" s="1"/>
  <c r="G913" i="20" s="1"/>
  <c r="R27" i="1"/>
  <c r="D662" i="20" s="1"/>
  <c r="L662" i="20" s="1"/>
  <c r="E18" i="27"/>
  <c r="R44" i="1"/>
  <c r="D1060" i="20" s="1"/>
  <c r="N1060" i="20" s="1"/>
  <c r="K217" i="26"/>
  <c r="R28" i="1"/>
  <c r="D715" i="20" s="1"/>
  <c r="N715" i="20" s="1"/>
  <c r="S39" i="1"/>
  <c r="D869" i="20" s="1"/>
  <c r="O869" i="20" s="1"/>
  <c r="S43" i="1"/>
  <c r="S27" i="1"/>
  <c r="S28" i="1"/>
  <c r="D716" i="20" s="1"/>
  <c r="O716" i="20" s="1"/>
  <c r="S44" i="1"/>
  <c r="D1061" i="20" s="1"/>
  <c r="K1061" i="20" s="1"/>
  <c r="S40" i="1"/>
  <c r="D914" i="20" s="1"/>
  <c r="M914" i="20" s="1"/>
  <c r="E868" i="20"/>
  <c r="L868" i="20"/>
  <c r="K868" i="20"/>
  <c r="M868" i="20"/>
  <c r="J868" i="20"/>
  <c r="H868" i="20"/>
  <c r="I868" i="20"/>
  <c r="F868" i="20"/>
  <c r="N868" i="20"/>
  <c r="G868" i="20"/>
  <c r="P868" i="20"/>
  <c r="O868" i="20"/>
  <c r="Q676" i="20" l="1"/>
  <c r="H107" i="26"/>
  <c r="E180" i="28"/>
  <c r="S42" i="1"/>
  <c r="D987" i="20" s="1"/>
  <c r="N987" i="20" s="1"/>
  <c r="D172" i="28"/>
  <c r="E172" i="28" s="1"/>
  <c r="D959" i="20"/>
  <c r="E26" i="27"/>
  <c r="K250" i="26"/>
  <c r="K252" i="26" s="1"/>
  <c r="T43" i="1"/>
  <c r="T27" i="1"/>
  <c r="D84" i="28" s="1"/>
  <c r="E84" i="28" s="1"/>
  <c r="T39" i="1"/>
  <c r="D870" i="20" s="1"/>
  <c r="F870" i="20" s="1"/>
  <c r="T28" i="1"/>
  <c r="D717" i="20" s="1"/>
  <c r="P717" i="20" s="1"/>
  <c r="T40" i="1"/>
  <c r="D915" i="20" s="1"/>
  <c r="I915" i="20" s="1"/>
  <c r="T44" i="1"/>
  <c r="D1062" i="20" s="1"/>
  <c r="F1062" i="20" s="1"/>
  <c r="K220" i="26"/>
  <c r="K222" i="26" s="1"/>
  <c r="Q27" i="1"/>
  <c r="D81" i="28" s="1"/>
  <c r="E81" i="28" s="1"/>
  <c r="Q39" i="1"/>
  <c r="D867" i="20" s="1"/>
  <c r="H867" i="20" s="1"/>
  <c r="Q43" i="1"/>
  <c r="D1030" i="20" s="1"/>
  <c r="J1030" i="20" s="1"/>
  <c r="Q28" i="1"/>
  <c r="D714" i="20" s="1"/>
  <c r="I714" i="20" s="1"/>
  <c r="Q40" i="1"/>
  <c r="D912" i="20" s="1"/>
  <c r="F912" i="20" s="1"/>
  <c r="Q44" i="1"/>
  <c r="D1059" i="20" s="1"/>
  <c r="G1059" i="20" s="1"/>
  <c r="R50" i="1"/>
  <c r="D1233" i="20" s="1"/>
  <c r="E1233" i="20" s="1"/>
  <c r="R41" i="1"/>
  <c r="D171" i="28" s="1"/>
  <c r="E171" i="28" s="1"/>
  <c r="D1032" i="20"/>
  <c r="P1032" i="20" s="1"/>
  <c r="R42" i="1"/>
  <c r="D1031" i="20"/>
  <c r="F1031" i="20" s="1"/>
  <c r="E25" i="27"/>
  <c r="K715" i="20"/>
  <c r="J913" i="20"/>
  <c r="O715" i="20"/>
  <c r="E17" i="27"/>
  <c r="J715" i="20"/>
  <c r="E715" i="20"/>
  <c r="G1060" i="20"/>
  <c r="L715" i="20"/>
  <c r="M715" i="20"/>
  <c r="P715" i="20"/>
  <c r="E1060" i="20"/>
  <c r="G715" i="20"/>
  <c r="I715" i="20"/>
  <c r="J1060" i="20"/>
  <c r="F913" i="20"/>
  <c r="D82" i="28"/>
  <c r="E82" i="28" s="1"/>
  <c r="H1060" i="20"/>
  <c r="N913" i="20"/>
  <c r="P913" i="20"/>
  <c r="O1060" i="20"/>
  <c r="K1060" i="20"/>
  <c r="H913" i="20"/>
  <c r="E913" i="20"/>
  <c r="H715" i="20"/>
  <c r="F715" i="20"/>
  <c r="P1232" i="20"/>
  <c r="M1232" i="20"/>
  <c r="O1232" i="20"/>
  <c r="G1232" i="20"/>
  <c r="L1232" i="20"/>
  <c r="N1232" i="20"/>
  <c r="E1232" i="20"/>
  <c r="I1232" i="20"/>
  <c r="K1232" i="20"/>
  <c r="J1232" i="20"/>
  <c r="H1232" i="20"/>
  <c r="P1060" i="20"/>
  <c r="L1060" i="20"/>
  <c r="M913" i="20"/>
  <c r="L913" i="20"/>
  <c r="I1060" i="20"/>
  <c r="F1060" i="20"/>
  <c r="M1060" i="20"/>
  <c r="I913" i="20"/>
  <c r="K913" i="20"/>
  <c r="O913" i="20"/>
  <c r="O914" i="20"/>
  <c r="J869" i="20"/>
  <c r="H662" i="20"/>
  <c r="K662" i="20"/>
  <c r="G662" i="20"/>
  <c r="O662" i="20"/>
  <c r="M662" i="20"/>
  <c r="F662" i="20"/>
  <c r="J662" i="20"/>
  <c r="N662" i="20"/>
  <c r="I662" i="20"/>
  <c r="P662" i="20"/>
  <c r="E662" i="20"/>
  <c r="I914" i="20"/>
  <c r="D663" i="20"/>
  <c r="D83" i="28"/>
  <c r="E83" i="28" s="1"/>
  <c r="P1061" i="20"/>
  <c r="L869" i="20"/>
  <c r="H1061" i="20"/>
  <c r="H869" i="20"/>
  <c r="G1061" i="20"/>
  <c r="K869" i="20"/>
  <c r="G869" i="20"/>
  <c r="M869" i="20"/>
  <c r="F1061" i="20"/>
  <c r="L1061" i="20"/>
  <c r="M1061" i="20"/>
  <c r="N869" i="20"/>
  <c r="E869" i="20"/>
  <c r="I869" i="20"/>
  <c r="I1061" i="20"/>
  <c r="J1061" i="20"/>
  <c r="E1061" i="20"/>
  <c r="F869" i="20"/>
  <c r="P869" i="20"/>
  <c r="N1061" i="20"/>
  <c r="O1061" i="20"/>
  <c r="F914" i="20"/>
  <c r="N716" i="20"/>
  <c r="H914" i="20"/>
  <c r="G914" i="20"/>
  <c r="K914" i="20"/>
  <c r="N914" i="20"/>
  <c r="L914" i="20"/>
  <c r="J914" i="20"/>
  <c r="E914" i="20"/>
  <c r="P914" i="20"/>
  <c r="H716" i="20"/>
  <c r="G716" i="20"/>
  <c r="L716" i="20"/>
  <c r="F716" i="20"/>
  <c r="P716" i="20"/>
  <c r="I716" i="20"/>
  <c r="M716" i="20"/>
  <c r="J716" i="20"/>
  <c r="E716" i="20"/>
  <c r="K716" i="20"/>
  <c r="D765" i="20"/>
  <c r="Q868" i="20"/>
  <c r="D764" i="20"/>
  <c r="H113" i="26" l="1"/>
  <c r="G107" i="26"/>
  <c r="E92" i="28"/>
  <c r="J987" i="20"/>
  <c r="F987" i="20"/>
  <c r="G987" i="20"/>
  <c r="E987" i="20"/>
  <c r="I987" i="20"/>
  <c r="K987" i="20"/>
  <c r="M987" i="20"/>
  <c r="H987" i="20"/>
  <c r="L987" i="20"/>
  <c r="O987" i="20"/>
  <c r="P987" i="20"/>
  <c r="E959" i="20"/>
  <c r="F959" i="20"/>
  <c r="M959" i="20"/>
  <c r="I959" i="20"/>
  <c r="P959" i="20"/>
  <c r="N959" i="20"/>
  <c r="G959" i="20"/>
  <c r="L959" i="20"/>
  <c r="O959" i="20"/>
  <c r="H959" i="20"/>
  <c r="K959" i="20"/>
  <c r="J959" i="20"/>
  <c r="N870" i="20"/>
  <c r="D664" i="20"/>
  <c r="O664" i="20" s="1"/>
  <c r="P870" i="20"/>
  <c r="M717" i="20"/>
  <c r="J717" i="20"/>
  <c r="J915" i="20"/>
  <c r="G870" i="20"/>
  <c r="J870" i="20"/>
  <c r="E717" i="20"/>
  <c r="L870" i="20"/>
  <c r="M870" i="20"/>
  <c r="K717" i="20"/>
  <c r="K870" i="20"/>
  <c r="D1033" i="20"/>
  <c r="E1033" i="20" s="1"/>
  <c r="I870" i="20"/>
  <c r="H870" i="20"/>
  <c r="H871" i="20" s="1"/>
  <c r="H874" i="20" s="1"/>
  <c r="O1062" i="20"/>
  <c r="O915" i="20"/>
  <c r="G915" i="20"/>
  <c r="N1062" i="20"/>
  <c r="N717" i="20"/>
  <c r="G717" i="20"/>
  <c r="I717" i="20"/>
  <c r="I718" i="20" s="1"/>
  <c r="I720" i="20" s="1"/>
  <c r="I184" i="20" s="1"/>
  <c r="H717" i="20"/>
  <c r="E915" i="20"/>
  <c r="L915" i="20"/>
  <c r="N915" i="20"/>
  <c r="O717" i="20"/>
  <c r="H915" i="20"/>
  <c r="O870" i="20"/>
  <c r="E870" i="20"/>
  <c r="P915" i="20"/>
  <c r="F717" i="20"/>
  <c r="L717" i="20"/>
  <c r="G1062" i="20"/>
  <c r="G1063" i="20" s="1"/>
  <c r="G1066" i="20" s="1"/>
  <c r="M915" i="20"/>
  <c r="F915" i="20"/>
  <c r="K915" i="20"/>
  <c r="H1062" i="20"/>
  <c r="K1062" i="20"/>
  <c r="E1062" i="20"/>
  <c r="P1062" i="20"/>
  <c r="J1062" i="20"/>
  <c r="L1062" i="20"/>
  <c r="I1062" i="20"/>
  <c r="M1062" i="20"/>
  <c r="L1233" i="20"/>
  <c r="L1234" i="20" s="1"/>
  <c r="I1233" i="20"/>
  <c r="I1234" i="20" s="1"/>
  <c r="M1233" i="20"/>
  <c r="M1234" i="20" s="1"/>
  <c r="P1233" i="20"/>
  <c r="P1234" i="20" s="1"/>
  <c r="J1233" i="20"/>
  <c r="J1234" i="20" s="1"/>
  <c r="N1233" i="20"/>
  <c r="N1234" i="20" s="1"/>
  <c r="E1234" i="20"/>
  <c r="E1236" i="20" s="1"/>
  <c r="K1233" i="20"/>
  <c r="K1234" i="20" s="1"/>
  <c r="H1233" i="20"/>
  <c r="H1234" i="20" s="1"/>
  <c r="F1233" i="20"/>
  <c r="F1234" i="20" s="1"/>
  <c r="O1233" i="20"/>
  <c r="O1234" i="20" s="1"/>
  <c r="G1233" i="20"/>
  <c r="G1234" i="20" s="1"/>
  <c r="E176" i="28"/>
  <c r="E178" i="28" s="1"/>
  <c r="P1059" i="20"/>
  <c r="O1031" i="20"/>
  <c r="J1032" i="20"/>
  <c r="G1032" i="20"/>
  <c r="H1032" i="20"/>
  <c r="F1032" i="20"/>
  <c r="E1032" i="20"/>
  <c r="K1032" i="20"/>
  <c r="O1032" i="20"/>
  <c r="M1032" i="20"/>
  <c r="N1032" i="20"/>
  <c r="I1032" i="20"/>
  <c r="L1032" i="20"/>
  <c r="G1031" i="20"/>
  <c r="P1030" i="20"/>
  <c r="K1030" i="20"/>
  <c r="N1030" i="20"/>
  <c r="F1030" i="20"/>
  <c r="G1030" i="20"/>
  <c r="O1030" i="20"/>
  <c r="E1030" i="20"/>
  <c r="H1030" i="20"/>
  <c r="M1030" i="20"/>
  <c r="L1030" i="20"/>
  <c r="I1030" i="20"/>
  <c r="H1031" i="20"/>
  <c r="M1031" i="20"/>
  <c r="L1031" i="20"/>
  <c r="N1031" i="20"/>
  <c r="P1031" i="20"/>
  <c r="J1031" i="20"/>
  <c r="K1031" i="20"/>
  <c r="E1031" i="20"/>
  <c r="I1031" i="20"/>
  <c r="K867" i="20"/>
  <c r="H714" i="20"/>
  <c r="G714" i="20"/>
  <c r="J714" i="20"/>
  <c r="I1059" i="20"/>
  <c r="L867" i="20"/>
  <c r="O1059" i="20"/>
  <c r="K1059" i="20"/>
  <c r="H1059" i="20"/>
  <c r="L1059" i="20"/>
  <c r="L714" i="20"/>
  <c r="M714" i="20"/>
  <c r="P912" i="20"/>
  <c r="O867" i="20"/>
  <c r="J1059" i="20"/>
  <c r="N1059" i="20"/>
  <c r="M1059" i="20"/>
  <c r="I867" i="20"/>
  <c r="E1059" i="20"/>
  <c r="F1059" i="20"/>
  <c r="F1063" i="20" s="1"/>
  <c r="F1066" i="20" s="1"/>
  <c r="M867" i="20"/>
  <c r="L912" i="20"/>
  <c r="E912" i="20"/>
  <c r="P714" i="20"/>
  <c r="P718" i="20" s="1"/>
  <c r="P720" i="20" s="1"/>
  <c r="P184" i="20" s="1"/>
  <c r="F714" i="20"/>
  <c r="I912" i="20"/>
  <c r="N912" i="20"/>
  <c r="G912" i="20"/>
  <c r="H912" i="20"/>
  <c r="J912" i="20"/>
  <c r="O714" i="20"/>
  <c r="K714" i="20"/>
  <c r="N714" i="20"/>
  <c r="E714" i="20"/>
  <c r="M912" i="20"/>
  <c r="O912" i="20"/>
  <c r="K912" i="20"/>
  <c r="D661" i="20"/>
  <c r="K661" i="20" s="1"/>
  <c r="Q913" i="20"/>
  <c r="Q715" i="20"/>
  <c r="P867" i="20"/>
  <c r="J867" i="20"/>
  <c r="E867" i="20"/>
  <c r="F867" i="20"/>
  <c r="N867" i="20"/>
  <c r="G867" i="20"/>
  <c r="Q1060" i="20"/>
  <c r="Q1232" i="20"/>
  <c r="Q662" i="20"/>
  <c r="Q1061" i="20"/>
  <c r="J663" i="20"/>
  <c r="H663" i="20"/>
  <c r="P663" i="20"/>
  <c r="E663" i="20"/>
  <c r="I663" i="20"/>
  <c r="K663" i="20"/>
  <c r="Q869" i="20"/>
  <c r="E88" i="28"/>
  <c r="E90" i="28" s="1"/>
  <c r="G663" i="20"/>
  <c r="F663" i="20"/>
  <c r="L663" i="20"/>
  <c r="M663" i="20"/>
  <c r="N663" i="20"/>
  <c r="O663" i="20"/>
  <c r="Q914" i="20"/>
  <c r="Q716" i="20"/>
  <c r="P765" i="20"/>
  <c r="K765" i="20"/>
  <c r="N765" i="20"/>
  <c r="M765" i="20"/>
  <c r="H765" i="20"/>
  <c r="L765" i="20"/>
  <c r="J765" i="20"/>
  <c r="F765" i="20"/>
  <c r="I765" i="20"/>
  <c r="G765" i="20"/>
  <c r="E765" i="20"/>
  <c r="O765" i="20"/>
  <c r="L764" i="20"/>
  <c r="M764" i="20"/>
  <c r="O764" i="20"/>
  <c r="H764" i="20"/>
  <c r="N764" i="20"/>
  <c r="J764" i="20"/>
  <c r="E764" i="20"/>
  <c r="I764" i="20"/>
  <c r="K764" i="20"/>
  <c r="P764" i="20"/>
  <c r="F764" i="20"/>
  <c r="G764" i="20"/>
  <c r="D958" i="20"/>
  <c r="D986" i="20"/>
  <c r="G113" i="26" l="1"/>
  <c r="I113" i="26" s="1"/>
  <c r="I107" i="26"/>
  <c r="Q987" i="20"/>
  <c r="Q959" i="20"/>
  <c r="L718" i="20"/>
  <c r="L720" i="20" s="1"/>
  <c r="L184" i="20" s="1"/>
  <c r="H664" i="20"/>
  <c r="I664" i="20"/>
  <c r="J871" i="20"/>
  <c r="J874" i="20" s="1"/>
  <c r="J878" i="20" s="1"/>
  <c r="J234" i="20" s="1"/>
  <c r="J664" i="20"/>
  <c r="F664" i="20"/>
  <c r="P664" i="20"/>
  <c r="M718" i="20"/>
  <c r="M720" i="20" s="1"/>
  <c r="M184" i="20" s="1"/>
  <c r="F1033" i="20"/>
  <c r="F1034" i="20" s="1"/>
  <c r="F1037" i="20" s="1"/>
  <c r="J1033" i="20"/>
  <c r="J1034" i="20" s="1"/>
  <c r="J1037" i="20" s="1"/>
  <c r="M664" i="20"/>
  <c r="E664" i="20"/>
  <c r="N664" i="20"/>
  <c r="K664" i="20"/>
  <c r="K665" i="20" s="1"/>
  <c r="L664" i="20"/>
  <c r="N871" i="20"/>
  <c r="N874" i="20" s="1"/>
  <c r="N232" i="20" s="1"/>
  <c r="G664" i="20"/>
  <c r="J916" i="20"/>
  <c r="J919" i="20" s="1"/>
  <c r="J239" i="20" s="1"/>
  <c r="J718" i="20"/>
  <c r="J720" i="20" s="1"/>
  <c r="J184" i="20" s="1"/>
  <c r="E718" i="20"/>
  <c r="E720" i="20" s="1"/>
  <c r="E184" i="20" s="1"/>
  <c r="I1033" i="20"/>
  <c r="I1034" i="20" s="1"/>
  <c r="I1037" i="20" s="1"/>
  <c r="P871" i="20"/>
  <c r="P874" i="20" s="1"/>
  <c r="P878" i="20" s="1"/>
  <c r="P234" i="20" s="1"/>
  <c r="K871" i="20"/>
  <c r="K874" i="20" s="1"/>
  <c r="K878" i="20" s="1"/>
  <c r="K234" i="20" s="1"/>
  <c r="G871" i="20"/>
  <c r="G874" i="20" s="1"/>
  <c r="G878" i="20" s="1"/>
  <c r="G234" i="20" s="1"/>
  <c r="F718" i="20"/>
  <c r="F720" i="20" s="1"/>
  <c r="F184" i="20" s="1"/>
  <c r="E916" i="20"/>
  <c r="E919" i="20" s="1"/>
  <c r="E923" i="20" s="1"/>
  <c r="O1063" i="20"/>
  <c r="O1066" i="20" s="1"/>
  <c r="O1070" i="20" s="1"/>
  <c r="O290" i="20" s="1"/>
  <c r="L871" i="20"/>
  <c r="L874" i="20" s="1"/>
  <c r="L878" i="20" s="1"/>
  <c r="L234" i="20" s="1"/>
  <c r="M871" i="20"/>
  <c r="M874" i="20" s="1"/>
  <c r="M232" i="20" s="1"/>
  <c r="M916" i="20"/>
  <c r="M919" i="20" s="1"/>
  <c r="M239" i="20" s="1"/>
  <c r="K718" i="20"/>
  <c r="K720" i="20" s="1"/>
  <c r="K184" i="20" s="1"/>
  <c r="N1063" i="20"/>
  <c r="N1066" i="20" s="1"/>
  <c r="N288" i="20" s="1"/>
  <c r="O718" i="20"/>
  <c r="O720" i="20" s="1"/>
  <c r="O184" i="20" s="1"/>
  <c r="M1033" i="20"/>
  <c r="M1034" i="20" s="1"/>
  <c r="M1037" i="20" s="1"/>
  <c r="M260" i="20" s="1"/>
  <c r="H1033" i="20"/>
  <c r="H1034" i="20" s="1"/>
  <c r="H1037" i="20" s="1"/>
  <c r="N1033" i="20"/>
  <c r="N1034" i="20" s="1"/>
  <c r="N1037" i="20" s="1"/>
  <c r="G1033" i="20"/>
  <c r="G1034" i="20" s="1"/>
  <c r="G1037" i="20" s="1"/>
  <c r="L1033" i="20"/>
  <c r="L1034" i="20" s="1"/>
  <c r="L1037" i="20" s="1"/>
  <c r="P1033" i="20"/>
  <c r="P1034" i="20" s="1"/>
  <c r="P1037" i="20" s="1"/>
  <c r="O1033" i="20"/>
  <c r="O1034" i="20" s="1"/>
  <c r="O1037" i="20" s="1"/>
  <c r="I871" i="20"/>
  <c r="I874" i="20" s="1"/>
  <c r="I878" i="20" s="1"/>
  <c r="I234" i="20" s="1"/>
  <c r="K1033" i="20"/>
  <c r="K1034" i="20" s="1"/>
  <c r="K1037" i="20" s="1"/>
  <c r="Q870" i="20"/>
  <c r="H916" i="20"/>
  <c r="H919" i="20" s="1"/>
  <c r="H923" i="20" s="1"/>
  <c r="H241" i="20" s="1"/>
  <c r="N718" i="20"/>
  <c r="N720" i="20" s="1"/>
  <c r="N184" i="20" s="1"/>
  <c r="G718" i="20"/>
  <c r="G720" i="20" s="1"/>
  <c r="G184" i="20" s="1"/>
  <c r="O871" i="20"/>
  <c r="O874" i="20" s="1"/>
  <c r="O232" i="20" s="1"/>
  <c r="O916" i="20"/>
  <c r="O919" i="20" s="1"/>
  <c r="O239" i="20" s="1"/>
  <c r="G916" i="20"/>
  <c r="G919" i="20" s="1"/>
  <c r="G239" i="20" s="1"/>
  <c r="L1063" i="20"/>
  <c r="L1066" i="20" s="1"/>
  <c r="L288" i="20" s="1"/>
  <c r="H718" i="20"/>
  <c r="H720" i="20" s="1"/>
  <c r="H184" i="20" s="1"/>
  <c r="Q717" i="20"/>
  <c r="L916" i="20"/>
  <c r="L919" i="20" s="1"/>
  <c r="L923" i="20" s="1"/>
  <c r="L241" i="20" s="1"/>
  <c r="N916" i="20"/>
  <c r="N919" i="20" s="1"/>
  <c r="N923" i="20" s="1"/>
  <c r="N241" i="20" s="1"/>
  <c r="E871" i="20"/>
  <c r="E874" i="20" s="1"/>
  <c r="E232" i="20" s="1"/>
  <c r="P916" i="20"/>
  <c r="P919" i="20" s="1"/>
  <c r="P923" i="20" s="1"/>
  <c r="P241" i="20" s="1"/>
  <c r="H1063" i="20"/>
  <c r="H1066" i="20" s="1"/>
  <c r="H1070" i="20" s="1"/>
  <c r="H290" i="20" s="1"/>
  <c r="K916" i="20"/>
  <c r="K919" i="20" s="1"/>
  <c r="K923" i="20" s="1"/>
  <c r="K241" i="20" s="1"/>
  <c r="K1063" i="20"/>
  <c r="K1066" i="20" s="1"/>
  <c r="K288" i="20" s="1"/>
  <c r="Q915" i="20"/>
  <c r="P1063" i="20"/>
  <c r="P1066" i="20" s="1"/>
  <c r="P288" i="20" s="1"/>
  <c r="F916" i="20"/>
  <c r="F919" i="20" s="1"/>
  <c r="F923" i="20" s="1"/>
  <c r="F241" i="20" s="1"/>
  <c r="J1063" i="20"/>
  <c r="J1066" i="20" s="1"/>
  <c r="J1070" i="20" s="1"/>
  <c r="J290" i="20" s="1"/>
  <c r="E1063" i="20"/>
  <c r="E1066" i="20" s="1"/>
  <c r="E1070" i="20" s="1"/>
  <c r="Q1062" i="20"/>
  <c r="I1063" i="20"/>
  <c r="I1066" i="20" s="1"/>
  <c r="I288" i="20" s="1"/>
  <c r="M1063" i="20"/>
  <c r="M1066" i="20" s="1"/>
  <c r="M288" i="20" s="1"/>
  <c r="P1236" i="20"/>
  <c r="P350" i="20" s="1"/>
  <c r="M1236" i="20"/>
  <c r="M1240" i="20" s="1"/>
  <c r="M352" i="20" s="1"/>
  <c r="F1236" i="20"/>
  <c r="I1236" i="20"/>
  <c r="I1240" i="20" s="1"/>
  <c r="I352" i="20" s="1"/>
  <c r="H1236" i="20"/>
  <c r="H350" i="20" s="1"/>
  <c r="L1236" i="20"/>
  <c r="L1240" i="20" s="1"/>
  <c r="L352" i="20" s="1"/>
  <c r="J1236" i="20"/>
  <c r="J1240" i="20" s="1"/>
  <c r="J352" i="20" s="1"/>
  <c r="G1236" i="20"/>
  <c r="G1240" i="20" s="1"/>
  <c r="G352" i="20" s="1"/>
  <c r="O1236" i="20"/>
  <c r="O350" i="20" s="1"/>
  <c r="K1236" i="20"/>
  <c r="K1240" i="20" s="1"/>
  <c r="K352" i="20" s="1"/>
  <c r="N1236" i="20"/>
  <c r="N350" i="20" s="1"/>
  <c r="P724" i="20"/>
  <c r="F1070" i="20"/>
  <c r="F290" i="20" s="1"/>
  <c r="G1070" i="20"/>
  <c r="G290" i="20" s="1"/>
  <c r="H878" i="20"/>
  <c r="H234" i="20" s="1"/>
  <c r="Q1233" i="20"/>
  <c r="Q1032" i="20"/>
  <c r="Q1030" i="20"/>
  <c r="E1034" i="20"/>
  <c r="E1037" i="20" s="1"/>
  <c r="Q1031" i="20"/>
  <c r="Q1059" i="20"/>
  <c r="J661" i="20"/>
  <c r="P661" i="20"/>
  <c r="Q912" i="20"/>
  <c r="L661" i="20"/>
  <c r="I916" i="20"/>
  <c r="I919" i="20" s="1"/>
  <c r="F661" i="20"/>
  <c r="O661" i="20"/>
  <c r="O665" i="20" s="1"/>
  <c r="E661" i="20"/>
  <c r="N661" i="20"/>
  <c r="M661" i="20"/>
  <c r="G661" i="20"/>
  <c r="H661" i="20"/>
  <c r="I661" i="20"/>
  <c r="Q714" i="20"/>
  <c r="Q867" i="20"/>
  <c r="F871" i="20"/>
  <c r="F874" i="20" s="1"/>
  <c r="Q1234" i="20"/>
  <c r="Q663" i="20"/>
  <c r="E1240" i="20"/>
  <c r="E350" i="20"/>
  <c r="P766" i="20"/>
  <c r="P768" i="20" s="1"/>
  <c r="P191" i="20" s="1"/>
  <c r="F766" i="20"/>
  <c r="F768" i="20" s="1"/>
  <c r="F191" i="20" s="1"/>
  <c r="O766" i="20"/>
  <c r="O768" i="20" s="1"/>
  <c r="O191" i="20" s="1"/>
  <c r="M766" i="20"/>
  <c r="M768" i="20" s="1"/>
  <c r="M191" i="20" s="1"/>
  <c r="L766" i="20"/>
  <c r="L768" i="20" s="1"/>
  <c r="L191" i="20" s="1"/>
  <c r="I766" i="20"/>
  <c r="I768" i="20" s="1"/>
  <c r="I191" i="20" s="1"/>
  <c r="H766" i="20"/>
  <c r="H768" i="20" s="1"/>
  <c r="H191" i="20" s="1"/>
  <c r="K766" i="20"/>
  <c r="K768" i="20" s="1"/>
  <c r="K191" i="20" s="1"/>
  <c r="G766" i="20"/>
  <c r="G768" i="20" s="1"/>
  <c r="G191" i="20" s="1"/>
  <c r="J766" i="20"/>
  <c r="J768" i="20" s="1"/>
  <c r="J191" i="20" s="1"/>
  <c r="Q765" i="20"/>
  <c r="N766" i="20"/>
  <c r="N768" i="20" s="1"/>
  <c r="N191" i="20" s="1"/>
  <c r="E766" i="20"/>
  <c r="E768" i="20" s="1"/>
  <c r="E191" i="20" s="1"/>
  <c r="Q764" i="20"/>
  <c r="I724" i="20"/>
  <c r="J958" i="20"/>
  <c r="I958" i="20"/>
  <c r="O958" i="20"/>
  <c r="P958" i="20"/>
  <c r="L958" i="20"/>
  <c r="K958" i="20"/>
  <c r="H958" i="20"/>
  <c r="F958" i="20"/>
  <c r="M958" i="20"/>
  <c r="G958" i="20"/>
  <c r="N958" i="20"/>
  <c r="E958" i="20"/>
  <c r="K986" i="20"/>
  <c r="L986" i="20"/>
  <c r="H986" i="20"/>
  <c r="F986" i="20"/>
  <c r="M986" i="20"/>
  <c r="J986" i="20"/>
  <c r="P986" i="20"/>
  <c r="E986" i="20"/>
  <c r="G986" i="20"/>
  <c r="O986" i="20"/>
  <c r="N986" i="20"/>
  <c r="I986" i="20"/>
  <c r="M665" i="20" l="1"/>
  <c r="M667" i="20" s="1"/>
  <c r="M157" i="20" s="1"/>
  <c r="I665" i="20"/>
  <c r="L665" i="20"/>
  <c r="L724" i="20"/>
  <c r="L731" i="20" s="1"/>
  <c r="L186" i="20" s="1"/>
  <c r="H665" i="20"/>
  <c r="H667" i="20" s="1"/>
  <c r="H157" i="20" s="1"/>
  <c r="E724" i="20"/>
  <c r="E731" i="20" s="1"/>
  <c r="P665" i="20"/>
  <c r="P667" i="20" s="1"/>
  <c r="P157" i="20" s="1"/>
  <c r="F665" i="20"/>
  <c r="M724" i="20"/>
  <c r="M731" i="20" s="1"/>
  <c r="M186" i="20" s="1"/>
  <c r="Q664" i="20"/>
  <c r="J665" i="20"/>
  <c r="J667" i="20" s="1"/>
  <c r="J671" i="20" s="1"/>
  <c r="N665" i="20"/>
  <c r="N667" i="20" s="1"/>
  <c r="N157" i="20" s="1"/>
  <c r="J724" i="20"/>
  <c r="J731" i="20" s="1"/>
  <c r="J186" i="20" s="1"/>
  <c r="E665" i="20"/>
  <c r="E667" i="20" s="1"/>
  <c r="E157" i="20" s="1"/>
  <c r="N878" i="20"/>
  <c r="N234" i="20" s="1"/>
  <c r="G665" i="20"/>
  <c r="G667" i="20" s="1"/>
  <c r="G157" i="20" s="1"/>
  <c r="E239" i="20"/>
  <c r="F724" i="20"/>
  <c r="F731" i="20" s="1"/>
  <c r="G923" i="20"/>
  <c r="G241" i="20" s="1"/>
  <c r="O724" i="20"/>
  <c r="O731" i="20" s="1"/>
  <c r="O186" i="20" s="1"/>
  <c r="M878" i="20"/>
  <c r="M234" i="20" s="1"/>
  <c r="E878" i="20"/>
  <c r="E234" i="20" s="1"/>
  <c r="M923" i="20"/>
  <c r="M241" i="20" s="1"/>
  <c r="G724" i="20"/>
  <c r="G731" i="20" s="1"/>
  <c r="G186" i="20" s="1"/>
  <c r="N724" i="20"/>
  <c r="N731" i="20" s="1"/>
  <c r="N186" i="20" s="1"/>
  <c r="Q1033" i="20"/>
  <c r="Q718" i="20"/>
  <c r="H724" i="20"/>
  <c r="H731" i="20" s="1"/>
  <c r="H186" i="20" s="1"/>
  <c r="E288" i="20"/>
  <c r="Q1063" i="20"/>
  <c r="K667" i="20"/>
  <c r="K157" i="20" s="1"/>
  <c r="O667" i="20"/>
  <c r="O157" i="20" s="1"/>
  <c r="I731" i="20"/>
  <c r="I186" i="20" s="1"/>
  <c r="P731" i="20"/>
  <c r="P186" i="20" s="1"/>
  <c r="P1240" i="20"/>
  <c r="P352" i="20" s="1"/>
  <c r="O1240" i="20"/>
  <c r="O352" i="20" s="1"/>
  <c r="L350" i="20"/>
  <c r="J350" i="20"/>
  <c r="Q1236" i="20"/>
  <c r="H1240" i="20"/>
  <c r="H352" i="20" s="1"/>
  <c r="I350" i="20"/>
  <c r="K350" i="20"/>
  <c r="G350" i="20"/>
  <c r="M350" i="20"/>
  <c r="N1240" i="20"/>
  <c r="N352" i="20" s="1"/>
  <c r="F350" i="20"/>
  <c r="Q720" i="20"/>
  <c r="F1240" i="20"/>
  <c r="F352" i="20" s="1"/>
  <c r="Q184" i="20"/>
  <c r="K1070" i="20"/>
  <c r="K290" i="20" s="1"/>
  <c r="I1070" i="20"/>
  <c r="I290" i="20" s="1"/>
  <c r="O288" i="20"/>
  <c r="N1070" i="20"/>
  <c r="N290" i="20" s="1"/>
  <c r="F288" i="20"/>
  <c r="J232" i="20"/>
  <c r="G288" i="20"/>
  <c r="L232" i="20"/>
  <c r="H288" i="20"/>
  <c r="L260" i="20"/>
  <c r="L1070" i="20"/>
  <c r="L290" i="20" s="1"/>
  <c r="I260" i="20"/>
  <c r="F1041" i="20"/>
  <c r="F262" i="20" s="1"/>
  <c r="P1070" i="20"/>
  <c r="P290" i="20" s="1"/>
  <c r="M1070" i="20"/>
  <c r="M290" i="20" s="1"/>
  <c r="J1041" i="20"/>
  <c r="J262" i="20" s="1"/>
  <c r="O260" i="20"/>
  <c r="J288" i="20"/>
  <c r="G260" i="20"/>
  <c r="K260" i="20"/>
  <c r="M1041" i="20"/>
  <c r="M262" i="20" s="1"/>
  <c r="E260" i="20"/>
  <c r="H1041" i="20"/>
  <c r="H262" i="20" s="1"/>
  <c r="P232" i="20"/>
  <c r="Q1066" i="20"/>
  <c r="L239" i="20"/>
  <c r="N1041" i="20"/>
  <c r="N262" i="20" s="1"/>
  <c r="P260" i="20"/>
  <c r="N239" i="20"/>
  <c r="H239" i="20"/>
  <c r="F239" i="20"/>
  <c r="I232" i="20"/>
  <c r="H232" i="20"/>
  <c r="O878" i="20"/>
  <c r="O234" i="20" s="1"/>
  <c r="K239" i="20"/>
  <c r="K772" i="20"/>
  <c r="J772" i="20"/>
  <c r="I772" i="20"/>
  <c r="L772" i="20"/>
  <c r="P239" i="20"/>
  <c r="J923" i="20"/>
  <c r="J241" i="20" s="1"/>
  <c r="O923" i="20"/>
  <c r="O241" i="20" s="1"/>
  <c r="K232" i="20"/>
  <c r="H772" i="20"/>
  <c r="G232" i="20"/>
  <c r="I923" i="20"/>
  <c r="Q874" i="20"/>
  <c r="Q1034" i="20"/>
  <c r="Q916" i="20"/>
  <c r="Q871" i="20"/>
  <c r="Q661" i="20"/>
  <c r="K724" i="20"/>
  <c r="E352" i="20"/>
  <c r="Q766" i="20"/>
  <c r="H60" i="26" s="1"/>
  <c r="E290" i="20"/>
  <c r="E241" i="20"/>
  <c r="Q986" i="20"/>
  <c r="Q958" i="20"/>
  <c r="I667" i="20" l="1"/>
  <c r="I157" i="20" s="1"/>
  <c r="L667" i="20"/>
  <c r="L157" i="20" s="1"/>
  <c r="F667" i="20"/>
  <c r="F671" i="20" s="1"/>
  <c r="F678" i="20" s="1"/>
  <c r="F159" i="20" s="1"/>
  <c r="Q665" i="20"/>
  <c r="H58" i="26" s="1"/>
  <c r="G58" i="26" s="1"/>
  <c r="O671" i="20"/>
  <c r="O678" i="20" s="1"/>
  <c r="O159" i="20" s="1"/>
  <c r="P671" i="20"/>
  <c r="P678" i="20" s="1"/>
  <c r="P159" i="20" s="1"/>
  <c r="H671" i="20"/>
  <c r="H678" i="20" s="1"/>
  <c r="H159" i="20" s="1"/>
  <c r="J157" i="20"/>
  <c r="L779" i="20"/>
  <c r="L193" i="20" s="1"/>
  <c r="I779" i="20"/>
  <c r="I193" i="20" s="1"/>
  <c r="K779" i="20"/>
  <c r="K193" i="20" s="1"/>
  <c r="H779" i="20"/>
  <c r="H193" i="20" s="1"/>
  <c r="F68" i="22" s="1"/>
  <c r="J779" i="20"/>
  <c r="J193" i="20" s="1"/>
  <c r="F186" i="20"/>
  <c r="K731" i="20"/>
  <c r="Q731" i="20" s="1"/>
  <c r="J678" i="20"/>
  <c r="J159" i="20" s="1"/>
  <c r="Q350" i="20"/>
  <c r="Q352" i="20"/>
  <c r="H48" i="14" s="1"/>
  <c r="I48" i="14" s="1"/>
  <c r="J48" i="14" s="1"/>
  <c r="Q1240" i="20"/>
  <c r="J260" i="20"/>
  <c r="Q288" i="20"/>
  <c r="L1041" i="20"/>
  <c r="L262" i="20" s="1"/>
  <c r="O1041" i="20"/>
  <c r="O262" i="20" s="1"/>
  <c r="I1041" i="20"/>
  <c r="I262" i="20" s="1"/>
  <c r="P1041" i="20"/>
  <c r="P262" i="20" s="1"/>
  <c r="Q1070" i="20"/>
  <c r="K1041" i="20"/>
  <c r="K262" i="20" s="1"/>
  <c r="G1041" i="20"/>
  <c r="G262" i="20" s="1"/>
  <c r="F260" i="20"/>
  <c r="Q1037" i="20"/>
  <c r="E1041" i="20"/>
  <c r="E262" i="20" s="1"/>
  <c r="N260" i="20"/>
  <c r="H260" i="20"/>
  <c r="Q290" i="20"/>
  <c r="H42" i="14" s="1"/>
  <c r="I42" i="14" s="1"/>
  <c r="J42" i="14" s="1"/>
  <c r="F772" i="20"/>
  <c r="O772" i="20"/>
  <c r="M772" i="20"/>
  <c r="F232" i="20"/>
  <c r="Q232" i="20" s="1"/>
  <c r="Q919" i="20"/>
  <c r="F878" i="20"/>
  <c r="P772" i="20"/>
  <c r="G772" i="20"/>
  <c r="I239" i="20"/>
  <c r="Q239" i="20" s="1"/>
  <c r="I241" i="20"/>
  <c r="Q241" i="20" s="1"/>
  <c r="H38" i="14" s="1"/>
  <c r="I38" i="14" s="1"/>
  <c r="J38" i="14" s="1"/>
  <c r="Q923" i="20"/>
  <c r="E671" i="20"/>
  <c r="E678" i="20" s="1"/>
  <c r="Q724" i="20"/>
  <c r="G60" i="26"/>
  <c r="K671" i="20"/>
  <c r="M671" i="20"/>
  <c r="G671" i="20"/>
  <c r="N671" i="20"/>
  <c r="G38" i="26"/>
  <c r="I38" i="26" s="1"/>
  <c r="N772" i="20"/>
  <c r="E186" i="20"/>
  <c r="E772" i="20"/>
  <c r="E779" i="20" s="1"/>
  <c r="Q768" i="20"/>
  <c r="L671" i="20" l="1"/>
  <c r="I671" i="20"/>
  <c r="I678" i="20" s="1"/>
  <c r="I159" i="20" s="1"/>
  <c r="Q667" i="20"/>
  <c r="F157" i="20"/>
  <c r="Q157" i="20" s="1"/>
  <c r="H68" i="22"/>
  <c r="J21" i="20"/>
  <c r="L21" i="20"/>
  <c r="J68" i="22"/>
  <c r="G68" i="22"/>
  <c r="I21" i="20"/>
  <c r="F779" i="20"/>
  <c r="P779" i="20"/>
  <c r="P193" i="20" s="1"/>
  <c r="H21" i="20"/>
  <c r="O779" i="20"/>
  <c r="O193" i="20" s="1"/>
  <c r="M779" i="20"/>
  <c r="M193" i="20" s="1"/>
  <c r="N779" i="20"/>
  <c r="N193" i="20" s="1"/>
  <c r="G779" i="20"/>
  <c r="G193" i="20" s="1"/>
  <c r="K186" i="20"/>
  <c r="Q186" i="20" s="1"/>
  <c r="H30" i="14" s="1"/>
  <c r="D67" i="22"/>
  <c r="F20" i="20"/>
  <c r="M67" i="22"/>
  <c r="O20" i="20"/>
  <c r="F67" i="22"/>
  <c r="H20" i="20"/>
  <c r="P20" i="20"/>
  <c r="N67" i="22"/>
  <c r="H67" i="22"/>
  <c r="J20" i="20"/>
  <c r="L678" i="20"/>
  <c r="L159" i="20" s="1"/>
  <c r="K678" i="20"/>
  <c r="K159" i="20" s="1"/>
  <c r="M678" i="20"/>
  <c r="M159" i="20" s="1"/>
  <c r="N678" i="20"/>
  <c r="N159" i="20" s="1"/>
  <c r="G678" i="20"/>
  <c r="Q260" i="20"/>
  <c r="Q262" i="20"/>
  <c r="H41" i="14" s="1"/>
  <c r="I41" i="14" s="1"/>
  <c r="J41" i="14" s="1"/>
  <c r="Q1041" i="20"/>
  <c r="F234" i="20"/>
  <c r="Q234" i="20" s="1"/>
  <c r="H37" i="14" s="1"/>
  <c r="I37" i="14" s="1"/>
  <c r="J37" i="14" s="1"/>
  <c r="Q878" i="20"/>
  <c r="J58" i="26"/>
  <c r="I58" i="26"/>
  <c r="Q671" i="20"/>
  <c r="Q191" i="20"/>
  <c r="Q772" i="20"/>
  <c r="N21" i="20" l="1"/>
  <c r="L68" i="22"/>
  <c r="Q779" i="20"/>
  <c r="N68" i="22"/>
  <c r="P21" i="20"/>
  <c r="G21" i="20"/>
  <c r="E68" i="22"/>
  <c r="M21" i="20"/>
  <c r="K68" i="22"/>
  <c r="O21" i="20"/>
  <c r="M68" i="22"/>
  <c r="F193" i="20"/>
  <c r="Q678" i="20"/>
  <c r="K21" i="20"/>
  <c r="I68" i="22"/>
  <c r="N20" i="20"/>
  <c r="L67" i="22"/>
  <c r="M20" i="20"/>
  <c r="K67" i="22"/>
  <c r="I20" i="20"/>
  <c r="G67" i="22"/>
  <c r="K20" i="20"/>
  <c r="I67" i="22"/>
  <c r="L20" i="20"/>
  <c r="J67" i="22"/>
  <c r="G159" i="20"/>
  <c r="J65" i="26"/>
  <c r="J68" i="26"/>
  <c r="E159" i="20"/>
  <c r="I30" i="14"/>
  <c r="J30" i="14" s="1"/>
  <c r="E193" i="20"/>
  <c r="D68" i="22" l="1"/>
  <c r="F21" i="20"/>
  <c r="G20" i="20"/>
  <c r="E67" i="22"/>
  <c r="C67" i="22"/>
  <c r="Q159" i="20"/>
  <c r="E20" i="20"/>
  <c r="Q193" i="20"/>
  <c r="E21" i="20"/>
  <c r="C68" i="22"/>
  <c r="Q20" i="20" l="1"/>
  <c r="O67" i="22"/>
  <c r="O68" i="22"/>
  <c r="Q21" i="20"/>
  <c r="H14" i="26"/>
  <c r="H29" i="14"/>
  <c r="I29" i="14" s="1"/>
  <c r="J29" i="14" s="1"/>
  <c r="H31" i="14"/>
  <c r="H16" i="26"/>
  <c r="E47" i="19" s="1"/>
  <c r="E45" i="19" l="1"/>
  <c r="G14" i="26"/>
  <c r="J31" i="14"/>
  <c r="I31" i="14"/>
  <c r="G16" i="26"/>
  <c r="J14" i="26" l="1"/>
  <c r="I14" i="26"/>
  <c r="D957" i="20"/>
  <c r="J24" i="26" l="1"/>
  <c r="J21" i="26"/>
  <c r="E957" i="20"/>
  <c r="E960" i="20" s="1"/>
  <c r="E963" i="20" s="1"/>
  <c r="H957" i="20"/>
  <c r="H960" i="20" s="1"/>
  <c r="H963" i="20" s="1"/>
  <c r="L957" i="20"/>
  <c r="L960" i="20" s="1"/>
  <c r="L963" i="20" s="1"/>
  <c r="J957" i="20"/>
  <c r="J960" i="20" s="1"/>
  <c r="J963" i="20" s="1"/>
  <c r="F957" i="20"/>
  <c r="F960" i="20" s="1"/>
  <c r="F963" i="20" s="1"/>
  <c r="O957" i="20"/>
  <c r="O960" i="20" s="1"/>
  <c r="O963" i="20" s="1"/>
  <c r="M957" i="20"/>
  <c r="M960" i="20" s="1"/>
  <c r="M963" i="20" s="1"/>
  <c r="M246" i="20" s="1"/>
  <c r="N957" i="20"/>
  <c r="N960" i="20" s="1"/>
  <c r="N963" i="20" s="1"/>
  <c r="G957" i="20"/>
  <c r="G960" i="20" s="1"/>
  <c r="G963" i="20" s="1"/>
  <c r="K957" i="20"/>
  <c r="K960" i="20" s="1"/>
  <c r="K963" i="20" s="1"/>
  <c r="P957" i="20"/>
  <c r="P960" i="20" s="1"/>
  <c r="P963" i="20" s="1"/>
  <c r="I957" i="20"/>
  <c r="I960" i="20" s="1"/>
  <c r="I963" i="20" s="1"/>
  <c r="D985" i="20"/>
  <c r="Q960" i="20" l="1"/>
  <c r="E967" i="20"/>
  <c r="Q957" i="20"/>
  <c r="H985" i="20"/>
  <c r="K985" i="20"/>
  <c r="O985" i="20"/>
  <c r="M985" i="20"/>
  <c r="P985" i="20"/>
  <c r="P988" i="20" s="1"/>
  <c r="J985" i="20"/>
  <c r="G985" i="20"/>
  <c r="I985" i="20"/>
  <c r="F985" i="20"/>
  <c r="N985" i="20"/>
  <c r="L985" i="20"/>
  <c r="E985" i="20"/>
  <c r="E988" i="20" s="1"/>
  <c r="J988" i="20" l="1"/>
  <c r="J991" i="20" s="1"/>
  <c r="M988" i="20"/>
  <c r="M991" i="20" s="1"/>
  <c r="M253" i="20" s="1"/>
  <c r="K988" i="20"/>
  <c r="K991" i="20" s="1"/>
  <c r="G988" i="20"/>
  <c r="G991" i="20" s="1"/>
  <c r="L988" i="20"/>
  <c r="L991" i="20" s="1"/>
  <c r="N988" i="20"/>
  <c r="N991" i="20" s="1"/>
  <c r="H988" i="20"/>
  <c r="H991" i="20" s="1"/>
  <c r="O988" i="20"/>
  <c r="O991" i="20" s="1"/>
  <c r="F988" i="20"/>
  <c r="F991" i="20" s="1"/>
  <c r="I988" i="20"/>
  <c r="I991" i="20" s="1"/>
  <c r="P991" i="20"/>
  <c r="Q963" i="20"/>
  <c r="L967" i="20"/>
  <c r="L248" i="20" s="1"/>
  <c r="L246" i="20"/>
  <c r="P967" i="20"/>
  <c r="P248" i="20" s="1"/>
  <c r="P246" i="20"/>
  <c r="K967" i="20"/>
  <c r="K248" i="20" s="1"/>
  <c r="K246" i="20"/>
  <c r="M967" i="20"/>
  <c r="M248" i="20" s="1"/>
  <c r="H967" i="20"/>
  <c r="H248" i="20" s="1"/>
  <c r="H246" i="20"/>
  <c r="G967" i="20"/>
  <c r="G248" i="20" s="1"/>
  <c r="G246" i="20"/>
  <c r="I246" i="20"/>
  <c r="I967" i="20"/>
  <c r="I248" i="20" s="1"/>
  <c r="Q985" i="20"/>
  <c r="E991" i="20"/>
  <c r="J967" i="20"/>
  <c r="J248" i="20" s="1"/>
  <c r="J246" i="20"/>
  <c r="N246" i="20"/>
  <c r="N967" i="20"/>
  <c r="N248" i="20" s="1"/>
  <c r="O967" i="20"/>
  <c r="O248" i="20" s="1"/>
  <c r="O246" i="20"/>
  <c r="F967" i="20"/>
  <c r="F248" i="20" s="1"/>
  <c r="F246" i="20"/>
  <c r="Q988" i="20" l="1"/>
  <c r="H59" i="26" s="1"/>
  <c r="Q991" i="20"/>
  <c r="K253" i="20"/>
  <c r="K995" i="20"/>
  <c r="K255" i="20" s="1"/>
  <c r="N27" i="20"/>
  <c r="P253" i="20"/>
  <c r="P995" i="20"/>
  <c r="P255" i="20" s="1"/>
  <c r="E246" i="20"/>
  <c r="H27" i="20"/>
  <c r="M27" i="20"/>
  <c r="N253" i="20"/>
  <c r="N995" i="20"/>
  <c r="N255" i="20" s="1"/>
  <c r="L27" i="20"/>
  <c r="G27" i="20"/>
  <c r="O253" i="20"/>
  <c r="O995" i="20"/>
  <c r="O255" i="20" s="1"/>
  <c r="L253" i="20"/>
  <c r="L995" i="20"/>
  <c r="L255" i="20" s="1"/>
  <c r="O27" i="20"/>
  <c r="H253" i="20"/>
  <c r="H995" i="20"/>
  <c r="H255" i="20" s="1"/>
  <c r="F995" i="20"/>
  <c r="F255" i="20" s="1"/>
  <c r="F253" i="20"/>
  <c r="I995" i="20"/>
  <c r="I255" i="20" s="1"/>
  <c r="I253" i="20"/>
  <c r="I27" i="20"/>
  <c r="K27" i="20"/>
  <c r="G253" i="20"/>
  <c r="G995" i="20"/>
  <c r="G255" i="20" s="1"/>
  <c r="P27" i="20"/>
  <c r="F27" i="20"/>
  <c r="J27" i="20"/>
  <c r="M995" i="20"/>
  <c r="M255" i="20" s="1"/>
  <c r="J995" i="20"/>
  <c r="J255" i="20" s="1"/>
  <c r="J253" i="20"/>
  <c r="E995" i="20" l="1"/>
  <c r="Q995" i="20" s="1"/>
  <c r="E253" i="20"/>
  <c r="Q253" i="20" s="1"/>
  <c r="Q246" i="20"/>
  <c r="E248" i="20"/>
  <c r="Q967" i="20"/>
  <c r="G59" i="26" l="1"/>
  <c r="E27" i="20"/>
  <c r="Q248" i="20"/>
  <c r="E255" i="20"/>
  <c r="J59" i="26" l="1"/>
  <c r="I59" i="26"/>
  <c r="Q255" i="20"/>
  <c r="Q27" i="20"/>
  <c r="H39" i="14"/>
  <c r="J73" i="26" l="1"/>
  <c r="J60" i="26"/>
  <c r="J72" i="26"/>
  <c r="J76" i="26"/>
  <c r="H40" i="14"/>
  <c r="I40" i="14" s="1"/>
  <c r="J40" i="14" s="1"/>
  <c r="H15" i="26"/>
  <c r="I39" i="14"/>
  <c r="E46" i="19" l="1"/>
  <c r="G15" i="26"/>
  <c r="J15" i="26" s="1"/>
  <c r="J39" i="14"/>
  <c r="J28" i="26" l="1"/>
  <c r="J16" i="26"/>
  <c r="J32" i="26"/>
  <c r="J29" i="26"/>
  <c r="I15" i="26"/>
  <c r="E12" i="27" l="1"/>
  <c r="V16" i="1"/>
  <c r="V38" i="1"/>
  <c r="D831" i="20" s="1"/>
  <c r="G188" i="26" l="1"/>
  <c r="F190" i="26" s="1"/>
  <c r="G190" i="26" s="1"/>
  <c r="D398" i="20"/>
  <c r="E29" i="28"/>
  <c r="P831" i="20"/>
  <c r="M831" i="20"/>
  <c r="G831" i="20"/>
  <c r="L831" i="20"/>
  <c r="O831" i="20"/>
  <c r="J831" i="20"/>
  <c r="F831" i="20"/>
  <c r="I831" i="20"/>
  <c r="E831" i="20"/>
  <c r="N831" i="20"/>
  <c r="K831" i="20"/>
  <c r="H831" i="20"/>
  <c r="J185" i="26"/>
  <c r="M398" i="20" l="1"/>
  <c r="E398" i="20"/>
  <c r="E13" i="27"/>
  <c r="Q16" i="1"/>
  <c r="Q38" i="1"/>
  <c r="D835" i="20" s="1"/>
  <c r="F398" i="20"/>
  <c r="J398" i="20"/>
  <c r="O398" i="20"/>
  <c r="P398" i="20"/>
  <c r="N398" i="20"/>
  <c r="G398" i="20"/>
  <c r="I398" i="20"/>
  <c r="H398" i="20"/>
  <c r="L398" i="20"/>
  <c r="K398" i="20"/>
  <c r="J190" i="26"/>
  <c r="Q831" i="20"/>
  <c r="J191" i="26" l="1"/>
  <c r="Q398" i="20"/>
  <c r="D402" i="20"/>
  <c r="D34" i="28"/>
  <c r="E34" i="28" s="1"/>
  <c r="G835" i="20"/>
  <c r="G837" i="20" s="1"/>
  <c r="P835" i="20"/>
  <c r="P837" i="20" s="1"/>
  <c r="H835" i="20"/>
  <c r="H837" i="20" s="1"/>
  <c r="E835" i="20"/>
  <c r="E837" i="20" s="1"/>
  <c r="L835" i="20"/>
  <c r="L837" i="20" s="1"/>
  <c r="J835" i="20"/>
  <c r="J837" i="20" s="1"/>
  <c r="M835" i="20"/>
  <c r="M837" i="20" s="1"/>
  <c r="M225" i="20" s="1"/>
  <c r="O835" i="20"/>
  <c r="O837" i="20" s="1"/>
  <c r="N835" i="20"/>
  <c r="N837" i="20" s="1"/>
  <c r="I835" i="20"/>
  <c r="I837" i="20" s="1"/>
  <c r="K835" i="20"/>
  <c r="K837" i="20" s="1"/>
  <c r="F835" i="20"/>
  <c r="F837" i="20" s="1"/>
  <c r="E43" i="28" l="1"/>
  <c r="E39" i="28"/>
  <c r="E41" i="28" s="1"/>
  <c r="Q837" i="20"/>
  <c r="J402" i="20"/>
  <c r="J405" i="20" s="1"/>
  <c r="E402" i="20"/>
  <c r="E405" i="20" s="1"/>
  <c r="E67" i="20" s="1"/>
  <c r="I402" i="20"/>
  <c r="I405" i="20" s="1"/>
  <c r="O402" i="20"/>
  <c r="O405" i="20" s="1"/>
  <c r="K402" i="20"/>
  <c r="K405" i="20" s="1"/>
  <c r="L402" i="20"/>
  <c r="L405" i="20" s="1"/>
  <c r="L67" i="20" s="1"/>
  <c r="G402" i="20"/>
  <c r="G405" i="20" s="1"/>
  <c r="P402" i="20"/>
  <c r="P405" i="20" s="1"/>
  <c r="M402" i="20"/>
  <c r="M405" i="20" s="1"/>
  <c r="F402" i="20"/>
  <c r="F405" i="20" s="1"/>
  <c r="N402" i="20"/>
  <c r="N405" i="20" s="1"/>
  <c r="H402" i="20"/>
  <c r="H405" i="20" s="1"/>
  <c r="Q835" i="20"/>
  <c r="H409" i="20" l="1"/>
  <c r="H418" i="20" s="1"/>
  <c r="H69" i="20" s="1"/>
  <c r="N67" i="20"/>
  <c r="M409" i="20"/>
  <c r="M418" i="20" s="1"/>
  <c r="M69" i="20" s="1"/>
  <c r="K67" i="20"/>
  <c r="Q402" i="20"/>
  <c r="H57" i="26" s="1"/>
  <c r="M841" i="20"/>
  <c r="M849" i="20" s="1"/>
  <c r="M227" i="20" s="1"/>
  <c r="O225" i="20"/>
  <c r="O841" i="20"/>
  <c r="O849" i="20" s="1"/>
  <c r="O227" i="20" s="1"/>
  <c r="J67" i="20"/>
  <c r="J409" i="20"/>
  <c r="J418" i="20" s="1"/>
  <c r="J69" i="20" s="1"/>
  <c r="N225" i="20"/>
  <c r="N841" i="20"/>
  <c r="N849" i="20" s="1"/>
  <c r="N227" i="20" s="1"/>
  <c r="L409" i="20"/>
  <c r="L418" i="20" s="1"/>
  <c r="L69" i="20" s="1"/>
  <c r="L19" i="20" s="1"/>
  <c r="G67" i="20"/>
  <c r="G409" i="20"/>
  <c r="G418" i="20" s="1"/>
  <c r="G69" i="20" s="1"/>
  <c r="I225" i="20"/>
  <c r="I841" i="20"/>
  <c r="I849" i="20" s="1"/>
  <c r="I227" i="20" s="1"/>
  <c r="O67" i="20"/>
  <c r="O409" i="20"/>
  <c r="O418" i="20" s="1"/>
  <c r="O69" i="20" s="1"/>
  <c r="F225" i="20"/>
  <c r="F841" i="20"/>
  <c r="F849" i="20" s="1"/>
  <c r="F227" i="20" s="1"/>
  <c r="G225" i="20"/>
  <c r="G841" i="20"/>
  <c r="G849" i="20" s="1"/>
  <c r="G227" i="20" s="1"/>
  <c r="L225" i="20"/>
  <c r="L841" i="20"/>
  <c r="L849" i="20" s="1"/>
  <c r="L227" i="20" s="1"/>
  <c r="E225" i="20"/>
  <c r="E841" i="20"/>
  <c r="E849" i="20" s="1"/>
  <c r="P225" i="20"/>
  <c r="P841" i="20"/>
  <c r="P849" i="20" s="1"/>
  <c r="P227" i="20" s="1"/>
  <c r="H225" i="20"/>
  <c r="H841" i="20"/>
  <c r="H849" i="20" s="1"/>
  <c r="H227" i="20" s="1"/>
  <c r="K225" i="20"/>
  <c r="K841" i="20"/>
  <c r="K849" i="20" s="1"/>
  <c r="K227" i="20" s="1"/>
  <c r="E409" i="20"/>
  <c r="E418" i="20" s="1"/>
  <c r="I67" i="20"/>
  <c r="I409" i="20"/>
  <c r="I418" i="20" s="1"/>
  <c r="I69" i="20" s="1"/>
  <c r="J225" i="20"/>
  <c r="J841" i="20"/>
  <c r="J849" i="20" s="1"/>
  <c r="J227" i="20" s="1"/>
  <c r="P67" i="20"/>
  <c r="P409" i="20"/>
  <c r="P418" i="20" s="1"/>
  <c r="P69" i="20" s="1"/>
  <c r="F67" i="20"/>
  <c r="F409" i="20"/>
  <c r="F418" i="20" s="1"/>
  <c r="F69" i="20" s="1"/>
  <c r="Q405" i="20" l="1"/>
  <c r="G57" i="26"/>
  <c r="I57" i="26" s="1"/>
  <c r="M67" i="20"/>
  <c r="K409" i="20"/>
  <c r="K418" i="20" s="1"/>
  <c r="K69" i="20" s="1"/>
  <c r="H67" i="20"/>
  <c r="N409" i="20"/>
  <c r="N418" i="20" s="1"/>
  <c r="N69" i="20" s="1"/>
  <c r="Q841" i="20"/>
  <c r="D66" i="22"/>
  <c r="F19" i="20"/>
  <c r="J26" i="20"/>
  <c r="I19" i="20"/>
  <c r="G66" i="22"/>
  <c r="K26" i="20"/>
  <c r="L26" i="20"/>
  <c r="M66" i="22"/>
  <c r="O19" i="20"/>
  <c r="I26" i="20"/>
  <c r="O26" i="20"/>
  <c r="P26" i="20"/>
  <c r="N66" i="22"/>
  <c r="P19" i="20"/>
  <c r="H26" i="20"/>
  <c r="N26" i="20"/>
  <c r="H66" i="22"/>
  <c r="J19" i="20"/>
  <c r="M26" i="20"/>
  <c r="G26" i="20"/>
  <c r="F26" i="20"/>
  <c r="G19" i="20"/>
  <c r="E66" i="22"/>
  <c r="K66" i="22"/>
  <c r="M19" i="20"/>
  <c r="Q225" i="20"/>
  <c r="H19" i="20"/>
  <c r="F66" i="22"/>
  <c r="J66" i="22"/>
  <c r="K19" i="20" l="1"/>
  <c r="N19" i="20"/>
  <c r="Q67" i="20"/>
  <c r="I66" i="22"/>
  <c r="Q409" i="20"/>
  <c r="L66" i="22"/>
  <c r="Q849" i="20"/>
  <c r="E227" i="20"/>
  <c r="Q418" i="20"/>
  <c r="E69" i="20"/>
  <c r="J57" i="26"/>
  <c r="J62" i="26" l="1"/>
  <c r="J63" i="26"/>
  <c r="J66" i="26"/>
  <c r="J67" i="26"/>
  <c r="J70" i="26"/>
  <c r="J69" i="26"/>
  <c r="J64" i="26"/>
  <c r="Q227" i="20"/>
  <c r="E26" i="20"/>
  <c r="C66" i="22"/>
  <c r="E19" i="20"/>
  <c r="Q69" i="20"/>
  <c r="H36" i="14" l="1"/>
  <c r="I36" i="14" s="1"/>
  <c r="J36" i="14" s="1"/>
  <c r="O66" i="22"/>
  <c r="Q26" i="20"/>
  <c r="H19" i="14"/>
  <c r="I19" i="14" s="1"/>
  <c r="H13" i="26"/>
  <c r="G13" i="26" s="1"/>
  <c r="Q19" i="20"/>
  <c r="E44" i="19" l="1"/>
  <c r="J19" i="14" l="1"/>
  <c r="I13" i="26"/>
  <c r="J13" i="26"/>
  <c r="J22" i="26" l="1"/>
  <c r="J20" i="26"/>
  <c r="J18" i="26"/>
  <c r="J26" i="26"/>
  <c r="J25" i="26"/>
  <c r="J23" i="26"/>
  <c r="J19" i="26"/>
  <c r="F153" i="26" l="1"/>
  <c r="G153" i="26"/>
  <c r="H158" i="26"/>
  <c r="H153" i="26" l="1"/>
  <c r="G270" i="26" l="1"/>
  <c r="G271" i="26"/>
  <c r="K271" i="26" l="1"/>
  <c r="G274" i="26"/>
  <c r="V34" i="1"/>
  <c r="E30" i="27"/>
  <c r="D787" i="20" l="1"/>
  <c r="I787" i="20" s="1"/>
  <c r="E121" i="28"/>
  <c r="G276" i="26"/>
  <c r="F276" i="26" s="1"/>
  <c r="K787" i="20"/>
  <c r="G787" i="20"/>
  <c r="O787" i="20"/>
  <c r="M787" i="20"/>
  <c r="E787" i="20"/>
  <c r="L787" i="20"/>
  <c r="N787" i="20"/>
  <c r="J787" i="20"/>
  <c r="H787" i="20"/>
  <c r="F787" i="20"/>
  <c r="P787" i="20"/>
  <c r="Q34" i="1" l="1"/>
  <c r="K276" i="26"/>
  <c r="K277" i="26" s="1"/>
  <c r="K279" i="26" s="1"/>
  <c r="G277" i="26"/>
  <c r="Q787" i="20"/>
  <c r="D791" i="20" l="1"/>
  <c r="P791" i="20" s="1"/>
  <c r="P793" i="20" s="1"/>
  <c r="P198" i="20" s="1"/>
  <c r="D125" i="28"/>
  <c r="E125" i="28" s="1"/>
  <c r="E129" i="28" s="1"/>
  <c r="E31" i="27"/>
  <c r="I791" i="20" l="1"/>
  <c r="I793" i="20" s="1"/>
  <c r="I198" i="20" s="1"/>
  <c r="O791" i="20"/>
  <c r="O793" i="20" s="1"/>
  <c r="O198" i="20" s="1"/>
  <c r="G791" i="20"/>
  <c r="G793" i="20" s="1"/>
  <c r="G198" i="20" s="1"/>
  <c r="N791" i="20"/>
  <c r="N793" i="20" s="1"/>
  <c r="N198" i="20" s="1"/>
  <c r="F791" i="20"/>
  <c r="F793" i="20" s="1"/>
  <c r="F198" i="20" s="1"/>
  <c r="M791" i="20"/>
  <c r="M793" i="20" s="1"/>
  <c r="M198" i="20" s="1"/>
  <c r="J791" i="20"/>
  <c r="J793" i="20" s="1"/>
  <c r="J198" i="20" s="1"/>
  <c r="H791" i="20"/>
  <c r="H793" i="20" s="1"/>
  <c r="H198" i="20" s="1"/>
  <c r="E133" i="28"/>
  <c r="E131" i="28"/>
  <c r="E791" i="20"/>
  <c r="E793" i="20" s="1"/>
  <c r="E198" i="20" s="1"/>
  <c r="K791" i="20"/>
  <c r="K793" i="20" s="1"/>
  <c r="K198" i="20" s="1"/>
  <c r="L791" i="20"/>
  <c r="L793" i="20" s="1"/>
  <c r="L198" i="20" s="1"/>
  <c r="P797" i="20"/>
  <c r="I797" i="20"/>
  <c r="O797" i="20" l="1"/>
  <c r="O804" i="20" s="1"/>
  <c r="O200" i="20" s="1"/>
  <c r="M797" i="20"/>
  <c r="M804" i="20" s="1"/>
  <c r="M200" i="20" s="1"/>
  <c r="H797" i="20"/>
  <c r="H804" i="20" s="1"/>
  <c r="H200" i="20" s="1"/>
  <c r="G797" i="20"/>
  <c r="G804" i="20" s="1"/>
  <c r="G200" i="20" s="1"/>
  <c r="J797" i="20"/>
  <c r="J804" i="20" s="1"/>
  <c r="J200" i="20" s="1"/>
  <c r="Q791" i="20"/>
  <c r="H61" i="26" s="1"/>
  <c r="G61" i="26" s="1"/>
  <c r="K797" i="20"/>
  <c r="K804" i="20" s="1"/>
  <c r="K200" i="20" s="1"/>
  <c r="E797" i="20"/>
  <c r="E804" i="20" s="1"/>
  <c r="L797" i="20"/>
  <c r="L804" i="20" s="1"/>
  <c r="L200" i="20" s="1"/>
  <c r="P804" i="20"/>
  <c r="P200" i="20" s="1"/>
  <c r="I804" i="20"/>
  <c r="I200" i="20" s="1"/>
  <c r="N797" i="20"/>
  <c r="F797" i="20"/>
  <c r="Q793" i="20"/>
  <c r="E69" i="22" l="1"/>
  <c r="E70" i="22" s="1"/>
  <c r="G22" i="20"/>
  <c r="G23" i="20" s="1"/>
  <c r="J22" i="20"/>
  <c r="J23" i="20" s="1"/>
  <c r="H69" i="22"/>
  <c r="H70" i="22" s="1"/>
  <c r="P22" i="20"/>
  <c r="P23" i="20" s="1"/>
  <c r="N69" i="22"/>
  <c r="N70" i="22" s="1"/>
  <c r="H22" i="20"/>
  <c r="H23" i="20" s="1"/>
  <c r="F69" i="22"/>
  <c r="F70" i="22" s="1"/>
  <c r="K69" i="22"/>
  <c r="K70" i="22" s="1"/>
  <c r="M22" i="20"/>
  <c r="M23" i="20" s="1"/>
  <c r="G69" i="22"/>
  <c r="G70" i="22" s="1"/>
  <c r="I22" i="20"/>
  <c r="I23" i="20" s="1"/>
  <c r="K22" i="20"/>
  <c r="K23" i="20" s="1"/>
  <c r="I69" i="22"/>
  <c r="I70" i="22" s="1"/>
  <c r="L22" i="20"/>
  <c r="L23" i="20" s="1"/>
  <c r="J69" i="22"/>
  <c r="J70" i="22" s="1"/>
  <c r="N804" i="20"/>
  <c r="N200" i="20" s="1"/>
  <c r="M69" i="22"/>
  <c r="M70" i="22" s="1"/>
  <c r="F804" i="20"/>
  <c r="F200" i="20" s="1"/>
  <c r="O22" i="20"/>
  <c r="O23" i="20" s="1"/>
  <c r="Q198" i="20"/>
  <c r="Q797" i="20"/>
  <c r="J61" i="26"/>
  <c r="I61" i="26"/>
  <c r="E200" i="20"/>
  <c r="Q804" i="20" l="1"/>
  <c r="F22" i="20"/>
  <c r="F23" i="20" s="1"/>
  <c r="D69" i="22"/>
  <c r="D70" i="22" s="1"/>
  <c r="N22" i="20"/>
  <c r="N23" i="20" s="1"/>
  <c r="L69" i="22"/>
  <c r="L70" i="22" s="1"/>
  <c r="E22" i="20"/>
  <c r="C69" i="22"/>
  <c r="Q200" i="20"/>
  <c r="O69" i="22" l="1"/>
  <c r="O70" i="22" s="1"/>
  <c r="C70" i="22"/>
  <c r="H32" i="14"/>
  <c r="H17" i="26"/>
  <c r="E23" i="20"/>
  <c r="Q22" i="20"/>
  <c r="G17" i="26" l="1"/>
  <c r="E48" i="19"/>
  <c r="I32" i="14"/>
  <c r="Q23" i="20"/>
  <c r="I17" i="26" l="1"/>
  <c r="J17" i="26"/>
  <c r="J32" i="14"/>
  <c r="G286" i="26"/>
  <c r="G287" i="26" l="1"/>
  <c r="F288" i="26" s="1"/>
  <c r="I158" i="26"/>
  <c r="I153" i="26"/>
  <c r="E153" i="26" s="1"/>
  <c r="D153" i="26" s="1"/>
  <c r="G288" i="26" l="1"/>
  <c r="D158" i="26"/>
  <c r="I159" i="26" s="1"/>
  <c r="E34" i="27" l="1"/>
  <c r="G290" i="26"/>
  <c r="V45" i="1"/>
  <c r="D1094" i="20" s="1"/>
  <c r="G1094" i="20" s="1"/>
  <c r="H159" i="26"/>
  <c r="F159" i="26"/>
  <c r="G159" i="26"/>
  <c r="G292" i="26" l="1"/>
  <c r="F292" i="26" s="1"/>
  <c r="K288" i="26"/>
  <c r="E210" i="28"/>
  <c r="J1094" i="20"/>
  <c r="N1094" i="20"/>
  <c r="L1094" i="20"/>
  <c r="I1094" i="20"/>
  <c r="F1094" i="20"/>
  <c r="O1094" i="20"/>
  <c r="E1094" i="20"/>
  <c r="M1094" i="20"/>
  <c r="K1094" i="20"/>
  <c r="P1094" i="20"/>
  <c r="H1094" i="20"/>
  <c r="E159" i="26"/>
  <c r="D159" i="26" s="1"/>
  <c r="G293" i="26" l="1"/>
  <c r="Q45" i="1"/>
  <c r="K292" i="26"/>
  <c r="K293" i="26" s="1"/>
  <c r="K295" i="26" s="1"/>
  <c r="Q1094" i="20"/>
  <c r="E35" i="27" l="1"/>
  <c r="D1098" i="20"/>
  <c r="D213" i="28"/>
  <c r="E213" i="28" s="1"/>
  <c r="E221" i="28" s="1"/>
  <c r="E217" i="28" l="1"/>
  <c r="E219" i="28" s="1"/>
  <c r="E1098" i="20"/>
  <c r="E1100" i="20" s="1"/>
  <c r="F1098" i="20"/>
  <c r="F1100" i="20" s="1"/>
  <c r="I1098" i="20"/>
  <c r="I1100" i="20" s="1"/>
  <c r="K1098" i="20"/>
  <c r="K1100" i="20" s="1"/>
  <c r="L1098" i="20"/>
  <c r="L1100" i="20" s="1"/>
  <c r="N1098" i="20"/>
  <c r="N1100" i="20" s="1"/>
  <c r="M1098" i="20"/>
  <c r="M1100" i="20" s="1"/>
  <c r="G1098" i="20"/>
  <c r="G1100" i="20" s="1"/>
  <c r="O1098" i="20"/>
  <c r="O1100" i="20" s="1"/>
  <c r="J1098" i="20"/>
  <c r="J1100" i="20" s="1"/>
  <c r="P1098" i="20"/>
  <c r="H1098" i="20"/>
  <c r="H1100" i="20" s="1"/>
  <c r="P1100" i="20" l="1"/>
  <c r="Q1098" i="20"/>
  <c r="H71" i="26" l="1"/>
  <c r="G295" i="20"/>
  <c r="G1104" i="20"/>
  <c r="G297" i="20" s="1"/>
  <c r="M1104" i="20"/>
  <c r="M297" i="20" s="1"/>
  <c r="M295" i="20"/>
  <c r="K1104" i="20"/>
  <c r="K297" i="20" s="1"/>
  <c r="K295" i="20"/>
  <c r="F295" i="20"/>
  <c r="F1104" i="20"/>
  <c r="F297" i="20" s="1"/>
  <c r="L295" i="20"/>
  <c r="L1104" i="20"/>
  <c r="L297" i="20" s="1"/>
  <c r="H1104" i="20"/>
  <c r="H297" i="20" s="1"/>
  <c r="H295" i="20"/>
  <c r="O295" i="20"/>
  <c r="O1104" i="20"/>
  <c r="O297" i="20" s="1"/>
  <c r="I1104" i="20"/>
  <c r="I297" i="20" s="1"/>
  <c r="I295" i="20"/>
  <c r="P1104" i="20"/>
  <c r="P297" i="20" s="1"/>
  <c r="P295" i="20"/>
  <c r="N295" i="20"/>
  <c r="N1104" i="20"/>
  <c r="N297" i="20" s="1"/>
  <c r="E295" i="20"/>
  <c r="E1104" i="20"/>
  <c r="Q1100" i="20"/>
  <c r="J1104" i="20"/>
  <c r="J297" i="20" s="1"/>
  <c r="J295" i="20"/>
  <c r="M28" i="20" l="1"/>
  <c r="M361" i="20"/>
  <c r="K72" i="22"/>
  <c r="J28" i="20"/>
  <c r="J361" i="20"/>
  <c r="H72" i="22"/>
  <c r="E297" i="20"/>
  <c r="Q1104" i="20"/>
  <c r="N361" i="20"/>
  <c r="L72" i="22"/>
  <c r="N28" i="20"/>
  <c r="O361" i="20"/>
  <c r="M72" i="22"/>
  <c r="O28" i="20"/>
  <c r="D72" i="22"/>
  <c r="F361" i="20"/>
  <c r="F28" i="20"/>
  <c r="H78" i="26"/>
  <c r="G71" i="26"/>
  <c r="K28" i="20"/>
  <c r="I72" i="22"/>
  <c r="K361" i="20"/>
  <c r="E72" i="22"/>
  <c r="G361" i="20"/>
  <c r="G28" i="20"/>
  <c r="Q295" i="20"/>
  <c r="I361" i="20"/>
  <c r="I28" i="20"/>
  <c r="G72" i="22"/>
  <c r="P361" i="20"/>
  <c r="N72" i="22"/>
  <c r="P28" i="20"/>
  <c r="F72" i="22"/>
  <c r="H28" i="20"/>
  <c r="H361" i="20"/>
  <c r="J72" i="22"/>
  <c r="L28" i="20"/>
  <c r="L361" i="20"/>
  <c r="G78" i="26" l="1"/>
  <c r="J71" i="26"/>
  <c r="I71" i="26"/>
  <c r="E361" i="20"/>
  <c r="Q361" i="20" s="1"/>
  <c r="C72" i="22"/>
  <c r="O72" i="22" s="1"/>
  <c r="Q297" i="20"/>
  <c r="E28" i="20"/>
  <c r="Q28" i="20" s="1"/>
  <c r="I78" i="26" l="1"/>
  <c r="H43" i="14"/>
  <c r="H27" i="26"/>
  <c r="J74" i="26"/>
  <c r="J75" i="26"/>
  <c r="E49" i="19" l="1"/>
  <c r="F55" i="19" s="1"/>
  <c r="F57" i="19" s="1"/>
  <c r="F59" i="19" s="1"/>
  <c r="G27" i="26"/>
  <c r="I43" i="14"/>
  <c r="H51" i="14"/>
  <c r="J27" i="26" l="1"/>
  <c r="I27" i="26"/>
  <c r="I51" i="14"/>
  <c r="J51" i="14" s="1"/>
  <c r="J43" i="14"/>
  <c r="I365" i="20"/>
  <c r="L365" i="20"/>
  <c r="H365" i="20"/>
  <c r="K365" i="20"/>
  <c r="G365" i="20"/>
  <c r="N365" i="20"/>
  <c r="M365" i="20"/>
  <c r="F365" i="20"/>
  <c r="P365" i="20"/>
  <c r="O365" i="20"/>
  <c r="J365" i="20"/>
  <c r="E365" i="20"/>
  <c r="Q365" i="20" l="1"/>
  <c r="H36" i="26" s="1"/>
  <c r="G36" i="26" s="1"/>
  <c r="E371" i="20"/>
  <c r="E29" i="20"/>
  <c r="F371" i="20"/>
  <c r="F29" i="20"/>
  <c r="F34" i="20" s="1"/>
  <c r="F36" i="20" s="1"/>
  <c r="K29" i="20"/>
  <c r="K34" i="20" s="1"/>
  <c r="K36" i="20" s="1"/>
  <c r="K371" i="20"/>
  <c r="J29" i="20"/>
  <c r="J34" i="20" s="1"/>
  <c r="J36" i="20" s="1"/>
  <c r="J371" i="20"/>
  <c r="M371" i="20"/>
  <c r="M29" i="20"/>
  <c r="M34" i="20" s="1"/>
  <c r="M36" i="20" s="1"/>
  <c r="H29" i="20"/>
  <c r="H34" i="20" s="1"/>
  <c r="H36" i="20" s="1"/>
  <c r="H371" i="20"/>
  <c r="O29" i="20"/>
  <c r="O34" i="20" s="1"/>
  <c r="O36" i="20" s="1"/>
  <c r="O371" i="20"/>
  <c r="N29" i="20"/>
  <c r="N34" i="20" s="1"/>
  <c r="N36" i="20" s="1"/>
  <c r="N371" i="20"/>
  <c r="L29" i="20"/>
  <c r="L34" i="20" s="1"/>
  <c r="L36" i="20" s="1"/>
  <c r="L371" i="20"/>
  <c r="P371" i="20"/>
  <c r="P29" i="20"/>
  <c r="P34" i="20" s="1"/>
  <c r="P36" i="20" s="1"/>
  <c r="G371" i="20"/>
  <c r="G29" i="20"/>
  <c r="G34" i="20" s="1"/>
  <c r="G36" i="20" s="1"/>
  <c r="I29" i="20"/>
  <c r="I34" i="20" s="1"/>
  <c r="I36" i="20" s="1"/>
  <c r="I371" i="20"/>
  <c r="J30" i="26"/>
  <c r="J31" i="26"/>
  <c r="D73" i="22" l="1"/>
  <c r="D75" i="22" s="1"/>
  <c r="D78" i="22" s="1"/>
  <c r="F373" i="20"/>
  <c r="O373" i="20"/>
  <c r="M73" i="22"/>
  <c r="M75" i="22" s="1"/>
  <c r="M78" i="22" s="1"/>
  <c r="K373" i="20"/>
  <c r="I73" i="22"/>
  <c r="I75" i="22" s="1"/>
  <c r="I78" i="22" s="1"/>
  <c r="E73" i="22"/>
  <c r="E75" i="22" s="1"/>
  <c r="E78" i="22" s="1"/>
  <c r="G373" i="20"/>
  <c r="M373" i="20"/>
  <c r="K73" i="22"/>
  <c r="K75" i="22" s="1"/>
  <c r="K78" i="22" s="1"/>
  <c r="H42" i="26"/>
  <c r="N73" i="22"/>
  <c r="P373" i="20"/>
  <c r="J73" i="22"/>
  <c r="J75" i="22" s="1"/>
  <c r="J78" i="22" s="1"/>
  <c r="L373" i="20"/>
  <c r="Q29" i="20"/>
  <c r="E34" i="20"/>
  <c r="E36" i="20" s="1"/>
  <c r="Q36" i="20" s="1"/>
  <c r="I373" i="20"/>
  <c r="G73" i="22"/>
  <c r="G75" i="22" s="1"/>
  <c r="G78" i="22" s="1"/>
  <c r="L73" i="22"/>
  <c r="L75" i="22" s="1"/>
  <c r="L78" i="22" s="1"/>
  <c r="N373" i="20"/>
  <c r="F73" i="22"/>
  <c r="F75" i="22" s="1"/>
  <c r="F78" i="22" s="1"/>
  <c r="H373" i="20"/>
  <c r="J373" i="20"/>
  <c r="H73" i="22"/>
  <c r="H75" i="22" s="1"/>
  <c r="H78" i="22" s="1"/>
  <c r="Q371" i="20"/>
  <c r="Q373" i="20" s="1"/>
  <c r="C73" i="22"/>
  <c r="E373" i="20"/>
  <c r="N75" i="22" l="1"/>
  <c r="N78" i="22" s="1"/>
  <c r="C75" i="22"/>
  <c r="O73" i="22"/>
  <c r="G42" i="26"/>
  <c r="I36" i="26"/>
  <c r="Q34" i="20"/>
  <c r="H55" i="14"/>
  <c r="O75" i="22" l="1"/>
  <c r="O78" i="22" s="1"/>
  <c r="I42" i="26"/>
  <c r="H61" i="14"/>
  <c r="H63" i="14" s="1"/>
  <c r="I55" i="14"/>
  <c r="C78" i="22"/>
  <c r="J55" i="14" l="1"/>
  <c r="I61" i="14"/>
  <c r="J61" i="14" l="1"/>
  <c r="I63" i="14"/>
  <c r="J63" i="14" s="1"/>
  <c r="A1038" i="8" l="1"/>
  <c r="A1039" i="8" s="1"/>
  <c r="A1041" i="8" s="1"/>
  <c r="A1043" i="8" s="1"/>
  <c r="A1045" i="8" s="1"/>
  <c r="A1047" i="8" s="1"/>
  <c r="A1049" i="8" s="1"/>
  <c r="A1050" i="8" s="1"/>
  <c r="A1051" i="8" s="1"/>
  <c r="A1052" i="8" s="1"/>
  <c r="A1054" i="8" s="1"/>
  <c r="A1055" i="8" s="1"/>
  <c r="A1056" i="8" s="1"/>
  <c r="A1057" i="8" s="1"/>
  <c r="A1058" i="8" s="1"/>
  <c r="A1060" i="8" s="1"/>
  <c r="A1061" i="8" s="1"/>
  <c r="A1062" i="8" s="1"/>
  <c r="A1063" i="8" s="1"/>
  <c r="A1064" i="8" s="1"/>
  <c r="A1066" i="8" l="1"/>
  <c r="A1067" i="8" s="1"/>
  <c r="A1068" i="8" s="1"/>
  <c r="A1070" i="8" s="1"/>
  <c r="A1072" i="8" s="1"/>
  <c r="Q804" i="8" l="1"/>
  <c r="Q778" i="8" l="1"/>
  <c r="Q779" i="8"/>
</calcChain>
</file>

<file path=xl/sharedStrings.xml><?xml version="1.0" encoding="utf-8"?>
<sst xmlns="http://schemas.openxmlformats.org/spreadsheetml/2006/main" count="4090" uniqueCount="607">
  <si>
    <t>Rate</t>
  </si>
  <si>
    <t>Line</t>
  </si>
  <si>
    <t>Schedule</t>
  </si>
  <si>
    <t>No.</t>
  </si>
  <si>
    <t>Description</t>
  </si>
  <si>
    <t>Adjusted</t>
  </si>
  <si>
    <t>(1)</t>
  </si>
  <si>
    <t>(2)</t>
  </si>
  <si>
    <t>(4)</t>
  </si>
  <si>
    <t>Total</t>
  </si>
  <si>
    <t>Tariff Sales Summary by Customer Class</t>
  </si>
  <si>
    <t>Total Residential Sales</t>
  </si>
  <si>
    <t>Total Commercial Sales</t>
  </si>
  <si>
    <t>Total Industrial Sales</t>
  </si>
  <si>
    <t>Total Tariff Sales</t>
  </si>
  <si>
    <t>Transportation Summary by Customer Class</t>
  </si>
  <si>
    <t>Total Commercial Transportation</t>
  </si>
  <si>
    <t>Total Industrial Transportation</t>
  </si>
  <si>
    <t>Total Transportation</t>
  </si>
  <si>
    <t>Total Company Throughput</t>
  </si>
  <si>
    <t>Revenue</t>
  </si>
  <si>
    <t>(3)</t>
  </si>
  <si>
    <t>Mcf</t>
  </si>
  <si>
    <t>$/Mcf</t>
  </si>
  <si>
    <t>$</t>
  </si>
  <si>
    <t>Bills</t>
  </si>
  <si>
    <t>Volumes</t>
  </si>
  <si>
    <t>Incremental</t>
  </si>
  <si>
    <t>(Mcf)</t>
  </si>
  <si>
    <t>Mo</t>
  </si>
  <si>
    <t>Proposed</t>
  </si>
  <si>
    <t>Service</t>
  </si>
  <si>
    <t>Began/</t>
  </si>
  <si>
    <t>Acct No.</t>
  </si>
  <si>
    <t>Terminated</t>
  </si>
  <si>
    <t>Total Residential Transportation</t>
  </si>
  <si>
    <t>Columbia Gas of Kentucky, Inc.</t>
  </si>
  <si>
    <t>Schedule M</t>
  </si>
  <si>
    <t xml:space="preserve">Case No. </t>
  </si>
  <si>
    <t>(Gas Service)</t>
  </si>
  <si>
    <t>Code</t>
  </si>
  <si>
    <t>Class/</t>
  </si>
  <si>
    <t>(A)</t>
  </si>
  <si>
    <t>(B)</t>
  </si>
  <si>
    <t>Customer</t>
  </si>
  <si>
    <t>(C)</t>
  </si>
  <si>
    <t>(D)</t>
  </si>
  <si>
    <t>Current</t>
  </si>
  <si>
    <t>Rates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</si>
  <si>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</si>
  <si>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</si>
  <si>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</si>
  <si>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</si>
  <si>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</si>
  <si>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</si>
  <si>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</si>
  <si>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</si>
  <si>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</si>
  <si>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</si>
  <si>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</si>
  <si>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($)</t>
  </si>
  <si>
    <t>(%)</t>
  </si>
  <si>
    <t>Witness:</t>
  </si>
  <si>
    <t>Work Paper Reference No(s):</t>
  </si>
  <si>
    <t>Schedule M-2.1</t>
  </si>
  <si>
    <t>Schedule M-2.3</t>
  </si>
  <si>
    <t>Classification</t>
  </si>
  <si>
    <t>Revenue At</t>
  </si>
  <si>
    <t>Present</t>
  </si>
  <si>
    <t>Change</t>
  </si>
  <si>
    <t>% Of</t>
  </si>
  <si>
    <t>Total Wholesale Sales</t>
  </si>
  <si>
    <t>Total  Wholesale Sales</t>
  </si>
  <si>
    <t>DS3</t>
  </si>
  <si>
    <t>GSO</t>
  </si>
  <si>
    <t>GSR</t>
  </si>
  <si>
    <t>General Service - Residential</t>
  </si>
  <si>
    <t>G1C</t>
  </si>
  <si>
    <t>LG&amp;E Commercial</t>
  </si>
  <si>
    <t>G1R</t>
  </si>
  <si>
    <t>LG&amp;E Residential</t>
  </si>
  <si>
    <t>IN3</t>
  </si>
  <si>
    <t>Inland Gas General Service - Residential</t>
  </si>
  <si>
    <t>Inland Gas General Service - Commercial</t>
  </si>
  <si>
    <t>IN4</t>
  </si>
  <si>
    <t>IN5</t>
  </si>
  <si>
    <t>LG2</t>
  </si>
  <si>
    <t xml:space="preserve">LG&amp;E Residential </t>
  </si>
  <si>
    <t>LG3</t>
  </si>
  <si>
    <t>LG4</t>
  </si>
  <si>
    <t>General Service - Commercial</t>
  </si>
  <si>
    <t>General Service - Industrial</t>
  </si>
  <si>
    <t>IUS</t>
  </si>
  <si>
    <t>Intrastate Utility Service - Wholesale</t>
  </si>
  <si>
    <t>Sales Service</t>
  </si>
  <si>
    <t>Transportation Service</t>
  </si>
  <si>
    <t>GTR</t>
  </si>
  <si>
    <t>GTO</t>
  </si>
  <si>
    <t>FX1</t>
  </si>
  <si>
    <t>FX2</t>
  </si>
  <si>
    <t>FX5</t>
  </si>
  <si>
    <t>SC3</t>
  </si>
  <si>
    <t>Other Gas Department Revenue</t>
  </si>
  <si>
    <t>Acct. 488 Miscellaneous Service Revenue</t>
  </si>
  <si>
    <t>Acct. 495 Non-Traditional Sales</t>
  </si>
  <si>
    <t>Acct. 495 Other Gas Revenues - Other</t>
  </si>
  <si>
    <t>Total Sales and Transportation</t>
  </si>
  <si>
    <t>Total Other Gas Department Revenue</t>
  </si>
  <si>
    <t>Total Gross Revenue</t>
  </si>
  <si>
    <t>RESIDENTIAL</t>
  </si>
  <si>
    <t>All Gas Consumed</t>
  </si>
  <si>
    <t>COMMERCIAL</t>
  </si>
  <si>
    <t>INDUSTRIAL</t>
  </si>
  <si>
    <t>[1] Reflects Normalized Volumes.</t>
  </si>
  <si>
    <t xml:space="preserve">Expected Gas Cost Firm Commodity Rate: </t>
  </si>
  <si>
    <t>WHOLESALE</t>
  </si>
  <si>
    <t xml:space="preserve">GTS Choice - Residential </t>
  </si>
  <si>
    <t>GTS Choice - Commercial</t>
  </si>
  <si>
    <t>GTS Choice - Industrial</t>
  </si>
  <si>
    <t>GTS Special Rate - Industrial</t>
  </si>
  <si>
    <t>GTS Main Line Service - Industrial</t>
  </si>
  <si>
    <t>GTS Flex Rate - Industrial</t>
  </si>
  <si>
    <t>GTS Flex Rate - Commercial</t>
  </si>
  <si>
    <t>Input area:</t>
  </si>
  <si>
    <t>Total Other Gas Departnemt Revenue</t>
  </si>
  <si>
    <t>Rate Code</t>
  </si>
  <si>
    <t>Rate Schedule Name</t>
  </si>
  <si>
    <t>First Block</t>
  </si>
  <si>
    <t>Second Block</t>
  </si>
  <si>
    <t>Third Block</t>
  </si>
  <si>
    <t>Fourth Block</t>
  </si>
  <si>
    <t>Fifth Block</t>
  </si>
  <si>
    <t>Cust Chg.</t>
  </si>
  <si>
    <t>Current Rates</t>
  </si>
  <si>
    <t>Proposed Rates</t>
  </si>
  <si>
    <t>Less:</t>
  </si>
  <si>
    <t>FX7</t>
  </si>
  <si>
    <t>SAS</t>
  </si>
  <si>
    <t>GTS Special Agency Service</t>
  </si>
  <si>
    <t>EAP</t>
  </si>
  <si>
    <t>R&amp;D</t>
  </si>
  <si>
    <t>M-2.2</t>
  </si>
  <si>
    <t>Revenue @</t>
  </si>
  <si>
    <t>DESCRIPTION</t>
  </si>
  <si>
    <t>Increase</t>
  </si>
  <si>
    <t>%</t>
  </si>
  <si>
    <t>Current Rev</t>
  </si>
  <si>
    <t>Inc. (Dec.)</t>
  </si>
  <si>
    <t>Gas Cost Revenue</t>
  </si>
  <si>
    <t>Net Volumetric Base Revenue</t>
  </si>
  <si>
    <t>LG2 Residential</t>
  </si>
  <si>
    <t>LG2 Commercial</t>
  </si>
  <si>
    <t>LG3 Residential</t>
  </si>
  <si>
    <t>LG4 Residential</t>
  </si>
  <si>
    <t>Admin chg.</t>
  </si>
  <si>
    <t>Admin chg</t>
  </si>
  <si>
    <t>GSR/GTR Residential</t>
  </si>
  <si>
    <t>GSR/GTR Rate Design</t>
  </si>
  <si>
    <t>DS</t>
  </si>
  <si>
    <t>GTS Delivery Service - Commercial</t>
  </si>
  <si>
    <t>GTS Delivery Service - Industrial</t>
  </si>
  <si>
    <t>GDS</t>
  </si>
  <si>
    <t>GTS Grandfathered Delivery Service - Commercial</t>
  </si>
  <si>
    <t>GTS Grandfathered Delivery Service - Industrial</t>
  </si>
  <si>
    <t>Test Year Volumes</t>
  </si>
  <si>
    <t>DS-Ind</t>
  </si>
  <si>
    <t>Additional Volumes (First 50 Mcf)</t>
  </si>
  <si>
    <t>Additional Volumes (Next 350 Mcf)</t>
  </si>
  <si>
    <t>Additional Volumes (Next 600 Mcf)</t>
  </si>
  <si>
    <t>Additional Volumes (Over 1,000 Mcf)</t>
  </si>
  <si>
    <t>GSO/GTO/GDS</t>
  </si>
  <si>
    <t>Gas Cost Adjustment Rate:</t>
  </si>
  <si>
    <t xml:space="preserve">Gas Cost Adjustment Firm Commodity Rate: </t>
  </si>
  <si>
    <t xml:space="preserve">Gas Cost Adjustment Firm Demand Rate: </t>
  </si>
  <si>
    <t>Gas Cost Adjustment Date:</t>
  </si>
  <si>
    <t>Uncoll</t>
  </si>
  <si>
    <t>Acct. 487 Forfeited Discounts</t>
  </si>
  <si>
    <t xml:space="preserve">Acct. 487 Forfeited Discounts </t>
  </si>
  <si>
    <t>Change in Forfeited Discounts Revenue</t>
  </si>
  <si>
    <t>Detail</t>
  </si>
  <si>
    <t>Amount</t>
  </si>
  <si>
    <t>Test Year Revenue Subject to Late Payment Penalties:</t>
  </si>
  <si>
    <t>Proposed Revenue Subject to Late Payment Penalties:</t>
  </si>
  <si>
    <t>Reference</t>
  </si>
  <si>
    <t>Test Year Forfeited Discounts  (Account 487)</t>
  </si>
  <si>
    <t>Proposed  Forfeited Discounts  (Account 487)</t>
  </si>
  <si>
    <t>Proposed Adjustment to Account 487 Revenue</t>
  </si>
  <si>
    <t>Line 2 / Line 25</t>
  </si>
  <si>
    <t>DS/SAS</t>
  </si>
  <si>
    <t>EECP</t>
  </si>
  <si>
    <t>AMRP</t>
  </si>
  <si>
    <t>Current Annualized</t>
  </si>
  <si>
    <t>Number of Bills</t>
  </si>
  <si>
    <t>Riders:</t>
  </si>
  <si>
    <t>Volumes (Mcf)</t>
  </si>
  <si>
    <t>Adjustment to Test Year Bills and Mcf</t>
  </si>
  <si>
    <t>Adjustment to Bills and Mcf Generated By Industrial Customers</t>
  </si>
  <si>
    <t>Annualized Test Year Revenues at Proposed Rates</t>
  </si>
  <si>
    <t>Revenues At Present and Proposed Rates</t>
  </si>
  <si>
    <t>Customer Bills</t>
  </si>
  <si>
    <t>(P)</t>
  </si>
  <si>
    <t>Revenue Less Gas Cost</t>
  </si>
  <si>
    <t>Total Revenue</t>
  </si>
  <si>
    <t>Revenue Excluding Riders</t>
  </si>
  <si>
    <t>Commodity Charge</t>
  </si>
  <si>
    <t>Gas Cost Revenue [2]</t>
  </si>
  <si>
    <t>Volumes (Mcf) [1]</t>
  </si>
  <si>
    <t xml:space="preserve">  Customer Charge</t>
  </si>
  <si>
    <t xml:space="preserve">  Accelerated Main Replacement Program</t>
  </si>
  <si>
    <t xml:space="preserve">  Commodity Charge</t>
  </si>
  <si>
    <t xml:space="preserve">  Energy Efficiency Conservation Program</t>
  </si>
  <si>
    <t xml:space="preserve">  Gas Cost Uncollectible Charge</t>
  </si>
  <si>
    <t xml:space="preserve">  EAP Recovery</t>
  </si>
  <si>
    <t xml:space="preserve">  Total Riders</t>
  </si>
  <si>
    <t xml:space="preserve">  Administrative Charge</t>
  </si>
  <si>
    <t>Volumes (Mcf)[1]</t>
  </si>
  <si>
    <t xml:space="preserve">    Bills</t>
  </si>
  <si>
    <t xml:space="preserve">    Volumes</t>
  </si>
  <si>
    <t xml:space="preserve">    Revenue Less Gas Cost</t>
  </si>
  <si>
    <t xml:space="preserve">    Gas Cost</t>
  </si>
  <si>
    <r>
      <t xml:space="preserve">Type of Filing: </t>
    </r>
    <r>
      <rPr>
        <b/>
        <u/>
        <sz val="12"/>
        <rFont val="Arial"/>
        <family val="2"/>
      </rPr>
      <t>X</t>
    </r>
    <r>
      <rPr>
        <b/>
        <sz val="12"/>
        <rFont val="Arial"/>
        <family val="2"/>
      </rPr>
      <t xml:space="preserve"> Original _ Update _ Revised</t>
    </r>
  </si>
  <si>
    <t>FERC</t>
  </si>
  <si>
    <t>Acct</t>
  </si>
  <si>
    <t>Operating Revenue</t>
  </si>
  <si>
    <t>Sales of Gas</t>
  </si>
  <si>
    <t>Total Operating Revenue</t>
  </si>
  <si>
    <t xml:space="preserve">    Residential Sales Revenue</t>
  </si>
  <si>
    <t xml:space="preserve">    Commercial Sales Revenue</t>
  </si>
  <si>
    <t xml:space="preserve">    Industrial Sales Revenue</t>
  </si>
  <si>
    <t xml:space="preserve">    Total Sales of Gas</t>
  </si>
  <si>
    <t xml:space="preserve">    Public Utilities</t>
  </si>
  <si>
    <t xml:space="preserve">    Transportation Revenue - Residential</t>
  </si>
  <si>
    <t xml:space="preserve">    Transportation Revenue - Commercial</t>
  </si>
  <si>
    <t xml:space="preserve">    Transportation Revenue - Industrial</t>
  </si>
  <si>
    <t xml:space="preserve">    Forfeited Discounts</t>
  </si>
  <si>
    <t xml:space="preserve">    Miscellaneous Service Revenue</t>
  </si>
  <si>
    <t xml:space="preserve">    Non-Traditional Sales</t>
  </si>
  <si>
    <t xml:space="preserve">    Other Gas Revenues - Other</t>
  </si>
  <si>
    <t>Rate Schedule GSR - Residential</t>
  </si>
  <si>
    <t>Rate Schedule G1C - Commercial</t>
  </si>
  <si>
    <t>Rate Schedule G1R - Residential</t>
  </si>
  <si>
    <t xml:space="preserve">  Industrial Adjustment</t>
  </si>
  <si>
    <t>Rate Schedule IN3 - Residential</t>
  </si>
  <si>
    <t>Rate Schedule IN4 - Residential</t>
  </si>
  <si>
    <t>Rate Schedule IN5 - Residential</t>
  </si>
  <si>
    <t>Rate Schedule LG2 - Residential</t>
  </si>
  <si>
    <t>Rate Schedule LG2 - Commercial</t>
  </si>
  <si>
    <t>Rate Schedule LG3 - Residential</t>
  </si>
  <si>
    <t xml:space="preserve">    First 2 Mcf</t>
  </si>
  <si>
    <t xml:space="preserve">    Over 2 Mcf</t>
  </si>
  <si>
    <t>Rate Schedule LG4 - Residential</t>
  </si>
  <si>
    <t>Rate Schedule GSO - Commercial</t>
  </si>
  <si>
    <t xml:space="preserve">    First 50 Mcf</t>
  </si>
  <si>
    <t xml:space="preserve">    Next 350 Mcf</t>
  </si>
  <si>
    <t xml:space="preserve">    Next 600 Mcf</t>
  </si>
  <si>
    <t xml:space="preserve">    Over 1,000 Mcf</t>
  </si>
  <si>
    <t xml:space="preserve">  Adjusted Bills</t>
  </si>
  <si>
    <t>Rate Schedule DS - Commercial</t>
  </si>
  <si>
    <t>Rate Schedule GDS - Industrial</t>
  </si>
  <si>
    <t>Rate Schedule DS - Industrial</t>
  </si>
  <si>
    <t xml:space="preserve">  Adjusted Volumes</t>
  </si>
  <si>
    <t>Rate Schedule GSO - Industrial</t>
  </si>
  <si>
    <t>Rate Schedule IUS - Wholesale</t>
  </si>
  <si>
    <t>Rate Schedule GTR - Residential</t>
  </si>
  <si>
    <t>Rate Schedule GTO - Commercial</t>
  </si>
  <si>
    <t>Rate Schedule GTO - Industrial</t>
  </si>
  <si>
    <t xml:space="preserve">    First 30,000 Mcf</t>
  </si>
  <si>
    <t xml:space="preserve">    Over 30,000 Mcf</t>
  </si>
  <si>
    <t>Rate Schedule GDS - Commercial</t>
  </si>
  <si>
    <t>Rate Schedule DS3 - Industrial</t>
  </si>
  <si>
    <t>Rate Schedule FX1 - Commercial</t>
  </si>
  <si>
    <t>Rate Schedule FX2 - Commercial</t>
  </si>
  <si>
    <t>Rate Schedule FX5 - Industrial</t>
  </si>
  <si>
    <t>Rate Schedule FX7 - Industrial</t>
  </si>
  <si>
    <t xml:space="preserve">    First 25,000 Mcf</t>
  </si>
  <si>
    <t xml:space="preserve">    Over 25,000 Mcf</t>
  </si>
  <si>
    <t>Rate Schedule SAS - Commercial</t>
  </si>
  <si>
    <t>Rate Schedule SC3 - Industrial</t>
  </si>
  <si>
    <t xml:space="preserve">    First 150,000 Mcf</t>
  </si>
  <si>
    <t xml:space="preserve">    Over 150,000 Mcf</t>
  </si>
  <si>
    <t xml:space="preserve">IS </t>
  </si>
  <si>
    <t>Rate Schedule IS - Industrial</t>
  </si>
  <si>
    <t>Other Operating Revenue</t>
  </si>
  <si>
    <t xml:space="preserve">    Total Other Operating Revenue</t>
  </si>
  <si>
    <t>Total Adjusted Bills</t>
  </si>
  <si>
    <t>Total Adjusted Volumes</t>
  </si>
  <si>
    <t xml:space="preserve">  Bills</t>
  </si>
  <si>
    <t xml:space="preserve">  Finaled Bills</t>
  </si>
  <si>
    <t>IS</t>
  </si>
  <si>
    <t>Interruptible Service - Industrial</t>
  </si>
  <si>
    <t xml:space="preserve">Bills </t>
  </si>
  <si>
    <t>Proposed Annualized</t>
  </si>
  <si>
    <t>GST</t>
  </si>
  <si>
    <t>General Service - Trans Fallback - Comm</t>
  </si>
  <si>
    <t>General Service - Trans Fallback - Ind</t>
  </si>
  <si>
    <t>IST</t>
  </si>
  <si>
    <t>Interruptible Service  - Fallback - Commercial</t>
  </si>
  <si>
    <t>Interruptible Service  - Fallback - Industrial</t>
  </si>
  <si>
    <t>Total Company Bills</t>
  </si>
  <si>
    <t>12 Months Forecasted</t>
  </si>
  <si>
    <t>M-2.3</t>
  </si>
  <si>
    <t>Residential Sales</t>
  </si>
  <si>
    <t>Commercial Sales</t>
  </si>
  <si>
    <t>Industrial Sales</t>
  </si>
  <si>
    <t>Public Utilities</t>
  </si>
  <si>
    <t>Total Sales</t>
  </si>
  <si>
    <t>Transportation</t>
  </si>
  <si>
    <t>Other Revenue</t>
  </si>
  <si>
    <t>Total Operating Revenues</t>
  </si>
  <si>
    <t>Total Revenue (Excluding Gas Cost)</t>
  </si>
  <si>
    <t>Total Volumes</t>
  </si>
  <si>
    <t>Acct. 493 Rent from Gas Property</t>
  </si>
  <si>
    <t xml:space="preserve">    Rent from Gas Property</t>
  </si>
  <si>
    <t>Schedule M 2.1</t>
  </si>
  <si>
    <t>Total Gas Revenue</t>
  </si>
  <si>
    <t>Acct. 493 Rent From Gas Property</t>
  </si>
  <si>
    <t>PRESENT AND PROPOSED REVENUE AT FORECASTED PERIOD</t>
  </si>
  <si>
    <t>M-2.1</t>
  </si>
  <si>
    <t>BASE AND FORECASTED PERIOD AT PRESENT RATES</t>
  </si>
  <si>
    <t>M</t>
  </si>
  <si>
    <t>SCHEDULE</t>
  </si>
  <si>
    <t>FORECASTED PERIOD:</t>
  </si>
  <si>
    <t>BASE PERIOD :</t>
  </si>
  <si>
    <t>COLUMBIA GAS OF KENTUCKY, INC.</t>
  </si>
  <si>
    <t>REVENUE SUMMARY FOR BASE PERIOD AND FORECASTED PERIOD</t>
  </si>
  <si>
    <t>SCHEDULE  M</t>
  </si>
  <si>
    <t>X:\ERATE\CKY\RATECASE\1994\SCHC\INDEX.WK1</t>
  </si>
  <si>
    <r>
      <t xml:space="preserve">Data: __ Base Period </t>
    </r>
    <r>
      <rPr>
        <b/>
        <u/>
        <sz val="12"/>
        <rFont val="Arial"/>
        <family val="2"/>
      </rPr>
      <t>_X_</t>
    </r>
    <r>
      <rPr>
        <b/>
        <sz val="12"/>
        <rFont val="Arial"/>
        <family val="2"/>
      </rPr>
      <t>Forecasted Period</t>
    </r>
  </si>
  <si>
    <t>Page 3 of 3</t>
  </si>
  <si>
    <t>Page 2 of 3</t>
  </si>
  <si>
    <t>Workpaper WPM-A.2</t>
  </si>
  <si>
    <t>Workpaper WPM-B.2</t>
  </si>
  <si>
    <t>Workpaper WPM-C.2</t>
  </si>
  <si>
    <t>Ratio of Late Payment Penalties to Total Revenue</t>
  </si>
  <si>
    <r>
      <t>Data:</t>
    </r>
    <r>
      <rPr>
        <b/>
        <u/>
        <sz val="12"/>
        <rFont val="Arial"/>
        <family val="2"/>
      </rPr>
      <t xml:space="preserve"> __</t>
    </r>
    <r>
      <rPr>
        <b/>
        <sz val="12"/>
        <rFont val="Arial"/>
        <family val="2"/>
      </rPr>
      <t xml:space="preserve"> Base Period_</t>
    </r>
    <r>
      <rPr>
        <b/>
        <u/>
        <sz val="12"/>
        <rFont val="Arial"/>
        <family val="2"/>
      </rPr>
      <t>X</t>
    </r>
    <r>
      <rPr>
        <b/>
        <sz val="12"/>
        <rFont val="Arial"/>
        <family val="2"/>
      </rPr>
      <t>_Forecasted Period</t>
    </r>
  </si>
  <si>
    <t>Gas Cost</t>
  </si>
  <si>
    <t>Gas Cost Rate [1]</t>
  </si>
  <si>
    <t>Determination of Test Year Gas Cost Revenue</t>
  </si>
  <si>
    <t>Sheet 1 of 1</t>
  </si>
  <si>
    <t xml:space="preserve">  Volumes</t>
  </si>
  <si>
    <t xml:space="preserve">    Adjusted Volumes</t>
  </si>
  <si>
    <t>Workpaper WPM-D.2</t>
  </si>
  <si>
    <t>(WPM-D)</t>
  </si>
  <si>
    <t>Sheet 1 of 8</t>
  </si>
  <si>
    <t>Sheet 2 of 8</t>
  </si>
  <si>
    <t>Sheet 3 of 8</t>
  </si>
  <si>
    <t>Sheet 4 of 8</t>
  </si>
  <si>
    <t>Sheet 5 of 8</t>
  </si>
  <si>
    <t>Sheet 7 of 8</t>
  </si>
  <si>
    <t>Sheet 8 of 8</t>
  </si>
  <si>
    <t>Large Com/Ind Customers</t>
  </si>
  <si>
    <t>Large Com/Ind Volumes</t>
  </si>
  <si>
    <t>Page 1 of 1</t>
  </si>
  <si>
    <t>D-2.4</t>
  </si>
  <si>
    <t>Adjustment</t>
  </si>
  <si>
    <t>(5)</t>
  </si>
  <si>
    <t>(6)</t>
  </si>
  <si>
    <t xml:space="preserve">Ratemaking </t>
  </si>
  <si>
    <t>(H=G-F)</t>
  </si>
  <si>
    <t>(I=H/D)</t>
  </si>
  <si>
    <t>Schedule M-2.2</t>
  </si>
  <si>
    <t>M-2.2B</t>
  </si>
  <si>
    <t>BILLING ANALYSIS FOR THE FORECASTED PERIOD AT PRESENT RATES</t>
  </si>
  <si>
    <t>BILLING ANALYSIS FOR THE FORECASTED PERIOD AT PROPOSED RATES</t>
  </si>
  <si>
    <t>Revenue by Customer Class</t>
  </si>
  <si>
    <t>Mcf by Customer Class</t>
  </si>
  <si>
    <t>BILLING ANALYSIS FOR THE BASE PERIOD AT CURRENT RATES</t>
  </si>
  <si>
    <t>Dec-17</t>
  </si>
  <si>
    <t>Allocation of Proposed Annual Revenues by Rate Schedule Based on Revenue Requirement</t>
  </si>
  <si>
    <t xml:space="preserve">Revenue </t>
  </si>
  <si>
    <t>By Rate Sched</t>
  </si>
  <si>
    <t>(5=3+4)</t>
  </si>
  <si>
    <t>(7)</t>
  </si>
  <si>
    <t>Total Revenues</t>
  </si>
  <si>
    <t>Total Base Revenues</t>
  </si>
  <si>
    <t xml:space="preserve"> </t>
  </si>
  <si>
    <t>Determination of Revenue Distribution</t>
  </si>
  <si>
    <t>Proposed Unitized Return</t>
  </si>
  <si>
    <t>Change in Unitized Return</t>
  </si>
  <si>
    <t>Rate of Return Requested</t>
  </si>
  <si>
    <t>Gross Converstion Factor</t>
  </si>
  <si>
    <t>Percent Distribution to Rate Classes</t>
  </si>
  <si>
    <t>Proposed Increase to Base Revenue</t>
  </si>
  <si>
    <t>Current Base Revenue</t>
  </si>
  <si>
    <t>Current Percent Distribution of Rate Classes</t>
  </si>
  <si>
    <t>Proposed Base Revenue</t>
  </si>
  <si>
    <t>Proposed Percent Distribution of Rate Classes</t>
  </si>
  <si>
    <t>Dth</t>
  </si>
  <si>
    <t>Total Revenue @ Current Rates</t>
  </si>
  <si>
    <t>Plus:</t>
  </si>
  <si>
    <t>Proposed Increase to Base Rates</t>
  </si>
  <si>
    <t>Total Base Revenue Change</t>
  </si>
  <si>
    <t>Net Base Revenue</t>
  </si>
  <si>
    <t>WPM B.2</t>
  </si>
  <si>
    <t>WPM C.2</t>
  </si>
  <si>
    <t>Sch. M 2.2</t>
  </si>
  <si>
    <t>Sch. M 2.3</t>
  </si>
  <si>
    <t>Sheet 1 of 6</t>
  </si>
  <si>
    <t>Sheet 2 of 6</t>
  </si>
  <si>
    <t>Sheet 3 of 6</t>
  </si>
  <si>
    <t>Sheet 5 of 6</t>
  </si>
  <si>
    <t>Sheet 6 of 6</t>
  </si>
  <si>
    <t>Sheet 4 of 6</t>
  </si>
  <si>
    <t>Forecasted Period</t>
  </si>
  <si>
    <t>GSO-ind</t>
  </si>
  <si>
    <t>SC3-Ind</t>
  </si>
  <si>
    <t>GSO-Com</t>
  </si>
  <si>
    <t>First 150,000 Mcf</t>
  </si>
  <si>
    <t>Over 150,000 Mcf</t>
  </si>
  <si>
    <t>First 30,000 Mcf</t>
  </si>
  <si>
    <t>Sheet 2 of 2</t>
  </si>
  <si>
    <t>Sheet 1 of 2</t>
  </si>
  <si>
    <t xml:space="preserve">    Next 150,000 Mcf</t>
  </si>
  <si>
    <t>Annualized Test Year Revenues at Current Rates</t>
  </si>
  <si>
    <t>Annualized Test Year Revenues at  Current Rates</t>
  </si>
  <si>
    <t xml:space="preserve"> Annualized Test Year Revenues at  Current Rates</t>
  </si>
  <si>
    <t>Page 1 of 21</t>
  </si>
  <si>
    <t>Page 2 of 21</t>
  </si>
  <si>
    <t>Page 3 of 21</t>
  </si>
  <si>
    <t>Page 5 of 21</t>
  </si>
  <si>
    <t>Page 6 of 21</t>
  </si>
  <si>
    <t>Page 8 of 21</t>
  </si>
  <si>
    <t>Page 10 of 21</t>
  </si>
  <si>
    <t>Page 12 of 21</t>
  </si>
  <si>
    <t>Page 14 of 21</t>
  </si>
  <si>
    <t>Page 16 of 21</t>
  </si>
  <si>
    <t>Page 18 of 21</t>
  </si>
  <si>
    <t>Page 20 of 21</t>
  </si>
  <si>
    <t>Page 21 of 21</t>
  </si>
  <si>
    <t>Page 19 of 21</t>
  </si>
  <si>
    <t>Page 17 of 21</t>
  </si>
  <si>
    <t>Page 15 of 21</t>
  </si>
  <si>
    <t>Page 13 of 21</t>
  </si>
  <si>
    <t>Page 11 of 21</t>
  </si>
  <si>
    <t>Page 9 of 21</t>
  </si>
  <si>
    <t>Page 7 of 21</t>
  </si>
  <si>
    <t>Page 4 of 21</t>
  </si>
  <si>
    <t>IS/DS</t>
  </si>
  <si>
    <t>Gas Cost Revenue Only</t>
  </si>
  <si>
    <t>Total Gas Cost Revenues</t>
  </si>
  <si>
    <t>Total Energy Efficiencty Conservation Revenues</t>
  </si>
  <si>
    <t>Energy Efficiency Conservation Program</t>
  </si>
  <si>
    <t xml:space="preserve">GSR/GTR </t>
  </si>
  <si>
    <t>Acct. 487 Forefited Discounts</t>
  </si>
  <si>
    <t>Acct. 495 Prior Yr. Rate Refund - Net.</t>
  </si>
  <si>
    <r>
      <t>Data:</t>
    </r>
    <r>
      <rPr>
        <b/>
        <u/>
        <sz val="8"/>
        <rFont val="Arial"/>
        <family val="2"/>
      </rPr>
      <t xml:space="preserve"> __</t>
    </r>
    <r>
      <rPr>
        <b/>
        <sz val="8"/>
        <rFont val="Arial"/>
        <family val="2"/>
      </rPr>
      <t xml:space="preserve"> Base Period _</t>
    </r>
    <r>
      <rPr>
        <b/>
        <u/>
        <sz val="8"/>
        <rFont val="Arial"/>
        <family val="2"/>
      </rPr>
      <t>X</t>
    </r>
    <r>
      <rPr>
        <b/>
        <sz val="8"/>
        <rFont val="Arial"/>
        <family val="2"/>
      </rPr>
      <t>_ Forecasted Period</t>
    </r>
  </si>
  <si>
    <r>
      <t xml:space="preserve">Type of Filing: </t>
    </r>
    <r>
      <rPr>
        <b/>
        <u/>
        <sz val="8"/>
        <rFont val="Arial"/>
        <family val="2"/>
      </rPr>
      <t>X</t>
    </r>
    <r>
      <rPr>
        <b/>
        <sz val="8"/>
        <rFont val="Arial"/>
        <family val="2"/>
      </rPr>
      <t xml:space="preserve"> Original _ Update _ Revised</t>
    </r>
  </si>
  <si>
    <r>
      <t>Data:</t>
    </r>
    <r>
      <rPr>
        <b/>
        <u/>
        <sz val="8"/>
        <rFont val="Arial"/>
        <family val="2"/>
      </rPr>
      <t xml:space="preserve"> __</t>
    </r>
    <r>
      <rPr>
        <b/>
        <sz val="8"/>
        <rFont val="Arial"/>
        <family val="2"/>
      </rPr>
      <t xml:space="preserve"> Base Period_</t>
    </r>
    <r>
      <rPr>
        <b/>
        <u/>
        <sz val="8"/>
        <rFont val="Arial"/>
        <family val="2"/>
      </rPr>
      <t>X</t>
    </r>
    <r>
      <rPr>
        <b/>
        <sz val="8"/>
        <rFont val="Arial"/>
        <family val="2"/>
      </rPr>
      <t>_Forecasted Period</t>
    </r>
  </si>
  <si>
    <t>Gas Cost Uncollectible Charge</t>
  </si>
  <si>
    <t>Total Gas Cost Uncollectible Charge</t>
  </si>
  <si>
    <t>DS-ML</t>
  </si>
  <si>
    <t>Increase by</t>
  </si>
  <si>
    <t>Rate Class</t>
  </si>
  <si>
    <t>IN3 Residential</t>
  </si>
  <si>
    <t>G1R Base Revenue</t>
  </si>
  <si>
    <t>IN3 Base Revenue</t>
  </si>
  <si>
    <t>IN4 Base Revenue</t>
  </si>
  <si>
    <t>IN5 Base Revenue</t>
  </si>
  <si>
    <t>LG2 - Residential Base Revenue</t>
  </si>
  <si>
    <t>LG3 - Residential Base Revenue</t>
  </si>
  <si>
    <t>LG4 - Residential Base Revenue</t>
  </si>
  <si>
    <t xml:space="preserve">Customer Charge Revenue </t>
  </si>
  <si>
    <t>GSO/GTO/GDS Rate Design</t>
  </si>
  <si>
    <t>G1C Base Revenue</t>
  </si>
  <si>
    <t>LG2 Commercial Base Revenue</t>
  </si>
  <si>
    <t>Total Commodity</t>
  </si>
  <si>
    <t>First 50 Mcf</t>
  </si>
  <si>
    <t>Next 350 Mcf</t>
  </si>
  <si>
    <t>Next 600 Mcf</t>
  </si>
  <si>
    <t>Over 1,000 Mcf</t>
  </si>
  <si>
    <t>Pct. Of</t>
  </si>
  <si>
    <t>IS/DS Rate Design</t>
  </si>
  <si>
    <t>DS-ML Rate Design</t>
  </si>
  <si>
    <t>FX1 Base Revenue</t>
  </si>
  <si>
    <t>FX2 Base Revenue</t>
  </si>
  <si>
    <t>SC3 Base Revenue</t>
  </si>
  <si>
    <t>FX5 Base Revenue</t>
  </si>
  <si>
    <t>FX7 Base Revenue</t>
  </si>
  <si>
    <t>IUS Rate Design</t>
  </si>
  <si>
    <r>
      <t xml:space="preserve">Data: __ Base Period </t>
    </r>
    <r>
      <rPr>
        <b/>
        <u/>
        <sz val="8"/>
        <rFont val="Arial"/>
        <family val="2"/>
      </rPr>
      <t>_X_</t>
    </r>
    <r>
      <rPr>
        <b/>
        <sz val="8"/>
        <rFont val="Arial"/>
        <family val="2"/>
      </rPr>
      <t>Forecasted Period</t>
    </r>
  </si>
  <si>
    <t>Line 26 x Line 39</t>
  </si>
  <si>
    <t>Line 40 - Line 2</t>
  </si>
  <si>
    <t>Schedule of Additional Revenues by Rate Schedule Based on Revenue Requirement - Late Payment Charge</t>
  </si>
  <si>
    <t xml:space="preserve">    Volumes [1]</t>
  </si>
  <si>
    <t xml:space="preserve">    Total Revenue [2]</t>
  </si>
  <si>
    <t xml:space="preserve">  Commodity Charge $/Mcf</t>
  </si>
  <si>
    <t>Gas Cost Revenue $/Mcf [2]</t>
  </si>
  <si>
    <t xml:space="preserve">  Gas Cost Uncollectible Charge $/Mcf</t>
  </si>
  <si>
    <t>[2] See Schedule M-2.2 Pages 8 through 21 for detail.</t>
  </si>
  <si>
    <t>Unitized Return @ Current Rates</t>
  </si>
  <si>
    <t>Net Operating Income @ Current Rates</t>
  </si>
  <si>
    <t>Revenue Required Increase</t>
  </si>
  <si>
    <t>Gas Cost Uncollectible Charge @ Current Rates</t>
  </si>
  <si>
    <t xml:space="preserve">Less: </t>
  </si>
  <si>
    <t>Gas Cost Uncollectible Charge @ Proposed Rates</t>
  </si>
  <si>
    <t>Exhibit No.: _____</t>
  </si>
  <si>
    <t>Non-Gas Base Rates</t>
  </si>
  <si>
    <t>Customer Charge</t>
  </si>
  <si>
    <t>Component</t>
  </si>
  <si>
    <t>Sales</t>
  </si>
  <si>
    <t>Prior Approved Rates</t>
  </si>
  <si>
    <t>Monthly Customer Charge</t>
  </si>
  <si>
    <t>Total Bill</t>
  </si>
  <si>
    <t>Percent Increase - Total</t>
  </si>
  <si>
    <t>Percent Increase - Delivery Charges only</t>
  </si>
  <si>
    <t>General Service - Residential (GSR &amp; GRT)</t>
  </si>
  <si>
    <t>General Service - Other (GSO/GTR/GDS)</t>
  </si>
  <si>
    <t>Interruptible / Delivery Service (IS/DS)</t>
  </si>
  <si>
    <t>Intrastate Utility Sales Service (IUS)</t>
  </si>
  <si>
    <t>Delivery Service - Mainline (DS-ML)</t>
  </si>
  <si>
    <t>Page 1 of  1</t>
  </si>
  <si>
    <t>Calculation of Average GSR/GTR Bill</t>
  </si>
  <si>
    <t>Accelerated Mains Replacement Program (AMRP)</t>
  </si>
  <si>
    <t>Research &amp; Development</t>
  </si>
  <si>
    <t>Gas Cost Adjustment (GCA)</t>
  </si>
  <si>
    <t>Per Mcf</t>
  </si>
  <si>
    <t>Calculation of Average DS-ML Bill</t>
  </si>
  <si>
    <t xml:space="preserve">Administrative Charge Revenue </t>
  </si>
  <si>
    <t>Sheet 6 of 8</t>
  </si>
  <si>
    <t>Page 1 of 8</t>
  </si>
  <si>
    <t>Page 2 of 8</t>
  </si>
  <si>
    <t>Page 3 of 8</t>
  </si>
  <si>
    <t>Page 4 of 8</t>
  </si>
  <si>
    <t>Page 5 of 8</t>
  </si>
  <si>
    <t>Page 6 of 8</t>
  </si>
  <si>
    <t>Page 7 of 8</t>
  </si>
  <si>
    <t>Page 8 of 8</t>
  </si>
  <si>
    <t>Sch. M2.2 &amp; D2.4</t>
  </si>
  <si>
    <t>Tax Act Adj 11/27/19</t>
  </si>
  <si>
    <t>Tax Act Adj</t>
  </si>
  <si>
    <t>For the 12 Months Ended December 31, 2022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</si>
  <si>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</si>
  <si>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</si>
  <si>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</si>
  <si>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</si>
  <si>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</si>
  <si>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</si>
  <si>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</si>
  <si>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</si>
  <si>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</si>
  <si>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</si>
  <si>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</si>
  <si>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</si>
  <si>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 xml:space="preserve">  EAP Recovery $</t>
  </si>
  <si>
    <t>March 1, 2021</t>
  </si>
  <si>
    <t>[1] Gas Cost Rate as of March 1, 2021, excluding Gas Cost Uncollectible Rider.</t>
  </si>
  <si>
    <t xml:space="preserve">    Next 70,000 Mcf</t>
  </si>
  <si>
    <t>Over 100,000 Mcf</t>
  </si>
  <si>
    <t xml:space="preserve">    Over 100,000 Mcf</t>
  </si>
  <si>
    <t>Next 70,000 Mcf</t>
  </si>
  <si>
    <t>Customers who have become inactive between January 1, 2022 and and December 31, 2022</t>
  </si>
  <si>
    <t>Customers who have significant usage change between January 1, 2022 and December 31, 2022</t>
  </si>
  <si>
    <t>20813023-001</t>
  </si>
  <si>
    <t xml:space="preserve">  R&amp;D</t>
  </si>
  <si>
    <t>Witness:  Judith L. Siegler</t>
  </si>
  <si>
    <t>CASE NO. 2021-XXXXX</t>
  </si>
  <si>
    <t>FOR THE TWELVE MONTHS ENDED AUGUST 31, 2021</t>
  </si>
  <si>
    <t>FOR THE TWELVE MONTHS ENDED DECEMBER 31, 2022</t>
  </si>
  <si>
    <t>Total Riders</t>
  </si>
  <si>
    <t>Witness: K. L. Johnson</t>
  </si>
  <si>
    <t>KLJ-RDES-1</t>
  </si>
  <si>
    <t>Case No. 2021-00183</t>
  </si>
  <si>
    <t>Rate Design Witness:</t>
  </si>
  <si>
    <t>KLJ-RDES-2</t>
  </si>
  <si>
    <t>Attachment KLJ-RDES-3</t>
  </si>
  <si>
    <t>Attachment KLJ-RDES-4</t>
  </si>
  <si>
    <t>Rate Base (Attachment KLJ-ACOS-3 Page 4, Line 12)</t>
  </si>
  <si>
    <t>Proposed Change Other Gas Department Revenue (Attachment KLJ-RDES-2)</t>
  </si>
  <si>
    <t>Attachment KLJ-RDES-1, Page 1</t>
  </si>
  <si>
    <t>Delivery Charge Revenue Only (Base Rates, Admin. Charge, AMRP Charge &amp; Tax Act Adj)</t>
  </si>
  <si>
    <t>March 2021</t>
  </si>
  <si>
    <t>1/ Prior Approved Rates as of 3-1-2021.  Commodity cost imputed for DS for illustrative purposes.</t>
  </si>
  <si>
    <t>1/ Prior Approved Rates as of 3-1-2021.  Commodity cost imputed for DS-ML for illustrative purposes.</t>
  </si>
  <si>
    <t>2016 Case</t>
  </si>
  <si>
    <t>Calculation of Average IS/DS Bill</t>
  </si>
  <si>
    <t>Proposed Customer Charge reflects the roll in of SMRP</t>
  </si>
  <si>
    <t>Calculation of Average IUS Bill</t>
  </si>
  <si>
    <t>Calculation of Average GSO/GTO Bill</t>
  </si>
  <si>
    <t>EAP Rider Revenue</t>
  </si>
  <si>
    <t>Total EAP Rider Revenues</t>
  </si>
  <si>
    <t>NGR&amp;D Rider Revenue</t>
  </si>
  <si>
    <t>Total NGR&amp;D Rider Revenues</t>
  </si>
  <si>
    <t>EECPRC Revenue</t>
  </si>
  <si>
    <t>SMRP Rider</t>
  </si>
  <si>
    <t>Tax Act Adjustment Factor</t>
  </si>
  <si>
    <t>Customer Charge per billing period</t>
  </si>
  <si>
    <t>SMRP Rider per billing period</t>
  </si>
  <si>
    <t>EECPRC per billing period</t>
  </si>
  <si>
    <t>Tax Act Adjustment Factor per Mcf</t>
  </si>
  <si>
    <t>Delivery Charge per Mcf</t>
  </si>
  <si>
    <t>NGR&amp;D Rider per Mcf</t>
  </si>
  <si>
    <t>EAP per billing period</t>
  </si>
  <si>
    <t>First 50 Mcf or less per billing period</t>
  </si>
  <si>
    <t>Next 350 Mcf per billing period</t>
  </si>
  <si>
    <t>Next 600 Mcf per billing period</t>
  </si>
  <si>
    <t>Over 1,000 Mcf per billing period</t>
  </si>
  <si>
    <t>First 30,000 Mcf per billing period</t>
  </si>
  <si>
    <t>Next 70,000 Mcf per billing period</t>
  </si>
  <si>
    <t>Over 100,000 Mcf per billing period</t>
  </si>
  <si>
    <t>GSO/GTO</t>
  </si>
  <si>
    <t>1/ Prior Approved Rates as of 3-1-2021.  Commodity cost imputed for illustrative purposes.</t>
  </si>
  <si>
    <t>1/ Prior Approved Rates as of 3-1-2021. Commodity cost imputed for illustrative purposes.</t>
  </si>
  <si>
    <t>Page 1 of 5</t>
  </si>
  <si>
    <t>Page 2 of 5</t>
  </si>
  <si>
    <t>Page 3 of 5</t>
  </si>
  <si>
    <t>Page 4 of 5</t>
  </si>
  <si>
    <t>Page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</si>
</sst>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#,##0.0_);\(#,##0.0\)"/>
    <numFmt numFmtId="166" formatCode="#,##0.000_);\(#,##0.000\)"/>
    <numFmt numFmtId="167" formatCode="#,##0.0000_);\(#,##0.0000\)"/>
    <numFmt numFmtId="168" formatCode="0.0000_);\(0.0000\)"/>
    <numFmt numFmtId="169" formatCode="#,##0.0"/>
    <numFmt numFmtId="170" formatCode="&quot;$&quot;#,##0"/>
    <numFmt numFmtId="171" formatCode="0.0"/>
    <numFmt numFmtId="172" formatCode="0.0000"/>
    <numFmt numFmtId="173" formatCode="#,##0.0000"/>
    <numFmt numFmtId="174" formatCode="#,##0.000000000_);\(#,##0.000000000\)"/>
    <numFmt numFmtId="175" formatCode="0.000000000"/>
    <numFmt numFmtId="176" formatCode="[$-409]mmm\-yy;@"/>
    <numFmt numFmtId="177" formatCode="_(* #,##0.0_);_(* \(#,##0.0\);_(* &quot;-&quot;??_);_(@_)"/>
    <numFmt numFmtId="178" formatCode="_(* #,##0_);_(* \(#,##0\);_(* &quot;-&quot;??_);_(@_)"/>
    <numFmt numFmtId="179" formatCode="_(&quot;$&quot;* #,##0_);_(&quot;$&quot;* \(#,##0\);_(&quot;$&quot;* &quot;-&quot;??_);_(@_)"/>
    <numFmt numFmtId="180" formatCode=";;;"/>
    <numFmt numFmtId="181" formatCode="&quot;$&quot;#,##0.0000_);\(&quot;$&quot;#,##0.0000\)"/>
    <numFmt numFmtId="182" formatCode="#,##0.000000_);\(#,##0.000000\)"/>
    <numFmt numFmtId="183" formatCode="#,##0.00000_);\(#,##0.00000\)"/>
    <numFmt numFmtId="184" formatCode="0.000%"/>
    <numFmt numFmtId="185" formatCode="_(* #,##0_);_(* \(#,##0\);_(* &quot;-&quot;?_);_(@_)"/>
    <numFmt numFmtId="186" formatCode="#,##0;[Red]#,##0"/>
    <numFmt numFmtId="187" formatCode="&quot;$&quot;#,##0.000_);\(&quot;$&quot;#,##0.000\)"/>
    <numFmt numFmtId="188" formatCode="_(* #,##0.00000_);_(* \(#,##0.00000\);_(* &quot;-&quot;??_);_(@_)"/>
    <numFmt numFmtId="189" formatCode="_(* #,##0.0000_);_(* \(#,##0.0000\);_(* &quot;-&quot;??_);_(@_)"/>
  </numFmts>
  <fonts count="56" x14ac:knownFonts="1">
    <font>
      <sz val="8"/>
      <name val="Tms Rmn"/>
    </font>
    <font>
      <sz val="10"/>
      <name val="Arial"/>
      <family val="2"/>
    </font>
    <font>
      <sz val="8"/>
      <name val="Tms Rmn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u val="singleAccounting"/>
      <sz val="12"/>
      <name val="Arial"/>
      <family val="2"/>
    </font>
    <font>
      <i/>
      <sz val="12"/>
      <name val="Arial"/>
      <family val="2"/>
    </font>
    <font>
      <sz val="12"/>
      <color indexed="39"/>
      <name val="Arial"/>
      <family val="2"/>
    </font>
    <font>
      <u/>
      <sz val="12"/>
      <color indexed="39"/>
      <name val="Arial"/>
      <family val="2"/>
    </font>
    <font>
      <b/>
      <sz val="12"/>
      <color indexed="39"/>
      <name val="Arial"/>
      <family val="2"/>
    </font>
    <font>
      <sz val="8"/>
      <name val="Helv"/>
    </font>
    <font>
      <sz val="12"/>
      <color rgb="FF0000FF"/>
      <name val="Arial"/>
      <family val="2"/>
    </font>
    <font>
      <u/>
      <sz val="12"/>
      <color rgb="FF0000FF"/>
      <name val="Arial"/>
      <family val="2"/>
    </font>
    <font>
      <b/>
      <sz val="12"/>
      <color rgb="FF0000FF"/>
      <name val="Arial"/>
      <family val="2"/>
    </font>
    <font>
      <u val="singleAccounting"/>
      <sz val="12"/>
      <color rgb="FF0000FF"/>
      <name val="Arial"/>
      <family val="2"/>
    </font>
    <font>
      <sz val="10"/>
      <color rgb="FF0000FF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color rgb="FF0000FF"/>
      <name val="Arial"/>
      <family val="2"/>
    </font>
    <font>
      <sz val="8"/>
      <color indexed="8"/>
      <name val="Arial"/>
      <family val="2"/>
    </font>
    <font>
      <b/>
      <sz val="8"/>
      <color rgb="FF0000FF"/>
      <name val="Arial"/>
      <family val="2"/>
    </font>
    <font>
      <u/>
      <sz val="8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1"/>
      <color indexed="12"/>
      <name val="Arial"/>
      <family val="2"/>
    </font>
    <font>
      <sz val="11"/>
      <color indexed="12"/>
      <name val="Arial"/>
      <family val="2"/>
    </font>
    <font>
      <sz val="11"/>
      <color indexed="20"/>
      <name val="Arial"/>
      <family val="2"/>
    </font>
    <font>
      <b/>
      <u/>
      <sz val="11"/>
      <color indexed="39"/>
      <name val="Arial"/>
      <family val="2"/>
    </font>
    <font>
      <u/>
      <sz val="11"/>
      <color indexed="39"/>
      <name val="Arial"/>
      <family val="2"/>
    </font>
    <font>
      <sz val="11"/>
      <color indexed="39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  <font>
      <u val="singleAccounting"/>
      <sz val="8"/>
      <name val="Arial"/>
      <family val="2"/>
    </font>
    <font>
      <b/>
      <sz val="8"/>
      <color indexed="12"/>
      <name val="Arial"/>
      <family val="2"/>
    </font>
    <font>
      <u/>
      <sz val="8"/>
      <color indexed="39"/>
      <name val="Arial"/>
      <family val="2"/>
    </font>
    <font>
      <i/>
      <sz val="8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0">
    <xf numFmtId="0" fontId="0" fillId="0" borderId="0" xfId="0"/>
    <xf numFmtId="0" fontId="1" fillId="0" borderId="0" xfId="0" applyFont="1"/>
    <xf numFmtId="37" fontId="1" fillId="0" borderId="0" xfId="0" applyNumberFormat="1" applyFont="1"/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/>
    <xf numFmtId="0" fontId="1" fillId="0" borderId="0" xfId="0" applyFont="1" applyFill="1"/>
    <xf numFmtId="0" fontId="4" fillId="0" borderId="0" xfId="0" applyFont="1" applyFill="1"/>
    <xf numFmtId="0" fontId="3" fillId="0" borderId="1" xfId="0" applyFont="1" applyFill="1" applyBorder="1"/>
    <xf numFmtId="167" fontId="3" fillId="0" borderId="1" xfId="0" applyNumberFormat="1" applyFont="1" applyFill="1" applyBorder="1"/>
    <xf numFmtId="4" fontId="3" fillId="0" borderId="1" xfId="0" applyNumberFormat="1" applyFont="1" applyFill="1" applyBorder="1"/>
    <xf numFmtId="167" fontId="1" fillId="0" borderId="0" xfId="0" applyNumberFormat="1" applyFont="1"/>
    <xf numFmtId="4" fontId="1" fillId="0" borderId="0" xfId="0" applyNumberFormat="1" applyFont="1"/>
    <xf numFmtId="37" fontId="1" fillId="0" borderId="0" xfId="0" applyNumberFormat="1" applyFont="1" applyProtection="1"/>
    <xf numFmtId="165" fontId="3" fillId="0" borderId="0" xfId="0" applyNumberFormat="1" applyFont="1"/>
    <xf numFmtId="167" fontId="3" fillId="0" borderId="0" xfId="0" applyNumberFormat="1" applyFont="1"/>
    <xf numFmtId="165" fontId="1" fillId="0" borderId="0" xfId="0" applyNumberFormat="1" applyFont="1"/>
    <xf numFmtId="0" fontId="6" fillId="0" borderId="0" xfId="0" applyFont="1"/>
    <xf numFmtId="0" fontId="1" fillId="2" borderId="0" xfId="0" applyFont="1" applyFill="1"/>
    <xf numFmtId="0" fontId="6" fillId="0" borderId="0" xfId="0" applyFont="1" applyFill="1"/>
    <xf numFmtId="0" fontId="7" fillId="0" borderId="0" xfId="0" applyFont="1" applyFill="1"/>
    <xf numFmtId="167" fontId="1" fillId="0" borderId="0" xfId="0" applyNumberFormat="1" applyFont="1" applyFill="1"/>
    <xf numFmtId="0" fontId="6" fillId="2" borderId="0" xfId="0" applyFont="1" applyFill="1" applyAlignment="1">
      <alignment horizontal="center"/>
    </xf>
    <xf numFmtId="167" fontId="3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/>
    <xf numFmtId="173" fontId="3" fillId="0" borderId="0" xfId="0" applyNumberFormat="1" applyFont="1" applyFill="1"/>
    <xf numFmtId="173" fontId="1" fillId="0" borderId="0" xfId="0" applyNumberFormat="1" applyFont="1"/>
    <xf numFmtId="167" fontId="5" fillId="0" borderId="0" xfId="0" applyNumberFormat="1" applyFont="1" applyFill="1"/>
    <xf numFmtId="4" fontId="1" fillId="0" borderId="0" xfId="0" applyNumberFormat="1" applyFont="1" applyFill="1"/>
    <xf numFmtId="173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3" fontId="6" fillId="0" borderId="0" xfId="0" applyNumberFormat="1" applyFont="1" applyFill="1" applyAlignment="1"/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37" fontId="6" fillId="0" borderId="0" xfId="0" applyNumberFormat="1" applyFont="1"/>
    <xf numFmtId="0" fontId="6" fillId="0" borderId="0" xfId="0" applyFont="1" applyFill="1" applyAlignment="1"/>
    <xf numFmtId="0" fontId="6" fillId="0" borderId="0" xfId="0" applyFont="1" applyFill="1" applyAlignment="1" applyProtection="1">
      <protection locked="0"/>
    </xf>
    <xf numFmtId="175" fontId="1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/>
    <xf numFmtId="37" fontId="10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/>
    <xf numFmtId="165" fontId="10" fillId="0" borderId="0" xfId="0" applyNumberFormat="1" applyFont="1" applyBorder="1"/>
    <xf numFmtId="39" fontId="9" fillId="0" borderId="0" xfId="0" applyNumberFormat="1" applyFont="1" applyAlignment="1">
      <alignment horizontal="center"/>
    </xf>
    <xf numFmtId="165" fontId="9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176" fontId="1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39" fontId="9" fillId="0" borderId="0" xfId="0" quotePrefix="1" applyNumberFormat="1" applyFont="1" applyAlignment="1">
      <alignment horizontal="center"/>
    </xf>
    <xf numFmtId="39" fontId="10" fillId="0" borderId="0" xfId="0" applyNumberFormat="1" applyFont="1" applyFill="1"/>
    <xf numFmtId="37" fontId="10" fillId="0" borderId="0" xfId="0" applyNumberFormat="1" applyFont="1" applyFill="1"/>
    <xf numFmtId="165" fontId="10" fillId="0" borderId="0" xfId="0" applyNumberFormat="1" applyFont="1" applyFill="1"/>
    <xf numFmtId="0" fontId="10" fillId="0" borderId="0" xfId="0" applyFont="1" applyFill="1"/>
    <xf numFmtId="37" fontId="13" fillId="0" borderId="0" xfId="0" applyNumberFormat="1" applyFont="1"/>
    <xf numFmtId="177" fontId="10" fillId="0" borderId="0" xfId="1" applyNumberFormat="1" applyFont="1"/>
    <xf numFmtId="0" fontId="10" fillId="0" borderId="0" xfId="0" quotePrefix="1" applyFont="1" applyBorder="1" applyAlignment="1">
      <alignment horizontal="left"/>
    </xf>
    <xf numFmtId="178" fontId="10" fillId="0" borderId="0" xfId="0" applyNumberFormat="1" applyFont="1"/>
    <xf numFmtId="165" fontId="13" fillId="0" borderId="0" xfId="0" applyNumberFormat="1" applyFont="1" applyFill="1"/>
    <xf numFmtId="39" fontId="10" fillId="0" borderId="0" xfId="0" applyNumberFormat="1" applyFont="1" applyFill="1" applyBorder="1"/>
    <xf numFmtId="165" fontId="10" fillId="0" borderId="0" xfId="0" applyNumberFormat="1" applyFont="1" applyFill="1" applyBorder="1"/>
    <xf numFmtId="165" fontId="21" fillId="0" borderId="0" xfId="0" applyNumberFormat="1" applyFont="1" applyFill="1"/>
    <xf numFmtId="165" fontId="22" fillId="0" borderId="0" xfId="0" applyNumberFormat="1" applyFont="1" applyFill="1"/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165" fontId="10" fillId="0" borderId="0" xfId="0" applyNumberFormat="1" applyFont="1" applyFill="1" applyProtection="1"/>
    <xf numFmtId="37" fontId="10" fillId="0" borderId="0" xfId="0" applyNumberFormat="1" applyFont="1" applyProtection="1"/>
    <xf numFmtId="165" fontId="12" fillId="0" borderId="0" xfId="0" applyNumberFormat="1" applyFont="1" applyFill="1" applyProtection="1">
      <protection locked="0"/>
    </xf>
    <xf numFmtId="165" fontId="13" fillId="0" borderId="0" xfId="0" applyNumberFormat="1" applyFont="1" applyFill="1" applyProtection="1"/>
    <xf numFmtId="37" fontId="10" fillId="0" borderId="0" xfId="0" applyNumberFormat="1" applyFont="1" applyFill="1" applyProtection="1"/>
    <xf numFmtId="37" fontId="12" fillId="0" borderId="0" xfId="0" applyNumberFormat="1" applyFont="1" applyFill="1" applyProtection="1">
      <protection locked="0"/>
    </xf>
    <xf numFmtId="165" fontId="10" fillId="0" borderId="0" xfId="0" applyNumberFormat="1" applyFont="1" applyFill="1" applyBorder="1" applyProtection="1"/>
    <xf numFmtId="165" fontId="10" fillId="0" borderId="0" xfId="0" applyNumberFormat="1" applyFont="1" applyFill="1" applyProtection="1">
      <protection locked="0"/>
    </xf>
    <xf numFmtId="0" fontId="10" fillId="0" borderId="0" xfId="0" applyFont="1" applyAlignment="1">
      <alignment horizontal="center"/>
    </xf>
    <xf numFmtId="164" fontId="9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right"/>
      <protection locked="0"/>
    </xf>
    <xf numFmtId="49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7" fontId="13" fillId="0" borderId="0" xfId="0" applyNumberFormat="1" applyFont="1" applyProtection="1"/>
    <xf numFmtId="0" fontId="10" fillId="0" borderId="0" xfId="0" applyFont="1" applyFill="1" applyBorder="1"/>
    <xf numFmtId="39" fontId="10" fillId="0" borderId="0" xfId="0" applyNumberFormat="1" applyFont="1" applyFill="1" applyProtection="1"/>
    <xf numFmtId="165" fontId="13" fillId="0" borderId="0" xfId="0" applyNumberFormat="1" applyFont="1" applyFill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9" fontId="23" fillId="0" borderId="0" xfId="0" applyNumberFormat="1" applyFont="1" applyBorder="1" applyAlignment="1">
      <alignment horizontal="left"/>
    </xf>
    <xf numFmtId="177" fontId="21" fillId="0" borderId="0" xfId="1" applyNumberFormat="1" applyFont="1" applyFill="1"/>
    <xf numFmtId="0" fontId="10" fillId="0" borderId="4" xfId="0" applyFont="1" applyBorder="1"/>
    <xf numFmtId="0" fontId="9" fillId="0" borderId="0" xfId="0" applyFont="1" applyFill="1" applyBorder="1"/>
    <xf numFmtId="177" fontId="10" fillId="0" borderId="0" xfId="1" applyNumberFormat="1" applyFont="1" applyFill="1" applyBorder="1"/>
    <xf numFmtId="177" fontId="10" fillId="0" borderId="0" xfId="1" applyNumberFormat="1" applyFont="1" applyBorder="1"/>
    <xf numFmtId="0" fontId="10" fillId="0" borderId="0" xfId="0" applyNumberFormat="1" applyFont="1" applyBorder="1"/>
    <xf numFmtId="0" fontId="9" fillId="0" borderId="0" xfId="0" applyFont="1" applyFill="1" applyBorder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Fill="1" applyAlignment="1" applyProtection="1">
      <alignment horizontal="right"/>
      <protection locked="0"/>
    </xf>
    <xf numFmtId="37" fontId="13" fillId="0" borderId="0" xfId="0" applyNumberFormat="1" applyFont="1" applyFill="1" applyProtection="1"/>
    <xf numFmtId="0" fontId="10" fillId="0" borderId="0" xfId="0" applyFont="1" applyFill="1" applyProtection="1">
      <protection locked="0"/>
    </xf>
    <xf numFmtId="37" fontId="13" fillId="0" borderId="0" xfId="0" applyNumberFormat="1" applyFont="1" applyFill="1" applyProtection="1">
      <protection locked="0"/>
    </xf>
    <xf numFmtId="37" fontId="10" fillId="0" borderId="0" xfId="0" applyNumberFormat="1" applyFont="1" applyFill="1" applyProtection="1">
      <protection locked="0"/>
    </xf>
    <xf numFmtId="0" fontId="10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Fill="1"/>
    <xf numFmtId="165" fontId="18" fillId="0" borderId="0" xfId="0" applyNumberFormat="1" applyFont="1" applyFill="1" applyProtection="1">
      <protection locked="0"/>
    </xf>
    <xf numFmtId="165" fontId="14" fillId="0" borderId="0" xfId="0" applyNumberFormat="1" applyFont="1" applyFill="1" applyProtection="1">
      <protection locked="0"/>
    </xf>
    <xf numFmtId="0" fontId="10" fillId="0" borderId="0" xfId="0" applyNumberFormat="1" applyFont="1" applyAlignment="1">
      <alignment horizontal="center"/>
    </xf>
    <xf numFmtId="165" fontId="13" fillId="0" borderId="0" xfId="0" applyNumberFormat="1" applyFont="1" applyFill="1" applyBorder="1" applyProtection="1"/>
    <xf numFmtId="0" fontId="9" fillId="0" borderId="0" xfId="0" applyFont="1" applyBorder="1" applyAlignment="1">
      <alignment horizontal="center"/>
    </xf>
    <xf numFmtId="0" fontId="9" fillId="0" borderId="5" xfId="0" applyFont="1" applyBorder="1"/>
    <xf numFmtId="165" fontId="10" fillId="0" borderId="5" xfId="0" applyNumberFormat="1" applyFont="1" applyFill="1" applyBorder="1" applyProtection="1"/>
    <xf numFmtId="165" fontId="10" fillId="0" borderId="3" xfId="0" applyNumberFormat="1" applyFont="1" applyBorder="1"/>
    <xf numFmtId="0" fontId="10" fillId="0" borderId="3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9" fillId="0" borderId="0" xfId="0" applyNumberFormat="1" applyFont="1" applyBorder="1"/>
    <xf numFmtId="0" fontId="9" fillId="0" borderId="0" xfId="0" quotePrefix="1" applyFont="1" applyBorder="1" applyAlignment="1">
      <alignment horizontal="center"/>
    </xf>
    <xf numFmtId="39" fontId="9" fillId="0" borderId="0" xfId="0" quotePrefix="1" applyNumberFormat="1" applyFont="1" applyBorder="1" applyAlignment="1">
      <alignment horizontal="center"/>
    </xf>
    <xf numFmtId="0" fontId="9" fillId="0" borderId="0" xfId="0" applyFont="1" applyFill="1" applyProtection="1">
      <protection locked="0"/>
    </xf>
    <xf numFmtId="165" fontId="13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165" fontId="13" fillId="0" borderId="0" xfId="0" quotePrefix="1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6" xfId="0" applyFont="1" applyBorder="1"/>
    <xf numFmtId="0" fontId="10" fillId="0" borderId="0" xfId="0" quotePrefix="1" applyFont="1" applyFill="1" applyBorder="1" applyAlignment="1">
      <alignment horizontal="center"/>
    </xf>
    <xf numFmtId="0" fontId="10" fillId="0" borderId="1" xfId="0" applyFont="1" applyBorder="1"/>
    <xf numFmtId="0" fontId="10" fillId="0" borderId="1" xfId="0" quotePrefix="1" applyFont="1" applyFill="1" applyBorder="1" applyAlignment="1">
      <alignment horizontal="center"/>
    </xf>
    <xf numFmtId="165" fontId="10" fillId="0" borderId="1" xfId="0" applyNumberFormat="1" applyFont="1" applyFill="1" applyBorder="1"/>
    <xf numFmtId="165" fontId="10" fillId="0" borderId="9" xfId="0" applyNumberFormat="1" applyFont="1" applyFill="1" applyBorder="1"/>
    <xf numFmtId="0" fontId="10" fillId="0" borderId="5" xfId="0" applyFont="1" applyFill="1" applyBorder="1"/>
    <xf numFmtId="165" fontId="10" fillId="0" borderId="3" xfId="0" applyNumberFormat="1" applyFont="1" applyFill="1" applyBorder="1"/>
    <xf numFmtId="16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  <protection locked="0"/>
    </xf>
    <xf numFmtId="178" fontId="10" fillId="0" borderId="0" xfId="1" applyNumberFormat="1" applyFont="1" applyFill="1" applyBorder="1"/>
    <xf numFmtId="37" fontId="10" fillId="0" borderId="0" xfId="0" applyNumberFormat="1" applyFont="1" applyFill="1" applyBorder="1"/>
    <xf numFmtId="37" fontId="10" fillId="0" borderId="0" xfId="0" applyNumberFormat="1" applyFont="1" applyFill="1" applyBorder="1" applyProtection="1"/>
    <xf numFmtId="37" fontId="9" fillId="0" borderId="0" xfId="0" applyNumberFormat="1" applyFont="1" applyFill="1" applyBorder="1"/>
    <xf numFmtId="4" fontId="1" fillId="3" borderId="0" xfId="0" applyNumberFormat="1" applyFont="1" applyFill="1"/>
    <xf numFmtId="37" fontId="10" fillId="0" borderId="0" xfId="0" applyNumberFormat="1" applyFont="1" applyAlignment="1" applyProtection="1">
      <alignment horizontal="right"/>
    </xf>
    <xf numFmtId="0" fontId="10" fillId="0" borderId="0" xfId="0" applyFont="1" applyFill="1" applyAlignment="1">
      <alignment horizontal="left"/>
    </xf>
    <xf numFmtId="173" fontId="25" fillId="0" borderId="0" xfId="0" applyNumberFormat="1" applyFont="1" applyFill="1"/>
    <xf numFmtId="0" fontId="25" fillId="0" borderId="0" xfId="0" applyFont="1" applyFill="1"/>
    <xf numFmtId="176" fontId="11" fillId="0" borderId="0" xfId="0" applyNumberFormat="1" applyFont="1" applyFill="1" applyAlignment="1">
      <alignment horizontal="center"/>
    </xf>
    <xf numFmtId="39" fontId="9" fillId="0" borderId="0" xfId="0" quotePrefix="1" applyNumberFormat="1" applyFont="1" applyFill="1" applyAlignment="1">
      <alignment horizontal="center"/>
    </xf>
    <xf numFmtId="37" fontId="21" fillId="0" borderId="0" xfId="0" applyNumberFormat="1" applyFont="1" applyFill="1"/>
    <xf numFmtId="165" fontId="9" fillId="0" borderId="0" xfId="0" quotePrefix="1" applyNumberFormat="1" applyFont="1" applyFill="1" applyAlignment="1">
      <alignment horizontal="center"/>
    </xf>
    <xf numFmtId="165" fontId="10" fillId="0" borderId="0" xfId="0" quotePrefix="1" applyNumberFormat="1" applyFont="1" applyFill="1" applyBorder="1" applyAlignment="1">
      <alignment horizontal="right"/>
    </xf>
    <xf numFmtId="0" fontId="10" fillId="0" borderId="0" xfId="0" quotePrefix="1" applyFont="1" applyFill="1" applyAlignment="1">
      <alignment horizontal="left"/>
    </xf>
    <xf numFmtId="37" fontId="9" fillId="0" borderId="0" xfId="0" applyNumberFormat="1" applyFont="1" applyFill="1" applyAlignment="1">
      <alignment horizontal="center"/>
    </xf>
    <xf numFmtId="39" fontId="9" fillId="0" borderId="0" xfId="0" applyNumberFormat="1" applyFont="1" applyFill="1" applyAlignment="1">
      <alignment horizontal="center"/>
    </xf>
    <xf numFmtId="169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37" fontId="9" fillId="0" borderId="0" xfId="0" quotePrefix="1" applyNumberFormat="1" applyFont="1" applyFill="1" applyAlignment="1">
      <alignment horizontal="center"/>
    </xf>
    <xf numFmtId="165" fontId="9" fillId="0" borderId="0" xfId="0" quotePrefix="1" applyNumberFormat="1" applyFont="1" applyFill="1" applyBorder="1" applyAlignment="1">
      <alignment horizontal="center"/>
    </xf>
    <xf numFmtId="39" fontId="9" fillId="0" borderId="0" xfId="0" quotePrefix="1" applyNumberFormat="1" applyFont="1" applyFill="1" applyBorder="1" applyAlignment="1">
      <alignment horizontal="center"/>
    </xf>
    <xf numFmtId="37" fontId="17" fillId="0" borderId="0" xfId="0" applyNumberFormat="1" applyFont="1" applyFill="1" applyProtection="1"/>
    <xf numFmtId="0" fontId="17" fillId="0" borderId="0" xfId="0" applyFont="1" applyFill="1"/>
    <xf numFmtId="37" fontId="18" fillId="0" borderId="0" xfId="0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179" fontId="10" fillId="0" borderId="0" xfId="2" quotePrefix="1" applyNumberFormat="1" applyFont="1" applyFill="1" applyAlignment="1"/>
    <xf numFmtId="179" fontId="10" fillId="0" borderId="0" xfId="0" applyNumberFormat="1" applyFont="1" applyFill="1" applyAlignment="1">
      <alignment horizontal="center"/>
    </xf>
    <xf numFmtId="178" fontId="10" fillId="0" borderId="0" xfId="0" applyNumberFormat="1" applyFont="1" applyFill="1" applyAlignment="1"/>
    <xf numFmtId="178" fontId="10" fillId="0" borderId="0" xfId="0" applyNumberFormat="1" applyFont="1" applyFill="1" applyAlignment="1">
      <alignment horizontal="center"/>
    </xf>
    <xf numFmtId="39" fontId="10" fillId="0" borderId="0" xfId="0" applyNumberFormat="1" applyFont="1" applyFill="1" applyAlignment="1"/>
    <xf numFmtId="179" fontId="10" fillId="0" borderId="0" xfId="0" applyNumberFormat="1" applyFont="1" applyFill="1"/>
    <xf numFmtId="0" fontId="10" fillId="0" borderId="0" xfId="0" applyFont="1" applyFill="1" applyAlignment="1"/>
    <xf numFmtId="37" fontId="10" fillId="0" borderId="0" xfId="0" applyNumberFormat="1" applyFont="1" applyFill="1" applyAlignment="1"/>
    <xf numFmtId="39" fontId="10" fillId="0" borderId="0" xfId="0" applyNumberFormat="1" applyFont="1" applyFill="1" applyAlignment="1">
      <alignment horizontal="center"/>
    </xf>
    <xf numFmtId="37" fontId="10" fillId="0" borderId="0" xfId="0" quotePrefix="1" applyNumberFormat="1" applyFont="1" applyFill="1" applyAlignment="1"/>
    <xf numFmtId="179" fontId="10" fillId="0" borderId="12" xfId="2" quotePrefix="1" applyNumberFormat="1" applyFont="1" applyFill="1" applyBorder="1" applyAlignment="1"/>
    <xf numFmtId="39" fontId="10" fillId="0" borderId="0" xfId="0" applyNumberFormat="1" applyFont="1" applyFill="1" applyBorder="1" applyAlignment="1"/>
    <xf numFmtId="0" fontId="10" fillId="0" borderId="0" xfId="0" quotePrefix="1" applyFont="1" applyFill="1" applyBorder="1" applyAlignment="1"/>
    <xf numFmtId="37" fontId="10" fillId="0" borderId="0" xfId="0" quotePrefix="1" applyNumberFormat="1" applyFont="1" applyFill="1" applyBorder="1" applyAlignment="1"/>
    <xf numFmtId="39" fontId="9" fillId="0" borderId="0" xfId="0" applyNumberFormat="1" applyFont="1" applyFill="1" applyAlignment="1"/>
    <xf numFmtId="37" fontId="13" fillId="0" borderId="0" xfId="0" applyNumberFormat="1" applyFont="1" applyFill="1" applyAlignment="1"/>
    <xf numFmtId="37" fontId="10" fillId="0" borderId="12" xfId="0" applyNumberFormat="1" applyFont="1" applyFill="1" applyBorder="1" applyAlignment="1"/>
    <xf numFmtId="39" fontId="13" fillId="0" borderId="0" xfId="0" applyNumberFormat="1" applyFont="1" applyFill="1" applyAlignment="1" applyProtection="1"/>
    <xf numFmtId="39" fontId="13" fillId="0" borderId="0" xfId="0" applyNumberFormat="1" applyFont="1" applyFill="1" applyProtection="1"/>
    <xf numFmtId="39" fontId="10" fillId="0" borderId="0" xfId="0" applyNumberFormat="1" applyFont="1" applyFill="1" applyAlignment="1" applyProtection="1"/>
    <xf numFmtId="0" fontId="20" fillId="0" borderId="0" xfId="3" applyFont="1"/>
    <xf numFmtId="0" fontId="1" fillId="0" borderId="0" xfId="3" applyFont="1"/>
    <xf numFmtId="0" fontId="1" fillId="0" borderId="0" xfId="3" applyFont="1" applyFill="1" applyAlignment="1" applyProtection="1">
      <alignment horizontal="left"/>
    </xf>
    <xf numFmtId="0" fontId="1" fillId="0" borderId="0" xfId="3" applyFont="1" applyFill="1"/>
    <xf numFmtId="0" fontId="20" fillId="0" borderId="0" xfId="3" applyFont="1" applyBorder="1"/>
    <xf numFmtId="0" fontId="8" fillId="0" borderId="0" xfId="3" applyFont="1" applyBorder="1" applyAlignment="1" applyProtection="1">
      <alignment horizontal="left"/>
    </xf>
    <xf numFmtId="0" fontId="8" fillId="0" borderId="0" xfId="3" applyFont="1" applyBorder="1"/>
    <xf numFmtId="0" fontId="1" fillId="0" borderId="0" xfId="3" applyFont="1" applyAlignment="1" applyProtection="1">
      <alignment horizontal="left"/>
    </xf>
    <xf numFmtId="180" fontId="1" fillId="0" borderId="0" xfId="3" applyNumberFormat="1" applyFont="1" applyAlignment="1" applyProtection="1">
      <alignment horizontal="left"/>
    </xf>
    <xf numFmtId="0" fontId="9" fillId="0" borderId="0" xfId="0" applyFont="1" applyBorder="1" applyAlignment="1">
      <alignment horizontal="right"/>
    </xf>
    <xf numFmtId="0" fontId="10" fillId="0" borderId="0" xfId="0" quotePrefix="1" applyFont="1" applyFill="1" applyBorder="1" applyAlignment="1">
      <alignment horizontal="left"/>
    </xf>
    <xf numFmtId="37" fontId="13" fillId="0" borderId="0" xfId="0" applyNumberFormat="1" applyFont="1" applyFill="1"/>
    <xf numFmtId="0" fontId="10" fillId="0" borderId="7" xfId="0" applyFont="1" applyFill="1" applyBorder="1" applyAlignment="1">
      <alignment horizontal="center"/>
    </xf>
    <xf numFmtId="165" fontId="10" fillId="0" borderId="1" xfId="0" applyNumberFormat="1" applyFont="1" applyFill="1" applyBorder="1" applyProtection="1"/>
    <xf numFmtId="0" fontId="11" fillId="0" borderId="0" xfId="0" quotePrefix="1" applyFont="1" applyBorder="1" applyAlignment="1">
      <alignment horizontal="center"/>
    </xf>
    <xf numFmtId="179" fontId="10" fillId="0" borderId="0" xfId="0" applyNumberFormat="1" applyFont="1"/>
    <xf numFmtId="0" fontId="21" fillId="0" borderId="0" xfId="0" applyFont="1" applyFill="1" applyBorder="1"/>
    <xf numFmtId="176" fontId="11" fillId="0" borderId="0" xfId="0" applyNumberFormat="1" applyFont="1" applyBorder="1" applyAlignment="1">
      <alignment horizontal="center"/>
    </xf>
    <xf numFmtId="0" fontId="25" fillId="0" borderId="0" xfId="3" applyFont="1" applyAlignment="1" applyProtection="1">
      <alignment horizontal="left"/>
    </xf>
    <xf numFmtId="0" fontId="30" fillId="0" borderId="0" xfId="0" applyFont="1"/>
    <xf numFmtId="0" fontId="30" fillId="0" borderId="0" xfId="0" applyFont="1" applyFill="1" applyAlignment="1" applyProtection="1">
      <alignment horizontal="right"/>
      <protection locked="0"/>
    </xf>
    <xf numFmtId="0" fontId="30" fillId="0" borderId="0" xfId="0" applyFont="1" applyFill="1" applyAlignment="1">
      <alignment horizontal="right"/>
    </xf>
    <xf numFmtId="0" fontId="30" fillId="0" borderId="0" xfId="0" applyFont="1" applyFill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quotePrefix="1" applyFont="1" applyFill="1" applyAlignment="1">
      <alignment horizontal="center"/>
    </xf>
    <xf numFmtId="0" fontId="29" fillId="0" borderId="0" xfId="0" quotePrefix="1" applyFont="1" applyAlignment="1">
      <alignment horizontal="center"/>
    </xf>
    <xf numFmtId="0" fontId="29" fillId="0" borderId="0" xfId="0" quotePrefix="1" applyFont="1" applyFill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5" fontId="30" fillId="0" borderId="0" xfId="0" applyNumberFormat="1" applyFont="1" applyFill="1" applyProtection="1"/>
    <xf numFmtId="10" fontId="30" fillId="0" borderId="0" xfId="0" applyNumberFormat="1" applyFont="1" applyFill="1" applyProtection="1"/>
    <xf numFmtId="39" fontId="33" fillId="0" borderId="0" xfId="0" applyNumberFormat="1" applyFont="1"/>
    <xf numFmtId="37" fontId="30" fillId="0" borderId="0" xfId="0" applyNumberFormat="1" applyFont="1"/>
    <xf numFmtId="0" fontId="30" fillId="0" borderId="0" xfId="0" quotePrefix="1" applyFont="1"/>
    <xf numFmtId="37" fontId="30" fillId="0" borderId="0" xfId="0" applyNumberFormat="1" applyFont="1" applyFill="1" applyProtection="1"/>
    <xf numFmtId="165" fontId="30" fillId="0" borderId="0" xfId="0" applyNumberFormat="1" applyFont="1"/>
    <xf numFmtId="5" fontId="30" fillId="0" borderId="14" xfId="0" applyNumberFormat="1" applyFont="1" applyFill="1" applyBorder="1" applyProtection="1"/>
    <xf numFmtId="10" fontId="30" fillId="0" borderId="0" xfId="0" applyNumberFormat="1" applyFont="1" applyFill="1" applyBorder="1" applyProtection="1"/>
    <xf numFmtId="5" fontId="30" fillId="0" borderId="0" xfId="0" applyNumberFormat="1" applyFont="1" applyFill="1" applyBorder="1" applyProtection="1"/>
    <xf numFmtId="10" fontId="30" fillId="0" borderId="0" xfId="0" applyNumberFormat="1" applyFont="1" applyProtection="1"/>
    <xf numFmtId="10" fontId="30" fillId="0" borderId="0" xfId="0" applyNumberFormat="1" applyFont="1" applyBorder="1" applyProtection="1"/>
    <xf numFmtId="37" fontId="30" fillId="0" borderId="0" xfId="0" applyNumberFormat="1" applyFont="1" applyBorder="1" applyProtection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5" fontId="30" fillId="0" borderId="0" xfId="0" applyNumberFormat="1" applyFont="1" applyFill="1" applyAlignment="1">
      <alignment horizontal="right"/>
    </xf>
    <xf numFmtId="182" fontId="33" fillId="0" borderId="0" xfId="0" applyNumberFormat="1" applyFont="1" applyFill="1" applyAlignment="1">
      <alignment horizontal="right"/>
    </xf>
    <xf numFmtId="0" fontId="29" fillId="0" borderId="0" xfId="0" applyFont="1" applyFill="1"/>
    <xf numFmtId="182" fontId="35" fillId="0" borderId="0" xfId="0" applyNumberFormat="1" applyFont="1" applyFill="1" applyAlignment="1">
      <alignment horizontal="right"/>
    </xf>
    <xf numFmtId="182" fontId="29" fillId="0" borderId="0" xfId="0" applyNumberFormat="1" applyFont="1" applyFill="1" applyAlignment="1">
      <alignment horizontal="right"/>
    </xf>
    <xf numFmtId="183" fontId="35" fillId="0" borderId="0" xfId="0" applyNumberFormat="1" applyFont="1" applyFill="1" applyAlignment="1">
      <alignment horizontal="right"/>
    </xf>
    <xf numFmtId="184" fontId="33" fillId="0" borderId="0" xfId="0" applyNumberFormat="1" applyFont="1" applyFill="1" applyAlignment="1">
      <alignment horizontal="right"/>
    </xf>
    <xf numFmtId="184" fontId="30" fillId="0" borderId="0" xfId="0" applyNumberFormat="1" applyFont="1" applyFill="1" applyAlignment="1">
      <alignment horizontal="right"/>
    </xf>
    <xf numFmtId="5" fontId="32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37" fontId="29" fillId="0" borderId="0" xfId="0" applyNumberFormat="1" applyFont="1" applyFill="1"/>
    <xf numFmtId="184" fontId="29" fillId="0" borderId="0" xfId="0" applyNumberFormat="1" applyFont="1" applyFill="1"/>
    <xf numFmtId="37" fontId="32" fillId="0" borderId="0" xfId="0" applyNumberFormat="1" applyFont="1" applyFill="1"/>
    <xf numFmtId="5" fontId="29" fillId="0" borderId="0" xfId="0" applyNumberFormat="1" applyFont="1" applyFill="1" applyProtection="1"/>
    <xf numFmtId="184" fontId="29" fillId="0" borderId="0" xfId="0" applyNumberFormat="1" applyFont="1" applyFill="1" applyAlignment="1" applyProtection="1">
      <alignment horizontal="right"/>
    </xf>
    <xf numFmtId="167" fontId="29" fillId="0" borderId="0" xfId="0" applyNumberFormat="1" applyFont="1" applyFill="1" applyAlignment="1" applyProtection="1">
      <alignment horizontal="center"/>
    </xf>
    <xf numFmtId="37" fontId="29" fillId="0" borderId="0" xfId="0" applyNumberFormat="1" applyFont="1" applyFill="1" applyAlignment="1" applyProtection="1"/>
    <xf numFmtId="37" fontId="29" fillId="0" borderId="0" xfId="0" applyNumberFormat="1" applyFont="1" applyFill="1" applyAlignment="1"/>
    <xf numFmtId="167" fontId="30" fillId="0" borderId="0" xfId="0" applyNumberFormat="1" applyFont="1" applyFill="1" applyAlignment="1" applyProtection="1">
      <alignment horizontal="center"/>
    </xf>
    <xf numFmtId="5" fontId="30" fillId="0" borderId="0" xfId="0" applyNumberFormat="1" applyFont="1" applyFill="1"/>
    <xf numFmtId="0" fontId="31" fillId="0" borderId="0" xfId="0" applyFont="1" applyFill="1" applyAlignment="1">
      <alignment horizontal="center"/>
    </xf>
    <xf numFmtId="0" fontId="31" fillId="0" borderId="0" xfId="0" quotePrefix="1" applyFont="1" applyAlignment="1">
      <alignment horizontal="center"/>
    </xf>
    <xf numFmtId="0" fontId="30" fillId="0" borderId="0" xfId="0" quotePrefix="1" applyFont="1" applyFill="1" applyAlignment="1">
      <alignment horizontal="center"/>
    </xf>
    <xf numFmtId="0" fontId="29" fillId="0" borderId="0" xfId="0" quotePrefix="1" applyFont="1" applyFill="1"/>
    <xf numFmtId="37" fontId="30" fillId="0" borderId="0" xfId="0" applyNumberFormat="1" applyFont="1" applyFill="1"/>
    <xf numFmtId="37" fontId="34" fillId="0" borderId="0" xfId="0" applyNumberFormat="1" applyFont="1" applyFill="1" applyProtection="1"/>
    <xf numFmtId="39" fontId="30" fillId="0" borderId="0" xfId="0" applyNumberFormat="1" applyFont="1" applyFill="1"/>
    <xf numFmtId="39" fontId="30" fillId="0" borderId="0" xfId="0" applyNumberFormat="1" applyFont="1"/>
    <xf numFmtId="39" fontId="29" fillId="0" borderId="0" xfId="0" applyNumberFormat="1" applyFont="1" applyFill="1"/>
    <xf numFmtId="165" fontId="30" fillId="0" borderId="0" xfId="0" applyNumberFormat="1" applyFont="1" applyFill="1"/>
    <xf numFmtId="167" fontId="29" fillId="0" borderId="0" xfId="0" applyNumberFormat="1" applyFont="1" applyFill="1"/>
    <xf numFmtId="167" fontId="30" fillId="0" borderId="0" xfId="0" applyNumberFormat="1" applyFont="1" applyFill="1"/>
    <xf numFmtId="165" fontId="29" fillId="0" borderId="0" xfId="0" applyNumberFormat="1" applyFont="1" applyFill="1"/>
    <xf numFmtId="166" fontId="29" fillId="0" borderId="0" xfId="0" applyNumberFormat="1" applyFont="1" applyFill="1"/>
    <xf numFmtId="174" fontId="29" fillId="0" borderId="0" xfId="0" applyNumberFormat="1" applyFont="1" applyFill="1"/>
    <xf numFmtId="37" fontId="30" fillId="0" borderId="0" xfId="0" applyNumberFormat="1" applyFont="1" applyBorder="1"/>
    <xf numFmtId="0" fontId="30" fillId="0" borderId="0" xfId="0" applyFont="1" applyBorder="1"/>
    <xf numFmtId="0" fontId="30" fillId="0" borderId="0" xfId="0" applyFont="1" applyFill="1" applyBorder="1"/>
    <xf numFmtId="37" fontId="32" fillId="0" borderId="0" xfId="0" applyNumberFormat="1" applyFont="1" applyFill="1" applyBorder="1"/>
    <xf numFmtId="37" fontId="3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177" fontId="21" fillId="0" borderId="0" xfId="1" applyNumberFormat="1" applyFont="1" applyFill="1" applyBorder="1"/>
    <xf numFmtId="165" fontId="9" fillId="0" borderId="0" xfId="0" quotePrefix="1" applyNumberFormat="1" applyFont="1" applyBorder="1" applyAlignment="1">
      <alignment horizontal="center"/>
    </xf>
    <xf numFmtId="39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right"/>
      <protection locked="0"/>
    </xf>
    <xf numFmtId="165" fontId="21" fillId="0" borderId="0" xfId="0" applyNumberFormat="1" applyFont="1" applyFill="1" applyBorder="1"/>
    <xf numFmtId="164" fontId="9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  <protection locked="0"/>
    </xf>
    <xf numFmtId="37" fontId="9" fillId="0" borderId="0" xfId="0" applyNumberFormat="1" applyFont="1" applyFill="1" applyBorder="1" applyAlignment="1">
      <alignment horizontal="center"/>
    </xf>
    <xf numFmtId="39" fontId="9" fillId="0" borderId="0" xfId="0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Protection="1">
      <protection locked="0"/>
    </xf>
    <xf numFmtId="165" fontId="24" fillId="0" borderId="0" xfId="0" applyNumberFormat="1" applyFont="1" applyFill="1" applyBorder="1"/>
    <xf numFmtId="165" fontId="22" fillId="0" borderId="0" xfId="0" applyNumberFormat="1" applyFont="1" applyFill="1" applyBorder="1"/>
    <xf numFmtId="165" fontId="26" fillId="0" borderId="0" xfId="0" applyNumberFormat="1" applyFont="1" applyFill="1" applyBorder="1"/>
    <xf numFmtId="165" fontId="27" fillId="0" borderId="0" xfId="0" applyNumberFormat="1" applyFont="1" applyFill="1" applyBorder="1"/>
    <xf numFmtId="177" fontId="24" fillId="0" borderId="0" xfId="1" applyNumberFormat="1" applyFont="1" applyFill="1" applyBorder="1"/>
    <xf numFmtId="177" fontId="15" fillId="0" borderId="0" xfId="1" applyNumberFormat="1" applyFont="1" applyBorder="1"/>
    <xf numFmtId="177" fontId="22" fillId="0" borderId="0" xfId="1" applyNumberFormat="1" applyFont="1" applyFill="1" applyBorder="1"/>
    <xf numFmtId="165" fontId="10" fillId="0" borderId="9" xfId="0" applyNumberFormat="1" applyFont="1" applyBorder="1"/>
    <xf numFmtId="0" fontId="9" fillId="0" borderId="1" xfId="0" applyFont="1" applyFill="1" applyBorder="1" applyAlignment="1">
      <alignment horizontal="center"/>
    </xf>
    <xf numFmtId="165" fontId="13" fillId="0" borderId="3" xfId="0" applyNumberFormat="1" applyFont="1" applyFill="1" applyBorder="1"/>
    <xf numFmtId="37" fontId="22" fillId="0" borderId="0" xfId="0" applyNumberFormat="1" applyFont="1" applyFill="1"/>
    <xf numFmtId="0" fontId="16" fillId="0" borderId="0" xfId="0" applyFont="1" applyFill="1" applyBorder="1"/>
    <xf numFmtId="0" fontId="38" fillId="0" borderId="0" xfId="0" applyFont="1"/>
    <xf numFmtId="0" fontId="37" fillId="0" borderId="0" xfId="0" applyFont="1" applyAlignment="1">
      <alignment horizontal="center"/>
    </xf>
    <xf numFmtId="164" fontId="37" fillId="0" borderId="0" xfId="0" applyNumberFormat="1" applyFont="1" applyFill="1" applyAlignment="1" applyProtection="1">
      <alignment horizontal="right"/>
    </xf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38" fillId="0" borderId="0" xfId="0" applyFont="1" applyFill="1"/>
    <xf numFmtId="0" fontId="37" fillId="0" borderId="0" xfId="0" applyFont="1" applyFill="1" applyAlignment="1" applyProtection="1">
      <alignment horizontal="right"/>
      <protection locked="0"/>
    </xf>
    <xf numFmtId="0" fontId="37" fillId="0" borderId="0" xfId="0" applyFont="1" applyFill="1" applyAlignment="1">
      <alignment horizontal="left"/>
    </xf>
    <xf numFmtId="0" fontId="39" fillId="0" borderId="0" xfId="0" applyFont="1" applyFill="1" applyAlignment="1">
      <alignment horizontal="center"/>
    </xf>
    <xf numFmtId="176" fontId="39" fillId="0" borderId="0" xfId="0" applyNumberFormat="1" applyFont="1" applyFill="1" applyAlignment="1">
      <alignment horizontal="center"/>
    </xf>
    <xf numFmtId="39" fontId="37" fillId="0" borderId="0" xfId="0" applyNumberFormat="1" applyFont="1" applyFill="1" applyAlignment="1" applyProtection="1">
      <alignment horizontal="center"/>
    </xf>
    <xf numFmtId="0" fontId="38" fillId="0" borderId="0" xfId="0" applyFont="1" applyFill="1" applyAlignment="1">
      <alignment horizontal="center"/>
    </xf>
    <xf numFmtId="0" fontId="40" fillId="0" borderId="0" xfId="0" applyFont="1" applyFill="1" applyProtection="1">
      <protection locked="0"/>
    </xf>
    <xf numFmtId="0" fontId="41" fillId="0" borderId="0" xfId="0" applyFont="1" applyFill="1" applyProtection="1">
      <protection locked="0"/>
    </xf>
    <xf numFmtId="165" fontId="41" fillId="0" borderId="0" xfId="0" applyNumberFormat="1" applyFont="1" applyFill="1" applyProtection="1">
      <protection locked="0"/>
    </xf>
    <xf numFmtId="165" fontId="38" fillId="0" borderId="0" xfId="0" applyNumberFormat="1" applyFont="1" applyFill="1" applyProtection="1"/>
    <xf numFmtId="0" fontId="41" fillId="0" borderId="0" xfId="0" quotePrefix="1" applyFont="1" applyFill="1" applyProtection="1">
      <protection locked="0"/>
    </xf>
    <xf numFmtId="0" fontId="41" fillId="0" borderId="0" xfId="0" quotePrefix="1" applyFont="1" applyFill="1" applyAlignment="1" applyProtection="1">
      <alignment horizontal="center"/>
      <protection locked="0"/>
    </xf>
    <xf numFmtId="0" fontId="42" fillId="0" borderId="0" xfId="0" applyFont="1" applyFill="1" applyAlignment="1">
      <alignment horizontal="center"/>
    </xf>
    <xf numFmtId="0" fontId="38" fillId="0" borderId="0" xfId="0" applyFont="1" applyFill="1" applyProtection="1">
      <protection locked="0"/>
    </xf>
    <xf numFmtId="37" fontId="41" fillId="0" borderId="0" xfId="0" applyNumberFormat="1" applyFont="1" applyFill="1" applyAlignment="1" applyProtection="1">
      <alignment horizontal="center"/>
      <protection locked="0"/>
    </xf>
    <xf numFmtId="165" fontId="38" fillId="0" borderId="0" xfId="0" applyNumberFormat="1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/>
    <xf numFmtId="0" fontId="43" fillId="0" borderId="0" xfId="0" applyFont="1" applyFill="1" applyProtection="1">
      <protection locked="0"/>
    </xf>
    <xf numFmtId="0" fontId="41" fillId="0" borderId="0" xfId="0" applyFont="1" applyFill="1"/>
    <xf numFmtId="0" fontId="38" fillId="0" borderId="0" xfId="0" applyFont="1" applyAlignment="1">
      <alignment horizontal="center"/>
    </xf>
    <xf numFmtId="37" fontId="41" fillId="0" borderId="0" xfId="0" applyNumberFormat="1" applyFont="1" applyFill="1" applyProtection="1">
      <protection locked="0"/>
    </xf>
    <xf numFmtId="165" fontId="41" fillId="0" borderId="0" xfId="0" applyNumberFormat="1" applyFont="1" applyProtection="1">
      <protection locked="0"/>
    </xf>
    <xf numFmtId="165" fontId="38" fillId="0" borderId="0" xfId="0" applyNumberFormat="1" applyFont="1" applyProtection="1"/>
    <xf numFmtId="0" fontId="41" fillId="0" borderId="0" xfId="0" applyFont="1" applyProtection="1">
      <protection locked="0"/>
    </xf>
    <xf numFmtId="37" fontId="41" fillId="0" borderId="0" xfId="0" applyNumberFormat="1" applyFont="1" applyProtection="1">
      <protection locked="0"/>
    </xf>
    <xf numFmtId="0" fontId="43" fillId="0" borderId="0" xfId="0" applyFont="1" applyProtection="1">
      <protection locked="0"/>
    </xf>
    <xf numFmtId="0" fontId="41" fillId="0" borderId="0" xfId="0" quotePrefix="1" applyFont="1" applyProtection="1">
      <protection locked="0"/>
    </xf>
    <xf numFmtId="0" fontId="41" fillId="0" borderId="0" xfId="0" quotePrefix="1" applyFont="1" applyAlignment="1" applyProtection="1">
      <alignment horizontal="center"/>
      <protection locked="0"/>
    </xf>
    <xf numFmtId="165" fontId="37" fillId="0" borderId="0" xfId="0" applyNumberFormat="1" applyFont="1" applyProtection="1"/>
    <xf numFmtId="0" fontId="37" fillId="0" borderId="0" xfId="0" applyFont="1"/>
    <xf numFmtId="165" fontId="38" fillId="0" borderId="0" xfId="0" applyNumberFormat="1" applyFont="1" applyProtection="1">
      <protection locked="0"/>
    </xf>
    <xf numFmtId="0" fontId="37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 applyProtection="1">
      <alignment horizontal="center"/>
    </xf>
    <xf numFmtId="165" fontId="37" fillId="0" borderId="0" xfId="0" applyNumberFormat="1" applyFont="1" applyAlignment="1" applyProtection="1">
      <alignment horizontal="center"/>
    </xf>
    <xf numFmtId="165" fontId="38" fillId="0" borderId="0" xfId="0" applyNumberFormat="1" applyFont="1"/>
    <xf numFmtId="37" fontId="38" fillId="0" borderId="0" xfId="0" applyNumberFormat="1" applyFont="1"/>
    <xf numFmtId="168" fontId="44" fillId="0" borderId="0" xfId="0" applyNumberFormat="1" applyFont="1"/>
    <xf numFmtId="37" fontId="45" fillId="0" borderId="0" xfId="0" applyNumberFormat="1" applyFont="1"/>
    <xf numFmtId="178" fontId="13" fillId="0" borderId="0" xfId="0" applyNumberFormat="1" applyFont="1" applyFill="1" applyAlignment="1">
      <alignment horizontal="center"/>
    </xf>
    <xf numFmtId="179" fontId="10" fillId="0" borderId="0" xfId="2" quotePrefix="1" applyNumberFormat="1" applyFont="1" applyFill="1" applyBorder="1" applyAlignment="1"/>
    <xf numFmtId="178" fontId="15" fillId="0" borderId="0" xfId="0" applyNumberFormat="1" applyFont="1" applyFill="1" applyAlignment="1">
      <alignment horizontal="center"/>
    </xf>
    <xf numFmtId="37" fontId="15" fillId="0" borderId="0" xfId="0" quotePrefix="1" applyNumberFormat="1" applyFont="1" applyFill="1" applyAlignment="1"/>
    <xf numFmtId="165" fontId="34" fillId="0" borderId="0" xfId="0" applyNumberFormat="1" applyFont="1" applyFill="1" applyProtection="1"/>
    <xf numFmtId="165" fontId="34" fillId="0" borderId="0" xfId="0" applyNumberFormat="1" applyFont="1" applyFill="1" applyBorder="1" applyProtection="1"/>
    <xf numFmtId="37" fontId="34" fillId="0" borderId="0" xfId="0" applyNumberFormat="1" applyFont="1" applyFill="1" applyBorder="1" applyProtection="1"/>
    <xf numFmtId="5" fontId="34" fillId="0" borderId="0" xfId="0" applyNumberFormat="1" applyFont="1" applyFill="1" applyProtection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 applyProtection="1">
      <alignment horizontal="center"/>
      <protection locked="0"/>
    </xf>
    <xf numFmtId="165" fontId="13" fillId="0" borderId="3" xfId="0" applyNumberFormat="1" applyFont="1" applyBorder="1"/>
    <xf numFmtId="0" fontId="29" fillId="0" borderId="0" xfId="0" applyFont="1" applyFill="1" applyAlignment="1">
      <alignment horizontal="center"/>
    </xf>
    <xf numFmtId="0" fontId="29" fillId="0" borderId="0" xfId="0" quotePrefix="1" applyFont="1" applyAlignment="1">
      <alignment horizontal="center"/>
    </xf>
    <xf numFmtId="169" fontId="30" fillId="0" borderId="0" xfId="0" applyNumberFormat="1" applyFont="1"/>
    <xf numFmtId="0" fontId="29" fillId="0" borderId="0" xfId="0" applyFont="1" applyAlignment="1">
      <alignment horizontal="right"/>
    </xf>
    <xf numFmtId="49" fontId="29" fillId="0" borderId="0" xfId="0" applyNumberFormat="1" applyFont="1" applyFill="1" applyBorder="1"/>
    <xf numFmtId="39" fontId="30" fillId="0" borderId="0" xfId="0" applyNumberFormat="1" applyFont="1" applyBorder="1"/>
    <xf numFmtId="37" fontId="29" fillId="0" borderId="0" xfId="0" applyNumberFormat="1" applyFont="1" applyAlignment="1">
      <alignment horizontal="center"/>
    </xf>
    <xf numFmtId="39" fontId="29" fillId="0" borderId="0" xfId="0" applyNumberFormat="1" applyFont="1" applyAlignment="1">
      <alignment horizontal="center"/>
    </xf>
    <xf numFmtId="169" fontId="29" fillId="0" borderId="0" xfId="0" applyNumberFormat="1" applyFont="1" applyAlignment="1">
      <alignment horizontal="center"/>
    </xf>
    <xf numFmtId="165" fontId="29" fillId="0" borderId="0" xfId="0" applyNumberFormat="1" applyFont="1" applyAlignment="1">
      <alignment horizontal="center"/>
    </xf>
    <xf numFmtId="37" fontId="31" fillId="0" borderId="0" xfId="0" applyNumberFormat="1" applyFont="1" applyAlignment="1">
      <alignment horizontal="center"/>
    </xf>
    <xf numFmtId="176" fontId="31" fillId="0" borderId="0" xfId="0" applyNumberFormat="1" applyFont="1" applyFill="1" applyAlignment="1">
      <alignment horizontal="center"/>
    </xf>
    <xf numFmtId="176" fontId="31" fillId="0" borderId="0" xfId="0" applyNumberFormat="1" applyFont="1" applyAlignment="1">
      <alignment horizontal="center"/>
    </xf>
    <xf numFmtId="37" fontId="29" fillId="0" borderId="0" xfId="0" quotePrefix="1" applyNumberFormat="1" applyFont="1" applyAlignment="1">
      <alignment horizontal="center"/>
    </xf>
    <xf numFmtId="165" fontId="29" fillId="0" borderId="0" xfId="0" quotePrefix="1" applyNumberFormat="1" applyFont="1" applyAlignment="1">
      <alignment horizontal="center"/>
    </xf>
    <xf numFmtId="39" fontId="29" fillId="0" borderId="0" xfId="0" quotePrefix="1" applyNumberFormat="1" applyFont="1" applyAlignment="1">
      <alignment horizontal="center"/>
    </xf>
    <xf numFmtId="0" fontId="32" fillId="0" borderId="0" xfId="0" applyFont="1" applyFill="1"/>
    <xf numFmtId="5" fontId="30" fillId="0" borderId="0" xfId="2" applyNumberFormat="1" applyFont="1"/>
    <xf numFmtId="5" fontId="30" fillId="0" borderId="0" xfId="0" applyNumberFormat="1" applyFont="1"/>
    <xf numFmtId="37" fontId="30" fillId="0" borderId="0" xfId="1" applyNumberFormat="1" applyFont="1"/>
    <xf numFmtId="171" fontId="30" fillId="0" borderId="0" xfId="0" applyNumberFormat="1" applyFont="1" applyFill="1" applyAlignment="1">
      <alignment horizontal="center"/>
    </xf>
    <xf numFmtId="37" fontId="32" fillId="0" borderId="0" xfId="0" applyNumberFormat="1" applyFont="1"/>
    <xf numFmtId="7" fontId="30" fillId="0" borderId="0" xfId="0" applyNumberFormat="1" applyFont="1"/>
    <xf numFmtId="0" fontId="29" fillId="0" borderId="0" xfId="0" applyFont="1" applyFill="1" applyBorder="1"/>
    <xf numFmtId="169" fontId="30" fillId="0" borderId="0" xfId="0" applyNumberFormat="1" applyFont="1" applyBorder="1"/>
    <xf numFmtId="165" fontId="30" fillId="0" borderId="0" xfId="0" applyNumberFormat="1" applyFont="1" applyBorder="1"/>
    <xf numFmtId="169" fontId="29" fillId="0" borderId="0" xfId="0" quotePrefix="1" applyNumberFormat="1" applyFont="1" applyAlignment="1">
      <alignment horizontal="center"/>
    </xf>
    <xf numFmtId="0" fontId="31" fillId="0" borderId="0" xfId="0" applyFont="1"/>
    <xf numFmtId="0" fontId="30" fillId="0" borderId="5" xfId="0" applyFont="1" applyBorder="1"/>
    <xf numFmtId="0" fontId="30" fillId="0" borderId="6" xfId="0" applyFont="1" applyBorder="1"/>
    <xf numFmtId="0" fontId="30" fillId="0" borderId="3" xfId="0" applyFont="1" applyBorder="1"/>
    <xf numFmtId="0" fontId="30" fillId="0" borderId="0" xfId="0" applyFont="1" applyAlignment="1">
      <alignment horizontal="left"/>
    </xf>
    <xf numFmtId="0" fontId="30" fillId="0" borderId="7" xfId="0" applyFont="1" applyBorder="1"/>
    <xf numFmtId="0" fontId="30" fillId="0" borderId="2" xfId="0" applyFont="1" applyFill="1" applyBorder="1"/>
    <xf numFmtId="0" fontId="30" fillId="0" borderId="2" xfId="0" applyFont="1" applyBorder="1"/>
    <xf numFmtId="0" fontId="30" fillId="0" borderId="2" xfId="0" applyFont="1" applyBorder="1" applyAlignment="1">
      <alignment horizontal="left"/>
    </xf>
    <xf numFmtId="37" fontId="30" fillId="0" borderId="2" xfId="0" applyNumberFormat="1" applyFont="1" applyBorder="1"/>
    <xf numFmtId="5" fontId="30" fillId="0" borderId="2" xfId="2" applyNumberFormat="1" applyFont="1" applyBorder="1"/>
    <xf numFmtId="43" fontId="30" fillId="0" borderId="0" xfId="0" applyNumberFormat="1" applyFont="1" applyBorder="1"/>
    <xf numFmtId="0" fontId="30" fillId="0" borderId="0" xfId="0" applyFont="1" applyBorder="1" applyAlignment="1">
      <alignment horizontal="left"/>
    </xf>
    <xf numFmtId="0" fontId="47" fillId="0" borderId="0" xfId="0" applyFont="1" applyFill="1"/>
    <xf numFmtId="0" fontId="30" fillId="0" borderId="0" xfId="0" applyFont="1" applyAlignment="1"/>
    <xf numFmtId="0" fontId="30" fillId="0" borderId="0" xfId="0" quotePrefix="1" applyFont="1" applyFill="1"/>
    <xf numFmtId="37" fontId="30" fillId="0" borderId="2" xfId="0" applyNumberFormat="1" applyFont="1" applyFill="1" applyBorder="1"/>
    <xf numFmtId="0" fontId="32" fillId="0" borderId="0" xfId="0" applyFont="1"/>
    <xf numFmtId="39" fontId="32" fillId="0" borderId="0" xfId="0" applyNumberFormat="1" applyFont="1"/>
    <xf numFmtId="165" fontId="32" fillId="0" borderId="0" xfId="0" applyNumberFormat="1" applyFont="1"/>
    <xf numFmtId="37" fontId="32" fillId="0" borderId="2" xfId="0" applyNumberFormat="1" applyFont="1" applyBorder="1"/>
    <xf numFmtId="179" fontId="30" fillId="0" borderId="0" xfId="2" applyNumberFormat="1" applyFont="1" applyFill="1"/>
    <xf numFmtId="169" fontId="30" fillId="0" borderId="0" xfId="0" applyNumberFormat="1" applyFont="1" applyFill="1"/>
    <xf numFmtId="5" fontId="30" fillId="0" borderId="0" xfId="2" applyNumberFormat="1" applyFont="1" applyFill="1"/>
    <xf numFmtId="43" fontId="30" fillId="0" borderId="0" xfId="1" applyFont="1"/>
    <xf numFmtId="178" fontId="30" fillId="0" borderId="0" xfId="1" applyNumberFormat="1" applyFont="1" applyFill="1"/>
    <xf numFmtId="178" fontId="30" fillId="0" borderId="0" xfId="1" applyNumberFormat="1" applyFont="1"/>
    <xf numFmtId="2" fontId="30" fillId="0" borderId="0" xfId="1" applyNumberFormat="1" applyFont="1"/>
    <xf numFmtId="177" fontId="30" fillId="0" borderId="0" xfId="1" applyNumberFormat="1" applyFont="1" applyFill="1"/>
    <xf numFmtId="177" fontId="30" fillId="0" borderId="0" xfId="1" applyNumberFormat="1" applyFont="1"/>
    <xf numFmtId="0" fontId="30" fillId="0" borderId="0" xfId="0" quotePrefix="1" applyFont="1" applyBorder="1" applyAlignment="1">
      <alignment horizontal="left"/>
    </xf>
    <xf numFmtId="172" fontId="30" fillId="0" borderId="0" xfId="1" applyNumberFormat="1" applyFont="1"/>
    <xf numFmtId="39" fontId="32" fillId="0" borderId="0" xfId="0" applyNumberFormat="1" applyFont="1" applyBorder="1"/>
    <xf numFmtId="43" fontId="32" fillId="0" borderId="0" xfId="0" applyNumberFormat="1" applyFont="1" applyBorder="1"/>
    <xf numFmtId="43" fontId="30" fillId="0" borderId="0" xfId="1" applyFont="1" applyFill="1"/>
    <xf numFmtId="5" fontId="32" fillId="0" borderId="0" xfId="2" applyNumberFormat="1" applyFont="1"/>
    <xf numFmtId="5" fontId="30" fillId="0" borderId="0" xfId="2" applyNumberFormat="1" applyFont="1" applyBorder="1"/>
    <xf numFmtId="0" fontId="30" fillId="0" borderId="13" xfId="0" applyFont="1" applyFill="1" applyBorder="1"/>
    <xf numFmtId="0" fontId="30" fillId="0" borderId="13" xfId="0" applyFont="1" applyBorder="1"/>
    <xf numFmtId="5" fontId="30" fillId="0" borderId="13" xfId="2" applyNumberFormat="1" applyFont="1" applyBorder="1"/>
    <xf numFmtId="43" fontId="30" fillId="0" borderId="0" xfId="1" applyFont="1" applyBorder="1"/>
    <xf numFmtId="0" fontId="29" fillId="0" borderId="0" xfId="0" applyFont="1" applyBorder="1"/>
    <xf numFmtId="39" fontId="30" fillId="0" borderId="0" xfId="0" applyNumberFormat="1" applyFont="1" applyFill="1" applyBorder="1"/>
    <xf numFmtId="169" fontId="30" fillId="0" borderId="0" xfId="0" applyNumberFormat="1" applyFont="1" applyFill="1" applyBorder="1"/>
    <xf numFmtId="165" fontId="30" fillId="0" borderId="0" xfId="0" applyNumberFormat="1" applyFont="1" applyFill="1" applyBorder="1"/>
    <xf numFmtId="178" fontId="30" fillId="0" borderId="0" xfId="1" applyNumberFormat="1" applyFont="1" applyFill="1" applyBorder="1"/>
    <xf numFmtId="178" fontId="30" fillId="0" borderId="0" xfId="0" applyNumberFormat="1" applyFont="1" applyBorder="1"/>
    <xf numFmtId="177" fontId="30" fillId="0" borderId="0" xfId="1" applyNumberFormat="1" applyFont="1" applyFill="1" applyBorder="1"/>
    <xf numFmtId="178" fontId="30" fillId="0" borderId="0" xfId="0" applyNumberFormat="1" applyFont="1"/>
    <xf numFmtId="177" fontId="30" fillId="0" borderId="0" xfId="0" applyNumberFormat="1" applyFont="1"/>
    <xf numFmtId="172" fontId="30" fillId="0" borderId="0" xfId="0" applyNumberFormat="1" applyFont="1" applyFill="1"/>
    <xf numFmtId="4" fontId="30" fillId="0" borderId="0" xfId="0" applyNumberFormat="1" applyFont="1" applyFill="1"/>
    <xf numFmtId="165" fontId="32" fillId="0" borderId="0" xfId="0" applyNumberFormat="1" applyFont="1" applyFill="1"/>
    <xf numFmtId="169" fontId="32" fillId="0" borderId="0" xfId="0" applyNumberFormat="1" applyFont="1"/>
    <xf numFmtId="178" fontId="32" fillId="0" borderId="0" xfId="0" applyNumberFormat="1" applyFont="1" applyFill="1"/>
    <xf numFmtId="165" fontId="30" fillId="0" borderId="0" xfId="1" applyNumberFormat="1" applyFont="1" applyFill="1"/>
    <xf numFmtId="43" fontId="30" fillId="0" borderId="0" xfId="0" applyNumberFormat="1" applyFont="1"/>
    <xf numFmtId="178" fontId="30" fillId="0" borderId="0" xfId="0" applyNumberFormat="1" applyFont="1" applyFill="1"/>
    <xf numFmtId="179" fontId="30" fillId="0" borderId="0" xfId="2" applyNumberFormat="1" applyFont="1" applyFill="1" applyBorder="1"/>
    <xf numFmtId="39" fontId="32" fillId="0" borderId="0" xfId="0" applyNumberFormat="1" applyFont="1" applyFill="1"/>
    <xf numFmtId="169" fontId="32" fillId="0" borderId="0" xfId="0" applyNumberFormat="1" applyFont="1" applyFill="1"/>
    <xf numFmtId="179" fontId="32" fillId="0" borderId="0" xfId="2" applyNumberFormat="1" applyFont="1" applyFill="1"/>
    <xf numFmtId="37" fontId="30" fillId="0" borderId="5" xfId="0" applyNumberFormat="1" applyFont="1" applyBorder="1"/>
    <xf numFmtId="178" fontId="49" fillId="0" borderId="0" xfId="0" applyNumberFormat="1" applyFont="1" applyBorder="1"/>
    <xf numFmtId="0" fontId="50" fillId="0" borderId="0" xfId="0" applyFont="1" applyFill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164" fontId="29" fillId="0" borderId="0" xfId="0" applyNumberFormat="1" applyFont="1" applyFill="1" applyBorder="1" applyAlignment="1" applyProtection="1">
      <alignment horizontal="right"/>
    </xf>
    <xf numFmtId="49" fontId="35" fillId="0" borderId="0" xfId="0" applyNumberFormat="1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39" fontId="29" fillId="0" borderId="0" xfId="0" applyNumberFormat="1" applyFont="1" applyBorder="1" applyAlignment="1">
      <alignment horizontal="center"/>
    </xf>
    <xf numFmtId="169" fontId="29" fillId="0" borderId="0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0" fontId="29" fillId="0" borderId="0" xfId="0" applyFont="1" applyFill="1" applyBorder="1" applyAlignment="1" applyProtection="1">
      <alignment horizontal="right"/>
      <protection locked="0"/>
    </xf>
    <xf numFmtId="176" fontId="31" fillId="0" borderId="0" xfId="0" applyNumberFormat="1" applyFont="1" applyFill="1" applyBorder="1" applyAlignment="1">
      <alignment horizontal="center"/>
    </xf>
    <xf numFmtId="37" fontId="29" fillId="0" borderId="0" xfId="0" quotePrefix="1" applyNumberFormat="1" applyFont="1" applyBorder="1" applyAlignment="1">
      <alignment horizontal="center"/>
    </xf>
    <xf numFmtId="165" fontId="29" fillId="0" borderId="0" xfId="0" quotePrefix="1" applyNumberFormat="1" applyFont="1" applyBorder="1" applyAlignment="1">
      <alignment horizontal="center"/>
    </xf>
    <xf numFmtId="39" fontId="29" fillId="0" borderId="0" xfId="0" quotePrefix="1" applyNumberFormat="1" applyFont="1" applyBorder="1" applyAlignment="1">
      <alignment horizontal="center"/>
    </xf>
    <xf numFmtId="172" fontId="30" fillId="0" borderId="0" xfId="0" applyNumberFormat="1" applyFont="1" applyFill="1" applyBorder="1"/>
    <xf numFmtId="0" fontId="32" fillId="0" borderId="0" xfId="0" applyFont="1" applyFill="1" applyAlignment="1">
      <alignment horizontal="center"/>
    </xf>
    <xf numFmtId="172" fontId="33" fillId="0" borderId="0" xfId="0" applyNumberFormat="1" applyFont="1" applyFill="1" applyBorder="1" applyAlignment="1">
      <alignment horizontal="right"/>
    </xf>
    <xf numFmtId="172" fontId="30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Protection="1">
      <protection locked="0"/>
    </xf>
    <xf numFmtId="172" fontId="47" fillId="0" borderId="0" xfId="0" applyNumberFormat="1" applyFont="1" applyFill="1" applyProtection="1">
      <protection locked="0"/>
    </xf>
    <xf numFmtId="172" fontId="30" fillId="0" borderId="0" xfId="0" applyNumberFormat="1" applyFont="1" applyFill="1" applyProtection="1"/>
    <xf numFmtId="165" fontId="47" fillId="0" borderId="0" xfId="0" applyNumberFormat="1" applyFont="1" applyFill="1"/>
    <xf numFmtId="177" fontId="49" fillId="0" borderId="0" xfId="1" applyNumberFormat="1" applyFont="1" applyFill="1" applyBorder="1"/>
    <xf numFmtId="170" fontId="30" fillId="0" borderId="0" xfId="1" applyNumberFormat="1" applyFont="1" applyFill="1" applyBorder="1"/>
    <xf numFmtId="170" fontId="30" fillId="0" borderId="0" xfId="0" applyNumberFormat="1" applyFont="1" applyFill="1" applyBorder="1" applyProtection="1">
      <protection locked="0"/>
    </xf>
    <xf numFmtId="165" fontId="30" fillId="0" borderId="0" xfId="0" applyNumberFormat="1" applyFont="1" applyFill="1" applyBorder="1" applyProtection="1"/>
    <xf numFmtId="37" fontId="30" fillId="0" borderId="0" xfId="0" applyNumberFormat="1" applyFont="1" applyFill="1" applyBorder="1" applyProtection="1"/>
    <xf numFmtId="172" fontId="30" fillId="0" borderId="0" xfId="0" applyNumberFormat="1" applyFont="1" applyBorder="1"/>
    <xf numFmtId="43" fontId="30" fillId="0" borderId="0" xfId="1" applyFont="1" applyFill="1" applyBorder="1"/>
    <xf numFmtId="39" fontId="30" fillId="0" borderId="0" xfId="0" applyNumberFormat="1" applyFont="1" applyFill="1" applyBorder="1" applyProtection="1">
      <protection locked="0"/>
    </xf>
    <xf numFmtId="0" fontId="47" fillId="0" borderId="0" xfId="0" applyFont="1" applyFill="1" applyBorder="1"/>
    <xf numFmtId="172" fontId="47" fillId="0" borderId="0" xfId="0" applyNumberFormat="1" applyFont="1" applyFill="1" applyBorder="1" applyProtection="1">
      <protection locked="0"/>
    </xf>
    <xf numFmtId="172" fontId="30" fillId="0" borderId="0" xfId="0" applyNumberFormat="1" applyFont="1" applyFill="1" applyBorder="1" applyProtection="1"/>
    <xf numFmtId="165" fontId="47" fillId="0" borderId="0" xfId="0" applyNumberFormat="1" applyFont="1" applyFill="1" applyBorder="1"/>
    <xf numFmtId="172" fontId="30" fillId="0" borderId="0" xfId="0" applyNumberFormat="1" applyFont="1" applyFill="1" applyBorder="1" applyProtection="1">
      <protection locked="0"/>
    </xf>
    <xf numFmtId="167" fontId="30" fillId="0" borderId="0" xfId="0" applyNumberFormat="1" applyFont="1" applyFill="1" applyBorder="1" applyProtection="1"/>
    <xf numFmtId="0" fontId="30" fillId="0" borderId="0" xfId="0" applyFont="1" applyFill="1" applyBorder="1" applyAlignment="1">
      <alignment horizontal="center"/>
    </xf>
    <xf numFmtId="170" fontId="30" fillId="0" borderId="0" xfId="2" applyNumberFormat="1" applyFont="1" applyFill="1" applyBorder="1" applyProtection="1">
      <protection locked="0"/>
    </xf>
    <xf numFmtId="165" fontId="47" fillId="0" borderId="0" xfId="0" applyNumberFormat="1" applyFont="1" applyFill="1" applyProtection="1">
      <protection locked="0"/>
    </xf>
    <xf numFmtId="165" fontId="32" fillId="0" borderId="0" xfId="0" applyNumberFormat="1" applyFont="1" applyFill="1" applyBorder="1" applyProtection="1">
      <protection locked="0"/>
    </xf>
    <xf numFmtId="37" fontId="32" fillId="0" borderId="0" xfId="0" applyNumberFormat="1" applyFont="1" applyFill="1" applyBorder="1" applyProtection="1"/>
    <xf numFmtId="165" fontId="48" fillId="0" borderId="0" xfId="0" applyNumberFormat="1" applyFont="1" applyFill="1"/>
    <xf numFmtId="165" fontId="51" fillId="0" borderId="0" xfId="0" applyNumberFormat="1" applyFont="1" applyFill="1" applyProtection="1">
      <protection locked="0"/>
    </xf>
    <xf numFmtId="0" fontId="30" fillId="0" borderId="0" xfId="0" applyFont="1" applyFill="1" applyAlignment="1">
      <alignment horizontal="left"/>
    </xf>
    <xf numFmtId="39" fontId="30" fillId="0" borderId="0" xfId="0" applyNumberFormat="1" applyFont="1" applyFill="1" applyBorder="1" applyProtection="1"/>
    <xf numFmtId="165" fontId="30" fillId="0" borderId="0" xfId="0" applyNumberFormat="1" applyFont="1" applyFill="1" applyProtection="1"/>
    <xf numFmtId="165" fontId="29" fillId="0" borderId="0" xfId="0" applyNumberFormat="1" applyFont="1" applyFill="1" applyBorder="1" applyProtection="1"/>
    <xf numFmtId="165" fontId="29" fillId="0" borderId="0" xfId="0" applyNumberFormat="1" applyFont="1" applyFill="1" applyBorder="1" applyAlignment="1" applyProtection="1">
      <alignment horizontal="center"/>
    </xf>
    <xf numFmtId="165" fontId="31" fillId="0" borderId="0" xfId="0" applyNumberFormat="1" applyFont="1" applyFill="1" applyBorder="1" applyAlignment="1" applyProtection="1">
      <alignment horizontal="center"/>
    </xf>
    <xf numFmtId="167" fontId="47" fillId="0" borderId="0" xfId="0" applyNumberFormat="1" applyFont="1" applyFill="1" applyBorder="1" applyProtection="1">
      <protection locked="0"/>
    </xf>
    <xf numFmtId="165" fontId="47" fillId="0" borderId="0" xfId="0" applyNumberFormat="1" applyFont="1" applyFill="1" applyBorder="1" applyProtection="1">
      <protection locked="0"/>
    </xf>
    <xf numFmtId="165" fontId="51" fillId="0" borderId="0" xfId="0" applyNumberFormat="1" applyFont="1" applyFill="1" applyBorder="1" applyProtection="1">
      <protection locked="0"/>
    </xf>
    <xf numFmtId="39" fontId="47" fillId="0" borderId="0" xfId="0" applyNumberFormat="1" applyFont="1" applyFill="1" applyBorder="1" applyProtection="1">
      <protection locked="0"/>
    </xf>
    <xf numFmtId="165" fontId="48" fillId="0" borderId="0" xfId="0" applyNumberFormat="1" applyFont="1" applyFill="1" applyBorder="1" applyProtection="1">
      <protection locked="0"/>
    </xf>
    <xf numFmtId="165" fontId="48" fillId="0" borderId="0" xfId="0" applyNumberFormat="1" applyFont="1" applyFill="1" applyProtection="1">
      <protection locked="0"/>
    </xf>
    <xf numFmtId="166" fontId="47" fillId="0" borderId="0" xfId="0" applyNumberFormat="1" applyFont="1" applyFill="1" applyBorder="1" applyProtection="1">
      <protection locked="0"/>
    </xf>
    <xf numFmtId="166" fontId="30" fillId="0" borderId="0" xfId="0" applyNumberFormat="1" applyFont="1" applyFill="1" applyBorder="1" applyProtection="1"/>
    <xf numFmtId="165" fontId="32" fillId="0" borderId="0" xfId="0" applyNumberFormat="1" applyFont="1" applyFill="1" applyBorder="1"/>
    <xf numFmtId="0" fontId="31" fillId="0" borderId="0" xfId="0" applyFont="1" applyFill="1" applyBorder="1"/>
    <xf numFmtId="3" fontId="30" fillId="0" borderId="0" xfId="0" applyNumberFormat="1" applyFont="1" applyFill="1" applyBorder="1" applyProtection="1"/>
    <xf numFmtId="0" fontId="32" fillId="0" borderId="0" xfId="0" applyFont="1" applyFill="1" applyBorder="1"/>
    <xf numFmtId="3" fontId="30" fillId="0" borderId="0" xfId="0" applyNumberFormat="1" applyFont="1" applyFill="1" applyBorder="1"/>
    <xf numFmtId="3" fontId="32" fillId="0" borderId="0" xfId="0" applyNumberFormat="1" applyFont="1" applyFill="1" applyBorder="1" applyProtection="1"/>
    <xf numFmtId="37" fontId="47" fillId="0" borderId="0" xfId="0" applyNumberFormat="1" applyFont="1" applyFill="1" applyBorder="1" applyProtection="1"/>
    <xf numFmtId="37" fontId="47" fillId="0" borderId="0" xfId="0" applyNumberFormat="1" applyFont="1" applyFill="1" applyBorder="1" applyProtection="1">
      <protection locked="0"/>
    </xf>
    <xf numFmtId="0" fontId="32" fillId="0" borderId="0" xfId="0" applyFont="1" applyFill="1" applyBorder="1" applyAlignment="1">
      <alignment horizontal="center"/>
    </xf>
    <xf numFmtId="169" fontId="47" fillId="0" borderId="0" xfId="0" applyNumberFormat="1" applyFont="1" applyFill="1" applyBorder="1"/>
    <xf numFmtId="164" fontId="29" fillId="0" borderId="0" xfId="0" applyNumberFormat="1" applyFont="1" applyFill="1" applyAlignment="1" applyProtection="1">
      <alignment horizontal="right"/>
    </xf>
    <xf numFmtId="0" fontId="29" fillId="0" borderId="0" xfId="0" applyFont="1" applyFill="1" applyAlignment="1" applyProtection="1">
      <alignment horizontal="right"/>
      <protection locked="0"/>
    </xf>
    <xf numFmtId="49" fontId="35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quotePrefix="1" applyFont="1" applyFill="1" applyBorder="1" applyAlignment="1">
      <alignment horizontal="center"/>
    </xf>
    <xf numFmtId="178" fontId="33" fillId="0" borderId="0" xfId="1" applyNumberFormat="1" applyFont="1" applyFill="1" applyBorder="1"/>
    <xf numFmtId="178" fontId="30" fillId="0" borderId="0" xfId="1" applyNumberFormat="1" applyFont="1" applyBorder="1"/>
    <xf numFmtId="37" fontId="33" fillId="0" borderId="0" xfId="0" applyNumberFormat="1" applyFont="1" applyFill="1" applyBorder="1"/>
    <xf numFmtId="37" fontId="36" fillId="0" borderId="0" xfId="0" applyNumberFormat="1" applyFont="1" applyFill="1" applyBorder="1"/>
    <xf numFmtId="177" fontId="33" fillId="0" borderId="0" xfId="1" applyNumberFormat="1" applyFont="1" applyFill="1" applyBorder="1"/>
    <xf numFmtId="177" fontId="33" fillId="0" borderId="0" xfId="1" applyNumberFormat="1" applyFont="1" applyBorder="1"/>
    <xf numFmtId="177" fontId="30" fillId="0" borderId="0" xfId="1" applyNumberFormat="1" applyFont="1" applyBorder="1"/>
    <xf numFmtId="0" fontId="29" fillId="0" borderId="0" xfId="0" quotePrefix="1" applyFont="1" applyFill="1" applyBorder="1" applyAlignment="1">
      <alignment horizontal="center"/>
    </xf>
    <xf numFmtId="165" fontId="30" fillId="0" borderId="0" xfId="0" quotePrefix="1" applyNumberFormat="1" applyFont="1" applyBorder="1" applyAlignment="1">
      <alignment horizontal="left"/>
    </xf>
    <xf numFmtId="39" fontId="30" fillId="0" borderId="0" xfId="0" quotePrefix="1" applyNumberFormat="1" applyFont="1" applyBorder="1" applyAlignment="1">
      <alignment horizontal="left"/>
    </xf>
    <xf numFmtId="165" fontId="29" fillId="0" borderId="0" xfId="0" quotePrefix="1" applyNumberFormat="1" applyFont="1" applyFill="1" applyBorder="1" applyAlignment="1">
      <alignment horizontal="center"/>
    </xf>
    <xf numFmtId="39" fontId="29" fillId="0" borderId="0" xfId="0" quotePrefix="1" applyNumberFormat="1" applyFont="1" applyFill="1" applyBorder="1" applyAlignment="1">
      <alignment horizontal="center"/>
    </xf>
    <xf numFmtId="0" fontId="29" fillId="0" borderId="0" xfId="0" quotePrefix="1" applyFont="1" applyBorder="1" applyAlignment="1">
      <alignment horizontal="left"/>
    </xf>
    <xf numFmtId="49" fontId="29" fillId="0" borderId="0" xfId="0" applyNumberFormat="1" applyFont="1" applyBorder="1" applyAlignment="1">
      <alignment horizontal="left"/>
    </xf>
    <xf numFmtId="37" fontId="29" fillId="0" borderId="0" xfId="0" applyNumberFormat="1" applyFont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0" fontId="29" fillId="0" borderId="0" xfId="0" quotePrefix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9" fillId="0" borderId="5" xfId="0" applyFont="1" applyBorder="1"/>
    <xf numFmtId="37" fontId="47" fillId="0" borderId="5" xfId="0" applyNumberFormat="1" applyFont="1" applyFill="1" applyBorder="1"/>
    <xf numFmtId="37" fontId="30" fillId="0" borderId="5" xfId="0" applyNumberFormat="1" applyFont="1" applyFill="1" applyBorder="1"/>
    <xf numFmtId="0" fontId="30" fillId="0" borderId="7" xfId="0" applyFont="1" applyBorder="1" applyAlignment="1">
      <alignment horizontal="center"/>
    </xf>
    <xf numFmtId="37" fontId="47" fillId="0" borderId="0" xfId="0" applyNumberFormat="1" applyFont="1" applyFill="1" applyBorder="1"/>
    <xf numFmtId="178" fontId="30" fillId="0" borderId="3" xfId="1" applyNumberFormat="1" applyFont="1" applyBorder="1"/>
    <xf numFmtId="37" fontId="30" fillId="0" borderId="3" xfId="0" applyNumberFormat="1" applyFont="1" applyFill="1" applyBorder="1"/>
    <xf numFmtId="178" fontId="49" fillId="0" borderId="0" xfId="1" applyNumberFormat="1" applyFont="1" applyFill="1" applyBorder="1"/>
    <xf numFmtId="37" fontId="49" fillId="0" borderId="3" xfId="0" applyNumberFormat="1" applyFont="1" applyFill="1" applyBorder="1"/>
    <xf numFmtId="37" fontId="32" fillId="0" borderId="3" xfId="0" applyNumberFormat="1" applyFont="1" applyFill="1" applyBorder="1"/>
    <xf numFmtId="37" fontId="32" fillId="0" borderId="0" xfId="0" applyNumberFormat="1" applyFont="1" applyBorder="1" applyProtection="1"/>
    <xf numFmtId="0" fontId="30" fillId="0" borderId="8" xfId="0" applyFont="1" applyBorder="1" applyAlignment="1">
      <alignment horizontal="center"/>
    </xf>
    <xf numFmtId="0" fontId="30" fillId="0" borderId="1" xfId="0" quotePrefix="1" applyFont="1" applyBorder="1" applyAlignment="1">
      <alignment horizontal="left"/>
    </xf>
    <xf numFmtId="0" fontId="30" fillId="0" borderId="1" xfId="0" quotePrefix="1" applyFont="1" applyFill="1" applyBorder="1" applyAlignment="1">
      <alignment horizontal="center"/>
    </xf>
    <xf numFmtId="178" fontId="30" fillId="0" borderId="1" xfId="1" applyNumberFormat="1" applyFont="1" applyFill="1" applyBorder="1"/>
    <xf numFmtId="178" fontId="30" fillId="0" borderId="9" xfId="1" applyNumberFormat="1" applyFont="1" applyBorder="1"/>
    <xf numFmtId="0" fontId="30" fillId="0" borderId="0" xfId="0" quotePrefix="1" applyFont="1" applyFill="1" applyBorder="1" applyAlignment="1">
      <alignment horizontal="left"/>
    </xf>
    <xf numFmtId="37" fontId="29" fillId="0" borderId="0" xfId="0" applyNumberFormat="1" applyFont="1" applyFill="1" applyBorder="1"/>
    <xf numFmtId="37" fontId="46" fillId="0" borderId="0" xfId="0" applyNumberFormat="1" applyFont="1" applyFill="1" applyBorder="1"/>
    <xf numFmtId="37" fontId="49" fillId="0" borderId="0" xfId="0" applyNumberFormat="1" applyFont="1" applyFill="1" applyBorder="1"/>
    <xf numFmtId="0" fontId="35" fillId="0" borderId="0" xfId="0" quotePrefix="1" applyFont="1" applyFill="1" applyBorder="1" applyAlignment="1">
      <alignment horizontal="left"/>
    </xf>
    <xf numFmtId="0" fontId="35" fillId="0" borderId="0" xfId="0" quotePrefix="1" applyFont="1" applyFill="1" applyBorder="1" applyAlignment="1">
      <alignment horizontal="center"/>
    </xf>
    <xf numFmtId="165" fontId="35" fillId="0" borderId="0" xfId="0" quotePrefix="1" applyNumberFormat="1" applyFont="1" applyFill="1" applyBorder="1" applyAlignment="1">
      <alignment horizontal="center"/>
    </xf>
    <xf numFmtId="0" fontId="33" fillId="0" borderId="0" xfId="0" applyFont="1" applyFill="1" applyBorder="1"/>
    <xf numFmtId="0" fontId="29" fillId="0" borderId="0" xfId="0" applyFont="1" applyFill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0" fontId="30" fillId="0" borderId="2" xfId="0" applyFont="1" applyFill="1" applyBorder="1" applyAlignment="1">
      <alignment horizontal="center"/>
    </xf>
    <xf numFmtId="43" fontId="32" fillId="0" borderId="0" xfId="1" applyFont="1"/>
    <xf numFmtId="2" fontId="30" fillId="0" borderId="2" xfId="1" applyNumberFormat="1" applyFont="1" applyBorder="1"/>
    <xf numFmtId="0" fontId="30" fillId="0" borderId="13" xfId="0" applyFont="1" applyFill="1" applyBorder="1" applyAlignment="1">
      <alignment horizontal="center"/>
    </xf>
    <xf numFmtId="170" fontId="30" fillId="0" borderId="13" xfId="0" applyNumberFormat="1" applyFont="1" applyBorder="1"/>
    <xf numFmtId="170" fontId="30" fillId="0" borderId="13" xfId="1" applyNumberFormat="1" applyFont="1" applyBorder="1"/>
    <xf numFmtId="0" fontId="29" fillId="0" borderId="0" xfId="0" applyFont="1" applyFill="1" applyAlignment="1">
      <alignment horizontal="right"/>
    </xf>
    <xf numFmtId="39" fontId="29" fillId="0" borderId="0" xfId="0" applyNumberFormat="1" applyFont="1" applyFill="1" applyAlignment="1">
      <alignment horizontal="center"/>
    </xf>
    <xf numFmtId="169" fontId="29" fillId="0" borderId="0" xfId="0" quotePrefix="1" applyNumberFormat="1" applyFont="1" applyFill="1" applyAlignment="1">
      <alignment horizontal="center"/>
    </xf>
    <xf numFmtId="165" fontId="29" fillId="0" borderId="0" xfId="0" quotePrefix="1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39" fontId="29" fillId="0" borderId="0" xfId="0" quotePrefix="1" applyNumberFormat="1" applyFont="1" applyFill="1" applyAlignment="1">
      <alignment horizontal="center"/>
    </xf>
    <xf numFmtId="177" fontId="30" fillId="0" borderId="0" xfId="0" applyNumberFormat="1" applyFont="1" applyFill="1"/>
    <xf numFmtId="43" fontId="30" fillId="0" borderId="0" xfId="0" applyNumberFormat="1" applyFont="1" applyFill="1" applyBorder="1"/>
    <xf numFmtId="173" fontId="30" fillId="0" borderId="0" xfId="0" applyNumberFormat="1" applyFont="1" applyFill="1"/>
    <xf numFmtId="0" fontId="30" fillId="0" borderId="0" xfId="0" applyNumberFormat="1" applyFont="1" applyFill="1"/>
    <xf numFmtId="0" fontId="30" fillId="0" borderId="2" xfId="0" applyNumberFormat="1" applyFont="1" applyFill="1" applyBorder="1"/>
    <xf numFmtId="43" fontId="32" fillId="0" borderId="0" xfId="1" applyFont="1" applyFill="1"/>
    <xf numFmtId="170" fontId="30" fillId="0" borderId="0" xfId="0" applyNumberFormat="1" applyFont="1"/>
    <xf numFmtId="178" fontId="49" fillId="0" borderId="0" xfId="1" applyNumberFormat="1" applyFont="1" applyFill="1"/>
    <xf numFmtId="0" fontId="6" fillId="0" borderId="0" xfId="0" applyFont="1" applyFill="1" applyAlignment="1">
      <alignment horizontal="center"/>
    </xf>
    <xf numFmtId="5" fontId="33" fillId="0" borderId="0" xfId="0" applyNumberFormat="1" applyFont="1" applyFill="1" applyAlignment="1">
      <alignment horizontal="right"/>
    </xf>
    <xf numFmtId="5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174" fontId="30" fillId="0" borderId="0" xfId="0" applyNumberFormat="1" applyFont="1" applyFill="1"/>
    <xf numFmtId="174" fontId="32" fillId="0" borderId="0" xfId="0" applyNumberFormat="1" applyFont="1" applyFill="1"/>
    <xf numFmtId="186" fontId="30" fillId="0" borderId="0" xfId="0" applyNumberFormat="1" applyFont="1"/>
    <xf numFmtId="37" fontId="30" fillId="0" borderId="0" xfId="4" applyNumberFormat="1" applyFont="1" applyFill="1"/>
    <xf numFmtId="37" fontId="33" fillId="0" borderId="0" xfId="4" applyNumberFormat="1" applyFont="1" applyFill="1"/>
    <xf numFmtId="37" fontId="30" fillId="0" borderId="0" xfId="1" applyNumberFormat="1" applyFont="1" applyFill="1"/>
    <xf numFmtId="0" fontId="30" fillId="0" borderId="11" xfId="0" applyFont="1" applyBorder="1"/>
    <xf numFmtId="7" fontId="30" fillId="0" borderId="0" xfId="2" applyNumberFormat="1" applyFont="1" applyFill="1"/>
    <xf numFmtId="181" fontId="30" fillId="0" borderId="0" xfId="2" applyNumberFormat="1" applyFont="1" applyFill="1"/>
    <xf numFmtId="170" fontId="30" fillId="0" borderId="0" xfId="0" applyNumberFormat="1" applyFont="1" applyBorder="1"/>
    <xf numFmtId="170" fontId="30" fillId="0" borderId="0" xfId="1" applyNumberFormat="1" applyFont="1" applyBorder="1"/>
    <xf numFmtId="0" fontId="29" fillId="0" borderId="0" xfId="0" applyFont="1" applyBorder="1" applyAlignment="1">
      <alignment horizontal="center"/>
    </xf>
    <xf numFmtId="0" fontId="29" fillId="0" borderId="0" xfId="0" quotePrefix="1" applyFont="1" applyAlignment="1">
      <alignment horizontal="center"/>
    </xf>
    <xf numFmtId="42" fontId="10" fillId="0" borderId="0" xfId="2" quotePrefix="1" applyNumberFormat="1" applyFont="1" applyFill="1" applyAlignment="1"/>
    <xf numFmtId="0" fontId="29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7" fillId="0" borderId="0" xfId="0" quotePrefix="1" applyFont="1" applyFill="1"/>
    <xf numFmtId="37" fontId="32" fillId="0" borderId="0" xfId="4" applyNumberFormat="1" applyFont="1" applyFill="1" applyBorder="1"/>
    <xf numFmtId="5" fontId="29" fillId="0" borderId="0" xfId="0" applyNumberFormat="1" applyFont="1" applyFill="1" applyBorder="1" applyProtection="1"/>
    <xf numFmtId="5" fontId="29" fillId="0" borderId="0" xfId="0" applyNumberFormat="1" applyFont="1" applyFill="1" applyBorder="1" applyAlignment="1" applyProtection="1">
      <alignment horizontal="right"/>
    </xf>
    <xf numFmtId="184" fontId="29" fillId="0" borderId="0" xfId="0" applyNumberFormat="1" applyFont="1" applyFill="1" applyBorder="1" applyAlignment="1" applyProtection="1">
      <alignment horizontal="right"/>
    </xf>
    <xf numFmtId="184" fontId="29" fillId="0" borderId="0" xfId="0" applyNumberFormat="1" applyFont="1" applyFill="1" applyBorder="1"/>
    <xf numFmtId="167" fontId="29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9" fontId="1" fillId="0" borderId="0" xfId="0" applyNumberFormat="1" applyFont="1" applyFill="1" applyAlignment="1">
      <alignment horizontal="right"/>
    </xf>
    <xf numFmtId="7" fontId="1" fillId="0" borderId="0" xfId="0" applyNumberFormat="1" applyFont="1" applyFill="1" applyAlignment="1">
      <alignment horizontal="right"/>
    </xf>
    <xf numFmtId="3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87" fontId="1" fillId="0" borderId="0" xfId="0" applyNumberFormat="1" applyFont="1" applyFill="1" applyAlignment="1">
      <alignment horizontal="right"/>
    </xf>
    <xf numFmtId="187" fontId="30" fillId="0" borderId="0" xfId="0" applyNumberFormat="1" applyFont="1"/>
    <xf numFmtId="18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39" fontId="1" fillId="0" borderId="0" xfId="0" applyNumberFormat="1" applyFont="1" applyFill="1"/>
    <xf numFmtId="165" fontId="1" fillId="0" borderId="0" xfId="0" applyNumberFormat="1" applyFont="1" applyFill="1"/>
    <xf numFmtId="39" fontId="25" fillId="0" borderId="0" xfId="1" applyNumberFormat="1" applyFont="1" applyFill="1"/>
    <xf numFmtId="39" fontId="1" fillId="0" borderId="0" xfId="1" applyNumberFormat="1" applyFont="1" applyFill="1"/>
    <xf numFmtId="43" fontId="1" fillId="0" borderId="0" xfId="1" applyNumberFormat="1" applyFont="1" applyFill="1"/>
    <xf numFmtId="188" fontId="25" fillId="0" borderId="0" xfId="1" applyNumberFormat="1" applyFont="1" applyFill="1"/>
    <xf numFmtId="188" fontId="1" fillId="0" borderId="0" xfId="1" applyNumberFormat="1" applyFont="1" applyFill="1"/>
    <xf numFmtId="167" fontId="1" fillId="0" borderId="0" xfId="1" applyNumberFormat="1" applyFont="1" applyFill="1"/>
    <xf numFmtId="39" fontId="1" fillId="0" borderId="0" xfId="1" applyNumberFormat="1" applyFont="1" applyFill="1" applyBorder="1"/>
    <xf numFmtId="39" fontId="1" fillId="0" borderId="12" xfId="1" applyNumberFormat="1" applyFont="1" applyFill="1" applyBorder="1"/>
    <xf numFmtId="189" fontId="1" fillId="0" borderId="0" xfId="1" applyNumberFormat="1" applyFont="1" applyFill="1"/>
    <xf numFmtId="167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1" fillId="0" borderId="11" xfId="1" applyNumberFormat="1" applyFont="1" applyFill="1" applyBorder="1"/>
    <xf numFmtId="39" fontId="1" fillId="0" borderId="13" xfId="1" applyNumberFormat="1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10" fontId="6" fillId="0" borderId="17" xfId="0" applyNumberFormat="1" applyFont="1" applyFill="1" applyBorder="1"/>
    <xf numFmtId="10" fontId="6" fillId="0" borderId="0" xfId="0" applyNumberFormat="1" applyFont="1" applyFill="1"/>
    <xf numFmtId="165" fontId="25" fillId="0" borderId="0" xfId="0" applyNumberFormat="1" applyFont="1" applyFill="1"/>
    <xf numFmtId="0" fontId="29" fillId="0" borderId="0" xfId="0" quotePrefix="1" applyFont="1" applyFill="1" applyAlignment="1">
      <alignment horizontal="center"/>
    </xf>
    <xf numFmtId="39" fontId="35" fillId="0" borderId="0" xfId="0" applyNumberFormat="1" applyFont="1" applyFill="1"/>
    <xf numFmtId="0" fontId="30" fillId="0" borderId="0" xfId="0" quotePrefix="1" applyFont="1" applyFill="1" applyAlignment="1">
      <alignment horizontal="left"/>
    </xf>
    <xf numFmtId="10" fontId="30" fillId="0" borderId="0" xfId="0" applyNumberFormat="1" applyFont="1" applyFill="1"/>
    <xf numFmtId="37" fontId="36" fillId="0" borderId="0" xfId="4" applyNumberFormat="1" applyFont="1" applyFill="1" applyBorder="1"/>
    <xf numFmtId="167" fontId="35" fillId="0" borderId="0" xfId="0" applyNumberFormat="1" applyFont="1" applyFill="1"/>
    <xf numFmtId="0" fontId="6" fillId="0" borderId="0" xfId="0" applyFont="1" applyFill="1" applyAlignment="1">
      <alignment horizontal="center"/>
    </xf>
    <xf numFmtId="173" fontId="3" fillId="0" borderId="0" xfId="0" applyNumberFormat="1" applyFont="1"/>
    <xf numFmtId="0" fontId="30" fillId="0" borderId="0" xfId="0" applyFont="1" applyBorder="1" applyAlignment="1">
      <alignment horizontal="left" indent="1"/>
    </xf>
    <xf numFmtId="189" fontId="30" fillId="0" borderId="0" xfId="1" applyNumberFormat="1" applyFont="1" applyFill="1"/>
    <xf numFmtId="179" fontId="49" fillId="0" borderId="0" xfId="2" applyNumberFormat="1" applyFont="1" applyFill="1"/>
    <xf numFmtId="0" fontId="30" fillId="0" borderId="0" xfId="0" applyFont="1" applyAlignment="1">
      <alignment horizontal="left" indent="1"/>
    </xf>
    <xf numFmtId="2" fontId="6" fillId="0" borderId="0" xfId="0" applyNumberFormat="1" applyFont="1" applyFill="1" applyAlignment="1"/>
    <xf numFmtId="185" fontId="30" fillId="0" borderId="0" xfId="0" applyNumberFormat="1" applyFont="1" applyBorder="1"/>
    <xf numFmtId="5" fontId="10" fillId="0" borderId="0" xfId="0" applyNumberFormat="1" applyFont="1"/>
    <xf numFmtId="5" fontId="30" fillId="0" borderId="2" xfId="2" applyNumberFormat="1" applyFont="1" applyFill="1" applyBorder="1"/>
    <xf numFmtId="5" fontId="30" fillId="0" borderId="0" xfId="2" applyNumberFormat="1" applyFont="1" applyFill="1" applyBorder="1"/>
    <xf numFmtId="178" fontId="32" fillId="0" borderId="0" xfId="1" applyNumberFormat="1" applyFont="1" applyFill="1" applyBorder="1"/>
    <xf numFmtId="5" fontId="32" fillId="0" borderId="0" xfId="2" applyNumberFormat="1" applyFont="1" applyFill="1"/>
    <xf numFmtId="5" fontId="30" fillId="0" borderId="13" xfId="2" applyNumberFormat="1" applyFont="1" applyFill="1" applyBorder="1"/>
    <xf numFmtId="178" fontId="30" fillId="0" borderId="0" xfId="0" applyNumberFormat="1" applyFont="1" applyFill="1" applyBorder="1"/>
    <xf numFmtId="177" fontId="30" fillId="0" borderId="0" xfId="0" applyNumberFormat="1" applyFont="1" applyFill="1" applyBorder="1"/>
    <xf numFmtId="169" fontId="32" fillId="0" borderId="0" xfId="0" applyNumberFormat="1" applyFont="1" applyFill="1" applyBorder="1"/>
    <xf numFmtId="5" fontId="32" fillId="0" borderId="0" xfId="2" applyNumberFormat="1" applyFont="1" applyFill="1" applyBorder="1"/>
    <xf numFmtId="178" fontId="32" fillId="0" borderId="0" xfId="1" applyNumberFormat="1" applyFont="1" applyFill="1"/>
    <xf numFmtId="43" fontId="30" fillId="0" borderId="0" xfId="0" applyNumberFormat="1" applyFont="1" applyFill="1"/>
    <xf numFmtId="178" fontId="32" fillId="0" borderId="0" xfId="0" applyNumberFormat="1" applyFont="1" applyFill="1" applyBorder="1"/>
    <xf numFmtId="3" fontId="30" fillId="0" borderId="0" xfId="0" applyNumberFormat="1" applyFont="1" applyFill="1"/>
    <xf numFmtId="5" fontId="30" fillId="0" borderId="0" xfId="1" applyNumberFormat="1" applyFont="1" applyFill="1"/>
    <xf numFmtId="1" fontId="32" fillId="0" borderId="0" xfId="0" applyNumberFormat="1" applyFont="1" applyFill="1"/>
    <xf numFmtId="172" fontId="7" fillId="5" borderId="0" xfId="0" applyNumberFormat="1" applyFont="1" applyFill="1"/>
    <xf numFmtId="172" fontId="54" fillId="5" borderId="0" xfId="0" applyNumberFormat="1" applyFont="1" applyFill="1"/>
    <xf numFmtId="172" fontId="28" fillId="5" borderId="0" xfId="0" applyNumberFormat="1" applyFont="1" applyFill="1"/>
    <xf numFmtId="37" fontId="30" fillId="0" borderId="13" xfId="0" applyNumberFormat="1" applyFont="1" applyFill="1" applyBorder="1" applyProtection="1"/>
    <xf numFmtId="165" fontId="30" fillId="0" borderId="13" xfId="0" applyNumberFormat="1" applyFont="1" applyFill="1" applyBorder="1" applyProtection="1"/>
    <xf numFmtId="43" fontId="30" fillId="0" borderId="0" xfId="1" applyFont="1" applyFill="1" applyProtection="1"/>
    <xf numFmtId="0" fontId="1" fillId="0" borderId="0" xfId="0" quotePrefix="1" applyFont="1" applyFill="1"/>
    <xf numFmtId="39" fontId="30" fillId="0" borderId="0" xfId="0" applyNumberFormat="1" applyFont="1" applyFill="1" applyProtection="1"/>
    <xf numFmtId="10" fontId="30" fillId="0" borderId="0" xfId="5" applyNumberFormat="1" applyFont="1"/>
    <xf numFmtId="167" fontId="55" fillId="0" borderId="0" xfId="0" applyNumberFormat="1" applyFont="1" applyFill="1"/>
    <xf numFmtId="10" fontId="6" fillId="0" borderId="0" xfId="0" applyNumberFormat="1" applyFont="1" applyFill="1" applyBorder="1"/>
    <xf numFmtId="43" fontId="30" fillId="0" borderId="0" xfId="1" applyFont="1" applyProtection="1"/>
    <xf numFmtId="0" fontId="29" fillId="0" borderId="0" xfId="0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0" fontId="29" fillId="0" borderId="0" xfId="0" applyFont="1" applyFill="1" applyAlignment="1" applyProtection="1">
      <alignment horizontal="center"/>
      <protection locked="0"/>
    </xf>
    <xf numFmtId="183" fontId="30" fillId="0" borderId="0" xfId="0" applyNumberFormat="1" applyFont="1" applyFill="1"/>
    <xf numFmtId="181" fontId="30" fillId="0" borderId="0" xfId="0" applyNumberFormat="1" applyFont="1" applyFill="1" applyBorder="1" applyProtection="1"/>
    <xf numFmtId="37" fontId="30" fillId="0" borderId="14" xfId="0" applyNumberFormat="1" applyFont="1" applyFill="1" applyBorder="1" applyProtection="1"/>
    <xf numFmtId="165" fontId="30" fillId="0" borderId="14" xfId="0" applyNumberFormat="1" applyFont="1" applyFill="1" applyBorder="1" applyProtection="1"/>
    <xf numFmtId="5" fontId="30" fillId="0" borderId="12" xfId="0" applyNumberFormat="1" applyFont="1" applyFill="1" applyBorder="1" applyProtection="1"/>
    <xf numFmtId="167" fontId="3" fillId="6" borderId="0" xfId="0" applyNumberFormat="1" applyFont="1" applyFill="1"/>
    <xf numFmtId="173" fontId="3" fillId="6" borderId="0" xfId="0" applyNumberFormat="1" applyFont="1" applyFill="1"/>
    <xf numFmtId="4" fontId="3" fillId="6" borderId="0" xfId="0" applyNumberFormat="1" applyFont="1" applyFill="1"/>
    <xf numFmtId="4" fontId="1" fillId="6" borderId="0" xfId="0" applyNumberFormat="1" applyFont="1" applyFill="1"/>
    <xf numFmtId="173" fontId="1" fillId="6" borderId="0" xfId="0" applyNumberFormat="1" applyFont="1" applyFill="1"/>
    <xf numFmtId="173" fontId="25" fillId="6" borderId="0" xfId="0" applyNumberFormat="1" applyFont="1" applyFill="1"/>
    <xf numFmtId="0" fontId="3" fillId="6" borderId="0" xfId="0" applyFont="1" applyFill="1"/>
    <xf numFmtId="173" fontId="1" fillId="4" borderId="0" xfId="0" applyNumberFormat="1" applyFont="1" applyFill="1"/>
    <xf numFmtId="43" fontId="1" fillId="0" borderId="0" xfId="1" applyFont="1" applyFill="1"/>
    <xf numFmtId="7" fontId="30" fillId="0" borderId="2" xfId="2" applyNumberFormat="1" applyFont="1" applyBorder="1"/>
    <xf numFmtId="0" fontId="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quotePrefix="1" applyFont="1" applyAlignment="1">
      <alignment horizontal="center"/>
    </xf>
    <xf numFmtId="165" fontId="29" fillId="0" borderId="0" xfId="0" applyNumberFormat="1" applyFont="1" applyAlignment="1">
      <alignment horizontal="center"/>
    </xf>
    <xf numFmtId="37" fontId="29" fillId="0" borderId="0" xfId="0" applyNumberFormat="1" applyFont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37" fontId="29" fillId="0" borderId="0" xfId="0" applyNumberFormat="1" applyFont="1" applyFill="1" applyAlignment="1">
      <alignment horizontal="center"/>
    </xf>
    <xf numFmtId="0" fontId="32" fillId="0" borderId="0" xfId="0" applyNumberFormat="1" applyFont="1" applyFill="1"/>
    <xf numFmtId="170" fontId="30" fillId="0" borderId="0" xfId="0" applyNumberFormat="1" applyFont="1" applyFill="1"/>
    <xf numFmtId="0" fontId="2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5" fontId="29" fillId="0" borderId="0" xfId="0" applyNumberFormat="1" applyFont="1" applyFill="1" applyAlignment="1">
      <alignment horizontal="center"/>
    </xf>
    <xf numFmtId="37" fontId="29" fillId="0" borderId="0" xfId="0" applyNumberFormat="1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Border="1"/>
    <xf numFmtId="39" fontId="13" fillId="0" borderId="0" xfId="0" applyNumberFormat="1" applyFont="1" applyFill="1" applyAlignment="1" applyProtection="1">
      <protection locked="0"/>
    </xf>
    <xf numFmtId="37" fontId="13" fillId="0" borderId="0" xfId="0" applyNumberFormat="1" applyFont="1" applyProtection="1">
      <protection locked="0"/>
    </xf>
    <xf numFmtId="37" fontId="10" fillId="0" borderId="0" xfId="0" applyNumberFormat="1" applyFont="1" applyProtection="1">
      <protection locked="0"/>
    </xf>
    <xf numFmtId="39" fontId="10" fillId="0" borderId="0" xfId="0" applyNumberFormat="1" applyFont="1" applyFill="1" applyProtection="1">
      <protection locked="0"/>
    </xf>
    <xf numFmtId="0" fontId="30" fillId="0" borderId="11" xfId="0" applyFont="1" applyFill="1" applyBorder="1"/>
    <xf numFmtId="0" fontId="29" fillId="0" borderId="11" xfId="0" applyFont="1" applyFill="1" applyBorder="1"/>
    <xf numFmtId="0" fontId="29" fillId="0" borderId="11" xfId="0" applyFont="1" applyFill="1" applyBorder="1" applyAlignment="1">
      <alignment horizontal="right"/>
    </xf>
    <xf numFmtId="0" fontId="31" fillId="0" borderId="0" xfId="0" applyFont="1" applyFill="1"/>
    <xf numFmtId="0" fontId="52" fillId="0" borderId="0" xfId="0" applyFont="1" applyFill="1"/>
    <xf numFmtId="37" fontId="32" fillId="0" borderId="0" xfId="0" applyNumberFormat="1" applyFont="1" applyFill="1" applyProtection="1"/>
    <xf numFmtId="37" fontId="30" fillId="0" borderId="0" xfId="0" applyNumberFormat="1" applyFont="1" applyFill="1" applyAlignment="1" applyProtection="1">
      <alignment horizontal="right"/>
    </xf>
    <xf numFmtId="37" fontId="29" fillId="0" borderId="0" xfId="0" applyNumberFormat="1" applyFont="1" applyFill="1" applyAlignment="1" applyProtection="1">
      <alignment horizontal="center"/>
    </xf>
    <xf numFmtId="37" fontId="29" fillId="0" borderId="0" xfId="0" applyNumberFormat="1" applyFont="1" applyFill="1" applyProtection="1"/>
    <xf numFmtId="7" fontId="30" fillId="0" borderId="0" xfId="0" applyNumberFormat="1" applyFont="1" applyFill="1"/>
    <xf numFmtId="49" fontId="29" fillId="0" borderId="11" xfId="0" applyNumberFormat="1" applyFont="1" applyFill="1" applyBorder="1"/>
    <xf numFmtId="7" fontId="30" fillId="0" borderId="0" xfId="0" applyNumberFormat="1" applyFont="1" applyFill="1" applyProtection="1"/>
    <xf numFmtId="37" fontId="30" fillId="0" borderId="0" xfId="0" applyNumberFormat="1" applyFont="1" applyFill="1" applyProtection="1">
      <protection locked="0"/>
    </xf>
    <xf numFmtId="37" fontId="32" fillId="0" borderId="0" xfId="0" applyNumberFormat="1" applyFont="1" applyFill="1" applyProtection="1">
      <protection locked="0"/>
    </xf>
    <xf numFmtId="39" fontId="30" fillId="0" borderId="0" xfId="0" applyNumberFormat="1" applyFont="1" applyFill="1" applyProtection="1">
      <protection locked="0"/>
    </xf>
    <xf numFmtId="37" fontId="30" fillId="0" borderId="0" xfId="3" applyNumberFormat="1" applyFont="1" applyFill="1" applyProtection="1"/>
    <xf numFmtId="178" fontId="49" fillId="0" borderId="0" xfId="0" applyNumberFormat="1" applyFont="1" applyFill="1" applyBorder="1"/>
    <xf numFmtId="37" fontId="31" fillId="0" borderId="0" xfId="0" applyNumberFormat="1" applyFont="1" applyFill="1" applyAlignment="1">
      <alignment horizontal="center"/>
    </xf>
    <xf numFmtId="37" fontId="29" fillId="0" borderId="0" xfId="0" quotePrefix="1" applyNumberFormat="1" applyFont="1" applyFill="1" applyAlignment="1">
      <alignment horizontal="center"/>
    </xf>
    <xf numFmtId="5" fontId="30" fillId="0" borderId="0" xfId="0" applyNumberFormat="1" applyFont="1" applyFill="1" applyBorder="1"/>
    <xf numFmtId="5" fontId="32" fillId="0" borderId="0" xfId="0" applyNumberFormat="1" applyFont="1" applyFill="1" applyBorder="1"/>
    <xf numFmtId="0" fontId="30" fillId="0" borderId="2" xfId="0" applyFont="1" applyFill="1" applyBorder="1" applyAlignment="1">
      <alignment horizontal="left"/>
    </xf>
    <xf numFmtId="43" fontId="49" fillId="0" borderId="0" xfId="0" applyNumberFormat="1" applyFont="1" applyFill="1" applyBorder="1"/>
    <xf numFmtId="39" fontId="32" fillId="0" borderId="0" xfId="0" applyNumberFormat="1" applyFont="1" applyFill="1" applyBorder="1"/>
    <xf numFmtId="0" fontId="30" fillId="0" borderId="0" xfId="0" applyFont="1" applyFill="1" applyAlignment="1"/>
    <xf numFmtId="0" fontId="30" fillId="0" borderId="0" xfId="0" applyFont="1" applyFill="1" applyBorder="1" applyAlignment="1">
      <alignment horizontal="left"/>
    </xf>
    <xf numFmtId="37" fontId="32" fillId="0" borderId="2" xfId="0" applyNumberFormat="1" applyFont="1" applyFill="1" applyBorder="1"/>
    <xf numFmtId="2" fontId="30" fillId="0" borderId="0" xfId="1" applyNumberFormat="1" applyFont="1" applyFill="1"/>
    <xf numFmtId="0" fontId="30" fillId="0" borderId="0" xfId="0" applyFont="1" applyFill="1" applyBorder="1" applyAlignment="1">
      <alignment horizontal="left" indent="1"/>
    </xf>
    <xf numFmtId="172" fontId="30" fillId="0" borderId="0" xfId="1" applyNumberFormat="1" applyFont="1" applyFill="1"/>
    <xf numFmtId="2" fontId="30" fillId="0" borderId="0" xfId="1" applyNumberFormat="1" applyFont="1" applyFill="1" applyBorder="1"/>
    <xf numFmtId="37" fontId="30" fillId="0" borderId="13" xfId="0" applyNumberFormat="1" applyFont="1" applyFill="1" applyBorder="1"/>
    <xf numFmtId="2" fontId="30" fillId="0" borderId="13" xfId="1" applyNumberFormat="1" applyFont="1" applyFill="1" applyBorder="1"/>
    <xf numFmtId="0" fontId="30" fillId="0" borderId="0" xfId="0" applyFont="1" applyFill="1" applyAlignment="1">
      <alignment horizontal="left" indent="1"/>
    </xf>
    <xf numFmtId="185" fontId="30" fillId="0" borderId="0" xfId="0" quotePrefix="1" applyNumberFormat="1" applyFont="1" applyFill="1" applyBorder="1" applyAlignment="1">
      <alignment horizontal="right"/>
    </xf>
    <xf numFmtId="185" fontId="33" fillId="0" borderId="0" xfId="1" quotePrefix="1" applyNumberFormat="1" applyFont="1" applyFill="1" applyBorder="1" applyAlignment="1">
      <alignment horizontal="right"/>
    </xf>
    <xf numFmtId="185" fontId="32" fillId="0" borderId="0" xfId="0" quotePrefix="1" applyNumberFormat="1" applyFont="1" applyFill="1" applyBorder="1" applyAlignment="1">
      <alignment horizontal="right"/>
    </xf>
    <xf numFmtId="185" fontId="36" fillId="0" borderId="0" xfId="1" quotePrefix="1" applyNumberFormat="1" applyFont="1" applyFill="1" applyBorder="1" applyAlignment="1">
      <alignment horizontal="right"/>
    </xf>
    <xf numFmtId="0" fontId="29" fillId="0" borderId="0" xfId="0" applyFont="1" applyFill="1" applyBorder="1" applyAlignment="1"/>
    <xf numFmtId="165" fontId="30" fillId="0" borderId="0" xfId="0" quotePrefix="1" applyNumberFormat="1" applyFont="1" applyFill="1" applyBorder="1" applyAlignment="1">
      <alignment horizontal="center"/>
    </xf>
    <xf numFmtId="0" fontId="30" fillId="0" borderId="0" xfId="0" quotePrefix="1" applyFont="1" applyFill="1" applyBorder="1" applyAlignment="1"/>
    <xf numFmtId="185" fontId="49" fillId="0" borderId="0" xfId="0" quotePrefix="1" applyNumberFormat="1" applyFont="1" applyFill="1" applyBorder="1" applyAlignment="1">
      <alignment horizontal="right"/>
    </xf>
    <xf numFmtId="185" fontId="30" fillId="0" borderId="0" xfId="1" applyNumberFormat="1" applyFont="1" applyFill="1" applyBorder="1"/>
    <xf numFmtId="0" fontId="9" fillId="0" borderId="0" xfId="0" applyFont="1" applyFill="1" applyBorder="1" applyAlignment="1"/>
    <xf numFmtId="165" fontId="10" fillId="0" borderId="0" xfId="0" quotePrefix="1" applyNumberFormat="1" applyFont="1" applyFill="1" applyBorder="1" applyAlignment="1">
      <alignment horizontal="center"/>
    </xf>
    <xf numFmtId="43" fontId="10" fillId="0" borderId="0" xfId="0" quotePrefix="1" applyNumberFormat="1" applyFont="1" applyFill="1" applyBorder="1" applyAlignment="1">
      <alignment horizontal="right"/>
    </xf>
    <xf numFmtId="177" fontId="21" fillId="0" borderId="0" xfId="1" quotePrefix="1" applyNumberFormat="1" applyFont="1" applyFill="1" applyBorder="1" applyAlignment="1">
      <alignment horizontal="right"/>
    </xf>
    <xf numFmtId="177" fontId="10" fillId="0" borderId="0" xfId="0" quotePrefix="1" applyNumberFormat="1" applyFont="1" applyFill="1" applyBorder="1" applyAlignment="1">
      <alignment horizontal="right"/>
    </xf>
    <xf numFmtId="43" fontId="13" fillId="0" borderId="0" xfId="0" quotePrefix="1" applyNumberFormat="1" applyFont="1" applyFill="1" applyBorder="1" applyAlignment="1">
      <alignment horizontal="right"/>
    </xf>
    <xf numFmtId="177" fontId="22" fillId="0" borderId="0" xfId="1" quotePrefix="1" applyNumberFormat="1" applyFont="1" applyFill="1" applyBorder="1" applyAlignment="1">
      <alignment horizontal="right"/>
    </xf>
    <xf numFmtId="43" fontId="15" fillId="0" borderId="0" xfId="0" quotePrefix="1" applyNumberFormat="1" applyFont="1" applyFill="1" applyBorder="1" applyAlignment="1">
      <alignment horizontal="right"/>
    </xf>
    <xf numFmtId="5" fontId="10" fillId="0" borderId="0" xfId="0" applyNumberFormat="1" applyFont="1" applyFill="1" applyBorder="1"/>
    <xf numFmtId="178" fontId="1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7" fontId="30" fillId="0" borderId="0" xfId="0" applyNumberFormat="1" applyFont="1" applyFill="1" applyBorder="1"/>
    <xf numFmtId="0" fontId="30" fillId="0" borderId="0" xfId="0" applyFont="1" applyBorder="1" applyAlignment="1">
      <alignment horizontal="right"/>
    </xf>
    <xf numFmtId="10" fontId="30" fillId="0" borderId="0" xfId="5" applyNumberFormat="1" applyFont="1" applyFill="1" applyBorder="1"/>
    <xf numFmtId="10" fontId="30" fillId="0" borderId="0" xfId="0" applyNumberFormat="1" applyFont="1" applyFill="1" applyBorder="1"/>
    <xf numFmtId="0" fontId="1" fillId="0" borderId="0" xfId="3" applyFont="1" applyAlignment="1" applyProtection="1">
      <alignment horizontal="center"/>
    </xf>
    <xf numFmtId="0" fontId="25" fillId="0" borderId="0" xfId="3" applyFont="1" applyAlignment="1" applyProtection="1">
      <alignment horizontal="center"/>
    </xf>
    <xf numFmtId="0" fontId="5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37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29" fillId="0" borderId="0" xfId="0" quotePrefix="1" applyFont="1" applyFill="1" applyAlignment="1">
      <alignment horizontal="center"/>
    </xf>
    <xf numFmtId="37" fontId="29" fillId="0" borderId="0" xfId="0" applyNumberFormat="1" applyFont="1" applyFill="1" applyAlignment="1">
      <alignment horizontal="center"/>
    </xf>
    <xf numFmtId="165" fontId="29" fillId="0" borderId="11" xfId="0" applyNumberFormat="1" applyFont="1" applyFill="1" applyBorder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37" fontId="29" fillId="0" borderId="0" xfId="0" applyNumberFormat="1" applyFont="1" applyAlignment="1">
      <alignment horizontal="center"/>
    </xf>
    <xf numFmtId="0" fontId="29" fillId="0" borderId="0" xfId="0" quotePrefix="1" applyFont="1" applyAlignment="1">
      <alignment horizontal="center"/>
    </xf>
    <xf numFmtId="165" fontId="29" fillId="0" borderId="11" xfId="0" applyNumberFormat="1" applyFont="1" applyBorder="1" applyAlignment="1">
      <alignment horizontal="center"/>
    </xf>
    <xf numFmtId="0" fontId="29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53" fillId="0" borderId="0" xfId="0" quotePrefix="1" applyNumberFormat="1" applyFont="1" applyFill="1" applyAlignment="1">
      <alignment horizontal="center"/>
    </xf>
    <xf numFmtId="0" fontId="53" fillId="0" borderId="0" xfId="0" applyFont="1" applyFill="1" applyAlignment="1">
      <alignment horizontal="center"/>
    </xf>
  </cellXfs>
  <cellStyles count="6">
    <cellStyle name="Comma" xfId="1" builtinId="3"/>
    <cellStyle name="Currency" xfId="2" builtinId="4"/>
    <cellStyle name="Currency 2" xfId="4"/>
    <cellStyle name="Normal" xfId="0" builtinId="0"/>
    <cellStyle name="Normal_Schedules A thru L Cost of Servive June 30, 2009" xfId="3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s%20TME%20Nov%202014\Schedule%20M%20-%20Revenue\Sch%20M%20-%20Revenue%20and%20Rate%20Design%20(Base%20Period)%20w%20Actual%20Rates%20TO%20BE%20FI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%20CASE\2010%20Rate%20Case%20&amp;%20ET%20(Actual%2012-31-09)\Settlement\Proposed%20Rate%20Design%20based%20off%20$0.5%20million%20propos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urcing%20Initiative\ADM%20Support\APR04IMSS,%20v2.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MD\Rate%20Case\2016\Revenue\2016%20Exhibit%202%20with%20Rate%20Desig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701433~1\LOCALS~1\Temp\PB06BaseSept2004BMSGlobalOutsourceallocations_MA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PA\Rate%20Case\2016\Revenue\CPA%202016%20Rate%20Case%20Exh%20003%20Sch%2001%20Thru%2010%20and%20pgs%2006-10%20(Draf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2">
          <cell r="A2" t="str">
            <v>CASE NO. 2013-XXXXX</v>
          </cell>
        </row>
        <row r="4">
          <cell r="A4" t="str">
            <v>FOR THE BASE PERIOD 12 MONTHS ENDED JULY 31, 2013 AND THE FORECAST PERIOD 12 MONTHS ENDED NOVEMBER 30, 2014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D-2.1 Output"/>
      <sheetName val="Input"/>
      <sheetName val="A"/>
      <sheetName val="B"/>
      <sheetName val="C"/>
      <sheetName val="D - Do Not Use"/>
      <sheetName val="E pg 1 thru 4"/>
      <sheetName val="E pg 5 to 6"/>
      <sheetName val="E pg 7 to 8"/>
      <sheetName val="Sch M"/>
      <sheetName val="Sch M 2.1"/>
      <sheetName val="Sch M 2.2"/>
      <sheetName val="Sch M 2.3"/>
      <sheetName val="Sch M - Do Not Use"/>
      <sheetName val="MPB-6 Page 4"/>
      <sheetName val="MPB-6 Rate Design"/>
      <sheetName val="Macros"/>
    </sheetNames>
    <sheetDataSet>
      <sheetData sheetId="0" refreshError="1"/>
      <sheetData sheetId="1" refreshError="1">
        <row r="12">
          <cell r="B12" t="str">
            <v>Case No. 2013-</v>
          </cell>
        </row>
        <row r="16">
          <cell r="C16">
            <v>4.3373999999999997</v>
          </cell>
        </row>
        <row r="20">
          <cell r="C20" t="str">
            <v>February 28, 2013</v>
          </cell>
        </row>
      </sheetData>
      <sheetData sheetId="2" refreshError="1"/>
      <sheetData sheetId="3" refreshError="1">
        <row r="1">
          <cell r="A1" t="str">
            <v>Columbia Gas of Kentucky, Inc.</v>
          </cell>
        </row>
        <row r="3">
          <cell r="A3" t="str">
            <v>For the 12 Months Ended July 31, 2013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esent Rates"/>
      <sheetName val="4-A"/>
      <sheetName val="4-B"/>
      <sheetName val="4-C"/>
      <sheetName val="4-D"/>
      <sheetName val="4-E-1"/>
      <sheetName val="4-E-2"/>
      <sheetName val="4-F"/>
      <sheetName val="4-F-2"/>
      <sheetName val="4-G"/>
      <sheetName val="4-H"/>
      <sheetName val="4-I"/>
      <sheetName val="4-J"/>
      <sheetName val="Adj 4"/>
      <sheetName val="1-2-3"/>
      <sheetName val="SR"/>
      <sheetName val="Sch 42-A"/>
      <sheetName val="Sch 42-B"/>
      <sheetName val="Rate Design"/>
      <sheetName val="Sch 41-A"/>
      <sheetName val="Sch43"/>
      <sheetName val="Macros"/>
    </sheetNames>
    <sheetDataSet>
      <sheetData sheetId="0"/>
      <sheetData sheetId="1"/>
      <sheetData sheetId="2">
        <row r="15">
          <cell r="H15">
            <v>12.25</v>
          </cell>
        </row>
      </sheetData>
      <sheetData sheetId="3">
        <row r="1">
          <cell r="A1" t="str">
            <v>Columbia Gas of Virginia, Inc.</v>
          </cell>
        </row>
      </sheetData>
      <sheetData sheetId="4">
        <row r="155">
          <cell r="M155">
            <v>308525</v>
          </cell>
        </row>
      </sheetData>
      <sheetData sheetId="5"/>
      <sheetData sheetId="6"/>
      <sheetData sheetId="7"/>
      <sheetData sheetId="8"/>
      <sheetData sheetId="9"/>
      <sheetData sheetId="10">
        <row r="626">
          <cell r="J626">
            <v>151694945</v>
          </cell>
        </row>
      </sheetData>
      <sheetData sheetId="11"/>
      <sheetData sheetId="12"/>
      <sheetData sheetId="13"/>
      <sheetData sheetId="14">
        <row r="23">
          <cell r="N23">
            <v>22528937</v>
          </cell>
        </row>
      </sheetData>
      <sheetData sheetId="15"/>
      <sheetData sheetId="16"/>
      <sheetData sheetId="17">
        <row r="16">
          <cell r="F16">
            <v>2586191</v>
          </cell>
        </row>
      </sheetData>
      <sheetData sheetId="18">
        <row r="33">
          <cell r="F33">
            <v>217230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p 2"/>
      <sheetName val="Per Books Purchase Gas Exp"/>
      <sheetName val="Annualized Purchase Gas Exp "/>
      <sheetName val="Uncoll Sur p 5"/>
      <sheetName val="Unadj. Rev 2-A"/>
      <sheetName val="Bills 2-B"/>
      <sheetName val="Dth 2-C"/>
      <sheetName val=" Norm 2-D"/>
      <sheetName val="Adj. Rev 2-E"/>
      <sheetName val="Adj to OGDR 2-F"/>
      <sheetName val="Adj. Rev 2-G"/>
      <sheetName val="Gas Cost WP - Do not file"/>
      <sheetName val="Rate Design"/>
      <sheetName val="Bill Comp"/>
      <sheetName val="RNA Base"/>
    </sheetNames>
    <sheetDataSet>
      <sheetData sheetId="0">
        <row r="3">
          <cell r="A3" t="str">
            <v>For the Twelve Months Ending April 30, 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  <row r="4">
          <cell r="G4" t="str">
            <v>Witness: M. J. Bell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">
    <pageSetUpPr fitToPage="1"/>
  </sheetPr>
  <dimension ref="A1:I26"/>
  <sheetViews>
    <sheetView workbookViewId="0">
      <selection activeCell="C25" sqref="C25"/>
    </sheetView>
  </sheetViews>
  <sheetFormatPr defaultColWidth="11.625" defaultRowHeight="10.5" x14ac:dyDescent="0.25"/>
  <cols>
    <col min="1" max="1" width="30.625" style="194" customWidth="1"/>
    <col min="2" max="2" width="5.625" style="194" customWidth="1"/>
    <col min="3" max="3" width="101.375" style="194" customWidth="1"/>
    <col min="4" max="9" width="11.625" style="194"/>
    <col min="10" max="10" width="11.625" style="194" customWidth="1"/>
    <col min="11" max="11" width="11.625" style="194"/>
    <col min="12" max="12" width="2.125" style="194" customWidth="1"/>
    <col min="13" max="13" width="9.375" style="194" customWidth="1"/>
    <col min="14" max="14" width="8.125" style="194" customWidth="1"/>
    <col min="15" max="16384" width="11.625" style="194"/>
  </cols>
  <sheetData>
    <row r="1" spans="1:3" ht="12.5" x14ac:dyDescent="0.25">
      <c r="A1" s="202" t="s">
        <v>326</v>
      </c>
      <c r="B1" s="195"/>
      <c r="C1" s="195"/>
    </row>
    <row r="2" spans="1:3" ht="12.5" x14ac:dyDescent="0.25">
      <c r="A2" s="195"/>
      <c r="B2" s="195"/>
      <c r="C2" s="195"/>
    </row>
    <row r="3" spans="1:3" ht="12.5" x14ac:dyDescent="0.25">
      <c r="A3" s="797" t="s">
        <v>325</v>
      </c>
      <c r="B3" s="797"/>
      <c r="C3" s="797"/>
    </row>
    <row r="4" spans="1:3" ht="12.5" x14ac:dyDescent="0.25">
      <c r="A4" s="195"/>
      <c r="B4" s="195"/>
      <c r="C4" s="195"/>
    </row>
    <row r="5" spans="1:3" ht="12.5" x14ac:dyDescent="0.25">
      <c r="A5" s="797" t="s">
        <v>324</v>
      </c>
      <c r="B5" s="797"/>
      <c r="C5" s="797"/>
    </row>
    <row r="6" spans="1:3" ht="12.5" x14ac:dyDescent="0.25">
      <c r="A6" s="195"/>
      <c r="B6" s="195"/>
      <c r="C6" s="195"/>
    </row>
    <row r="7" spans="1:3" ht="12.5" x14ac:dyDescent="0.25">
      <c r="A7" s="797" t="s">
        <v>323</v>
      </c>
      <c r="B7" s="797"/>
      <c r="C7" s="797"/>
    </row>
    <row r="8" spans="1:3" ht="12.5" x14ac:dyDescent="0.25">
      <c r="A8" s="195"/>
      <c r="B8" s="195"/>
      <c r="C8" s="195"/>
    </row>
    <row r="9" spans="1:3" ht="12.5" x14ac:dyDescent="0.25">
      <c r="A9" s="798" t="s">
        <v>555</v>
      </c>
      <c r="B9" s="798"/>
      <c r="C9" s="798"/>
    </row>
    <row r="10" spans="1:3" ht="12.5" x14ac:dyDescent="0.25">
      <c r="A10" s="195"/>
      <c r="B10" s="195"/>
      <c r="C10" s="195"/>
    </row>
    <row r="11" spans="1:3" ht="12.5" x14ac:dyDescent="0.25">
      <c r="A11" s="195"/>
      <c r="B11" s="195"/>
      <c r="C11" s="195"/>
    </row>
    <row r="12" spans="1:3" ht="12.5" x14ac:dyDescent="0.25">
      <c r="A12" s="195"/>
      <c r="B12" s="195"/>
      <c r="C12" s="195"/>
    </row>
    <row r="13" spans="1:3" ht="12.5" x14ac:dyDescent="0.25">
      <c r="A13" s="201" t="s">
        <v>322</v>
      </c>
      <c r="B13" s="195"/>
      <c r="C13" s="212" t="s">
        <v>556</v>
      </c>
    </row>
    <row r="14" spans="1:3" ht="12.5" x14ac:dyDescent="0.25">
      <c r="A14" s="195"/>
      <c r="B14" s="195"/>
      <c r="C14" s="195"/>
    </row>
    <row r="15" spans="1:3" ht="12.5" x14ac:dyDescent="0.25">
      <c r="A15" s="201" t="s">
        <v>321</v>
      </c>
      <c r="B15" s="195"/>
      <c r="C15" s="212" t="s">
        <v>557</v>
      </c>
    </row>
    <row r="16" spans="1:3" ht="12.5" x14ac:dyDescent="0.25">
      <c r="A16" s="195"/>
      <c r="B16" s="195"/>
      <c r="C16" s="195"/>
    </row>
    <row r="17" spans="1:9" ht="12.5" x14ac:dyDescent="0.25">
      <c r="A17" s="195"/>
      <c r="B17" s="195"/>
      <c r="C17" s="195"/>
    </row>
    <row r="18" spans="1:9" ht="12.5" x14ac:dyDescent="0.25">
      <c r="A18" s="199" t="s">
        <v>320</v>
      </c>
      <c r="B18" s="200"/>
      <c r="C18" s="199" t="s">
        <v>143</v>
      </c>
      <c r="D18" s="198"/>
      <c r="E18" s="198"/>
      <c r="F18" s="198"/>
      <c r="G18" s="198"/>
      <c r="H18" s="198"/>
      <c r="I18" s="198"/>
    </row>
    <row r="19" spans="1:9" ht="12.5" x14ac:dyDescent="0.25">
      <c r="A19" s="195"/>
      <c r="B19" s="195"/>
      <c r="C19" s="195"/>
    </row>
    <row r="20" spans="1:9" ht="12.5" x14ac:dyDescent="0.25">
      <c r="A20" s="195"/>
      <c r="B20" s="195"/>
      <c r="C20" s="195"/>
    </row>
    <row r="21" spans="1:9" ht="12.5" x14ac:dyDescent="0.25">
      <c r="A21" s="196" t="s">
        <v>319</v>
      </c>
      <c r="B21" s="197"/>
      <c r="C21" s="196" t="s">
        <v>318</v>
      </c>
    </row>
    <row r="22" spans="1:9" ht="12.5" x14ac:dyDescent="0.25">
      <c r="A22" s="196" t="s">
        <v>317</v>
      </c>
      <c r="B22" s="197"/>
      <c r="C22" s="196" t="s">
        <v>316</v>
      </c>
    </row>
    <row r="23" spans="1:9" ht="12" customHeight="1" x14ac:dyDescent="0.25">
      <c r="A23" s="196" t="s">
        <v>141</v>
      </c>
      <c r="B23" s="197"/>
      <c r="C23" s="196" t="s">
        <v>362</v>
      </c>
    </row>
    <row r="24" spans="1:9" ht="12" customHeight="1" x14ac:dyDescent="0.25">
      <c r="A24" s="196" t="s">
        <v>361</v>
      </c>
      <c r="B24" s="197"/>
      <c r="C24" s="196" t="s">
        <v>366</v>
      </c>
    </row>
    <row r="25" spans="1:9" ht="12.5" x14ac:dyDescent="0.25">
      <c r="A25" s="196" t="s">
        <v>300</v>
      </c>
      <c r="B25" s="197"/>
      <c r="C25" s="196" t="s">
        <v>363</v>
      </c>
    </row>
    <row r="26" spans="1:9" ht="12.5" x14ac:dyDescent="0.25">
      <c r="A26" s="195"/>
      <c r="B26" s="195"/>
      <c r="C26" s="195"/>
    </row>
  </sheetData>
  <mergeCells count="4">
    <mergeCell ref="A3:C3"/>
    <mergeCell ref="A5:C5"/>
    <mergeCell ref="A7:C7"/>
    <mergeCell ref="A9:C9"/>
  </mergeCells>
  <printOptions horizontalCentered="1"/>
  <pageMargins left="1" right="1" top="1" bottom="1" header="0.5" footer="0.5"/>
  <pageSetup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tabColor rgb="FF92D050"/>
  </sheetPr>
  <dimension ref="A1:Z1406"/>
  <sheetViews>
    <sheetView tabSelected="1" topLeftCell="A1061" zoomScaleNormal="100" workbookViewId="0">
      <selection activeCell="H1282" sqref="H1282"/>
    </sheetView>
  </sheetViews>
  <sheetFormatPr defaultColWidth="10" defaultRowHeight="10" x14ac:dyDescent="0.2"/>
  <cols>
    <col min="1" max="1" width="5" style="216" customWidth="1"/>
    <col min="2" max="2" width="9" style="216" customWidth="1"/>
    <col min="3" max="3" width="35.125" style="216" customWidth="1"/>
    <col min="4" max="4" width="11.375" style="267" bestFit="1" customWidth="1"/>
    <col min="5" max="5" width="14.625" style="216" bestFit="1" customWidth="1"/>
    <col min="6" max="6" width="14.625" style="269" bestFit="1" customWidth="1"/>
    <col min="7" max="7" width="14.375" style="418" bestFit="1" customWidth="1"/>
    <col min="8" max="8" width="14.375" style="269" bestFit="1" customWidth="1"/>
    <col min="9" max="9" width="13" style="272" bestFit="1" customWidth="1"/>
    <col min="10" max="14" width="13" style="269" bestFit="1" customWidth="1"/>
    <col min="15" max="15" width="13.625" style="269" bestFit="1" customWidth="1"/>
    <col min="16" max="16" width="14.375" style="269" bestFit="1" customWidth="1"/>
    <col min="17" max="17" width="15" style="216" customWidth="1"/>
    <col min="18" max="18" width="14.375" style="216" bestFit="1" customWidth="1"/>
    <col min="19" max="19" width="16" style="216" customWidth="1"/>
    <col min="20" max="20" width="17" style="216" bestFit="1" customWidth="1"/>
    <col min="21" max="21" width="18.375" style="216" bestFit="1" customWidth="1"/>
    <col min="22" max="22" width="15.125" style="216" bestFit="1" customWidth="1"/>
    <col min="23" max="16384" width="10" style="216"/>
  </cols>
  <sheetData>
    <row r="1" spans="1:17" ht="10.5" x14ac:dyDescent="0.25">
      <c r="A1" s="817" t="str">
        <f>CONAME</f>
        <v>Columbia Gas of Kentucky, Inc.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</row>
    <row r="2" spans="1:17" ht="10.5" x14ac:dyDescent="0.25">
      <c r="A2" s="800" t="str">
        <f>case</f>
        <v>Case No. 2021-00183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</row>
    <row r="3" spans="1:17" ht="10.5" x14ac:dyDescent="0.25">
      <c r="A3" s="815" t="s">
        <v>413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</row>
    <row r="4" spans="1:17" ht="10.5" x14ac:dyDescent="0.25">
      <c r="A4" s="817" t="str">
        <f>TYDESC</f>
        <v>For the 12 Months Ended December 31, 2022</v>
      </c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</row>
    <row r="5" spans="1:17" ht="10.5" x14ac:dyDescent="0.25">
      <c r="A5" s="814" t="s">
        <v>39</v>
      </c>
      <c r="B5" s="814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</row>
    <row r="6" spans="1:17" ht="10.5" x14ac:dyDescent="0.25">
      <c r="A6" s="245" t="str">
        <f>$A$52</f>
        <v>Data: __ Base Period _X_ Forecasted Period</v>
      </c>
    </row>
    <row r="7" spans="1:17" ht="10.5" x14ac:dyDescent="0.25">
      <c r="A7" s="245" t="str">
        <f>$A$53</f>
        <v>Type of Filing: X Original _ Update _ Revised</v>
      </c>
      <c r="Q7" s="583" t="str">
        <f>$Q$53</f>
        <v>Schedule M-2.2</v>
      </c>
    </row>
    <row r="8" spans="1:17" ht="10.5" x14ac:dyDescent="0.25">
      <c r="A8" s="245" t="str">
        <f>$A$54</f>
        <v>Work Paper Reference No(s):</v>
      </c>
      <c r="Q8" s="583" t="s">
        <v>416</v>
      </c>
    </row>
    <row r="9" spans="1:17" ht="10.5" x14ac:dyDescent="0.25">
      <c r="A9" s="373" t="str">
        <f>$A$55</f>
        <v>12 Months Forecasted</v>
      </c>
      <c r="Q9" s="583" t="str">
        <f>Witness</f>
        <v>Witness:  Judith L. Siegler</v>
      </c>
    </row>
    <row r="10" spans="1:17" ht="10.5" x14ac:dyDescent="0.25">
      <c r="A10" s="816" t="s">
        <v>191</v>
      </c>
      <c r="B10" s="816"/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816"/>
      <c r="O10" s="816"/>
      <c r="P10" s="816"/>
      <c r="Q10" s="816"/>
    </row>
    <row r="11" spans="1:17" x14ac:dyDescent="0.2">
      <c r="A11" s="280"/>
      <c r="B11" s="280"/>
      <c r="C11" s="280"/>
      <c r="D11" s="282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</row>
    <row r="12" spans="1:17" ht="10.5" x14ac:dyDescent="0.25">
      <c r="A12" s="727" t="s">
        <v>1</v>
      </c>
      <c r="B12" s="727" t="s">
        <v>221</v>
      </c>
      <c r="C12" s="727" t="s">
        <v>41</v>
      </c>
      <c r="D12" s="731" t="s">
        <v>47</v>
      </c>
      <c r="E12" s="584"/>
      <c r="F12" s="587"/>
      <c r="G12" s="584"/>
      <c r="H12" s="730"/>
      <c r="I12" s="584"/>
      <c r="J12" s="584"/>
      <c r="K12" s="584"/>
      <c r="L12" s="584"/>
      <c r="M12" s="584"/>
      <c r="N12" s="584"/>
      <c r="O12" s="732"/>
      <c r="P12" s="732"/>
      <c r="Q12" s="732"/>
    </row>
    <row r="13" spans="1:17" ht="10.5" x14ac:dyDescent="0.25">
      <c r="A13" s="263" t="s">
        <v>3</v>
      </c>
      <c r="B13" s="263" t="s">
        <v>222</v>
      </c>
      <c r="C13" s="263" t="s">
        <v>4</v>
      </c>
      <c r="D13" s="756" t="s">
        <v>48</v>
      </c>
      <c r="E13" s="380" t="str">
        <f>B!$D$11</f>
        <v>Jan-22</v>
      </c>
      <c r="F13" s="380" t="str">
        <f>B!$E$11</f>
        <v>Feb-22</v>
      </c>
      <c r="G13" s="380" t="str">
        <f>B!$F$11</f>
        <v>Mar-22</v>
      </c>
      <c r="H13" s="380" t="str">
        <f>B!$G$11</f>
        <v>Apr-22</v>
      </c>
      <c r="I13" s="380" t="str">
        <f>B!$H$11</f>
        <v>May-22</v>
      </c>
      <c r="J13" s="380" t="str">
        <f>B!$I$11</f>
        <v>Jun-22</v>
      </c>
      <c r="K13" s="380" t="str">
        <f>B!$J$11</f>
        <v>Jul-22</v>
      </c>
      <c r="L13" s="380" t="str">
        <f>B!$K$11</f>
        <v>Aug-22</v>
      </c>
      <c r="M13" s="380" t="str">
        <f>B!$L$11</f>
        <v>Sep-22</v>
      </c>
      <c r="N13" s="380" t="str">
        <f>B!$M$11</f>
        <v>Oct-22</v>
      </c>
      <c r="O13" s="380" t="str">
        <f>B!$N$11</f>
        <v>Nov-22</v>
      </c>
      <c r="P13" s="380" t="str">
        <f>B!$O$11</f>
        <v>Dec-22</v>
      </c>
      <c r="Q13" s="380" t="s">
        <v>9</v>
      </c>
    </row>
    <row r="14" spans="1:17" ht="10.5" x14ac:dyDescent="0.25">
      <c r="A14" s="727"/>
      <c r="B14" s="732" t="s">
        <v>42</v>
      </c>
      <c r="C14" s="732" t="s">
        <v>43</v>
      </c>
      <c r="D14" s="757" t="s">
        <v>45</v>
      </c>
      <c r="E14" s="586" t="s">
        <v>46</v>
      </c>
      <c r="F14" s="586" t="s">
        <v>49</v>
      </c>
      <c r="G14" s="586" t="s">
        <v>50</v>
      </c>
      <c r="H14" s="586" t="s">
        <v>51</v>
      </c>
      <c r="I14" s="586" t="s">
        <v>52</v>
      </c>
      <c r="J14" s="586" t="s">
        <v>53</v>
      </c>
      <c r="K14" s="588" t="s">
        <v>54</v>
      </c>
      <c r="L14" s="588" t="s">
        <v>55</v>
      </c>
      <c r="M14" s="588" t="s">
        <v>56</v>
      </c>
      <c r="N14" s="588" t="s">
        <v>57</v>
      </c>
      <c r="O14" s="588" t="s">
        <v>58</v>
      </c>
      <c r="P14" s="588" t="s">
        <v>59</v>
      </c>
      <c r="Q14" s="588" t="s">
        <v>200</v>
      </c>
    </row>
    <row r="15" spans="1:17" ht="10.5" x14ac:dyDescent="0.25">
      <c r="A15" s="280"/>
      <c r="B15" s="280"/>
      <c r="C15" s="280"/>
      <c r="D15" s="282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380"/>
      <c r="Q15" s="380"/>
    </row>
    <row r="16" spans="1:17" ht="10.5" x14ac:dyDescent="0.25">
      <c r="A16" s="216">
        <v>1</v>
      </c>
      <c r="C16" s="385" t="s">
        <v>223</v>
      </c>
      <c r="P16" s="588"/>
      <c r="Q16" s="588"/>
    </row>
    <row r="17" spans="1:22" x14ac:dyDescent="0.2">
      <c r="C17" s="385"/>
      <c r="P17" s="438"/>
      <c r="Q17" s="438"/>
    </row>
    <row r="18" spans="1:22" x14ac:dyDescent="0.2">
      <c r="A18" s="216">
        <f>A16+1</f>
        <v>2</v>
      </c>
      <c r="C18" s="385" t="s">
        <v>224</v>
      </c>
      <c r="T18" s="818"/>
      <c r="U18" s="818"/>
      <c r="V18" s="758"/>
    </row>
    <row r="19" spans="1:22" x14ac:dyDescent="0.2">
      <c r="A19" s="216">
        <f>A18+1</f>
        <v>3</v>
      </c>
      <c r="B19" s="242">
        <v>480</v>
      </c>
      <c r="C19" s="216" t="s">
        <v>226</v>
      </c>
      <c r="E19" s="419">
        <f>E70+E84+E91+E98+E105+E134+E148+E155</f>
        <v>14003405.959999999</v>
      </c>
      <c r="F19" s="419">
        <f t="shared" ref="F19:O19" si="0">F70+F84+F91+F98+F105+F134+F148+F155</f>
        <v>14150754.74</v>
      </c>
      <c r="G19" s="419">
        <f t="shared" si="0"/>
        <v>11564943.440000003</v>
      </c>
      <c r="H19" s="419">
        <f>H70+H84+H91+H98+H105+H134+H148+H155</f>
        <v>7681028.7000000002</v>
      </c>
      <c r="I19" s="419">
        <f t="shared" si="0"/>
        <v>4737325.1099999994</v>
      </c>
      <c r="J19" s="419">
        <f t="shared" si="0"/>
        <v>3667117.0799999996</v>
      </c>
      <c r="K19" s="419">
        <f t="shared" si="0"/>
        <v>3164177.9</v>
      </c>
      <c r="L19" s="419">
        <f t="shared" si="0"/>
        <v>3194751.3199999994</v>
      </c>
      <c r="M19" s="419">
        <f t="shared" si="0"/>
        <v>3296831.0799999996</v>
      </c>
      <c r="N19" s="419">
        <f t="shared" si="0"/>
        <v>3881651.7900000005</v>
      </c>
      <c r="O19" s="419">
        <f t="shared" si="0"/>
        <v>6103552.1600000001</v>
      </c>
      <c r="P19" s="419">
        <f>P70+P84+P91+P98+P105+P134+P148+P155</f>
        <v>11011604.370000003</v>
      </c>
      <c r="Q19" s="419">
        <f>SUM(E19:P19)</f>
        <v>86457143.650000006</v>
      </c>
      <c r="R19" s="262"/>
      <c r="T19" s="758"/>
      <c r="U19" s="758"/>
      <c r="V19" s="758"/>
    </row>
    <row r="20" spans="1:22" x14ac:dyDescent="0.2">
      <c r="A20" s="216">
        <f>A19+1</f>
        <v>4</v>
      </c>
      <c r="B20" s="242">
        <v>481.1</v>
      </c>
      <c r="C20" s="216" t="s">
        <v>227</v>
      </c>
      <c r="E20" s="606">
        <f>E77+E141+E162</f>
        <v>5814405.2400000002</v>
      </c>
      <c r="F20" s="606">
        <f t="shared" ref="F20:P20" si="1">F77+F141+F162</f>
        <v>5611699.5499999998</v>
      </c>
      <c r="G20" s="606">
        <f t="shared" si="1"/>
        <v>4812188.84</v>
      </c>
      <c r="H20" s="606">
        <f t="shared" si="1"/>
        <v>2846262.6899999995</v>
      </c>
      <c r="I20" s="606">
        <f t="shared" si="1"/>
        <v>2021938.09</v>
      </c>
      <c r="J20" s="606">
        <f t="shared" si="1"/>
        <v>1643802.6500000001</v>
      </c>
      <c r="K20" s="606">
        <f t="shared" si="1"/>
        <v>1487627.94</v>
      </c>
      <c r="L20" s="606">
        <f t="shared" si="1"/>
        <v>1418210.08</v>
      </c>
      <c r="M20" s="606">
        <f t="shared" si="1"/>
        <v>1452060.19</v>
      </c>
      <c r="N20" s="606">
        <f>N77+N141+N162</f>
        <v>1612033.5299999998</v>
      </c>
      <c r="O20" s="606">
        <f t="shared" si="1"/>
        <v>2442356.9</v>
      </c>
      <c r="P20" s="606">
        <f t="shared" si="1"/>
        <v>4365175.83</v>
      </c>
      <c r="Q20" s="267">
        <f>SUM(E20:P20)</f>
        <v>35527761.530000001</v>
      </c>
      <c r="T20" s="758"/>
      <c r="U20" s="758"/>
      <c r="V20" s="758"/>
    </row>
    <row r="21" spans="1:22" x14ac:dyDescent="0.2">
      <c r="A21" s="216">
        <f t="shared" ref="A21:A33" si="2">A20+1</f>
        <v>5</v>
      </c>
      <c r="B21" s="389">
        <v>481.2</v>
      </c>
      <c r="C21" s="216" t="s">
        <v>228</v>
      </c>
      <c r="E21" s="267">
        <f t="shared" ref="E21:P21" si="3">E190+E197</f>
        <v>315104.38</v>
      </c>
      <c r="F21" s="267">
        <f t="shared" si="3"/>
        <v>300854.96000000002</v>
      </c>
      <c r="G21" s="267">
        <f t="shared" si="3"/>
        <v>201858.77000000002</v>
      </c>
      <c r="H21" s="267">
        <f t="shared" si="3"/>
        <v>69158.959999999992</v>
      </c>
      <c r="I21" s="267">
        <f t="shared" si="3"/>
        <v>68327.17</v>
      </c>
      <c r="J21" s="267">
        <f t="shared" si="3"/>
        <v>49612.07</v>
      </c>
      <c r="K21" s="267">
        <f t="shared" si="3"/>
        <v>43295.06</v>
      </c>
      <c r="L21" s="267">
        <f t="shared" si="3"/>
        <v>55455.28</v>
      </c>
      <c r="M21" s="267">
        <f t="shared" si="3"/>
        <v>62138.11</v>
      </c>
      <c r="N21" s="267">
        <f t="shared" si="3"/>
        <v>89887.8</v>
      </c>
      <c r="O21" s="267">
        <f t="shared" si="3"/>
        <v>181975.04000000001</v>
      </c>
      <c r="P21" s="267">
        <f t="shared" si="3"/>
        <v>266433.88</v>
      </c>
      <c r="Q21" s="267">
        <f>SUM(E21:P21)</f>
        <v>1704101.4800000004</v>
      </c>
      <c r="T21" s="758"/>
      <c r="U21" s="758"/>
      <c r="V21" s="758"/>
    </row>
    <row r="22" spans="1:22" x14ac:dyDescent="0.2">
      <c r="A22" s="216">
        <f>A25+1</f>
        <v>8</v>
      </c>
      <c r="B22" s="242">
        <v>483</v>
      </c>
      <c r="C22" s="216" t="s">
        <v>230</v>
      </c>
      <c r="E22" s="255">
        <f>E204</f>
        <v>12147.650000000001</v>
      </c>
      <c r="F22" s="255">
        <f t="shared" ref="F22:P22" si="4">F204</f>
        <v>10696.54</v>
      </c>
      <c r="G22" s="255">
        <f t="shared" si="4"/>
        <v>11666.13</v>
      </c>
      <c r="H22" s="255">
        <f t="shared" si="4"/>
        <v>5455.5700000000006</v>
      </c>
      <c r="I22" s="255">
        <f t="shared" si="4"/>
        <v>4701.32</v>
      </c>
      <c r="J22" s="255">
        <f t="shared" si="4"/>
        <v>4227.99</v>
      </c>
      <c r="K22" s="255">
        <f t="shared" si="4"/>
        <v>3418</v>
      </c>
      <c r="L22" s="255">
        <f t="shared" si="4"/>
        <v>3608.7400000000002</v>
      </c>
      <c r="M22" s="255">
        <f t="shared" si="4"/>
        <v>3224.5099999999998</v>
      </c>
      <c r="N22" s="255">
        <f t="shared" si="4"/>
        <v>4624.8</v>
      </c>
      <c r="O22" s="255">
        <f t="shared" si="4"/>
        <v>6667.29</v>
      </c>
      <c r="P22" s="255">
        <f t="shared" si="4"/>
        <v>9660.7999999999993</v>
      </c>
      <c r="Q22" s="255">
        <f>SUM(E22:P22)</f>
        <v>80099.34</v>
      </c>
      <c r="T22" s="758"/>
      <c r="U22" s="758"/>
      <c r="V22" s="758"/>
    </row>
    <row r="23" spans="1:22" x14ac:dyDescent="0.2">
      <c r="A23" s="216">
        <f>A21+1</f>
        <v>6</v>
      </c>
      <c r="B23" s="389"/>
      <c r="C23" s="216" t="s">
        <v>229</v>
      </c>
      <c r="E23" s="419">
        <f t="shared" ref="E23:O23" si="5">SUM(E19:E22)</f>
        <v>20145063.229999997</v>
      </c>
      <c r="F23" s="419">
        <f t="shared" si="5"/>
        <v>20074005.789999999</v>
      </c>
      <c r="G23" s="419">
        <f t="shared" si="5"/>
        <v>16590657.180000003</v>
      </c>
      <c r="H23" s="419">
        <f t="shared" si="5"/>
        <v>10601905.920000002</v>
      </c>
      <c r="I23" s="419">
        <f t="shared" si="5"/>
        <v>6832291.6899999995</v>
      </c>
      <c r="J23" s="419">
        <f t="shared" si="5"/>
        <v>5364759.79</v>
      </c>
      <c r="K23" s="419">
        <f t="shared" si="5"/>
        <v>4698518.8999999994</v>
      </c>
      <c r="L23" s="419">
        <f t="shared" si="5"/>
        <v>4672025.42</v>
      </c>
      <c r="M23" s="419">
        <f t="shared" si="5"/>
        <v>4814253.8899999997</v>
      </c>
      <c r="N23" s="419">
        <f t="shared" si="5"/>
        <v>5588197.9199999999</v>
      </c>
      <c r="O23" s="419">
        <f t="shared" si="5"/>
        <v>8734551.3899999987</v>
      </c>
      <c r="P23" s="419">
        <f>SUM(P19:P22)</f>
        <v>15652874.880000005</v>
      </c>
      <c r="Q23" s="419">
        <f>SUM(E23:P23)</f>
        <v>123769106.00000003</v>
      </c>
      <c r="S23" s="262"/>
      <c r="T23" s="280"/>
      <c r="U23" s="280"/>
      <c r="V23" s="280"/>
    </row>
    <row r="24" spans="1:22" x14ac:dyDescent="0.2">
      <c r="B24" s="389"/>
      <c r="T24" s="280"/>
      <c r="U24" s="280"/>
      <c r="V24" s="280"/>
    </row>
    <row r="25" spans="1:22" x14ac:dyDescent="0.2">
      <c r="A25" s="216">
        <f>A23+1</f>
        <v>7</v>
      </c>
      <c r="B25" s="389"/>
      <c r="C25" s="385" t="s">
        <v>282</v>
      </c>
      <c r="T25" s="280"/>
      <c r="U25" s="280"/>
      <c r="V25" s="280"/>
    </row>
    <row r="26" spans="1:22" x14ac:dyDescent="0.2">
      <c r="A26" s="216">
        <f>A22+1</f>
        <v>9</v>
      </c>
      <c r="B26" s="242">
        <v>489</v>
      </c>
      <c r="C26" s="216" t="s">
        <v>231</v>
      </c>
      <c r="E26" s="419">
        <f t="shared" ref="E26:P26" si="6">E232</f>
        <v>1036134.85</v>
      </c>
      <c r="F26" s="419">
        <f t="shared" si="6"/>
        <v>1039338.46</v>
      </c>
      <c r="G26" s="419">
        <f t="shared" si="6"/>
        <v>872574.89999999991</v>
      </c>
      <c r="H26" s="419">
        <f t="shared" si="6"/>
        <v>643477.23</v>
      </c>
      <c r="I26" s="419">
        <f t="shared" si="6"/>
        <v>463042.94999999995</v>
      </c>
      <c r="J26" s="419">
        <f t="shared" si="6"/>
        <v>391189.06999999995</v>
      </c>
      <c r="K26" s="419">
        <f t="shared" si="6"/>
        <v>358433.83999999997</v>
      </c>
      <c r="L26" s="419">
        <f t="shared" si="6"/>
        <v>359601.38999999996</v>
      </c>
      <c r="M26" s="419">
        <f t="shared" si="6"/>
        <v>361569.95999999996</v>
      </c>
      <c r="N26" s="419">
        <f t="shared" si="6"/>
        <v>397404.92000000004</v>
      </c>
      <c r="O26" s="419">
        <f t="shared" si="6"/>
        <v>527595.64999999991</v>
      </c>
      <c r="P26" s="419">
        <f t="shared" si="6"/>
        <v>800190.07</v>
      </c>
      <c r="Q26" s="419">
        <f>SUM(E26:P26)</f>
        <v>7250553.2899999991</v>
      </c>
      <c r="T26" s="758"/>
      <c r="U26" s="758"/>
      <c r="V26" s="758"/>
    </row>
    <row r="27" spans="1:22" x14ac:dyDescent="0.2">
      <c r="A27" s="216">
        <f t="shared" si="2"/>
        <v>10</v>
      </c>
      <c r="B27" s="242">
        <v>489</v>
      </c>
      <c r="C27" s="216" t="s">
        <v>232</v>
      </c>
      <c r="E27" s="267">
        <f t="shared" ref="E27:P27" si="7">E239+E253+E267+E308+E356+E315</f>
        <v>1280947.9200000002</v>
      </c>
      <c r="F27" s="267">
        <f t="shared" si="7"/>
        <v>1247121.55</v>
      </c>
      <c r="G27" s="267">
        <f t="shared" si="7"/>
        <v>1066647.19</v>
      </c>
      <c r="H27" s="267">
        <f t="shared" si="7"/>
        <v>826123.17000000016</v>
      </c>
      <c r="I27" s="267">
        <f t="shared" si="7"/>
        <v>656244.9800000001</v>
      </c>
      <c r="J27" s="267">
        <f t="shared" si="7"/>
        <v>573606.12000000011</v>
      </c>
      <c r="K27" s="267">
        <f t="shared" si="7"/>
        <v>542669.63</v>
      </c>
      <c r="L27" s="267">
        <f t="shared" si="7"/>
        <v>539621.13</v>
      </c>
      <c r="M27" s="267">
        <f t="shared" si="7"/>
        <v>549118.02</v>
      </c>
      <c r="N27" s="267">
        <f t="shared" si="7"/>
        <v>585770.60000000009</v>
      </c>
      <c r="O27" s="267">
        <f t="shared" si="7"/>
        <v>772197.15</v>
      </c>
      <c r="P27" s="267">
        <f t="shared" si="7"/>
        <v>1071272.6100000001</v>
      </c>
      <c r="Q27" s="267">
        <f t="shared" ref="Q27:Q33" si="8">SUM(E27:P27)</f>
        <v>9711340.0700000003</v>
      </c>
      <c r="T27" s="758"/>
      <c r="U27" s="758"/>
      <c r="V27" s="758"/>
    </row>
    <row r="28" spans="1:22" x14ac:dyDescent="0.2">
      <c r="A28" s="216">
        <f t="shared" si="2"/>
        <v>11</v>
      </c>
      <c r="B28" s="242">
        <v>489</v>
      </c>
      <c r="C28" s="216" t="s">
        <v>233</v>
      </c>
      <c r="E28" s="267">
        <f t="shared" ref="E28:P28" si="9">E246+E260+E294+E301+E322+E329+E363</f>
        <v>547595.03999999992</v>
      </c>
      <c r="F28" s="267">
        <f t="shared" si="9"/>
        <v>498443.44000000006</v>
      </c>
      <c r="G28" s="267">
        <f t="shared" si="9"/>
        <v>535325.77</v>
      </c>
      <c r="H28" s="267">
        <f t="shared" si="9"/>
        <v>460195.41999999993</v>
      </c>
      <c r="I28" s="267">
        <f t="shared" si="9"/>
        <v>423880.93999999994</v>
      </c>
      <c r="J28" s="267">
        <f t="shared" si="9"/>
        <v>390132.53</v>
      </c>
      <c r="K28" s="267">
        <f t="shared" si="9"/>
        <v>358030.51999999996</v>
      </c>
      <c r="L28" s="267">
        <f t="shared" si="9"/>
        <v>413385.93000000005</v>
      </c>
      <c r="M28" s="267">
        <f t="shared" si="9"/>
        <v>419948.71999999991</v>
      </c>
      <c r="N28" s="267">
        <f t="shared" si="9"/>
        <v>472759.08000000007</v>
      </c>
      <c r="O28" s="267">
        <f t="shared" si="9"/>
        <v>513392.94</v>
      </c>
      <c r="P28" s="267">
        <f t="shared" si="9"/>
        <v>530119.26</v>
      </c>
      <c r="Q28" s="267">
        <f t="shared" si="8"/>
        <v>5563209.5899999999</v>
      </c>
      <c r="T28" s="759"/>
      <c r="U28" s="759"/>
      <c r="V28" s="758"/>
    </row>
    <row r="29" spans="1:22" x14ac:dyDescent="0.2">
      <c r="A29" s="216">
        <f>A28+1</f>
        <v>12</v>
      </c>
      <c r="B29" s="242">
        <v>487</v>
      </c>
      <c r="C29" s="216" t="s">
        <v>234</v>
      </c>
      <c r="E29" s="267">
        <f t="shared" ref="E29:P29" si="10">E369</f>
        <v>61698.21</v>
      </c>
      <c r="F29" s="267">
        <f t="shared" si="10"/>
        <v>77601.47</v>
      </c>
      <c r="G29" s="267">
        <f t="shared" si="10"/>
        <v>64730.760000000009</v>
      </c>
      <c r="H29" s="267">
        <f t="shared" si="10"/>
        <v>37699.116666666676</v>
      </c>
      <c r="I29" s="267">
        <f t="shared" si="10"/>
        <v>23873.186666666661</v>
      </c>
      <c r="J29" s="267">
        <f t="shared" si="10"/>
        <v>22930.896666666667</v>
      </c>
      <c r="K29" s="267">
        <f t="shared" si="10"/>
        <v>15374.97</v>
      </c>
      <c r="L29" s="267">
        <f t="shared" si="10"/>
        <v>12900.786666666667</v>
      </c>
      <c r="M29" s="267">
        <f t="shared" si="10"/>
        <v>13944.786666666667</v>
      </c>
      <c r="N29" s="267">
        <f t="shared" si="10"/>
        <v>14062.410000000002</v>
      </c>
      <c r="O29" s="267">
        <f t="shared" si="10"/>
        <v>13451.786666666665</v>
      </c>
      <c r="P29" s="267">
        <f t="shared" si="10"/>
        <v>31809.26</v>
      </c>
      <c r="Q29" s="267">
        <f t="shared" si="8"/>
        <v>390077.64</v>
      </c>
      <c r="T29" s="758"/>
      <c r="U29" s="758"/>
      <c r="V29" s="758"/>
    </row>
    <row r="30" spans="1:22" x14ac:dyDescent="0.2">
      <c r="A30" s="216">
        <f t="shared" si="2"/>
        <v>13</v>
      </c>
      <c r="B30" s="242">
        <v>488</v>
      </c>
      <c r="C30" s="216" t="s">
        <v>235</v>
      </c>
      <c r="E30" s="267">
        <f t="shared" ref="E30:P30" si="11">E370</f>
        <v>5942.6066666666666</v>
      </c>
      <c r="F30" s="267">
        <f t="shared" si="11"/>
        <v>11364.44</v>
      </c>
      <c r="G30" s="267">
        <f t="shared" si="11"/>
        <v>8098.21</v>
      </c>
      <c r="H30" s="267">
        <f t="shared" si="11"/>
        <v>7979.916666666667</v>
      </c>
      <c r="I30" s="267">
        <f t="shared" si="11"/>
        <v>12876.963333333335</v>
      </c>
      <c r="J30" s="267">
        <f t="shared" si="11"/>
        <v>-6927.8566666666666</v>
      </c>
      <c r="K30" s="267">
        <f t="shared" si="11"/>
        <v>6255.206666666666</v>
      </c>
      <c r="L30" s="267">
        <f t="shared" si="11"/>
        <v>20702.363333333331</v>
      </c>
      <c r="M30" s="267">
        <f t="shared" si="11"/>
        <v>-7827.2333333333327</v>
      </c>
      <c r="N30" s="267">
        <f t="shared" si="11"/>
        <v>31071.313333333335</v>
      </c>
      <c r="O30" s="267">
        <f t="shared" si="11"/>
        <v>14409.32</v>
      </c>
      <c r="P30" s="267">
        <f t="shared" si="11"/>
        <v>13556.096666666666</v>
      </c>
      <c r="Q30" s="267">
        <f t="shared" si="8"/>
        <v>117501.34666666666</v>
      </c>
      <c r="T30" s="280"/>
      <c r="U30" s="280"/>
      <c r="V30" s="280"/>
    </row>
    <row r="31" spans="1:22" x14ac:dyDescent="0.2">
      <c r="A31" s="216">
        <f t="shared" si="2"/>
        <v>14</v>
      </c>
      <c r="B31" s="242">
        <v>493</v>
      </c>
      <c r="C31" s="216" t="s">
        <v>312</v>
      </c>
      <c r="E31" s="267">
        <f t="shared" ref="E31:P31" si="12">E371</f>
        <v>4169.666666666667</v>
      </c>
      <c r="F31" s="267">
        <f t="shared" si="12"/>
        <v>2762.3333333333335</v>
      </c>
      <c r="G31" s="267">
        <f t="shared" si="12"/>
        <v>3466</v>
      </c>
      <c r="H31" s="267">
        <f t="shared" si="12"/>
        <v>3466</v>
      </c>
      <c r="I31" s="267">
        <f t="shared" si="12"/>
        <v>3466</v>
      </c>
      <c r="J31" s="267">
        <f t="shared" si="12"/>
        <v>3466</v>
      </c>
      <c r="K31" s="267">
        <f t="shared" si="12"/>
        <v>3466</v>
      </c>
      <c r="L31" s="267">
        <f t="shared" si="12"/>
        <v>3466</v>
      </c>
      <c r="M31" s="267">
        <f t="shared" si="12"/>
        <v>3466</v>
      </c>
      <c r="N31" s="267">
        <f t="shared" si="12"/>
        <v>3466</v>
      </c>
      <c r="O31" s="267">
        <f t="shared" si="12"/>
        <v>3466</v>
      </c>
      <c r="P31" s="267">
        <f t="shared" si="12"/>
        <v>3466</v>
      </c>
      <c r="Q31" s="267">
        <f t="shared" si="8"/>
        <v>41592</v>
      </c>
      <c r="T31" s="280"/>
      <c r="U31" s="280"/>
      <c r="V31" s="280"/>
    </row>
    <row r="32" spans="1:22" x14ac:dyDescent="0.2">
      <c r="A32" s="216">
        <f t="shared" si="2"/>
        <v>15</v>
      </c>
      <c r="B32" s="242">
        <v>495</v>
      </c>
      <c r="C32" s="216" t="s">
        <v>236</v>
      </c>
      <c r="E32" s="267">
        <f t="shared" ref="E32:P32" si="13">E372</f>
        <v>0</v>
      </c>
      <c r="F32" s="267">
        <f t="shared" si="13"/>
        <v>0</v>
      </c>
      <c r="G32" s="267">
        <f t="shared" si="13"/>
        <v>0</v>
      </c>
      <c r="H32" s="267">
        <f t="shared" si="13"/>
        <v>0</v>
      </c>
      <c r="I32" s="267">
        <f t="shared" si="13"/>
        <v>0</v>
      </c>
      <c r="J32" s="267">
        <f t="shared" si="13"/>
        <v>0</v>
      </c>
      <c r="K32" s="267">
        <f t="shared" si="13"/>
        <v>0</v>
      </c>
      <c r="L32" s="267">
        <f t="shared" si="13"/>
        <v>0</v>
      </c>
      <c r="M32" s="267">
        <f t="shared" si="13"/>
        <v>0</v>
      </c>
      <c r="N32" s="267">
        <f t="shared" si="13"/>
        <v>0</v>
      </c>
      <c r="O32" s="267">
        <f t="shared" si="13"/>
        <v>0</v>
      </c>
      <c r="P32" s="267">
        <f t="shared" si="13"/>
        <v>0</v>
      </c>
      <c r="Q32" s="267">
        <f t="shared" si="8"/>
        <v>0</v>
      </c>
      <c r="T32" s="280"/>
      <c r="U32" s="280"/>
      <c r="V32" s="280"/>
    </row>
    <row r="33" spans="1:22" x14ac:dyDescent="0.2">
      <c r="A33" s="216">
        <f t="shared" si="2"/>
        <v>16</v>
      </c>
      <c r="B33" s="242">
        <v>495</v>
      </c>
      <c r="C33" s="216" t="s">
        <v>237</v>
      </c>
      <c r="E33" s="255">
        <f t="shared" ref="E33:P33" si="14">E373</f>
        <v>38507.726666666662</v>
      </c>
      <c r="F33" s="255">
        <f t="shared" si="14"/>
        <v>102473.7</v>
      </c>
      <c r="G33" s="255">
        <f t="shared" si="14"/>
        <v>48446.93</v>
      </c>
      <c r="H33" s="255">
        <f t="shared" si="14"/>
        <v>31408.923333333329</v>
      </c>
      <c r="I33" s="255">
        <f t="shared" si="14"/>
        <v>22219.25</v>
      </c>
      <c r="J33" s="255">
        <f t="shared" si="14"/>
        <v>29995.97</v>
      </c>
      <c r="K33" s="255">
        <f t="shared" si="14"/>
        <v>32668.956666666665</v>
      </c>
      <c r="L33" s="255">
        <f t="shared" si="14"/>
        <v>11055.753333333334</v>
      </c>
      <c r="M33" s="255">
        <f t="shared" si="14"/>
        <v>94743.723333333328</v>
      </c>
      <c r="N33" s="255">
        <f t="shared" si="14"/>
        <v>136060.20666666667</v>
      </c>
      <c r="O33" s="255">
        <f t="shared" si="14"/>
        <v>35411.036666666667</v>
      </c>
      <c r="P33" s="255">
        <f t="shared" si="14"/>
        <v>95390.256666666668</v>
      </c>
      <c r="Q33" s="255">
        <f t="shared" si="8"/>
        <v>678382.43333333335</v>
      </c>
      <c r="T33" s="280"/>
      <c r="U33" s="280"/>
      <c r="V33" s="280"/>
    </row>
    <row r="34" spans="1:22" x14ac:dyDescent="0.2">
      <c r="A34" s="216">
        <f>A33+1</f>
        <v>17</v>
      </c>
      <c r="C34" s="216" t="s">
        <v>283</v>
      </c>
      <c r="E34" s="419">
        <f t="shared" ref="E34:Q34" si="15">SUM(E26:E33)</f>
        <v>2974996.0199999996</v>
      </c>
      <c r="F34" s="419">
        <f t="shared" si="15"/>
        <v>2979105.3933333335</v>
      </c>
      <c r="G34" s="419">
        <f t="shared" si="15"/>
        <v>2599289.7600000002</v>
      </c>
      <c r="H34" s="419">
        <f t="shared" si="15"/>
        <v>2010349.7766666668</v>
      </c>
      <c r="I34" s="419">
        <f t="shared" si="15"/>
        <v>1605604.2700000003</v>
      </c>
      <c r="J34" s="419">
        <f t="shared" si="15"/>
        <v>1404392.7300000002</v>
      </c>
      <c r="K34" s="419">
        <f t="shared" si="15"/>
        <v>1316899.1233333335</v>
      </c>
      <c r="L34" s="419">
        <f t="shared" si="15"/>
        <v>1360733.3533333335</v>
      </c>
      <c r="M34" s="419">
        <f t="shared" si="15"/>
        <v>1434963.9766666666</v>
      </c>
      <c r="N34" s="419">
        <f t="shared" si="15"/>
        <v>1640594.5299999998</v>
      </c>
      <c r="O34" s="419">
        <f t="shared" si="15"/>
        <v>1879923.8833333331</v>
      </c>
      <c r="P34" s="419">
        <f t="shared" si="15"/>
        <v>2545803.5533333337</v>
      </c>
      <c r="Q34" s="419">
        <f t="shared" si="15"/>
        <v>23752656.370000001</v>
      </c>
      <c r="T34" s="280"/>
      <c r="U34" s="280"/>
      <c r="V34" s="280"/>
    </row>
    <row r="35" spans="1:22" x14ac:dyDescent="0.2">
      <c r="T35" s="818"/>
      <c r="U35" s="818"/>
      <c r="V35" s="280"/>
    </row>
    <row r="36" spans="1:22" x14ac:dyDescent="0.2">
      <c r="A36" s="216">
        <f>A34+1</f>
        <v>18</v>
      </c>
      <c r="C36" s="216" t="s">
        <v>225</v>
      </c>
      <c r="E36" s="419">
        <f t="shared" ref="E36:P36" si="16">E23+E34</f>
        <v>23120059.249999996</v>
      </c>
      <c r="F36" s="419">
        <f t="shared" si="16"/>
        <v>23053111.183333334</v>
      </c>
      <c r="G36" s="419">
        <f t="shared" si="16"/>
        <v>19189946.940000005</v>
      </c>
      <c r="H36" s="419">
        <f t="shared" si="16"/>
        <v>12612255.696666669</v>
      </c>
      <c r="I36" s="419">
        <f t="shared" si="16"/>
        <v>8437895.959999999</v>
      </c>
      <c r="J36" s="419">
        <f t="shared" si="16"/>
        <v>6769152.5200000005</v>
      </c>
      <c r="K36" s="419">
        <f t="shared" si="16"/>
        <v>6015418.0233333334</v>
      </c>
      <c r="L36" s="419">
        <f t="shared" si="16"/>
        <v>6032758.7733333334</v>
      </c>
      <c r="M36" s="419">
        <f t="shared" si="16"/>
        <v>6249217.8666666662</v>
      </c>
      <c r="N36" s="419">
        <f t="shared" si="16"/>
        <v>7228792.4499999993</v>
      </c>
      <c r="O36" s="419">
        <f t="shared" si="16"/>
        <v>10614475.273333332</v>
      </c>
      <c r="P36" s="419">
        <f t="shared" si="16"/>
        <v>18198678.433333337</v>
      </c>
      <c r="Q36" s="419">
        <f>SUM(E36:P36)</f>
        <v>147521762.37</v>
      </c>
      <c r="T36" s="672"/>
      <c r="U36" s="758"/>
      <c r="V36" s="280"/>
    </row>
    <row r="38" spans="1:22" x14ac:dyDescent="0.2">
      <c r="E38" s="269"/>
      <c r="G38" s="269"/>
      <c r="I38" s="269"/>
      <c r="Q38" s="269"/>
    </row>
    <row r="39" spans="1:22" x14ac:dyDescent="0.2">
      <c r="E39" s="269"/>
      <c r="G39" s="269"/>
      <c r="I39" s="269"/>
    </row>
    <row r="40" spans="1:22" x14ac:dyDescent="0.2">
      <c r="E40" s="269"/>
      <c r="G40" s="269"/>
      <c r="I40" s="269"/>
    </row>
    <row r="41" spans="1:22" x14ac:dyDescent="0.2">
      <c r="E41" s="269"/>
      <c r="G41" s="269"/>
      <c r="I41" s="269"/>
    </row>
    <row r="42" spans="1:22" x14ac:dyDescent="0.2">
      <c r="E42" s="269"/>
      <c r="G42" s="269"/>
      <c r="I42" s="269"/>
    </row>
    <row r="43" spans="1:22" x14ac:dyDescent="0.2">
      <c r="E43" s="272"/>
      <c r="F43" s="272"/>
      <c r="G43" s="272"/>
      <c r="H43" s="272"/>
      <c r="J43" s="272"/>
      <c r="K43" s="272"/>
      <c r="L43" s="272"/>
      <c r="M43" s="272"/>
      <c r="N43" s="272"/>
      <c r="O43" s="272"/>
    </row>
    <row r="44" spans="1:22" x14ac:dyDescent="0.2">
      <c r="E44" s="272"/>
      <c r="F44" s="272"/>
      <c r="G44" s="272"/>
      <c r="H44" s="272"/>
      <c r="J44" s="272"/>
      <c r="K44" s="272"/>
      <c r="L44" s="272"/>
      <c r="M44" s="272"/>
      <c r="N44" s="272"/>
      <c r="O44" s="272"/>
    </row>
    <row r="45" spans="1:22" x14ac:dyDescent="0.2">
      <c r="E45" s="272"/>
      <c r="F45" s="272"/>
      <c r="G45" s="272"/>
      <c r="H45" s="272"/>
      <c r="J45" s="272"/>
      <c r="K45" s="272"/>
      <c r="L45" s="272"/>
      <c r="M45" s="272"/>
      <c r="N45" s="272"/>
      <c r="O45" s="272"/>
    </row>
    <row r="46" spans="1:22" x14ac:dyDescent="0.2">
      <c r="E46" s="272"/>
      <c r="F46" s="272"/>
      <c r="G46" s="272"/>
      <c r="H46" s="272"/>
      <c r="J46" s="272"/>
      <c r="K46" s="272"/>
      <c r="L46" s="272"/>
      <c r="M46" s="272"/>
      <c r="N46" s="272"/>
      <c r="O46" s="272"/>
    </row>
    <row r="47" spans="1:22" ht="10.5" x14ac:dyDescent="0.25">
      <c r="A47" s="817" t="str">
        <f>CONAME</f>
        <v>Columbia Gas of Kentucky, Inc.</v>
      </c>
      <c r="B47" s="817"/>
      <c r="C47" s="817"/>
      <c r="D47" s="817"/>
      <c r="E47" s="817"/>
      <c r="F47" s="817"/>
      <c r="G47" s="817"/>
      <c r="H47" s="817"/>
      <c r="I47" s="817"/>
      <c r="J47" s="817"/>
      <c r="K47" s="817"/>
      <c r="L47" s="817"/>
      <c r="M47" s="817"/>
      <c r="N47" s="817"/>
      <c r="O47" s="817"/>
      <c r="P47" s="817"/>
      <c r="Q47" s="817"/>
    </row>
    <row r="48" spans="1:22" ht="10.5" x14ac:dyDescent="0.25">
      <c r="A48" s="800" t="str">
        <f>case</f>
        <v>Case No. 2021-00183</v>
      </c>
      <c r="B48" s="800"/>
      <c r="C48" s="800"/>
      <c r="D48" s="800"/>
      <c r="E48" s="800"/>
      <c r="F48" s="800"/>
      <c r="G48" s="800"/>
      <c r="H48" s="800"/>
      <c r="I48" s="800"/>
      <c r="J48" s="800"/>
      <c r="K48" s="800"/>
      <c r="L48" s="800"/>
      <c r="M48" s="800"/>
      <c r="N48" s="800"/>
      <c r="O48" s="800"/>
      <c r="P48" s="800"/>
      <c r="Q48" s="800"/>
    </row>
    <row r="49" spans="1:23" ht="10.5" x14ac:dyDescent="0.25">
      <c r="A49" s="815" t="s">
        <v>414</v>
      </c>
      <c r="B49" s="815"/>
      <c r="C49" s="815"/>
      <c r="D49" s="815"/>
      <c r="E49" s="815"/>
      <c r="F49" s="815"/>
      <c r="G49" s="815"/>
      <c r="H49" s="815"/>
      <c r="I49" s="815"/>
      <c r="J49" s="815"/>
      <c r="K49" s="815"/>
      <c r="L49" s="815"/>
      <c r="M49" s="815"/>
      <c r="N49" s="815"/>
      <c r="O49" s="815"/>
      <c r="P49" s="815"/>
      <c r="Q49" s="815"/>
    </row>
    <row r="50" spans="1:23" ht="10.5" x14ac:dyDescent="0.25">
      <c r="A50" s="817" t="str">
        <f>TYDESC</f>
        <v>For the 12 Months Ended December 31, 2022</v>
      </c>
      <c r="B50" s="817"/>
      <c r="C50" s="817"/>
      <c r="D50" s="817"/>
      <c r="E50" s="817"/>
      <c r="F50" s="817"/>
      <c r="G50" s="817"/>
      <c r="H50" s="817"/>
      <c r="I50" s="817"/>
      <c r="J50" s="817"/>
      <c r="K50" s="817"/>
      <c r="L50" s="817"/>
      <c r="M50" s="817"/>
      <c r="N50" s="817"/>
      <c r="O50" s="817"/>
      <c r="P50" s="817"/>
      <c r="Q50" s="817"/>
    </row>
    <row r="51" spans="1:23" ht="10.5" x14ac:dyDescent="0.25">
      <c r="A51" s="814" t="s">
        <v>39</v>
      </c>
      <c r="B51" s="814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14"/>
      <c r="P51" s="814"/>
      <c r="Q51" s="814"/>
    </row>
    <row r="52" spans="1:23" ht="10.5" x14ac:dyDescent="0.25">
      <c r="A52" s="245" t="s">
        <v>445</v>
      </c>
    </row>
    <row r="53" spans="1:23" ht="10.5" x14ac:dyDescent="0.25">
      <c r="A53" s="245" t="s">
        <v>446</v>
      </c>
      <c r="Q53" s="583" t="s">
        <v>360</v>
      </c>
    </row>
    <row r="54" spans="1:23" ht="10.5" x14ac:dyDescent="0.25">
      <c r="A54" s="392" t="s">
        <v>63</v>
      </c>
      <c r="Q54" s="583" t="s">
        <v>417</v>
      </c>
    </row>
    <row r="55" spans="1:23" ht="10.5" x14ac:dyDescent="0.25">
      <c r="A55" s="373" t="s">
        <v>299</v>
      </c>
      <c r="Q55" s="583" t="str">
        <f>Witness</f>
        <v>Witness:  Judith L. Siegler</v>
      </c>
    </row>
    <row r="56" spans="1:23" ht="10.5" x14ac:dyDescent="0.25">
      <c r="A56" s="816" t="s">
        <v>191</v>
      </c>
      <c r="B56" s="816"/>
      <c r="C56" s="816"/>
      <c r="D56" s="816"/>
      <c r="E56" s="816"/>
      <c r="F56" s="816"/>
      <c r="G56" s="816"/>
      <c r="H56" s="816"/>
      <c r="I56" s="816"/>
      <c r="J56" s="816"/>
      <c r="K56" s="816"/>
      <c r="L56" s="816"/>
      <c r="M56" s="816"/>
      <c r="N56" s="816"/>
      <c r="O56" s="816"/>
      <c r="P56" s="816"/>
      <c r="Q56" s="816"/>
    </row>
    <row r="57" spans="1:23" ht="10.5" x14ac:dyDescent="0.25">
      <c r="A57" s="392"/>
      <c r="B57" s="280"/>
      <c r="C57" s="280"/>
      <c r="D57" s="282"/>
      <c r="E57" s="280"/>
      <c r="F57" s="438"/>
      <c r="G57" s="439"/>
      <c r="H57" s="438"/>
      <c r="I57" s="440"/>
      <c r="J57" s="438"/>
      <c r="K57" s="438"/>
      <c r="L57" s="438"/>
      <c r="M57" s="438"/>
      <c r="N57" s="438"/>
      <c r="O57" s="438"/>
      <c r="P57" s="438"/>
      <c r="Q57" s="280"/>
    </row>
    <row r="58" spans="1:23" ht="10.5" x14ac:dyDescent="0.25">
      <c r="A58" s="727"/>
      <c r="B58" s="727"/>
      <c r="C58" s="727"/>
      <c r="D58" s="731"/>
      <c r="E58" s="584"/>
      <c r="F58" s="587"/>
      <c r="G58" s="584"/>
      <c r="H58" s="730"/>
      <c r="I58" s="584"/>
      <c r="J58" s="584"/>
      <c r="K58" s="584"/>
      <c r="L58" s="584"/>
      <c r="M58" s="584"/>
      <c r="N58" s="584"/>
      <c r="O58" s="727"/>
      <c r="P58" s="727"/>
      <c r="Q58" s="727"/>
    </row>
    <row r="59" spans="1:23" ht="10.5" x14ac:dyDescent="0.25">
      <c r="A59" s="727" t="s">
        <v>1</v>
      </c>
      <c r="B59" s="727" t="s">
        <v>0</v>
      </c>
      <c r="C59" s="727" t="s">
        <v>41</v>
      </c>
      <c r="D59" s="731" t="s">
        <v>47</v>
      </c>
      <c r="E59" s="584"/>
      <c r="F59" s="587"/>
      <c r="G59" s="584"/>
      <c r="H59" s="730"/>
      <c r="I59" s="584"/>
      <c r="J59" s="584"/>
      <c r="K59" s="584"/>
      <c r="L59" s="584"/>
      <c r="M59" s="584"/>
      <c r="N59" s="584"/>
      <c r="O59" s="732"/>
      <c r="P59" s="732"/>
      <c r="Q59" s="732"/>
    </row>
    <row r="60" spans="1:23" ht="10.5" x14ac:dyDescent="0.25">
      <c r="A60" s="263" t="s">
        <v>3</v>
      </c>
      <c r="B60" s="263" t="s">
        <v>40</v>
      </c>
      <c r="C60" s="263" t="s">
        <v>4</v>
      </c>
      <c r="D60" s="756" t="s">
        <v>48</v>
      </c>
      <c r="E60" s="380" t="str">
        <f>B!$D$11</f>
        <v>Jan-22</v>
      </c>
      <c r="F60" s="380" t="str">
        <f>B!$E$11</f>
        <v>Feb-22</v>
      </c>
      <c r="G60" s="380" t="str">
        <f>B!$F$11</f>
        <v>Mar-22</v>
      </c>
      <c r="H60" s="380" t="str">
        <f>B!$G$11</f>
        <v>Apr-22</v>
      </c>
      <c r="I60" s="380" t="str">
        <f>B!$H$11</f>
        <v>May-22</v>
      </c>
      <c r="J60" s="380" t="str">
        <f>B!$I$11</f>
        <v>Jun-22</v>
      </c>
      <c r="K60" s="380" t="str">
        <f>B!$J$11</f>
        <v>Jul-22</v>
      </c>
      <c r="L60" s="380" t="str">
        <f>B!$K$11</f>
        <v>Aug-22</v>
      </c>
      <c r="M60" s="380" t="str">
        <f>B!$L$11</f>
        <v>Sep-22</v>
      </c>
      <c r="N60" s="380" t="str">
        <f>B!$M$11</f>
        <v>Oct-22</v>
      </c>
      <c r="O60" s="380" t="str">
        <f>B!$N$11</f>
        <v>Nov-22</v>
      </c>
      <c r="P60" s="380" t="str">
        <f>B!$O$11</f>
        <v>Dec-22</v>
      </c>
      <c r="Q60" s="380" t="s">
        <v>9</v>
      </c>
      <c r="R60" s="222"/>
    </row>
    <row r="61" spans="1:23" ht="10.5" x14ac:dyDescent="0.25">
      <c r="A61" s="727"/>
      <c r="B61" s="732" t="s">
        <v>42</v>
      </c>
      <c r="C61" s="732" t="s">
        <v>43</v>
      </c>
      <c r="D61" s="757" t="s">
        <v>45</v>
      </c>
      <c r="E61" s="586" t="s">
        <v>46</v>
      </c>
      <c r="F61" s="586" t="s">
        <v>49</v>
      </c>
      <c r="G61" s="586" t="s">
        <v>50</v>
      </c>
      <c r="H61" s="586" t="s">
        <v>51</v>
      </c>
      <c r="I61" s="586" t="s">
        <v>52</v>
      </c>
      <c r="J61" s="586" t="s">
        <v>53</v>
      </c>
      <c r="K61" s="588" t="s">
        <v>54</v>
      </c>
      <c r="L61" s="588" t="s">
        <v>55</v>
      </c>
      <c r="M61" s="588" t="s">
        <v>56</v>
      </c>
      <c r="N61" s="588" t="s">
        <v>57</v>
      </c>
      <c r="O61" s="588" t="s">
        <v>58</v>
      </c>
      <c r="P61" s="588" t="s">
        <v>59</v>
      </c>
      <c r="Q61" s="588" t="s">
        <v>200</v>
      </c>
      <c r="R61" s="732"/>
    </row>
    <row r="62" spans="1:23" ht="10.5" x14ac:dyDescent="0.25">
      <c r="E62" s="732"/>
      <c r="F62" s="588"/>
      <c r="G62" s="585"/>
      <c r="H62" s="588"/>
      <c r="I62" s="586"/>
      <c r="J62" s="588"/>
      <c r="K62" s="588"/>
      <c r="L62" s="588"/>
      <c r="M62" s="588"/>
      <c r="N62" s="588"/>
      <c r="O62" s="588"/>
      <c r="P62" s="588"/>
      <c r="Q62" s="732"/>
    </row>
    <row r="63" spans="1:23" ht="10.5" x14ac:dyDescent="0.25">
      <c r="A63" s="216">
        <v>1</v>
      </c>
      <c r="C63" s="742" t="s">
        <v>94</v>
      </c>
    </row>
    <row r="64" spans="1:23" x14ac:dyDescent="0.2">
      <c r="S64" s="280"/>
      <c r="T64" s="280"/>
      <c r="U64" s="280"/>
      <c r="V64" s="280"/>
      <c r="W64" s="280"/>
    </row>
    <row r="65" spans="1:23" ht="10.5" x14ac:dyDescent="0.25">
      <c r="A65" s="216">
        <f>A63+1</f>
        <v>2</v>
      </c>
      <c r="B65" s="216" t="str">
        <f>Input!A16</f>
        <v>GSR</v>
      </c>
      <c r="C65" s="216" t="str">
        <f>'Sch M 2.1'!B19</f>
        <v>General Service - Residential</v>
      </c>
      <c r="G65" s="269"/>
      <c r="Q65" s="269"/>
      <c r="S65" s="392"/>
      <c r="T65" s="280"/>
      <c r="U65" s="280"/>
      <c r="V65" s="280"/>
      <c r="W65" s="280"/>
    </row>
    <row r="66" spans="1:23" x14ac:dyDescent="0.2">
      <c r="A66" s="216">
        <f>A65+1</f>
        <v>3</v>
      </c>
      <c r="C66" s="504" t="s">
        <v>216</v>
      </c>
      <c r="E66" s="267">
        <f>E400</f>
        <v>110183</v>
      </c>
      <c r="F66" s="267">
        <f t="shared" ref="F66:P66" si="17">F400</f>
        <v>110452</v>
      </c>
      <c r="G66" s="267">
        <f t="shared" si="17"/>
        <v>110749</v>
      </c>
      <c r="H66" s="267">
        <f t="shared" si="17"/>
        <v>109941</v>
      </c>
      <c r="I66" s="267">
        <f t="shared" si="17"/>
        <v>109375</v>
      </c>
      <c r="J66" s="267">
        <f t="shared" si="17"/>
        <v>108720</v>
      </c>
      <c r="K66" s="267">
        <f t="shared" si="17"/>
        <v>108575</v>
      </c>
      <c r="L66" s="267">
        <f t="shared" si="17"/>
        <v>108485</v>
      </c>
      <c r="M66" s="267">
        <f t="shared" si="17"/>
        <v>108035</v>
      </c>
      <c r="N66" s="267">
        <f t="shared" si="17"/>
        <v>108160</v>
      </c>
      <c r="O66" s="267">
        <f t="shared" si="17"/>
        <v>109559</v>
      </c>
      <c r="P66" s="267">
        <f t="shared" si="17"/>
        <v>111027</v>
      </c>
      <c r="Q66" s="267">
        <f>SUM(E66:P66)</f>
        <v>1313261</v>
      </c>
      <c r="S66" s="280"/>
      <c r="T66" s="441"/>
      <c r="U66" s="441"/>
      <c r="V66" s="676"/>
      <c r="W66" s="280"/>
    </row>
    <row r="67" spans="1:23" x14ac:dyDescent="0.2">
      <c r="A67" s="216">
        <f>A66+1</f>
        <v>4</v>
      </c>
      <c r="C67" s="504" t="s">
        <v>483</v>
      </c>
      <c r="E67" s="272">
        <f t="shared" ref="E67:P67" si="18">E404</f>
        <v>1484059.2</v>
      </c>
      <c r="F67" s="272">
        <f t="shared" si="18"/>
        <v>1502349.6</v>
      </c>
      <c r="G67" s="272">
        <f t="shared" si="18"/>
        <v>1166162.7</v>
      </c>
      <c r="H67" s="272">
        <f t="shared" si="18"/>
        <v>664959.6</v>
      </c>
      <c r="I67" s="272">
        <f t="shared" si="18"/>
        <v>284958.40000000002</v>
      </c>
      <c r="J67" s="272">
        <f t="shared" si="18"/>
        <v>148158.1</v>
      </c>
      <c r="K67" s="272">
        <f t="shared" si="18"/>
        <v>83378.5</v>
      </c>
      <c r="L67" s="272">
        <f t="shared" si="18"/>
        <v>87613.7</v>
      </c>
      <c r="M67" s="272">
        <f t="shared" si="18"/>
        <v>102204</v>
      </c>
      <c r="N67" s="272">
        <f t="shared" si="18"/>
        <v>177653.4</v>
      </c>
      <c r="O67" s="272">
        <f t="shared" si="18"/>
        <v>461545.8</v>
      </c>
      <c r="P67" s="272">
        <f t="shared" si="18"/>
        <v>1093564.7</v>
      </c>
      <c r="Q67" s="272">
        <f>SUM(E67:P67)</f>
        <v>7256607.7000000002</v>
      </c>
      <c r="S67" s="280"/>
      <c r="T67" s="282"/>
      <c r="U67" s="282"/>
      <c r="V67" s="676"/>
      <c r="W67" s="280"/>
    </row>
    <row r="68" spans="1:23" x14ac:dyDescent="0.2">
      <c r="A68" s="216">
        <f>A67+1</f>
        <v>5</v>
      </c>
      <c r="C68" s="504" t="s">
        <v>218</v>
      </c>
      <c r="E68" s="419">
        <f>E407+E418</f>
        <v>7491758.8600000003</v>
      </c>
      <c r="F68" s="419">
        <f>F407+F418</f>
        <v>7558805.9799999995</v>
      </c>
      <c r="G68" s="419">
        <f t="shared" ref="G68:O68" si="19">G407+G418</f>
        <v>6448149.830000001</v>
      </c>
      <c r="H68" s="419">
        <f t="shared" si="19"/>
        <v>4763288.7200000007</v>
      </c>
      <c r="I68" s="419">
        <f t="shared" si="19"/>
        <v>3486946.21</v>
      </c>
      <c r="J68" s="419">
        <f>J407+J418</f>
        <v>3016985.5599999996</v>
      </c>
      <c r="K68" s="419">
        <f t="shared" si="19"/>
        <v>2798278.3099999996</v>
      </c>
      <c r="L68" s="419">
        <f t="shared" si="19"/>
        <v>2810267.1599999997</v>
      </c>
      <c r="M68" s="419">
        <f t="shared" si="19"/>
        <v>2848319.2399999998</v>
      </c>
      <c r="N68" s="419">
        <f t="shared" si="19"/>
        <v>3102030.63</v>
      </c>
      <c r="O68" s="419">
        <f t="shared" si="19"/>
        <v>4078230.5300000003</v>
      </c>
      <c r="P68" s="419">
        <f>P407+P418</f>
        <v>6213274.71</v>
      </c>
      <c r="Q68" s="419">
        <f>SUM(E68:P68)</f>
        <v>54616335.740000002</v>
      </c>
      <c r="S68" s="280"/>
      <c r="T68" s="282"/>
      <c r="U68" s="758"/>
      <c r="V68" s="676"/>
      <c r="W68" s="280"/>
    </row>
    <row r="69" spans="1:23" x14ac:dyDescent="0.2">
      <c r="A69" s="216">
        <f>A68+1</f>
        <v>6</v>
      </c>
      <c r="C69" s="504" t="s">
        <v>219</v>
      </c>
      <c r="E69" s="419">
        <f t="shared" ref="E69:P69" si="20">E409</f>
        <v>6510567.71</v>
      </c>
      <c r="F69" s="419">
        <f t="shared" si="20"/>
        <v>6590807.7000000002</v>
      </c>
      <c r="G69" s="419">
        <f t="shared" si="20"/>
        <v>5115955.76</v>
      </c>
      <c r="H69" s="419">
        <f t="shared" si="20"/>
        <v>2917177.77</v>
      </c>
      <c r="I69" s="419">
        <f t="shared" si="20"/>
        <v>1250112.5</v>
      </c>
      <c r="J69" s="419">
        <f t="shared" si="20"/>
        <v>649969.57999999996</v>
      </c>
      <c r="K69" s="419">
        <f t="shared" si="20"/>
        <v>365781.48</v>
      </c>
      <c r="L69" s="419">
        <f t="shared" si="20"/>
        <v>384361.3</v>
      </c>
      <c r="M69" s="419">
        <f t="shared" si="20"/>
        <v>448368.95</v>
      </c>
      <c r="N69" s="419">
        <f t="shared" si="20"/>
        <v>779365.47</v>
      </c>
      <c r="O69" s="419">
        <f t="shared" si="20"/>
        <v>2024801.42</v>
      </c>
      <c r="P69" s="419">
        <f t="shared" si="20"/>
        <v>4797468.34</v>
      </c>
      <c r="Q69" s="419">
        <f>SUM(E69:P69)</f>
        <v>31834737.98</v>
      </c>
      <c r="S69" s="280"/>
      <c r="T69" s="282"/>
      <c r="U69" s="758"/>
      <c r="V69" s="676"/>
      <c r="W69" s="280"/>
    </row>
    <row r="70" spans="1:23" x14ac:dyDescent="0.2">
      <c r="A70" s="402">
        <f>A69+1</f>
        <v>7</v>
      </c>
      <c r="B70" s="402"/>
      <c r="C70" s="760" t="s">
        <v>484</v>
      </c>
      <c r="D70" s="412"/>
      <c r="E70" s="671">
        <f t="shared" ref="E70:O70" si="21">E420</f>
        <v>14002326.57</v>
      </c>
      <c r="F70" s="671">
        <f t="shared" si="21"/>
        <v>14149613.680000002</v>
      </c>
      <c r="G70" s="671">
        <f t="shared" si="21"/>
        <v>11564105.590000002</v>
      </c>
      <c r="H70" s="671">
        <f t="shared" si="21"/>
        <v>7680466.4900000002</v>
      </c>
      <c r="I70" s="671">
        <f t="shared" si="21"/>
        <v>4737058.71</v>
      </c>
      <c r="J70" s="671">
        <f t="shared" si="21"/>
        <v>3666955.1399999997</v>
      </c>
      <c r="K70" s="671">
        <f t="shared" si="21"/>
        <v>3164059.7899999996</v>
      </c>
      <c r="L70" s="671">
        <f t="shared" si="21"/>
        <v>3194628.4599999995</v>
      </c>
      <c r="M70" s="671">
        <f t="shared" si="21"/>
        <v>3296688.19</v>
      </c>
      <c r="N70" s="671">
        <f t="shared" si="21"/>
        <v>3881396.1</v>
      </c>
      <c r="O70" s="671">
        <f t="shared" si="21"/>
        <v>6103031.9500000002</v>
      </c>
      <c r="P70" s="671">
        <f>P420</f>
        <v>11010743.050000001</v>
      </c>
      <c r="Q70" s="671">
        <f>SUM(E70:P70)</f>
        <v>86451073.719999999</v>
      </c>
      <c r="S70" s="280"/>
      <c r="T70" s="282"/>
      <c r="U70" s="676"/>
      <c r="V70" s="676"/>
      <c r="W70" s="676"/>
    </row>
    <row r="71" spans="1:23" x14ac:dyDescent="0.2">
      <c r="G71" s="269"/>
      <c r="Q71" s="269"/>
      <c r="S71" s="280"/>
      <c r="T71" s="280"/>
      <c r="U71" s="280"/>
      <c r="V71" s="280"/>
      <c r="W71" s="280"/>
    </row>
    <row r="72" spans="1:23" x14ac:dyDescent="0.2">
      <c r="A72" s="216">
        <f>A70+1</f>
        <v>8</v>
      </c>
      <c r="B72" s="216" t="str">
        <f>Input!A17</f>
        <v>G1C</v>
      </c>
      <c r="C72" s="216" t="str">
        <f>'Sch M 2.1'!B20</f>
        <v>LG&amp;E Commercial</v>
      </c>
      <c r="G72" s="269"/>
      <c r="Q72" s="269"/>
      <c r="S72" s="280"/>
      <c r="T72" s="758"/>
      <c r="U72" s="280"/>
      <c r="V72" s="280"/>
      <c r="W72" s="280"/>
    </row>
    <row r="73" spans="1:23" x14ac:dyDescent="0.2">
      <c r="A73" s="216">
        <f>A72+1</f>
        <v>9</v>
      </c>
      <c r="C73" s="504" t="s">
        <v>216</v>
      </c>
      <c r="E73" s="267">
        <f t="shared" ref="E73:P73" si="22">E427</f>
        <v>0</v>
      </c>
      <c r="F73" s="267">
        <f t="shared" si="22"/>
        <v>0</v>
      </c>
      <c r="G73" s="267">
        <f t="shared" si="22"/>
        <v>0</v>
      </c>
      <c r="H73" s="267">
        <f t="shared" si="22"/>
        <v>0</v>
      </c>
      <c r="I73" s="267">
        <f t="shared" si="22"/>
        <v>0</v>
      </c>
      <c r="J73" s="267">
        <f t="shared" si="22"/>
        <v>0</v>
      </c>
      <c r="K73" s="267">
        <f t="shared" si="22"/>
        <v>0</v>
      </c>
      <c r="L73" s="267">
        <f t="shared" si="22"/>
        <v>0</v>
      </c>
      <c r="M73" s="267">
        <f t="shared" si="22"/>
        <v>0</v>
      </c>
      <c r="N73" s="267">
        <f t="shared" si="22"/>
        <v>0</v>
      </c>
      <c r="O73" s="267">
        <f t="shared" si="22"/>
        <v>0</v>
      </c>
      <c r="P73" s="267">
        <f t="shared" si="22"/>
        <v>0</v>
      </c>
      <c r="Q73" s="267">
        <f>SUM(E73:P73)</f>
        <v>0</v>
      </c>
      <c r="S73" s="280"/>
      <c r="T73" s="758"/>
      <c r="U73" s="280"/>
      <c r="V73" s="280"/>
      <c r="W73" s="280"/>
    </row>
    <row r="74" spans="1:23" x14ac:dyDescent="0.2">
      <c r="A74" s="216">
        <f>A73+1</f>
        <v>10</v>
      </c>
      <c r="C74" s="504" t="s">
        <v>483</v>
      </c>
      <c r="E74" s="272">
        <f t="shared" ref="E74:P74" si="23">E430</f>
        <v>0</v>
      </c>
      <c r="F74" s="272">
        <f t="shared" si="23"/>
        <v>0</v>
      </c>
      <c r="G74" s="272">
        <f t="shared" si="23"/>
        <v>0</v>
      </c>
      <c r="H74" s="272">
        <f t="shared" si="23"/>
        <v>0</v>
      </c>
      <c r="I74" s="272">
        <f t="shared" si="23"/>
        <v>0</v>
      </c>
      <c r="J74" s="272">
        <f t="shared" si="23"/>
        <v>0</v>
      </c>
      <c r="K74" s="272">
        <f t="shared" si="23"/>
        <v>0</v>
      </c>
      <c r="L74" s="272">
        <f t="shared" si="23"/>
        <v>0</v>
      </c>
      <c r="M74" s="272">
        <f t="shared" si="23"/>
        <v>0</v>
      </c>
      <c r="N74" s="272">
        <f t="shared" si="23"/>
        <v>0</v>
      </c>
      <c r="O74" s="272">
        <f t="shared" si="23"/>
        <v>0</v>
      </c>
      <c r="P74" s="272">
        <f t="shared" si="23"/>
        <v>0</v>
      </c>
      <c r="Q74" s="272">
        <f>SUM(E74:P74)</f>
        <v>0</v>
      </c>
      <c r="S74" s="280"/>
      <c r="T74" s="590"/>
      <c r="U74" s="280"/>
      <c r="V74" s="280"/>
      <c r="W74" s="280"/>
    </row>
    <row r="75" spans="1:23" ht="11.5" x14ac:dyDescent="0.35">
      <c r="A75" s="216">
        <f>A74+1</f>
        <v>11</v>
      </c>
      <c r="C75" s="504" t="s">
        <v>218</v>
      </c>
      <c r="E75" s="419">
        <f t="shared" ref="E75:P75" si="24">E433</f>
        <v>0</v>
      </c>
      <c r="F75" s="419">
        <f t="shared" si="24"/>
        <v>0</v>
      </c>
      <c r="G75" s="419">
        <f t="shared" si="24"/>
        <v>0</v>
      </c>
      <c r="H75" s="419">
        <f t="shared" si="24"/>
        <v>0</v>
      </c>
      <c r="I75" s="419">
        <f t="shared" si="24"/>
        <v>0</v>
      </c>
      <c r="J75" s="419">
        <f t="shared" si="24"/>
        <v>0</v>
      </c>
      <c r="K75" s="419">
        <f t="shared" si="24"/>
        <v>0</v>
      </c>
      <c r="L75" s="419">
        <f t="shared" si="24"/>
        <v>0</v>
      </c>
      <c r="M75" s="419">
        <f t="shared" si="24"/>
        <v>0</v>
      </c>
      <c r="N75" s="419">
        <f t="shared" si="24"/>
        <v>0</v>
      </c>
      <c r="O75" s="419">
        <f t="shared" si="24"/>
        <v>0</v>
      </c>
      <c r="P75" s="419">
        <f t="shared" si="24"/>
        <v>0</v>
      </c>
      <c r="Q75" s="419">
        <f>SUM(E75:P75)</f>
        <v>0</v>
      </c>
      <c r="S75" s="280"/>
      <c r="T75" s="761"/>
      <c r="U75" s="280"/>
      <c r="V75" s="280"/>
      <c r="W75" s="280"/>
    </row>
    <row r="76" spans="1:23" x14ac:dyDescent="0.2">
      <c r="A76" s="216">
        <f>A75+1</f>
        <v>12</v>
      </c>
      <c r="C76" s="504" t="s">
        <v>219</v>
      </c>
      <c r="E76" s="419">
        <f t="shared" ref="E76:P76" si="25">E435</f>
        <v>0</v>
      </c>
      <c r="F76" s="419">
        <f t="shared" si="25"/>
        <v>0</v>
      </c>
      <c r="G76" s="419">
        <f t="shared" si="25"/>
        <v>0</v>
      </c>
      <c r="H76" s="419">
        <f t="shared" si="25"/>
        <v>0</v>
      </c>
      <c r="I76" s="419">
        <f t="shared" si="25"/>
        <v>0</v>
      </c>
      <c r="J76" s="419">
        <f t="shared" si="25"/>
        <v>0</v>
      </c>
      <c r="K76" s="419">
        <f t="shared" si="25"/>
        <v>0</v>
      </c>
      <c r="L76" s="419">
        <f t="shared" si="25"/>
        <v>0</v>
      </c>
      <c r="M76" s="419">
        <f t="shared" si="25"/>
        <v>0</v>
      </c>
      <c r="N76" s="419">
        <f t="shared" si="25"/>
        <v>0</v>
      </c>
      <c r="O76" s="419">
        <f t="shared" si="25"/>
        <v>0</v>
      </c>
      <c r="P76" s="419">
        <f t="shared" si="25"/>
        <v>0</v>
      </c>
      <c r="Q76" s="419">
        <f>SUM(E76:P76)</f>
        <v>0</v>
      </c>
      <c r="S76" s="280"/>
      <c r="T76" s="590"/>
      <c r="U76" s="758"/>
      <c r="V76" s="280"/>
      <c r="W76" s="280"/>
    </row>
    <row r="77" spans="1:23" x14ac:dyDescent="0.2">
      <c r="A77" s="402">
        <f>A76+1</f>
        <v>13</v>
      </c>
      <c r="B77" s="402"/>
      <c r="C77" s="760" t="s">
        <v>484</v>
      </c>
      <c r="D77" s="412"/>
      <c r="E77" s="671">
        <f t="shared" ref="E77:P77" si="26">E437</f>
        <v>0</v>
      </c>
      <c r="F77" s="671">
        <f t="shared" si="26"/>
        <v>0</v>
      </c>
      <c r="G77" s="671">
        <f t="shared" si="26"/>
        <v>0</v>
      </c>
      <c r="H77" s="671">
        <f t="shared" si="26"/>
        <v>0</v>
      </c>
      <c r="I77" s="671">
        <f t="shared" si="26"/>
        <v>0</v>
      </c>
      <c r="J77" s="671">
        <f t="shared" si="26"/>
        <v>0</v>
      </c>
      <c r="K77" s="671">
        <f t="shared" si="26"/>
        <v>0</v>
      </c>
      <c r="L77" s="671">
        <f t="shared" si="26"/>
        <v>0</v>
      </c>
      <c r="M77" s="671">
        <f t="shared" si="26"/>
        <v>0</v>
      </c>
      <c r="N77" s="671">
        <f t="shared" si="26"/>
        <v>0</v>
      </c>
      <c r="O77" s="671">
        <f t="shared" si="26"/>
        <v>0</v>
      </c>
      <c r="P77" s="671">
        <f t="shared" si="26"/>
        <v>0</v>
      </c>
      <c r="Q77" s="671">
        <f>SUM(E77:P77)</f>
        <v>0</v>
      </c>
      <c r="S77" s="280"/>
      <c r="T77" s="282"/>
      <c r="U77" s="280"/>
      <c r="V77" s="280"/>
      <c r="W77" s="280"/>
    </row>
    <row r="78" spans="1:23" x14ac:dyDescent="0.2">
      <c r="G78" s="269"/>
      <c r="Q78" s="269"/>
      <c r="S78" s="280"/>
      <c r="T78" s="590"/>
      <c r="U78" s="280"/>
      <c r="V78" s="280"/>
      <c r="W78" s="280"/>
    </row>
    <row r="79" spans="1:23" x14ac:dyDescent="0.2">
      <c r="A79" s="216">
        <f>A77+1</f>
        <v>14</v>
      </c>
      <c r="B79" s="216" t="str">
        <f>Input!A18</f>
        <v>G1R</v>
      </c>
      <c r="C79" s="216" t="str">
        <f>'Sch M 2.1'!B21</f>
        <v>LG&amp;E Residential</v>
      </c>
      <c r="G79" s="269"/>
      <c r="Q79" s="269"/>
      <c r="S79" s="280"/>
      <c r="T79" s="590"/>
      <c r="U79" s="280"/>
      <c r="V79" s="280"/>
      <c r="W79" s="280"/>
    </row>
    <row r="80" spans="1:23" x14ac:dyDescent="0.2">
      <c r="A80" s="216">
        <f>A79+1</f>
        <v>15</v>
      </c>
      <c r="C80" s="504" t="s">
        <v>216</v>
      </c>
      <c r="E80" s="267">
        <f t="shared" ref="E80:P80" si="27">E461</f>
        <v>4</v>
      </c>
      <c r="F80" s="267">
        <f t="shared" si="27"/>
        <v>4</v>
      </c>
      <c r="G80" s="267">
        <f t="shared" si="27"/>
        <v>4</v>
      </c>
      <c r="H80" s="267">
        <f t="shared" si="27"/>
        <v>4</v>
      </c>
      <c r="I80" s="267">
        <f t="shared" si="27"/>
        <v>4</v>
      </c>
      <c r="J80" s="267">
        <f t="shared" si="27"/>
        <v>4</v>
      </c>
      <c r="K80" s="267">
        <f t="shared" si="27"/>
        <v>4</v>
      </c>
      <c r="L80" s="267">
        <f t="shared" si="27"/>
        <v>4</v>
      </c>
      <c r="M80" s="267">
        <f t="shared" si="27"/>
        <v>4</v>
      </c>
      <c r="N80" s="267">
        <f t="shared" si="27"/>
        <v>4</v>
      </c>
      <c r="O80" s="267">
        <f t="shared" si="27"/>
        <v>4</v>
      </c>
      <c r="P80" s="267">
        <f t="shared" si="27"/>
        <v>4</v>
      </c>
      <c r="Q80" s="267">
        <f>SUM(E80:P80)</f>
        <v>48</v>
      </c>
      <c r="S80" s="280"/>
      <c r="T80" s="762"/>
      <c r="U80" s="280"/>
      <c r="V80" s="280"/>
      <c r="W80" s="280"/>
    </row>
    <row r="81" spans="1:26" x14ac:dyDescent="0.2">
      <c r="A81" s="216">
        <f>A80+1</f>
        <v>16</v>
      </c>
      <c r="C81" s="504" t="s">
        <v>483</v>
      </c>
      <c r="E81" s="272">
        <f t="shared" ref="E81:P81" si="28">E464</f>
        <v>90.7</v>
      </c>
      <c r="F81" s="272">
        <f t="shared" si="28"/>
        <v>99.9</v>
      </c>
      <c r="G81" s="272">
        <f t="shared" si="28"/>
        <v>67.7</v>
      </c>
      <c r="H81" s="272">
        <f t="shared" si="28"/>
        <v>41.7</v>
      </c>
      <c r="I81" s="272">
        <f t="shared" si="28"/>
        <v>15.5</v>
      </c>
      <c r="J81" s="272">
        <f t="shared" si="28"/>
        <v>6.8</v>
      </c>
      <c r="K81" s="272">
        <f t="shared" si="28"/>
        <v>2</v>
      </c>
      <c r="L81" s="272">
        <f t="shared" si="28"/>
        <v>2.2000000000000002</v>
      </c>
      <c r="M81" s="272">
        <f t="shared" si="28"/>
        <v>3.5</v>
      </c>
      <c r="N81" s="272">
        <f t="shared" si="28"/>
        <v>14.4</v>
      </c>
      <c r="O81" s="272">
        <f t="shared" si="28"/>
        <v>39.299999999999997</v>
      </c>
      <c r="P81" s="272">
        <f t="shared" si="28"/>
        <v>68.7</v>
      </c>
      <c r="Q81" s="272">
        <f>SUM(E81:P81)</f>
        <v>452.4</v>
      </c>
      <c r="S81" s="280"/>
      <c r="T81" s="590"/>
      <c r="U81" s="590"/>
      <c r="V81" s="280"/>
      <c r="W81" s="280"/>
      <c r="X81" s="280"/>
      <c r="Y81" s="280"/>
      <c r="Z81" s="280"/>
    </row>
    <row r="82" spans="1:26" x14ac:dyDescent="0.2">
      <c r="A82" s="216">
        <f>A81+1</f>
        <v>17</v>
      </c>
      <c r="C82" s="504" t="s">
        <v>218</v>
      </c>
      <c r="E82" s="419">
        <f>E467</f>
        <v>443.1</v>
      </c>
      <c r="F82" s="419">
        <f t="shared" ref="F82:P82" si="29">F467</f>
        <v>478.99</v>
      </c>
      <c r="G82" s="419">
        <f t="shared" si="29"/>
        <v>353.38</v>
      </c>
      <c r="H82" s="419">
        <f t="shared" si="29"/>
        <v>251.95</v>
      </c>
      <c r="I82" s="419">
        <f t="shared" si="29"/>
        <v>149.75</v>
      </c>
      <c r="J82" s="419">
        <f t="shared" si="29"/>
        <v>115.81</v>
      </c>
      <c r="K82" s="419">
        <f t="shared" si="29"/>
        <v>97.08</v>
      </c>
      <c r="L82" s="419">
        <f t="shared" si="29"/>
        <v>97.86</v>
      </c>
      <c r="M82" s="419">
        <f t="shared" si="29"/>
        <v>102.93</v>
      </c>
      <c r="N82" s="419">
        <f t="shared" si="29"/>
        <v>145.44999999999999</v>
      </c>
      <c r="O82" s="419">
        <f t="shared" si="29"/>
        <v>242.59</v>
      </c>
      <c r="P82" s="419">
        <f t="shared" si="29"/>
        <v>357.28</v>
      </c>
      <c r="Q82" s="419">
        <f>SUM(E82:P82)</f>
        <v>2836.17</v>
      </c>
      <c r="U82" s="280"/>
      <c r="V82" s="280"/>
      <c r="W82" s="280"/>
      <c r="X82" s="280"/>
      <c r="Y82" s="280"/>
      <c r="Z82" s="280"/>
    </row>
    <row r="83" spans="1:26" x14ac:dyDescent="0.2">
      <c r="A83" s="216">
        <f>A82+1</f>
        <v>18</v>
      </c>
      <c r="C83" s="504" t="s">
        <v>219</v>
      </c>
      <c r="E83" s="419">
        <f t="shared" ref="E83:P83" si="30">E469</f>
        <v>397.9</v>
      </c>
      <c r="F83" s="419">
        <f t="shared" si="30"/>
        <v>438.26</v>
      </c>
      <c r="G83" s="419">
        <f t="shared" si="30"/>
        <v>297</v>
      </c>
      <c r="H83" s="419">
        <f t="shared" si="30"/>
        <v>182.94</v>
      </c>
      <c r="I83" s="419">
        <f t="shared" si="30"/>
        <v>68</v>
      </c>
      <c r="J83" s="419">
        <f t="shared" si="30"/>
        <v>29.83</v>
      </c>
      <c r="K83" s="419">
        <f t="shared" si="30"/>
        <v>8.77</v>
      </c>
      <c r="L83" s="419">
        <f t="shared" si="30"/>
        <v>9.65</v>
      </c>
      <c r="M83" s="419">
        <f t="shared" si="30"/>
        <v>15.35</v>
      </c>
      <c r="N83" s="419">
        <f t="shared" si="30"/>
        <v>63.17</v>
      </c>
      <c r="O83" s="419">
        <f t="shared" si="30"/>
        <v>172.41</v>
      </c>
      <c r="P83" s="419">
        <f t="shared" si="30"/>
        <v>301.39</v>
      </c>
      <c r="Q83" s="419">
        <f>SUM(E83:P83)</f>
        <v>1984.67</v>
      </c>
      <c r="U83" s="280"/>
      <c r="V83" s="280"/>
      <c r="W83" s="280"/>
      <c r="X83" s="280"/>
      <c r="Y83" s="280"/>
      <c r="Z83" s="280"/>
    </row>
    <row r="84" spans="1:26" x14ac:dyDescent="0.2">
      <c r="A84" s="402">
        <f>A83+1</f>
        <v>19</v>
      </c>
      <c r="B84" s="402"/>
      <c r="C84" s="760" t="s">
        <v>484</v>
      </c>
      <c r="D84" s="412"/>
      <c r="E84" s="671">
        <f t="shared" ref="E84:P84" si="31">E471</f>
        <v>841</v>
      </c>
      <c r="F84" s="671">
        <f t="shared" si="31"/>
        <v>917.25</v>
      </c>
      <c r="G84" s="671">
        <f t="shared" si="31"/>
        <v>650.38</v>
      </c>
      <c r="H84" s="671">
        <f t="shared" si="31"/>
        <v>434.89</v>
      </c>
      <c r="I84" s="671">
        <f t="shared" si="31"/>
        <v>217.75</v>
      </c>
      <c r="J84" s="671">
        <f t="shared" si="31"/>
        <v>145.63999999999999</v>
      </c>
      <c r="K84" s="671">
        <f t="shared" si="31"/>
        <v>105.85</v>
      </c>
      <c r="L84" s="671">
        <f t="shared" si="31"/>
        <v>107.51</v>
      </c>
      <c r="M84" s="671">
        <f t="shared" si="31"/>
        <v>118.28</v>
      </c>
      <c r="N84" s="671">
        <f t="shared" si="31"/>
        <v>208.62</v>
      </c>
      <c r="O84" s="671">
        <f t="shared" si="31"/>
        <v>415</v>
      </c>
      <c r="P84" s="671">
        <f t="shared" si="31"/>
        <v>658.67</v>
      </c>
      <c r="Q84" s="671">
        <f>SUM(E84:P84)</f>
        <v>4820.84</v>
      </c>
      <c r="U84" s="280"/>
      <c r="V84" s="280"/>
      <c r="W84" s="280"/>
      <c r="X84" s="280"/>
      <c r="Y84" s="280"/>
      <c r="Z84" s="280"/>
    </row>
    <row r="85" spans="1:26" x14ac:dyDescent="0.2">
      <c r="G85" s="269"/>
      <c r="Q85" s="269"/>
      <c r="U85" s="280"/>
      <c r="V85" s="280"/>
      <c r="W85" s="280"/>
      <c r="X85" s="280"/>
      <c r="Y85" s="280"/>
      <c r="Z85" s="280"/>
    </row>
    <row r="86" spans="1:26" x14ac:dyDescent="0.2">
      <c r="A86" s="216">
        <f>A84+1</f>
        <v>20</v>
      </c>
      <c r="B86" s="216" t="str">
        <f>Input!A19</f>
        <v>IN3</v>
      </c>
      <c r="C86" s="216" t="str">
        <f>'Sch M 2.1'!B22</f>
        <v>Inland Gas General Service - Residential</v>
      </c>
      <c r="G86" s="269"/>
      <c r="Q86" s="269"/>
      <c r="U86" s="280"/>
      <c r="V86" s="280"/>
      <c r="W86" s="280"/>
      <c r="X86" s="280"/>
      <c r="Y86" s="280"/>
      <c r="Z86" s="280"/>
    </row>
    <row r="87" spans="1:26" x14ac:dyDescent="0.2">
      <c r="A87" s="216">
        <f>A86+1</f>
        <v>21</v>
      </c>
      <c r="C87" s="504" t="s">
        <v>216</v>
      </c>
      <c r="E87" s="267">
        <f t="shared" ref="E87:P87" si="32">E478</f>
        <v>10</v>
      </c>
      <c r="F87" s="267">
        <f t="shared" si="32"/>
        <v>10</v>
      </c>
      <c r="G87" s="267">
        <f t="shared" si="32"/>
        <v>10</v>
      </c>
      <c r="H87" s="267">
        <f t="shared" si="32"/>
        <v>10</v>
      </c>
      <c r="I87" s="267">
        <f t="shared" si="32"/>
        <v>10</v>
      </c>
      <c r="J87" s="267">
        <f t="shared" si="32"/>
        <v>10</v>
      </c>
      <c r="K87" s="267">
        <f t="shared" si="32"/>
        <v>10</v>
      </c>
      <c r="L87" s="267">
        <f t="shared" si="32"/>
        <v>10</v>
      </c>
      <c r="M87" s="267">
        <f t="shared" si="32"/>
        <v>10</v>
      </c>
      <c r="N87" s="267">
        <f t="shared" si="32"/>
        <v>10</v>
      </c>
      <c r="O87" s="267">
        <f t="shared" si="32"/>
        <v>10</v>
      </c>
      <c r="P87" s="267">
        <f t="shared" si="32"/>
        <v>10</v>
      </c>
      <c r="Q87" s="267">
        <f>SUM(E87:P87)</f>
        <v>120</v>
      </c>
      <c r="U87" s="280"/>
      <c r="V87" s="280"/>
      <c r="W87" s="280"/>
      <c r="X87" s="280"/>
      <c r="Y87" s="280"/>
      <c r="Z87" s="280"/>
    </row>
    <row r="88" spans="1:26" x14ac:dyDescent="0.2">
      <c r="A88" s="216">
        <f>A87+1</f>
        <v>22</v>
      </c>
      <c r="C88" s="504" t="s">
        <v>483</v>
      </c>
      <c r="E88" s="272">
        <f t="shared" ref="E88:P88" si="33">E481</f>
        <v>277.89999999999998</v>
      </c>
      <c r="F88" s="272">
        <f t="shared" si="33"/>
        <v>245</v>
      </c>
      <c r="G88" s="272">
        <f t="shared" si="33"/>
        <v>198.6</v>
      </c>
      <c r="H88" s="272">
        <f t="shared" si="33"/>
        <v>145.4</v>
      </c>
      <c r="I88" s="272">
        <f t="shared" si="33"/>
        <v>58.8</v>
      </c>
      <c r="J88" s="272">
        <f t="shared" si="33"/>
        <v>19.399999999999999</v>
      </c>
      <c r="K88" s="272">
        <f t="shared" si="33"/>
        <v>11.6</v>
      </c>
      <c r="L88" s="272">
        <f t="shared" si="33"/>
        <v>12.1</v>
      </c>
      <c r="M88" s="272">
        <f t="shared" si="33"/>
        <v>15.1</v>
      </c>
      <c r="N88" s="272">
        <f t="shared" si="33"/>
        <v>45.2</v>
      </c>
      <c r="O88" s="272">
        <f t="shared" si="33"/>
        <v>118.1</v>
      </c>
      <c r="P88" s="272">
        <f t="shared" si="33"/>
        <v>235.4</v>
      </c>
      <c r="Q88" s="272">
        <f>SUM(E88:P88)</f>
        <v>1382.6</v>
      </c>
    </row>
    <row r="89" spans="1:26" x14ac:dyDescent="0.2">
      <c r="A89" s="216">
        <f>A88+1</f>
        <v>23</v>
      </c>
      <c r="C89" s="504" t="s">
        <v>218</v>
      </c>
      <c r="E89" s="419">
        <f>E484</f>
        <v>115.16</v>
      </c>
      <c r="F89" s="419">
        <f t="shared" ref="F89:P89" si="34">F484</f>
        <v>101.53</v>
      </c>
      <c r="G89" s="419">
        <f t="shared" si="34"/>
        <v>82.3</v>
      </c>
      <c r="H89" s="419">
        <f t="shared" si="34"/>
        <v>60.25</v>
      </c>
      <c r="I89" s="419">
        <f t="shared" si="34"/>
        <v>24.37</v>
      </c>
      <c r="J89" s="419">
        <f t="shared" si="34"/>
        <v>8.0399999999999991</v>
      </c>
      <c r="K89" s="419">
        <f t="shared" si="34"/>
        <v>4.8099999999999996</v>
      </c>
      <c r="L89" s="419">
        <f t="shared" si="34"/>
        <v>5.01</v>
      </c>
      <c r="M89" s="419">
        <f t="shared" si="34"/>
        <v>6.26</v>
      </c>
      <c r="N89" s="419">
        <f t="shared" si="34"/>
        <v>18.729999999999997</v>
      </c>
      <c r="O89" s="419">
        <f t="shared" si="34"/>
        <v>48.940000000000005</v>
      </c>
      <c r="P89" s="419">
        <f t="shared" si="34"/>
        <v>97.55</v>
      </c>
      <c r="Q89" s="419">
        <f>SUM(E89:P89)</f>
        <v>572.95000000000005</v>
      </c>
    </row>
    <row r="90" spans="1:26" x14ac:dyDescent="0.2">
      <c r="A90" s="216">
        <f>A89+1</f>
        <v>24</v>
      </c>
      <c r="C90" s="504" t="s">
        <v>219</v>
      </c>
      <c r="E90" s="419">
        <f t="shared" ref="E90:P90" si="35">E486</f>
        <v>0</v>
      </c>
      <c r="F90" s="419">
        <f t="shared" si="35"/>
        <v>0</v>
      </c>
      <c r="G90" s="419">
        <f t="shared" si="35"/>
        <v>0</v>
      </c>
      <c r="H90" s="419">
        <f t="shared" si="35"/>
        <v>0</v>
      </c>
      <c r="I90" s="419">
        <f t="shared" si="35"/>
        <v>0</v>
      </c>
      <c r="J90" s="419">
        <f t="shared" si="35"/>
        <v>0</v>
      </c>
      <c r="K90" s="419">
        <f t="shared" si="35"/>
        <v>0</v>
      </c>
      <c r="L90" s="419">
        <f t="shared" si="35"/>
        <v>0</v>
      </c>
      <c r="M90" s="419">
        <f t="shared" si="35"/>
        <v>0</v>
      </c>
      <c r="N90" s="419">
        <f t="shared" si="35"/>
        <v>0</v>
      </c>
      <c r="O90" s="419">
        <f t="shared" si="35"/>
        <v>0</v>
      </c>
      <c r="P90" s="419">
        <f t="shared" si="35"/>
        <v>0</v>
      </c>
      <c r="Q90" s="419">
        <f>SUM(E90:P90)</f>
        <v>0</v>
      </c>
    </row>
    <row r="91" spans="1:26" x14ac:dyDescent="0.2">
      <c r="A91" s="402">
        <f>A90+1</f>
        <v>25</v>
      </c>
      <c r="B91" s="402"/>
      <c r="C91" s="760" t="s">
        <v>484</v>
      </c>
      <c r="D91" s="412"/>
      <c r="E91" s="671">
        <f t="shared" ref="E91:P91" si="36">E488</f>
        <v>115.16</v>
      </c>
      <c r="F91" s="671">
        <f t="shared" si="36"/>
        <v>101.53</v>
      </c>
      <c r="G91" s="671">
        <f t="shared" si="36"/>
        <v>82.3</v>
      </c>
      <c r="H91" s="671">
        <f t="shared" si="36"/>
        <v>60.25</v>
      </c>
      <c r="I91" s="671">
        <f t="shared" si="36"/>
        <v>24.37</v>
      </c>
      <c r="J91" s="671">
        <f t="shared" si="36"/>
        <v>8.0399999999999991</v>
      </c>
      <c r="K91" s="671">
        <f t="shared" si="36"/>
        <v>4.8099999999999996</v>
      </c>
      <c r="L91" s="671">
        <f t="shared" si="36"/>
        <v>5.01</v>
      </c>
      <c r="M91" s="671">
        <f t="shared" si="36"/>
        <v>6.26</v>
      </c>
      <c r="N91" s="671">
        <f t="shared" si="36"/>
        <v>18.729999999999997</v>
      </c>
      <c r="O91" s="671">
        <f t="shared" si="36"/>
        <v>48.940000000000005</v>
      </c>
      <c r="P91" s="671">
        <f t="shared" si="36"/>
        <v>97.55</v>
      </c>
      <c r="Q91" s="671">
        <f>SUM(E91:P91)</f>
        <v>572.95000000000005</v>
      </c>
    </row>
    <row r="92" spans="1:26" x14ac:dyDescent="0.2">
      <c r="G92" s="269"/>
      <c r="Q92" s="269"/>
    </row>
    <row r="93" spans="1:26" x14ac:dyDescent="0.2">
      <c r="A93" s="216">
        <f>A91+1</f>
        <v>26</v>
      </c>
      <c r="B93" s="216" t="str">
        <f>Input!A21</f>
        <v>IN4</v>
      </c>
      <c r="C93" s="216" t="str">
        <f>'Sch M 2.1'!B23</f>
        <v>Inland Gas General Service - Residential</v>
      </c>
      <c r="G93" s="269"/>
      <c r="Q93" s="269"/>
    </row>
    <row r="94" spans="1:26" x14ac:dyDescent="0.2">
      <c r="A94" s="216">
        <f>A93+1</f>
        <v>27</v>
      </c>
      <c r="C94" s="504" t="s">
        <v>216</v>
      </c>
      <c r="E94" s="267">
        <f t="shared" ref="E94:P94" si="37">E495</f>
        <v>0</v>
      </c>
      <c r="F94" s="267">
        <f t="shared" si="37"/>
        <v>0</v>
      </c>
      <c r="G94" s="267">
        <f t="shared" si="37"/>
        <v>0</v>
      </c>
      <c r="H94" s="267">
        <f t="shared" si="37"/>
        <v>0</v>
      </c>
      <c r="I94" s="267">
        <f t="shared" si="37"/>
        <v>0</v>
      </c>
      <c r="J94" s="267">
        <f t="shared" si="37"/>
        <v>0</v>
      </c>
      <c r="K94" s="267">
        <f t="shared" si="37"/>
        <v>0</v>
      </c>
      <c r="L94" s="267">
        <f t="shared" si="37"/>
        <v>0</v>
      </c>
      <c r="M94" s="267">
        <f t="shared" si="37"/>
        <v>0</v>
      </c>
      <c r="N94" s="267">
        <f t="shared" si="37"/>
        <v>0</v>
      </c>
      <c r="O94" s="267">
        <f t="shared" si="37"/>
        <v>0</v>
      </c>
      <c r="P94" s="267">
        <f t="shared" si="37"/>
        <v>0</v>
      </c>
      <c r="Q94" s="267">
        <f>SUM(E94:P94)</f>
        <v>0</v>
      </c>
    </row>
    <row r="95" spans="1:26" x14ac:dyDescent="0.2">
      <c r="A95" s="216">
        <f>A94+1</f>
        <v>28</v>
      </c>
      <c r="C95" s="504" t="s">
        <v>483</v>
      </c>
      <c r="E95" s="272">
        <f t="shared" ref="E95:P95" si="38">E498</f>
        <v>0</v>
      </c>
      <c r="F95" s="272">
        <f t="shared" si="38"/>
        <v>0</v>
      </c>
      <c r="G95" s="272">
        <f t="shared" si="38"/>
        <v>0</v>
      </c>
      <c r="H95" s="272">
        <f t="shared" si="38"/>
        <v>0</v>
      </c>
      <c r="I95" s="272">
        <f t="shared" si="38"/>
        <v>0</v>
      </c>
      <c r="J95" s="272">
        <f t="shared" si="38"/>
        <v>0</v>
      </c>
      <c r="K95" s="272">
        <f t="shared" si="38"/>
        <v>0</v>
      </c>
      <c r="L95" s="272">
        <f t="shared" si="38"/>
        <v>0</v>
      </c>
      <c r="M95" s="272">
        <f t="shared" si="38"/>
        <v>0</v>
      </c>
      <c r="N95" s="272">
        <f t="shared" si="38"/>
        <v>0</v>
      </c>
      <c r="O95" s="272">
        <f t="shared" si="38"/>
        <v>0</v>
      </c>
      <c r="P95" s="272">
        <f t="shared" si="38"/>
        <v>0</v>
      </c>
      <c r="Q95" s="272">
        <f>SUM(E95:P95)</f>
        <v>0</v>
      </c>
    </row>
    <row r="96" spans="1:26" x14ac:dyDescent="0.2">
      <c r="A96" s="216">
        <f>A95+1</f>
        <v>29</v>
      </c>
      <c r="C96" s="504" t="s">
        <v>218</v>
      </c>
      <c r="E96" s="419">
        <f t="shared" ref="E96:P96" si="39">E501</f>
        <v>0</v>
      </c>
      <c r="F96" s="419">
        <f t="shared" si="39"/>
        <v>0</v>
      </c>
      <c r="G96" s="419">
        <f t="shared" si="39"/>
        <v>0</v>
      </c>
      <c r="H96" s="419">
        <f t="shared" si="39"/>
        <v>0</v>
      </c>
      <c r="I96" s="419">
        <f t="shared" si="39"/>
        <v>0</v>
      </c>
      <c r="J96" s="419">
        <f t="shared" si="39"/>
        <v>0</v>
      </c>
      <c r="K96" s="419">
        <f t="shared" si="39"/>
        <v>0</v>
      </c>
      <c r="L96" s="419">
        <f t="shared" si="39"/>
        <v>0</v>
      </c>
      <c r="M96" s="419">
        <f t="shared" si="39"/>
        <v>0</v>
      </c>
      <c r="N96" s="419">
        <f t="shared" si="39"/>
        <v>0</v>
      </c>
      <c r="O96" s="419">
        <f t="shared" si="39"/>
        <v>0</v>
      </c>
      <c r="P96" s="419">
        <f t="shared" si="39"/>
        <v>0</v>
      </c>
      <c r="Q96" s="419">
        <f>SUM(E96:P96)</f>
        <v>0</v>
      </c>
    </row>
    <row r="97" spans="1:18" x14ac:dyDescent="0.2">
      <c r="A97" s="216">
        <f>A96+1</f>
        <v>30</v>
      </c>
      <c r="C97" s="504" t="s">
        <v>219</v>
      </c>
      <c r="E97" s="419">
        <f t="shared" ref="E97:P97" si="40">E503</f>
        <v>0</v>
      </c>
      <c r="F97" s="419">
        <f t="shared" si="40"/>
        <v>0</v>
      </c>
      <c r="G97" s="419">
        <f t="shared" si="40"/>
        <v>0</v>
      </c>
      <c r="H97" s="419">
        <f t="shared" si="40"/>
        <v>0</v>
      </c>
      <c r="I97" s="419">
        <f t="shared" si="40"/>
        <v>0</v>
      </c>
      <c r="J97" s="419">
        <f t="shared" si="40"/>
        <v>0</v>
      </c>
      <c r="K97" s="419">
        <f t="shared" si="40"/>
        <v>0</v>
      </c>
      <c r="L97" s="419">
        <f t="shared" si="40"/>
        <v>0</v>
      </c>
      <c r="M97" s="419">
        <f t="shared" si="40"/>
        <v>0</v>
      </c>
      <c r="N97" s="419">
        <f t="shared" si="40"/>
        <v>0</v>
      </c>
      <c r="O97" s="419">
        <f t="shared" si="40"/>
        <v>0</v>
      </c>
      <c r="P97" s="419">
        <f t="shared" si="40"/>
        <v>0</v>
      </c>
      <c r="Q97" s="419">
        <f>SUM(E97:P97)</f>
        <v>0</v>
      </c>
    </row>
    <row r="98" spans="1:18" x14ac:dyDescent="0.2">
      <c r="A98" s="402">
        <f>A97+1</f>
        <v>31</v>
      </c>
      <c r="B98" s="402"/>
      <c r="C98" s="760" t="s">
        <v>484</v>
      </c>
      <c r="D98" s="412"/>
      <c r="E98" s="671">
        <f t="shared" ref="E98:P98" si="41">E505</f>
        <v>0</v>
      </c>
      <c r="F98" s="671">
        <f t="shared" si="41"/>
        <v>0</v>
      </c>
      <c r="G98" s="671">
        <f t="shared" si="41"/>
        <v>0</v>
      </c>
      <c r="H98" s="671">
        <f t="shared" si="41"/>
        <v>0</v>
      </c>
      <c r="I98" s="671">
        <f t="shared" si="41"/>
        <v>0</v>
      </c>
      <c r="J98" s="671">
        <f t="shared" si="41"/>
        <v>0</v>
      </c>
      <c r="K98" s="671">
        <f t="shared" si="41"/>
        <v>0</v>
      </c>
      <c r="L98" s="671">
        <f t="shared" si="41"/>
        <v>0</v>
      </c>
      <c r="M98" s="671">
        <f t="shared" si="41"/>
        <v>0</v>
      </c>
      <c r="N98" s="671">
        <f t="shared" si="41"/>
        <v>0</v>
      </c>
      <c r="O98" s="671">
        <f t="shared" si="41"/>
        <v>0</v>
      </c>
      <c r="P98" s="671">
        <f t="shared" si="41"/>
        <v>0</v>
      </c>
      <c r="Q98" s="671">
        <f>SUM(E98:P98)</f>
        <v>0</v>
      </c>
    </row>
    <row r="99" spans="1:18" x14ac:dyDescent="0.2">
      <c r="G99" s="269"/>
      <c r="Q99" s="269"/>
    </row>
    <row r="100" spans="1:18" x14ac:dyDescent="0.2">
      <c r="A100" s="216">
        <f>A98+1</f>
        <v>32</v>
      </c>
      <c r="B100" s="216" t="str">
        <f>Input!A22</f>
        <v>IN5</v>
      </c>
      <c r="C100" s="216" t="str">
        <f>'Sch M 2.1'!B24</f>
        <v>Inland Gas General Service - Residential</v>
      </c>
      <c r="G100" s="269"/>
      <c r="Q100" s="269"/>
    </row>
    <row r="101" spans="1:18" x14ac:dyDescent="0.2">
      <c r="A101" s="216">
        <f>A100+1</f>
        <v>33</v>
      </c>
      <c r="C101" s="504" t="s">
        <v>216</v>
      </c>
      <c r="E101" s="267">
        <f t="shared" ref="E101:P101" si="42">E529</f>
        <v>3</v>
      </c>
      <c r="F101" s="267">
        <f t="shared" si="42"/>
        <v>3</v>
      </c>
      <c r="G101" s="267">
        <f t="shared" si="42"/>
        <v>3</v>
      </c>
      <c r="H101" s="267">
        <f t="shared" si="42"/>
        <v>3</v>
      </c>
      <c r="I101" s="267">
        <f t="shared" si="42"/>
        <v>3</v>
      </c>
      <c r="J101" s="267">
        <f t="shared" si="42"/>
        <v>3</v>
      </c>
      <c r="K101" s="267">
        <f t="shared" si="42"/>
        <v>3</v>
      </c>
      <c r="L101" s="267">
        <f t="shared" si="42"/>
        <v>3</v>
      </c>
      <c r="M101" s="267">
        <f t="shared" si="42"/>
        <v>3</v>
      </c>
      <c r="N101" s="267">
        <f t="shared" si="42"/>
        <v>3</v>
      </c>
      <c r="O101" s="267">
        <f t="shared" si="42"/>
        <v>3</v>
      </c>
      <c r="P101" s="267">
        <f t="shared" si="42"/>
        <v>3</v>
      </c>
      <c r="Q101" s="267">
        <f>SUM(E101:P101)</f>
        <v>36</v>
      </c>
    </row>
    <row r="102" spans="1:18" x14ac:dyDescent="0.2">
      <c r="A102" s="216">
        <f>A101+1</f>
        <v>34</v>
      </c>
      <c r="C102" s="504" t="s">
        <v>483</v>
      </c>
      <c r="E102" s="272">
        <f t="shared" ref="E102:P102" si="43">E532</f>
        <v>52.6</v>
      </c>
      <c r="F102" s="272">
        <f t="shared" si="43"/>
        <v>46.7</v>
      </c>
      <c r="G102" s="272">
        <f t="shared" si="43"/>
        <v>43.2</v>
      </c>
      <c r="H102" s="272">
        <f t="shared" si="43"/>
        <v>28</v>
      </c>
      <c r="I102" s="272">
        <f t="shared" si="43"/>
        <v>11.2</v>
      </c>
      <c r="J102" s="272">
        <f t="shared" si="43"/>
        <v>2.9</v>
      </c>
      <c r="K102" s="272">
        <f t="shared" si="43"/>
        <v>2.4</v>
      </c>
      <c r="L102" s="272">
        <f t="shared" si="43"/>
        <v>2.7</v>
      </c>
      <c r="M102" s="272">
        <f t="shared" si="43"/>
        <v>2.9</v>
      </c>
      <c r="N102" s="272">
        <f t="shared" si="43"/>
        <v>4.7</v>
      </c>
      <c r="O102" s="272">
        <f t="shared" si="43"/>
        <v>21.8</v>
      </c>
      <c r="P102" s="272">
        <f t="shared" si="43"/>
        <v>44.7</v>
      </c>
      <c r="Q102" s="272">
        <f>SUM(E102:P102)</f>
        <v>263.8</v>
      </c>
    </row>
    <row r="103" spans="1:18" x14ac:dyDescent="0.2">
      <c r="A103" s="216">
        <f>A102+1</f>
        <v>35</v>
      </c>
      <c r="C103" s="504" t="s">
        <v>218</v>
      </c>
      <c r="E103" s="419">
        <f t="shared" ref="E103:P103" si="44">E535</f>
        <v>32.32</v>
      </c>
      <c r="F103" s="419">
        <f t="shared" si="44"/>
        <v>28.69</v>
      </c>
      <c r="G103" s="419">
        <f t="shared" si="44"/>
        <v>26.540000000000003</v>
      </c>
      <c r="H103" s="419">
        <f t="shared" si="44"/>
        <v>17.2</v>
      </c>
      <c r="I103" s="419">
        <f t="shared" si="44"/>
        <v>6.88</v>
      </c>
      <c r="J103" s="419">
        <f t="shared" si="44"/>
        <v>1.78</v>
      </c>
      <c r="K103" s="419">
        <f t="shared" si="44"/>
        <v>1.47</v>
      </c>
      <c r="L103" s="419">
        <f t="shared" si="44"/>
        <v>1.6600000000000001</v>
      </c>
      <c r="M103" s="419">
        <f t="shared" si="44"/>
        <v>1.78</v>
      </c>
      <c r="N103" s="419">
        <f t="shared" si="44"/>
        <v>2.8899999999999997</v>
      </c>
      <c r="O103" s="419">
        <f t="shared" si="44"/>
        <v>13.39</v>
      </c>
      <c r="P103" s="419">
        <f t="shared" si="44"/>
        <v>27.46</v>
      </c>
      <c r="Q103" s="419">
        <f>SUM(E103:P103)</f>
        <v>162.06000000000003</v>
      </c>
    </row>
    <row r="104" spans="1:18" x14ac:dyDescent="0.2">
      <c r="A104" s="216">
        <f>A103+1</f>
        <v>36</v>
      </c>
      <c r="C104" s="504" t="s">
        <v>219</v>
      </c>
      <c r="E104" s="419">
        <f t="shared" ref="E104:P104" si="45">E537</f>
        <v>0</v>
      </c>
      <c r="F104" s="419">
        <f t="shared" si="45"/>
        <v>0</v>
      </c>
      <c r="G104" s="419">
        <f t="shared" si="45"/>
        <v>0</v>
      </c>
      <c r="H104" s="419">
        <f t="shared" si="45"/>
        <v>0</v>
      </c>
      <c r="I104" s="419">
        <f t="shared" si="45"/>
        <v>0</v>
      </c>
      <c r="J104" s="419">
        <f t="shared" si="45"/>
        <v>0</v>
      </c>
      <c r="K104" s="419">
        <f t="shared" si="45"/>
        <v>0</v>
      </c>
      <c r="L104" s="419">
        <f t="shared" si="45"/>
        <v>0</v>
      </c>
      <c r="M104" s="419">
        <f t="shared" si="45"/>
        <v>0</v>
      </c>
      <c r="N104" s="419">
        <f t="shared" si="45"/>
        <v>0</v>
      </c>
      <c r="O104" s="419">
        <f t="shared" si="45"/>
        <v>0</v>
      </c>
      <c r="P104" s="419">
        <f t="shared" si="45"/>
        <v>0</v>
      </c>
      <c r="Q104" s="419">
        <f>SUM(E104:P104)</f>
        <v>0</v>
      </c>
    </row>
    <row r="105" spans="1:18" x14ac:dyDescent="0.2">
      <c r="A105" s="402">
        <f>A104+1</f>
        <v>37</v>
      </c>
      <c r="B105" s="402"/>
      <c r="C105" s="760" t="s">
        <v>484</v>
      </c>
      <c r="D105" s="412"/>
      <c r="E105" s="671">
        <f t="shared" ref="E105:P105" si="46">E539</f>
        <v>32.32</v>
      </c>
      <c r="F105" s="671">
        <f t="shared" si="46"/>
        <v>28.69</v>
      </c>
      <c r="G105" s="671">
        <f t="shared" si="46"/>
        <v>26.540000000000003</v>
      </c>
      <c r="H105" s="671">
        <f t="shared" si="46"/>
        <v>17.2</v>
      </c>
      <c r="I105" s="671">
        <f t="shared" si="46"/>
        <v>6.88</v>
      </c>
      <c r="J105" s="671">
        <f t="shared" si="46"/>
        <v>1.78</v>
      </c>
      <c r="K105" s="671">
        <f t="shared" si="46"/>
        <v>1.47</v>
      </c>
      <c r="L105" s="671">
        <f t="shared" si="46"/>
        <v>1.6600000000000001</v>
      </c>
      <c r="M105" s="671">
        <f t="shared" si="46"/>
        <v>1.78</v>
      </c>
      <c r="N105" s="671">
        <f t="shared" si="46"/>
        <v>2.8899999999999997</v>
      </c>
      <c r="O105" s="671">
        <f t="shared" si="46"/>
        <v>13.39</v>
      </c>
      <c r="P105" s="671">
        <f t="shared" si="46"/>
        <v>27.46</v>
      </c>
      <c r="Q105" s="671">
        <f>SUM(E105:P105)</f>
        <v>162.06000000000003</v>
      </c>
    </row>
    <row r="106" spans="1:18" x14ac:dyDescent="0.2">
      <c r="G106" s="269"/>
      <c r="Q106" s="269"/>
    </row>
    <row r="107" spans="1:18" x14ac:dyDescent="0.2">
      <c r="D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</row>
    <row r="108" spans="1:18" x14ac:dyDescent="0.2">
      <c r="A108" s="216" t="s">
        <v>113</v>
      </c>
      <c r="D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</row>
    <row r="109" spans="1:18" x14ac:dyDescent="0.2">
      <c r="A109" s="411" t="s">
        <v>488</v>
      </c>
      <c r="D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</row>
    <row r="110" spans="1:18" x14ac:dyDescent="0.2">
      <c r="A110" s="411"/>
      <c r="D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</row>
    <row r="111" spans="1:18" ht="10.5" x14ac:dyDescent="0.25">
      <c r="A111" s="817" t="str">
        <f>CONAME</f>
        <v>Columbia Gas of Kentucky, Inc.</v>
      </c>
      <c r="B111" s="817"/>
      <c r="C111" s="817"/>
      <c r="D111" s="817"/>
      <c r="E111" s="817"/>
      <c r="F111" s="817"/>
      <c r="G111" s="817"/>
      <c r="H111" s="817"/>
      <c r="I111" s="817"/>
      <c r="J111" s="817"/>
      <c r="K111" s="817"/>
      <c r="L111" s="817"/>
      <c r="M111" s="817"/>
      <c r="N111" s="817"/>
      <c r="O111" s="817"/>
      <c r="P111" s="817"/>
      <c r="Q111" s="817"/>
      <c r="R111" s="763"/>
    </row>
    <row r="112" spans="1:18" ht="10.5" x14ac:dyDescent="0.25">
      <c r="A112" s="800" t="str">
        <f>case</f>
        <v>Case No. 2021-00183</v>
      </c>
      <c r="B112" s="800"/>
      <c r="C112" s="800"/>
      <c r="D112" s="800"/>
      <c r="E112" s="800"/>
      <c r="F112" s="800"/>
      <c r="G112" s="800"/>
      <c r="H112" s="800"/>
      <c r="I112" s="800"/>
      <c r="J112" s="800"/>
      <c r="K112" s="800"/>
      <c r="L112" s="800"/>
      <c r="M112" s="800"/>
      <c r="N112" s="800"/>
      <c r="O112" s="800"/>
      <c r="P112" s="800"/>
      <c r="Q112" s="800"/>
      <c r="R112" s="763"/>
    </row>
    <row r="113" spans="1:18" ht="10.5" x14ac:dyDescent="0.25">
      <c r="A113" s="815" t="s">
        <v>414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763"/>
    </row>
    <row r="114" spans="1:18" ht="10.5" x14ac:dyDescent="0.25">
      <c r="A114" s="817" t="str">
        <f>TYDESC</f>
        <v>For the 12 Months Ended December 31, 2022</v>
      </c>
      <c r="B114" s="817"/>
      <c r="C114" s="817"/>
      <c r="D114" s="817"/>
      <c r="E114" s="817"/>
      <c r="F114" s="817"/>
      <c r="G114" s="817"/>
      <c r="H114" s="817"/>
      <c r="I114" s="817"/>
      <c r="J114" s="817"/>
      <c r="K114" s="817"/>
      <c r="L114" s="817"/>
      <c r="M114" s="817"/>
      <c r="N114" s="817"/>
      <c r="O114" s="817"/>
      <c r="P114" s="817"/>
      <c r="Q114" s="817"/>
      <c r="R114" s="763"/>
    </row>
    <row r="115" spans="1:18" ht="10.5" x14ac:dyDescent="0.25">
      <c r="A115" s="814" t="s">
        <v>39</v>
      </c>
      <c r="B115" s="814"/>
      <c r="C115" s="814"/>
      <c r="D115" s="814"/>
      <c r="E115" s="814"/>
      <c r="F115" s="814"/>
      <c r="G115" s="814"/>
      <c r="H115" s="814"/>
      <c r="I115" s="814"/>
      <c r="J115" s="814"/>
      <c r="K115" s="814"/>
      <c r="L115" s="814"/>
      <c r="M115" s="814"/>
      <c r="N115" s="814"/>
      <c r="O115" s="814"/>
      <c r="P115" s="814"/>
      <c r="Q115" s="814"/>
      <c r="R115" s="763"/>
    </row>
    <row r="116" spans="1:18" ht="10.5" x14ac:dyDescent="0.25">
      <c r="A116" s="245" t="str">
        <f>$A$52</f>
        <v>Data: __ Base Period _X_ Forecasted Period</v>
      </c>
    </row>
    <row r="117" spans="1:18" ht="10.5" x14ac:dyDescent="0.25">
      <c r="A117" s="245" t="str">
        <f>$A$53</f>
        <v>Type of Filing: X Original _ Update _ Revised</v>
      </c>
      <c r="Q117" s="583" t="str">
        <f>$Q$53</f>
        <v>Schedule M-2.2</v>
      </c>
    </row>
    <row r="118" spans="1:18" ht="10.5" x14ac:dyDescent="0.25">
      <c r="A118" s="245" t="str">
        <f>$A$54</f>
        <v>Work Paper Reference No(s):</v>
      </c>
      <c r="Q118" s="583" t="s">
        <v>418</v>
      </c>
    </row>
    <row r="119" spans="1:18" ht="10.5" x14ac:dyDescent="0.25">
      <c r="A119" s="373" t="str">
        <f>$A$55</f>
        <v>12 Months Forecasted</v>
      </c>
      <c r="Q119" s="583" t="str">
        <f>Witness</f>
        <v>Witness:  Judith L. Siegler</v>
      </c>
    </row>
    <row r="120" spans="1:18" ht="10.5" x14ac:dyDescent="0.25">
      <c r="A120" s="816" t="s">
        <v>191</v>
      </c>
      <c r="B120" s="816"/>
      <c r="C120" s="816"/>
      <c r="D120" s="816"/>
      <c r="E120" s="816"/>
      <c r="F120" s="816"/>
      <c r="G120" s="816"/>
      <c r="H120" s="816"/>
      <c r="I120" s="816"/>
      <c r="J120" s="816"/>
      <c r="K120" s="816"/>
      <c r="L120" s="816"/>
      <c r="M120" s="816"/>
      <c r="N120" s="816"/>
      <c r="O120" s="816"/>
      <c r="P120" s="816"/>
      <c r="Q120" s="816"/>
    </row>
    <row r="121" spans="1:18" x14ac:dyDescent="0.2">
      <c r="C121" s="764"/>
      <c r="G121" s="269"/>
      <c r="Q121" s="269"/>
    </row>
    <row r="122" spans="1:18" ht="10.5" x14ac:dyDescent="0.25">
      <c r="A122" s="727"/>
      <c r="B122" s="727"/>
      <c r="C122" s="727"/>
      <c r="D122" s="731"/>
      <c r="E122" s="584"/>
      <c r="F122" s="587"/>
      <c r="G122" s="584"/>
      <c r="H122" s="730"/>
      <c r="I122" s="584"/>
      <c r="J122" s="584"/>
      <c r="K122" s="584"/>
      <c r="L122" s="584"/>
      <c r="M122" s="584"/>
      <c r="N122" s="584"/>
      <c r="O122" s="727"/>
      <c r="P122" s="727"/>
      <c r="Q122" s="727"/>
    </row>
    <row r="123" spans="1:18" ht="10.5" x14ac:dyDescent="0.25">
      <c r="A123" s="727" t="s">
        <v>1</v>
      </c>
      <c r="B123" s="727" t="s">
        <v>0</v>
      </c>
      <c r="C123" s="727" t="s">
        <v>41</v>
      </c>
      <c r="D123" s="731" t="s">
        <v>47</v>
      </c>
      <c r="E123" s="584"/>
      <c r="F123" s="587"/>
      <c r="G123" s="584"/>
      <c r="H123" s="730"/>
      <c r="I123" s="584"/>
      <c r="J123" s="584"/>
      <c r="K123" s="584"/>
      <c r="L123" s="584"/>
      <c r="M123" s="584"/>
      <c r="N123" s="584"/>
      <c r="O123" s="732"/>
      <c r="P123" s="732"/>
      <c r="Q123" s="732"/>
    </row>
    <row r="124" spans="1:18" ht="10.5" x14ac:dyDescent="0.25">
      <c r="A124" s="263" t="s">
        <v>3</v>
      </c>
      <c r="B124" s="263" t="s">
        <v>40</v>
      </c>
      <c r="C124" s="263" t="s">
        <v>4</v>
      </c>
      <c r="D124" s="756" t="s">
        <v>48</v>
      </c>
      <c r="E124" s="380" t="str">
        <f>B!$D$11</f>
        <v>Jan-22</v>
      </c>
      <c r="F124" s="380" t="str">
        <f>B!$E$11</f>
        <v>Feb-22</v>
      </c>
      <c r="G124" s="380" t="str">
        <f>B!$F$11</f>
        <v>Mar-22</v>
      </c>
      <c r="H124" s="380" t="str">
        <f>B!$G$11</f>
        <v>Apr-22</v>
      </c>
      <c r="I124" s="380" t="str">
        <f>B!$H$11</f>
        <v>May-22</v>
      </c>
      <c r="J124" s="380" t="str">
        <f>B!$I$11</f>
        <v>Jun-22</v>
      </c>
      <c r="K124" s="380" t="str">
        <f>B!$J$11</f>
        <v>Jul-22</v>
      </c>
      <c r="L124" s="380" t="str">
        <f>B!$K$11</f>
        <v>Aug-22</v>
      </c>
      <c r="M124" s="380" t="str">
        <f>B!$L$11</f>
        <v>Sep-22</v>
      </c>
      <c r="N124" s="380" t="str">
        <f>B!$M$11</f>
        <v>Oct-22</v>
      </c>
      <c r="O124" s="380" t="str">
        <f>B!$N$11</f>
        <v>Nov-22</v>
      </c>
      <c r="P124" s="380" t="str">
        <f>B!$O$11</f>
        <v>Dec-22</v>
      </c>
      <c r="Q124" s="380" t="s">
        <v>9</v>
      </c>
    </row>
    <row r="125" spans="1:18" ht="10.5" x14ac:dyDescent="0.25">
      <c r="A125" s="727"/>
      <c r="B125" s="732" t="s">
        <v>42</v>
      </c>
      <c r="C125" s="732" t="s">
        <v>43</v>
      </c>
      <c r="D125" s="757" t="s">
        <v>45</v>
      </c>
      <c r="E125" s="586" t="s">
        <v>46</v>
      </c>
      <c r="F125" s="586" t="s">
        <v>49</v>
      </c>
      <c r="G125" s="586" t="s">
        <v>50</v>
      </c>
      <c r="H125" s="586" t="s">
        <v>51</v>
      </c>
      <c r="I125" s="586" t="s">
        <v>52</v>
      </c>
      <c r="J125" s="586" t="s">
        <v>53</v>
      </c>
      <c r="K125" s="588" t="s">
        <v>54</v>
      </c>
      <c r="L125" s="588" t="s">
        <v>55</v>
      </c>
      <c r="M125" s="588" t="s">
        <v>56</v>
      </c>
      <c r="N125" s="588" t="s">
        <v>57</v>
      </c>
      <c r="O125" s="588" t="s">
        <v>58</v>
      </c>
      <c r="P125" s="588" t="s">
        <v>59</v>
      </c>
      <c r="Q125" s="588" t="s">
        <v>200</v>
      </c>
    </row>
    <row r="126" spans="1:18" x14ac:dyDescent="0.2">
      <c r="C126" s="764"/>
      <c r="G126" s="269"/>
      <c r="Q126" s="269"/>
    </row>
    <row r="127" spans="1:18" ht="10.5" x14ac:dyDescent="0.25">
      <c r="A127" s="216">
        <v>1</v>
      </c>
      <c r="C127" s="742" t="s">
        <v>94</v>
      </c>
      <c r="G127" s="269"/>
      <c r="Q127" s="269"/>
    </row>
    <row r="128" spans="1:18" x14ac:dyDescent="0.2">
      <c r="C128" s="764"/>
      <c r="G128" s="269"/>
      <c r="Q128" s="269"/>
    </row>
    <row r="129" spans="1:17" x14ac:dyDescent="0.2">
      <c r="A129" s="216">
        <f>A127+1</f>
        <v>2</v>
      </c>
      <c r="B129" s="216" t="str">
        <f>Input!A23</f>
        <v>LG2</v>
      </c>
      <c r="C129" s="216" t="str">
        <f>'Sch M 2.1'!B25</f>
        <v xml:space="preserve">LG&amp;E Residential </v>
      </c>
      <c r="G129" s="269"/>
      <c r="Q129" s="269"/>
    </row>
    <row r="130" spans="1:17" x14ac:dyDescent="0.2">
      <c r="A130" s="216">
        <f>A129+1</f>
        <v>3</v>
      </c>
      <c r="C130" s="504" t="s">
        <v>216</v>
      </c>
      <c r="E130" s="267">
        <f t="shared" ref="E130:P130" si="47">E546</f>
        <v>1</v>
      </c>
      <c r="F130" s="267">
        <f t="shared" si="47"/>
        <v>1</v>
      </c>
      <c r="G130" s="267">
        <f t="shared" si="47"/>
        <v>1</v>
      </c>
      <c r="H130" s="267">
        <f t="shared" si="47"/>
        <v>1</v>
      </c>
      <c r="I130" s="267">
        <f t="shared" si="47"/>
        <v>1</v>
      </c>
      <c r="J130" s="267">
        <f t="shared" si="47"/>
        <v>1</v>
      </c>
      <c r="K130" s="267">
        <f t="shared" si="47"/>
        <v>1</v>
      </c>
      <c r="L130" s="267">
        <f t="shared" si="47"/>
        <v>1</v>
      </c>
      <c r="M130" s="267">
        <f t="shared" si="47"/>
        <v>1</v>
      </c>
      <c r="N130" s="267">
        <f t="shared" si="47"/>
        <v>1</v>
      </c>
      <c r="O130" s="267">
        <f t="shared" si="47"/>
        <v>1</v>
      </c>
      <c r="P130" s="267">
        <f t="shared" si="47"/>
        <v>1</v>
      </c>
      <c r="Q130" s="267">
        <f>SUM(E130:P130)</f>
        <v>12</v>
      </c>
    </row>
    <row r="131" spans="1:17" x14ac:dyDescent="0.2">
      <c r="A131" s="216">
        <f>A130+1</f>
        <v>4</v>
      </c>
      <c r="C131" s="504" t="s">
        <v>483</v>
      </c>
      <c r="E131" s="272">
        <f t="shared" ref="E131:P131" si="48">E549</f>
        <v>138.19999999999999</v>
      </c>
      <c r="F131" s="272">
        <f t="shared" si="48"/>
        <v>141.5</v>
      </c>
      <c r="G131" s="272">
        <f t="shared" si="48"/>
        <v>113</v>
      </c>
      <c r="H131" s="272">
        <f t="shared" si="48"/>
        <v>73.099999999999994</v>
      </c>
      <c r="I131" s="272">
        <f t="shared" si="48"/>
        <v>18.100000000000001</v>
      </c>
      <c r="J131" s="272">
        <f t="shared" si="48"/>
        <v>3.1</v>
      </c>
      <c r="K131" s="272">
        <f t="shared" si="48"/>
        <v>2.9</v>
      </c>
      <c r="L131" s="272">
        <f t="shared" si="48"/>
        <v>2.9</v>
      </c>
      <c r="M131" s="272">
        <f t="shared" si="48"/>
        <v>3.9</v>
      </c>
      <c r="N131" s="272">
        <f t="shared" si="48"/>
        <v>22.1</v>
      </c>
      <c r="O131" s="272">
        <f t="shared" si="48"/>
        <v>57.2</v>
      </c>
      <c r="P131" s="272">
        <f t="shared" si="48"/>
        <v>96.3</v>
      </c>
      <c r="Q131" s="272">
        <f>SUM(E131:P131)</f>
        <v>672.3</v>
      </c>
    </row>
    <row r="132" spans="1:17" x14ac:dyDescent="0.2">
      <c r="A132" s="216">
        <f>A131+1</f>
        <v>5</v>
      </c>
      <c r="C132" s="504" t="s">
        <v>218</v>
      </c>
      <c r="E132" s="419">
        <f t="shared" ref="E132:P132" si="49">E552</f>
        <v>48.37</v>
      </c>
      <c r="F132" s="419">
        <f t="shared" si="49"/>
        <v>49.53</v>
      </c>
      <c r="G132" s="419">
        <f t="shared" si="49"/>
        <v>39.549999999999997</v>
      </c>
      <c r="H132" s="419">
        <f t="shared" si="49"/>
        <v>25.59</v>
      </c>
      <c r="I132" s="419">
        <f t="shared" si="49"/>
        <v>6.34</v>
      </c>
      <c r="J132" s="419">
        <f t="shared" si="49"/>
        <v>1.0900000000000001</v>
      </c>
      <c r="K132" s="419">
        <f t="shared" si="49"/>
        <v>1.02</v>
      </c>
      <c r="L132" s="419">
        <f t="shared" si="49"/>
        <v>1.02</v>
      </c>
      <c r="M132" s="419">
        <f t="shared" si="49"/>
        <v>1.37</v>
      </c>
      <c r="N132" s="419">
        <f t="shared" si="49"/>
        <v>7.74</v>
      </c>
      <c r="O132" s="419">
        <f t="shared" si="49"/>
        <v>20.02</v>
      </c>
      <c r="P132" s="419">
        <f t="shared" si="49"/>
        <v>33.71</v>
      </c>
      <c r="Q132" s="419">
        <f>SUM(E132:P132)</f>
        <v>235.35000000000005</v>
      </c>
    </row>
    <row r="133" spans="1:17" x14ac:dyDescent="0.2">
      <c r="A133" s="216">
        <f>A132+1</f>
        <v>6</v>
      </c>
      <c r="C133" s="504" t="s">
        <v>219</v>
      </c>
      <c r="E133" s="419">
        <f t="shared" ref="E133:P133" si="50">E554</f>
        <v>0</v>
      </c>
      <c r="F133" s="419">
        <f t="shared" si="50"/>
        <v>0</v>
      </c>
      <c r="G133" s="419">
        <f t="shared" si="50"/>
        <v>0</v>
      </c>
      <c r="H133" s="419">
        <f t="shared" si="50"/>
        <v>0</v>
      </c>
      <c r="I133" s="419">
        <f t="shared" si="50"/>
        <v>0</v>
      </c>
      <c r="J133" s="419">
        <f t="shared" si="50"/>
        <v>0</v>
      </c>
      <c r="K133" s="419">
        <f t="shared" si="50"/>
        <v>0</v>
      </c>
      <c r="L133" s="419">
        <f t="shared" si="50"/>
        <v>0</v>
      </c>
      <c r="M133" s="419">
        <f t="shared" si="50"/>
        <v>0</v>
      </c>
      <c r="N133" s="419">
        <f t="shared" si="50"/>
        <v>0</v>
      </c>
      <c r="O133" s="419">
        <f t="shared" si="50"/>
        <v>0</v>
      </c>
      <c r="P133" s="419">
        <f t="shared" si="50"/>
        <v>0</v>
      </c>
      <c r="Q133" s="419">
        <f>SUM(E133:P133)</f>
        <v>0</v>
      </c>
    </row>
    <row r="134" spans="1:17" x14ac:dyDescent="0.2">
      <c r="A134" s="402">
        <f>A133+1</f>
        <v>7</v>
      </c>
      <c r="B134" s="402"/>
      <c r="C134" s="760" t="s">
        <v>484</v>
      </c>
      <c r="D134" s="412"/>
      <c r="E134" s="671">
        <f t="shared" ref="E134:P134" si="51">E556</f>
        <v>48.37</v>
      </c>
      <c r="F134" s="671">
        <f t="shared" si="51"/>
        <v>49.53</v>
      </c>
      <c r="G134" s="671">
        <f t="shared" si="51"/>
        <v>39.549999999999997</v>
      </c>
      <c r="H134" s="671">
        <f t="shared" si="51"/>
        <v>25.59</v>
      </c>
      <c r="I134" s="671">
        <f t="shared" si="51"/>
        <v>6.34</v>
      </c>
      <c r="J134" s="671">
        <f t="shared" si="51"/>
        <v>1.0900000000000001</v>
      </c>
      <c r="K134" s="671">
        <f t="shared" si="51"/>
        <v>1.02</v>
      </c>
      <c r="L134" s="671">
        <f t="shared" si="51"/>
        <v>1.02</v>
      </c>
      <c r="M134" s="671">
        <f t="shared" si="51"/>
        <v>1.37</v>
      </c>
      <c r="N134" s="671">
        <f t="shared" si="51"/>
        <v>7.74</v>
      </c>
      <c r="O134" s="671">
        <f t="shared" si="51"/>
        <v>20.02</v>
      </c>
      <c r="P134" s="671">
        <f t="shared" si="51"/>
        <v>33.71</v>
      </c>
      <c r="Q134" s="671">
        <f>SUM(E134:P134)</f>
        <v>235.35000000000005</v>
      </c>
    </row>
    <row r="135" spans="1:17" x14ac:dyDescent="0.2">
      <c r="C135" s="764"/>
      <c r="G135" s="269"/>
      <c r="Q135" s="269"/>
    </row>
    <row r="136" spans="1:17" x14ac:dyDescent="0.2">
      <c r="A136" s="216">
        <f>A134+1</f>
        <v>8</v>
      </c>
      <c r="B136" s="216" t="str">
        <f>Input!A24</f>
        <v>LG2</v>
      </c>
      <c r="C136" s="216" t="str">
        <f>'Sch M 2.1'!B26</f>
        <v>LG&amp;E Commercial</v>
      </c>
      <c r="G136" s="269"/>
      <c r="Q136" s="269"/>
    </row>
    <row r="137" spans="1:17" x14ac:dyDescent="0.2">
      <c r="A137" s="216">
        <f>A136+1</f>
        <v>9</v>
      </c>
      <c r="C137" s="504" t="s">
        <v>216</v>
      </c>
      <c r="E137" s="267">
        <f t="shared" ref="E137:P137" si="52">E563</f>
        <v>0</v>
      </c>
      <c r="F137" s="267">
        <f t="shared" si="52"/>
        <v>0</v>
      </c>
      <c r="G137" s="267">
        <f t="shared" si="52"/>
        <v>0</v>
      </c>
      <c r="H137" s="267">
        <f t="shared" si="52"/>
        <v>0</v>
      </c>
      <c r="I137" s="267">
        <f t="shared" si="52"/>
        <v>0</v>
      </c>
      <c r="J137" s="267">
        <f t="shared" si="52"/>
        <v>0</v>
      </c>
      <c r="K137" s="267">
        <f t="shared" si="52"/>
        <v>0</v>
      </c>
      <c r="L137" s="267">
        <f t="shared" si="52"/>
        <v>0</v>
      </c>
      <c r="M137" s="267">
        <f t="shared" si="52"/>
        <v>0</v>
      </c>
      <c r="N137" s="267">
        <f t="shared" si="52"/>
        <v>0</v>
      </c>
      <c r="O137" s="267">
        <f t="shared" si="52"/>
        <v>0</v>
      </c>
      <c r="P137" s="267">
        <f t="shared" si="52"/>
        <v>0</v>
      </c>
      <c r="Q137" s="267">
        <f>SUM(E137:P137)</f>
        <v>0</v>
      </c>
    </row>
    <row r="138" spans="1:17" x14ac:dyDescent="0.2">
      <c r="A138" s="216">
        <f>A137+1</f>
        <v>10</v>
      </c>
      <c r="C138" s="504" t="s">
        <v>483</v>
      </c>
      <c r="E138" s="272">
        <f t="shared" ref="E138:P138" si="53">E566</f>
        <v>0</v>
      </c>
      <c r="F138" s="272">
        <f t="shared" si="53"/>
        <v>0</v>
      </c>
      <c r="G138" s="272">
        <f t="shared" si="53"/>
        <v>0</v>
      </c>
      <c r="H138" s="272">
        <f t="shared" si="53"/>
        <v>0</v>
      </c>
      <c r="I138" s="272">
        <f t="shared" si="53"/>
        <v>0</v>
      </c>
      <c r="J138" s="272">
        <f t="shared" si="53"/>
        <v>0</v>
      </c>
      <c r="K138" s="272">
        <f t="shared" si="53"/>
        <v>0</v>
      </c>
      <c r="L138" s="272">
        <f t="shared" si="53"/>
        <v>0</v>
      </c>
      <c r="M138" s="272">
        <f t="shared" si="53"/>
        <v>0</v>
      </c>
      <c r="N138" s="272">
        <f t="shared" si="53"/>
        <v>0</v>
      </c>
      <c r="O138" s="272">
        <f t="shared" si="53"/>
        <v>0</v>
      </c>
      <c r="P138" s="272">
        <f t="shared" si="53"/>
        <v>0</v>
      </c>
      <c r="Q138" s="272">
        <f>SUM(E138:P138)</f>
        <v>0</v>
      </c>
    </row>
    <row r="139" spans="1:17" x14ac:dyDescent="0.2">
      <c r="A139" s="216">
        <f>A138+1</f>
        <v>11</v>
      </c>
      <c r="C139" s="504" t="s">
        <v>218</v>
      </c>
      <c r="E139" s="419">
        <f t="shared" ref="E139:P139" si="54">E569</f>
        <v>0</v>
      </c>
      <c r="F139" s="419">
        <f t="shared" si="54"/>
        <v>0</v>
      </c>
      <c r="G139" s="419">
        <f t="shared" si="54"/>
        <v>0</v>
      </c>
      <c r="H139" s="419">
        <f t="shared" si="54"/>
        <v>0</v>
      </c>
      <c r="I139" s="419">
        <f t="shared" si="54"/>
        <v>0</v>
      </c>
      <c r="J139" s="419">
        <f t="shared" si="54"/>
        <v>0</v>
      </c>
      <c r="K139" s="419">
        <f t="shared" si="54"/>
        <v>0</v>
      </c>
      <c r="L139" s="419">
        <f t="shared" si="54"/>
        <v>0</v>
      </c>
      <c r="M139" s="419">
        <f t="shared" si="54"/>
        <v>0</v>
      </c>
      <c r="N139" s="419">
        <f t="shared" si="54"/>
        <v>0</v>
      </c>
      <c r="O139" s="419">
        <f t="shared" si="54"/>
        <v>0</v>
      </c>
      <c r="P139" s="419">
        <f t="shared" si="54"/>
        <v>0</v>
      </c>
      <c r="Q139" s="419">
        <f>SUM(E139:P139)</f>
        <v>0</v>
      </c>
    </row>
    <row r="140" spans="1:17" x14ac:dyDescent="0.2">
      <c r="A140" s="216">
        <f>A139+1</f>
        <v>12</v>
      </c>
      <c r="C140" s="504" t="s">
        <v>219</v>
      </c>
      <c r="E140" s="419">
        <f t="shared" ref="E140:P140" si="55">E571</f>
        <v>0</v>
      </c>
      <c r="F140" s="419">
        <f t="shared" si="55"/>
        <v>0</v>
      </c>
      <c r="G140" s="419">
        <f t="shared" si="55"/>
        <v>0</v>
      </c>
      <c r="H140" s="419">
        <f t="shared" si="55"/>
        <v>0</v>
      </c>
      <c r="I140" s="419">
        <f t="shared" si="55"/>
        <v>0</v>
      </c>
      <c r="J140" s="419">
        <f t="shared" si="55"/>
        <v>0</v>
      </c>
      <c r="K140" s="419">
        <f t="shared" si="55"/>
        <v>0</v>
      </c>
      <c r="L140" s="419">
        <f t="shared" si="55"/>
        <v>0</v>
      </c>
      <c r="M140" s="419">
        <f t="shared" si="55"/>
        <v>0</v>
      </c>
      <c r="N140" s="419">
        <f t="shared" si="55"/>
        <v>0</v>
      </c>
      <c r="O140" s="419">
        <f t="shared" si="55"/>
        <v>0</v>
      </c>
      <c r="P140" s="419">
        <f t="shared" si="55"/>
        <v>0</v>
      </c>
      <c r="Q140" s="419">
        <f>SUM(E140:P140)</f>
        <v>0</v>
      </c>
    </row>
    <row r="141" spans="1:17" x14ac:dyDescent="0.2">
      <c r="A141" s="402">
        <f>A140+1</f>
        <v>13</v>
      </c>
      <c r="B141" s="402"/>
      <c r="C141" s="760" t="s">
        <v>484</v>
      </c>
      <c r="D141" s="412"/>
      <c r="E141" s="671">
        <f t="shared" ref="E141:P141" si="56">E573</f>
        <v>0</v>
      </c>
      <c r="F141" s="671">
        <f t="shared" si="56"/>
        <v>0</v>
      </c>
      <c r="G141" s="671">
        <f t="shared" si="56"/>
        <v>0</v>
      </c>
      <c r="H141" s="671">
        <f t="shared" si="56"/>
        <v>0</v>
      </c>
      <c r="I141" s="671">
        <f t="shared" si="56"/>
        <v>0</v>
      </c>
      <c r="J141" s="671">
        <f t="shared" si="56"/>
        <v>0</v>
      </c>
      <c r="K141" s="671">
        <f t="shared" si="56"/>
        <v>0</v>
      </c>
      <c r="L141" s="671">
        <f t="shared" si="56"/>
        <v>0</v>
      </c>
      <c r="M141" s="671">
        <f t="shared" si="56"/>
        <v>0</v>
      </c>
      <c r="N141" s="671">
        <f t="shared" si="56"/>
        <v>0</v>
      </c>
      <c r="O141" s="671">
        <f t="shared" si="56"/>
        <v>0</v>
      </c>
      <c r="P141" s="671">
        <f t="shared" si="56"/>
        <v>0</v>
      </c>
      <c r="Q141" s="671">
        <f>SUM(E141:P141)</f>
        <v>0</v>
      </c>
    </row>
    <row r="142" spans="1:17" x14ac:dyDescent="0.2">
      <c r="A142" s="280"/>
      <c r="B142" s="280"/>
      <c r="C142" s="764"/>
      <c r="D142" s="282"/>
      <c r="E142" s="438"/>
      <c r="F142" s="438"/>
      <c r="G142" s="438"/>
      <c r="H142" s="438"/>
      <c r="I142" s="438"/>
      <c r="J142" s="438"/>
      <c r="K142" s="438"/>
      <c r="L142" s="438"/>
      <c r="M142" s="438"/>
      <c r="N142" s="438"/>
      <c r="O142" s="438"/>
      <c r="P142" s="438"/>
      <c r="Q142" s="438"/>
    </row>
    <row r="143" spans="1:17" x14ac:dyDescent="0.2">
      <c r="A143" s="216">
        <f>A141+1</f>
        <v>14</v>
      </c>
      <c r="B143" s="216" t="str">
        <f>Input!A25</f>
        <v>LG3</v>
      </c>
      <c r="C143" s="216" t="str">
        <f>'Sch M 2.1'!B27</f>
        <v>LG&amp;E Residential</v>
      </c>
      <c r="G143" s="269"/>
      <c r="Q143" s="269"/>
    </row>
    <row r="144" spans="1:17" x14ac:dyDescent="0.2">
      <c r="A144" s="216">
        <f>A143+1</f>
        <v>15</v>
      </c>
      <c r="C144" s="504" t="s">
        <v>216</v>
      </c>
      <c r="E144" s="267">
        <f t="shared" ref="E144:P144" si="57">E596</f>
        <v>1</v>
      </c>
      <c r="F144" s="267">
        <f t="shared" si="57"/>
        <v>1</v>
      </c>
      <c r="G144" s="267">
        <f t="shared" si="57"/>
        <v>1</v>
      </c>
      <c r="H144" s="267">
        <f t="shared" si="57"/>
        <v>1</v>
      </c>
      <c r="I144" s="267">
        <f t="shared" si="57"/>
        <v>1</v>
      </c>
      <c r="J144" s="267">
        <f t="shared" si="57"/>
        <v>1</v>
      </c>
      <c r="K144" s="267">
        <f t="shared" si="57"/>
        <v>1</v>
      </c>
      <c r="L144" s="267">
        <f t="shared" si="57"/>
        <v>1</v>
      </c>
      <c r="M144" s="267">
        <f t="shared" si="57"/>
        <v>1</v>
      </c>
      <c r="N144" s="267">
        <f t="shared" si="57"/>
        <v>1</v>
      </c>
      <c r="O144" s="267">
        <f t="shared" si="57"/>
        <v>1</v>
      </c>
      <c r="P144" s="267">
        <f t="shared" si="57"/>
        <v>1</v>
      </c>
      <c r="Q144" s="267">
        <f>SUM(E144:P144)</f>
        <v>12</v>
      </c>
    </row>
    <row r="145" spans="1:17" x14ac:dyDescent="0.2">
      <c r="A145" s="216">
        <f>A144+1</f>
        <v>16</v>
      </c>
      <c r="C145" s="504" t="s">
        <v>483</v>
      </c>
      <c r="E145" s="272">
        <f t="shared" ref="E145:P145" si="58">E602</f>
        <v>82.4</v>
      </c>
      <c r="F145" s="272">
        <f t="shared" si="58"/>
        <v>88.1</v>
      </c>
      <c r="G145" s="272">
        <f t="shared" si="58"/>
        <v>75.599999999999994</v>
      </c>
      <c r="H145" s="272">
        <f t="shared" si="58"/>
        <v>50</v>
      </c>
      <c r="I145" s="272">
        <f t="shared" si="58"/>
        <v>20.100000000000001</v>
      </c>
      <c r="J145" s="272">
        <f t="shared" si="58"/>
        <v>11.5</v>
      </c>
      <c r="K145" s="272">
        <f t="shared" si="58"/>
        <v>10</v>
      </c>
      <c r="L145" s="272">
        <f t="shared" si="58"/>
        <v>17.7</v>
      </c>
      <c r="M145" s="272">
        <f t="shared" si="58"/>
        <v>38.799999999999997</v>
      </c>
      <c r="N145" s="272">
        <f t="shared" si="58"/>
        <v>44.7</v>
      </c>
      <c r="O145" s="272">
        <f t="shared" si="58"/>
        <v>52.1</v>
      </c>
      <c r="P145" s="272">
        <f t="shared" si="58"/>
        <v>97.9</v>
      </c>
      <c r="Q145" s="272">
        <f>SUM(E145:P145)</f>
        <v>588.90000000000009</v>
      </c>
    </row>
    <row r="146" spans="1:17" x14ac:dyDescent="0.2">
      <c r="A146" s="216">
        <f>A145+1</f>
        <v>17</v>
      </c>
      <c r="C146" s="504" t="s">
        <v>218</v>
      </c>
      <c r="E146" s="419">
        <f t="shared" ref="E146:P146" si="59">E608</f>
        <v>29.34</v>
      </c>
      <c r="F146" s="419">
        <f t="shared" si="59"/>
        <v>31.34</v>
      </c>
      <c r="G146" s="419">
        <f t="shared" si="59"/>
        <v>26.96</v>
      </c>
      <c r="H146" s="419">
        <f t="shared" si="59"/>
        <v>18</v>
      </c>
      <c r="I146" s="419">
        <f t="shared" si="59"/>
        <v>7.54</v>
      </c>
      <c r="J146" s="419">
        <f t="shared" si="59"/>
        <v>4.3899999999999997</v>
      </c>
      <c r="K146" s="419">
        <f t="shared" si="59"/>
        <v>4</v>
      </c>
      <c r="L146" s="419">
        <f t="shared" si="59"/>
        <v>6.7</v>
      </c>
      <c r="M146" s="419">
        <f t="shared" si="59"/>
        <v>14.08</v>
      </c>
      <c r="N146" s="419">
        <f t="shared" si="59"/>
        <v>16.149999999999999</v>
      </c>
      <c r="O146" s="419">
        <f t="shared" si="59"/>
        <v>18.739999999999998</v>
      </c>
      <c r="P146" s="419">
        <f t="shared" si="59"/>
        <v>34.770000000000003</v>
      </c>
      <c r="Q146" s="419">
        <f>SUM(E146:P146)</f>
        <v>212.01000000000005</v>
      </c>
    </row>
    <row r="147" spans="1:17" x14ac:dyDescent="0.2">
      <c r="A147" s="216">
        <f>A146+1</f>
        <v>18</v>
      </c>
      <c r="C147" s="504" t="s">
        <v>219</v>
      </c>
      <c r="E147" s="419">
        <f t="shared" ref="E147:P147" si="60">E610</f>
        <v>0</v>
      </c>
      <c r="F147" s="419">
        <f t="shared" si="60"/>
        <v>0</v>
      </c>
      <c r="G147" s="419">
        <f t="shared" si="60"/>
        <v>0</v>
      </c>
      <c r="H147" s="419">
        <f t="shared" si="60"/>
        <v>0</v>
      </c>
      <c r="I147" s="419">
        <f t="shared" si="60"/>
        <v>0</v>
      </c>
      <c r="J147" s="419">
        <f t="shared" si="60"/>
        <v>0</v>
      </c>
      <c r="K147" s="419">
        <f t="shared" si="60"/>
        <v>0</v>
      </c>
      <c r="L147" s="419">
        <f t="shared" si="60"/>
        <v>0</v>
      </c>
      <c r="M147" s="419">
        <f t="shared" si="60"/>
        <v>0</v>
      </c>
      <c r="N147" s="419">
        <f t="shared" si="60"/>
        <v>0</v>
      </c>
      <c r="O147" s="419">
        <f t="shared" si="60"/>
        <v>0</v>
      </c>
      <c r="P147" s="419">
        <f t="shared" si="60"/>
        <v>0</v>
      </c>
      <c r="Q147" s="419">
        <f>SUM(E147:P147)</f>
        <v>0</v>
      </c>
    </row>
    <row r="148" spans="1:17" x14ac:dyDescent="0.2">
      <c r="A148" s="402">
        <f>A147+1</f>
        <v>19</v>
      </c>
      <c r="B148" s="402"/>
      <c r="C148" s="760" t="s">
        <v>484</v>
      </c>
      <c r="D148" s="412"/>
      <c r="E148" s="671">
        <f t="shared" ref="E148:P148" si="61">E612</f>
        <v>29.34</v>
      </c>
      <c r="F148" s="671">
        <f t="shared" si="61"/>
        <v>31.34</v>
      </c>
      <c r="G148" s="671">
        <f t="shared" si="61"/>
        <v>26.96</v>
      </c>
      <c r="H148" s="671">
        <f t="shared" si="61"/>
        <v>18</v>
      </c>
      <c r="I148" s="671">
        <f t="shared" si="61"/>
        <v>7.54</v>
      </c>
      <c r="J148" s="671">
        <f t="shared" si="61"/>
        <v>4.3899999999999997</v>
      </c>
      <c r="K148" s="671">
        <f t="shared" si="61"/>
        <v>4</v>
      </c>
      <c r="L148" s="671">
        <f t="shared" si="61"/>
        <v>6.7</v>
      </c>
      <c r="M148" s="671">
        <f t="shared" si="61"/>
        <v>14.08</v>
      </c>
      <c r="N148" s="671">
        <f t="shared" si="61"/>
        <v>16.149999999999999</v>
      </c>
      <c r="O148" s="671">
        <f t="shared" si="61"/>
        <v>18.739999999999998</v>
      </c>
      <c r="P148" s="671">
        <f t="shared" si="61"/>
        <v>34.770000000000003</v>
      </c>
      <c r="Q148" s="671">
        <f>SUM(E148:P148)</f>
        <v>212.01000000000005</v>
      </c>
    </row>
    <row r="149" spans="1:17" x14ac:dyDescent="0.2">
      <c r="G149" s="269"/>
      <c r="Q149" s="269"/>
    </row>
    <row r="150" spans="1:17" x14ac:dyDescent="0.2">
      <c r="A150" s="216">
        <f>A148+1</f>
        <v>20</v>
      </c>
      <c r="B150" s="216" t="str">
        <f>Input!A26</f>
        <v>LG4</v>
      </c>
      <c r="C150" s="216" t="str">
        <f>'Sch M 2.1'!B28</f>
        <v>LG&amp;E Residential</v>
      </c>
      <c r="G150" s="269"/>
      <c r="Q150" s="269"/>
    </row>
    <row r="151" spans="1:17" x14ac:dyDescent="0.2">
      <c r="A151" s="216">
        <f>A150+1</f>
        <v>21</v>
      </c>
      <c r="C151" s="504" t="s">
        <v>216</v>
      </c>
      <c r="E151" s="267">
        <f t="shared" ref="E151:P151" si="62">E619</f>
        <v>1</v>
      </c>
      <c r="F151" s="267">
        <f t="shared" si="62"/>
        <v>1</v>
      </c>
      <c r="G151" s="267">
        <f t="shared" si="62"/>
        <v>1</v>
      </c>
      <c r="H151" s="267">
        <f t="shared" si="62"/>
        <v>1</v>
      </c>
      <c r="I151" s="267">
        <f t="shared" si="62"/>
        <v>1</v>
      </c>
      <c r="J151" s="267">
        <f t="shared" si="62"/>
        <v>1</v>
      </c>
      <c r="K151" s="267">
        <f t="shared" si="62"/>
        <v>1</v>
      </c>
      <c r="L151" s="267">
        <f t="shared" si="62"/>
        <v>1</v>
      </c>
      <c r="M151" s="267">
        <f t="shared" si="62"/>
        <v>1</v>
      </c>
      <c r="N151" s="267">
        <f t="shared" si="62"/>
        <v>1</v>
      </c>
      <c r="O151" s="267">
        <f t="shared" si="62"/>
        <v>1</v>
      </c>
      <c r="P151" s="267">
        <f t="shared" si="62"/>
        <v>1</v>
      </c>
      <c r="Q151" s="267">
        <f>SUM(E151:P151)</f>
        <v>12</v>
      </c>
    </row>
    <row r="152" spans="1:17" x14ac:dyDescent="0.2">
      <c r="A152" s="216">
        <f>A151+1</f>
        <v>22</v>
      </c>
      <c r="C152" s="504" t="s">
        <v>483</v>
      </c>
      <c r="E152" s="272">
        <f t="shared" ref="E152:P152" si="63">E622</f>
        <v>33</v>
      </c>
      <c r="F152" s="272">
        <f t="shared" si="63"/>
        <v>31.8</v>
      </c>
      <c r="G152" s="272">
        <f t="shared" si="63"/>
        <v>30.3</v>
      </c>
      <c r="H152" s="272">
        <f t="shared" si="63"/>
        <v>15.7</v>
      </c>
      <c r="I152" s="272">
        <f t="shared" si="63"/>
        <v>8.8000000000000007</v>
      </c>
      <c r="J152" s="272">
        <f t="shared" si="63"/>
        <v>2.5</v>
      </c>
      <c r="K152" s="272">
        <f t="shared" si="63"/>
        <v>2.4</v>
      </c>
      <c r="L152" s="272">
        <f t="shared" si="63"/>
        <v>2.4</v>
      </c>
      <c r="M152" s="272">
        <f t="shared" si="63"/>
        <v>2.8</v>
      </c>
      <c r="N152" s="272">
        <f t="shared" si="63"/>
        <v>3.9</v>
      </c>
      <c r="O152" s="272">
        <f t="shared" si="63"/>
        <v>10.3</v>
      </c>
      <c r="P152" s="272">
        <f t="shared" si="63"/>
        <v>22.9</v>
      </c>
      <c r="Q152" s="272">
        <f>SUM(E152:P152)</f>
        <v>166.80000000000004</v>
      </c>
    </row>
    <row r="153" spans="1:17" x14ac:dyDescent="0.2">
      <c r="A153" s="216">
        <f>A152+1</f>
        <v>23</v>
      </c>
      <c r="C153" s="504" t="s">
        <v>218</v>
      </c>
      <c r="E153" s="419">
        <f t="shared" ref="E153:P153" si="64">E625</f>
        <v>13.2</v>
      </c>
      <c r="F153" s="419">
        <f t="shared" si="64"/>
        <v>12.72</v>
      </c>
      <c r="G153" s="419">
        <f t="shared" si="64"/>
        <v>12.12</v>
      </c>
      <c r="H153" s="419">
        <f t="shared" si="64"/>
        <v>6.28</v>
      </c>
      <c r="I153" s="419">
        <f t="shared" si="64"/>
        <v>3.52</v>
      </c>
      <c r="J153" s="419">
        <f t="shared" si="64"/>
        <v>1</v>
      </c>
      <c r="K153" s="419">
        <f t="shared" si="64"/>
        <v>0.96</v>
      </c>
      <c r="L153" s="419">
        <f t="shared" si="64"/>
        <v>0.96</v>
      </c>
      <c r="M153" s="419">
        <f t="shared" si="64"/>
        <v>1.1200000000000001</v>
      </c>
      <c r="N153" s="419">
        <f t="shared" si="64"/>
        <v>1.56</v>
      </c>
      <c r="O153" s="419">
        <f t="shared" si="64"/>
        <v>4.12</v>
      </c>
      <c r="P153" s="419">
        <f t="shared" si="64"/>
        <v>9.16</v>
      </c>
      <c r="Q153" s="419">
        <f>SUM(E153:P153)</f>
        <v>66.72</v>
      </c>
    </row>
    <row r="154" spans="1:17" x14ac:dyDescent="0.2">
      <c r="A154" s="216">
        <f>A153+1</f>
        <v>24</v>
      </c>
      <c r="C154" s="504" t="s">
        <v>219</v>
      </c>
      <c r="E154" s="419">
        <f t="shared" ref="E154:P154" si="65">E627</f>
        <v>0</v>
      </c>
      <c r="F154" s="419">
        <f t="shared" si="65"/>
        <v>0</v>
      </c>
      <c r="G154" s="419">
        <f t="shared" si="65"/>
        <v>0</v>
      </c>
      <c r="H154" s="419">
        <f t="shared" si="65"/>
        <v>0</v>
      </c>
      <c r="I154" s="419">
        <f t="shared" si="65"/>
        <v>0</v>
      </c>
      <c r="J154" s="419">
        <f t="shared" si="65"/>
        <v>0</v>
      </c>
      <c r="K154" s="419">
        <f t="shared" si="65"/>
        <v>0</v>
      </c>
      <c r="L154" s="419">
        <f t="shared" si="65"/>
        <v>0</v>
      </c>
      <c r="M154" s="419">
        <f t="shared" si="65"/>
        <v>0</v>
      </c>
      <c r="N154" s="419">
        <f t="shared" si="65"/>
        <v>0</v>
      </c>
      <c r="O154" s="419">
        <f t="shared" si="65"/>
        <v>0</v>
      </c>
      <c r="P154" s="419">
        <f t="shared" si="65"/>
        <v>0</v>
      </c>
      <c r="Q154" s="419">
        <f>SUM(E154:P154)</f>
        <v>0</v>
      </c>
    </row>
    <row r="155" spans="1:17" x14ac:dyDescent="0.2">
      <c r="A155" s="402">
        <f>A154+1</f>
        <v>25</v>
      </c>
      <c r="B155" s="402"/>
      <c r="C155" s="760" t="s">
        <v>484</v>
      </c>
      <c r="D155" s="412"/>
      <c r="E155" s="671">
        <f t="shared" ref="E155:P155" si="66">E629</f>
        <v>13.2</v>
      </c>
      <c r="F155" s="671">
        <f t="shared" si="66"/>
        <v>12.72</v>
      </c>
      <c r="G155" s="671">
        <f t="shared" si="66"/>
        <v>12.12</v>
      </c>
      <c r="H155" s="671">
        <f t="shared" si="66"/>
        <v>6.28</v>
      </c>
      <c r="I155" s="671">
        <f t="shared" si="66"/>
        <v>3.52</v>
      </c>
      <c r="J155" s="671">
        <f t="shared" si="66"/>
        <v>1</v>
      </c>
      <c r="K155" s="671">
        <f t="shared" si="66"/>
        <v>0.96</v>
      </c>
      <c r="L155" s="671">
        <f t="shared" si="66"/>
        <v>0.96</v>
      </c>
      <c r="M155" s="671">
        <f t="shared" si="66"/>
        <v>1.1200000000000001</v>
      </c>
      <c r="N155" s="671">
        <f t="shared" si="66"/>
        <v>1.56</v>
      </c>
      <c r="O155" s="671">
        <f t="shared" si="66"/>
        <v>4.12</v>
      </c>
      <c r="P155" s="671">
        <f t="shared" si="66"/>
        <v>9.16</v>
      </c>
      <c r="Q155" s="671">
        <f>SUM(E155:P155)</f>
        <v>66.72</v>
      </c>
    </row>
    <row r="156" spans="1:17" x14ac:dyDescent="0.2">
      <c r="C156" s="764"/>
      <c r="G156" s="269"/>
      <c r="Q156" s="269"/>
    </row>
    <row r="157" spans="1:17" x14ac:dyDescent="0.2">
      <c r="A157" s="216">
        <f>A155+1</f>
        <v>26</v>
      </c>
      <c r="B157" s="216" t="str">
        <f>Input!A27</f>
        <v>GSO</v>
      </c>
      <c r="C157" s="216" t="str">
        <f>'Sch M 2.1'!B29</f>
        <v>General Service - Commercial</v>
      </c>
      <c r="G157" s="269"/>
      <c r="Q157" s="269"/>
    </row>
    <row r="158" spans="1:17" x14ac:dyDescent="0.2">
      <c r="A158" s="216">
        <f>A157+1</f>
        <v>27</v>
      </c>
      <c r="C158" s="504" t="s">
        <v>216</v>
      </c>
      <c r="E158" s="267">
        <f t="shared" ref="E158:P158" si="67">E652</f>
        <v>11642</v>
      </c>
      <c r="F158" s="267">
        <f t="shared" si="67"/>
        <v>11663</v>
      </c>
      <c r="G158" s="267">
        <f t="shared" si="67"/>
        <v>11728</v>
      </c>
      <c r="H158" s="267">
        <f t="shared" si="67"/>
        <v>11667</v>
      </c>
      <c r="I158" s="267">
        <f t="shared" si="67"/>
        <v>11584</v>
      </c>
      <c r="J158" s="267">
        <f t="shared" si="67"/>
        <v>11516</v>
      </c>
      <c r="K158" s="267">
        <f t="shared" si="67"/>
        <v>11467</v>
      </c>
      <c r="L158" s="267">
        <f t="shared" si="67"/>
        <v>11414</v>
      </c>
      <c r="M158" s="267">
        <f t="shared" si="67"/>
        <v>11412</v>
      </c>
      <c r="N158" s="267">
        <f t="shared" si="67"/>
        <v>11433</v>
      </c>
      <c r="O158" s="267">
        <f t="shared" si="67"/>
        <v>11622</v>
      </c>
      <c r="P158" s="267">
        <f t="shared" si="67"/>
        <v>11778</v>
      </c>
      <c r="Q158" s="267">
        <f>SUM(E158:P158)</f>
        <v>138926</v>
      </c>
    </row>
    <row r="159" spans="1:17" x14ac:dyDescent="0.2">
      <c r="A159" s="216">
        <f>A158+1</f>
        <v>28</v>
      </c>
      <c r="C159" s="504" t="s">
        <v>483</v>
      </c>
      <c r="E159" s="272">
        <f t="shared" ref="E159:P159" si="68">E661</f>
        <v>733043</v>
      </c>
      <c r="F159" s="272">
        <f t="shared" si="68"/>
        <v>700984.00000000012</v>
      </c>
      <c r="G159" s="272">
        <f t="shared" si="68"/>
        <v>582736.80000000005</v>
      </c>
      <c r="H159" s="272">
        <f t="shared" si="68"/>
        <v>294143</v>
      </c>
      <c r="I159" s="272">
        <f t="shared" si="68"/>
        <v>174296.9</v>
      </c>
      <c r="J159" s="272">
        <f t="shared" si="68"/>
        <v>121730.50000000001</v>
      </c>
      <c r="K159" s="272">
        <f t="shared" si="68"/>
        <v>100026.30000000002</v>
      </c>
      <c r="L159" s="272">
        <f t="shared" si="68"/>
        <v>90381.5</v>
      </c>
      <c r="M159" s="272">
        <f t="shared" si="68"/>
        <v>95393.799999999988</v>
      </c>
      <c r="N159" s="272">
        <f t="shared" si="68"/>
        <v>118125.7</v>
      </c>
      <c r="O159" s="272">
        <f t="shared" si="68"/>
        <v>236468.69999999995</v>
      </c>
      <c r="P159" s="272">
        <f t="shared" si="68"/>
        <v>516678.9</v>
      </c>
      <c r="Q159" s="272">
        <f>SUM(E159:P159)</f>
        <v>3764009.0999999992</v>
      </c>
    </row>
    <row r="160" spans="1:17" x14ac:dyDescent="0.2">
      <c r="A160" s="216">
        <f>A159+1</f>
        <v>29</v>
      </c>
      <c r="C160" s="504" t="s">
        <v>218</v>
      </c>
      <c r="E160" s="419">
        <f>E669+E678</f>
        <v>2598545.6</v>
      </c>
      <c r="F160" s="419">
        <f t="shared" ref="F160:P160" si="69">F669+F678</f>
        <v>2536482.7400000002</v>
      </c>
      <c r="G160" s="419">
        <f>G669+G678</f>
        <v>2255722.5</v>
      </c>
      <c r="H160" s="419">
        <f t="shared" si="69"/>
        <v>1555857.3499999999</v>
      </c>
      <c r="I160" s="419">
        <f t="shared" si="69"/>
        <v>1257297.5900000001</v>
      </c>
      <c r="J160" s="419">
        <f t="shared" si="69"/>
        <v>1109770.9500000002</v>
      </c>
      <c r="K160" s="419">
        <f t="shared" si="69"/>
        <v>1048812.5599999998</v>
      </c>
      <c r="L160" s="419">
        <f t="shared" si="69"/>
        <v>1021706.44</v>
      </c>
      <c r="M160" s="419">
        <f t="shared" si="69"/>
        <v>1033567.5899999999</v>
      </c>
      <c r="N160" s="419">
        <f t="shared" si="69"/>
        <v>1093816.0799999998</v>
      </c>
      <c r="O160" s="419">
        <f t="shared" si="69"/>
        <v>1404968.71</v>
      </c>
      <c r="P160" s="419">
        <f t="shared" si="69"/>
        <v>2098505.5</v>
      </c>
      <c r="Q160" s="419">
        <f>SUM(E160:P160)</f>
        <v>19015053.609999999</v>
      </c>
    </row>
    <row r="161" spans="1:17" x14ac:dyDescent="0.2">
      <c r="A161" s="216">
        <f>A160+1</f>
        <v>30</v>
      </c>
      <c r="C161" s="504" t="s">
        <v>219</v>
      </c>
      <c r="E161" s="419">
        <f t="shared" ref="E161:P161" si="70">E671</f>
        <v>3215859.64</v>
      </c>
      <c r="F161" s="419">
        <f t="shared" si="70"/>
        <v>3075216.81</v>
      </c>
      <c r="G161" s="419">
        <f t="shared" si="70"/>
        <v>2556466.34</v>
      </c>
      <c r="H161" s="419">
        <f t="shared" si="70"/>
        <v>1290405.3400000001</v>
      </c>
      <c r="I161" s="419">
        <f t="shared" si="70"/>
        <v>764640.5</v>
      </c>
      <c r="J161" s="419">
        <f t="shared" si="70"/>
        <v>534031.69999999995</v>
      </c>
      <c r="K161" s="419">
        <f t="shared" si="70"/>
        <v>438815.38</v>
      </c>
      <c r="L161" s="419">
        <f t="shared" si="70"/>
        <v>396503.64</v>
      </c>
      <c r="M161" s="419">
        <f t="shared" si="70"/>
        <v>418492.6</v>
      </c>
      <c r="N161" s="419">
        <f t="shared" si="70"/>
        <v>518217.45</v>
      </c>
      <c r="O161" s="419">
        <f t="shared" si="70"/>
        <v>1037388.19</v>
      </c>
      <c r="P161" s="419">
        <f t="shared" si="70"/>
        <v>2266670.33</v>
      </c>
      <c r="Q161" s="419">
        <f>SUM(E161:P161)</f>
        <v>16512707.919999998</v>
      </c>
    </row>
    <row r="162" spans="1:17" x14ac:dyDescent="0.2">
      <c r="A162" s="402">
        <f>A161+1</f>
        <v>31</v>
      </c>
      <c r="B162" s="402"/>
      <c r="C162" s="760" t="s">
        <v>484</v>
      </c>
      <c r="D162" s="412"/>
      <c r="E162" s="671">
        <f t="shared" ref="E162:P162" si="71">E680</f>
        <v>5814405.2400000002</v>
      </c>
      <c r="F162" s="671">
        <f t="shared" si="71"/>
        <v>5611699.5499999998</v>
      </c>
      <c r="G162" s="671">
        <f t="shared" si="71"/>
        <v>4812188.84</v>
      </c>
      <c r="H162" s="671">
        <f t="shared" si="71"/>
        <v>2846262.6899999995</v>
      </c>
      <c r="I162" s="671">
        <f t="shared" si="71"/>
        <v>2021938.09</v>
      </c>
      <c r="J162" s="671">
        <f t="shared" si="71"/>
        <v>1643802.6500000001</v>
      </c>
      <c r="K162" s="671">
        <f t="shared" si="71"/>
        <v>1487627.94</v>
      </c>
      <c r="L162" s="671">
        <f t="shared" si="71"/>
        <v>1418210.08</v>
      </c>
      <c r="M162" s="671">
        <f t="shared" si="71"/>
        <v>1452060.19</v>
      </c>
      <c r="N162" s="671">
        <f t="shared" si="71"/>
        <v>1612033.5299999998</v>
      </c>
      <c r="O162" s="671">
        <f t="shared" si="71"/>
        <v>2442356.9</v>
      </c>
      <c r="P162" s="671">
        <f t="shared" si="71"/>
        <v>4365175.83</v>
      </c>
      <c r="Q162" s="671">
        <f>SUM(E162:P162)</f>
        <v>35527761.530000001</v>
      </c>
    </row>
    <row r="163" spans="1:17" x14ac:dyDescent="0.2">
      <c r="A163" s="280"/>
      <c r="B163" s="280"/>
      <c r="C163" s="764"/>
      <c r="D163" s="282"/>
      <c r="E163" s="672"/>
      <c r="F163" s="672"/>
      <c r="G163" s="672"/>
      <c r="H163" s="672"/>
      <c r="I163" s="672"/>
      <c r="J163" s="672"/>
      <c r="K163" s="672"/>
      <c r="L163" s="672"/>
      <c r="M163" s="672"/>
      <c r="N163" s="672"/>
      <c r="O163" s="672"/>
      <c r="P163" s="672"/>
      <c r="Q163" s="672"/>
    </row>
    <row r="164" spans="1:17" x14ac:dyDescent="0.2">
      <c r="A164" s="280"/>
      <c r="B164" s="280"/>
      <c r="C164" s="764"/>
      <c r="D164" s="282"/>
      <c r="E164" s="672"/>
      <c r="F164" s="672"/>
      <c r="G164" s="672"/>
      <c r="H164" s="672"/>
      <c r="I164" s="672"/>
      <c r="J164" s="672"/>
      <c r="K164" s="672"/>
      <c r="L164" s="672"/>
      <c r="M164" s="672"/>
      <c r="N164" s="672"/>
      <c r="O164" s="672"/>
      <c r="P164" s="672"/>
      <c r="Q164" s="672"/>
    </row>
    <row r="165" spans="1:17" x14ac:dyDescent="0.2">
      <c r="A165" s="280" t="str">
        <f>$A$108</f>
        <v>[1] Reflects Normalized Volumes.</v>
      </c>
      <c r="B165" s="280"/>
      <c r="C165" s="764"/>
      <c r="D165" s="282"/>
      <c r="E165" s="672"/>
      <c r="F165" s="672"/>
      <c r="G165" s="672"/>
      <c r="H165" s="672"/>
      <c r="I165" s="672"/>
      <c r="J165" s="672"/>
      <c r="K165" s="672"/>
      <c r="L165" s="672"/>
      <c r="M165" s="672"/>
      <c r="N165" s="672"/>
      <c r="O165" s="672"/>
      <c r="P165" s="672"/>
      <c r="Q165" s="672"/>
    </row>
    <row r="166" spans="1:17" x14ac:dyDescent="0.2">
      <c r="A166" s="216" t="str">
        <f>$A$109</f>
        <v>[2] See Schedule M-2.2 Pages 8 through 21 for detail.</v>
      </c>
      <c r="G166" s="269"/>
      <c r="Q166" s="269"/>
    </row>
    <row r="167" spans="1:17" ht="10.5" x14ac:dyDescent="0.25">
      <c r="A167" s="817" t="str">
        <f>CONAME</f>
        <v>Columbia Gas of Kentucky, Inc.</v>
      </c>
      <c r="B167" s="817"/>
      <c r="C167" s="817"/>
      <c r="D167" s="817"/>
      <c r="E167" s="817"/>
      <c r="F167" s="817"/>
      <c r="G167" s="817"/>
      <c r="H167" s="817"/>
      <c r="I167" s="817"/>
      <c r="J167" s="817"/>
      <c r="K167" s="817"/>
      <c r="L167" s="817"/>
      <c r="M167" s="817"/>
      <c r="N167" s="817"/>
      <c r="O167" s="817"/>
      <c r="P167" s="817"/>
      <c r="Q167" s="817"/>
    </row>
    <row r="168" spans="1:17" ht="10.5" x14ac:dyDescent="0.25">
      <c r="A168" s="800" t="str">
        <f>case</f>
        <v>Case No. 2021-00183</v>
      </c>
      <c r="B168" s="800"/>
      <c r="C168" s="800"/>
      <c r="D168" s="800"/>
      <c r="E168" s="800"/>
      <c r="F168" s="800"/>
      <c r="G168" s="800"/>
      <c r="H168" s="800"/>
      <c r="I168" s="800"/>
      <c r="J168" s="800"/>
      <c r="K168" s="800"/>
      <c r="L168" s="800"/>
      <c r="M168" s="800"/>
      <c r="N168" s="800"/>
      <c r="O168" s="800"/>
      <c r="P168" s="800"/>
      <c r="Q168" s="800"/>
    </row>
    <row r="169" spans="1:17" ht="10.5" x14ac:dyDescent="0.25">
      <c r="A169" s="815" t="s">
        <v>414</v>
      </c>
      <c r="B169" s="815"/>
      <c r="C169" s="815"/>
      <c r="D169" s="815"/>
      <c r="E169" s="815"/>
      <c r="F169" s="815"/>
      <c r="G169" s="815"/>
      <c r="H169" s="815"/>
      <c r="I169" s="815"/>
      <c r="J169" s="815"/>
      <c r="K169" s="815"/>
      <c r="L169" s="815"/>
      <c r="M169" s="815"/>
      <c r="N169" s="815"/>
      <c r="O169" s="815"/>
      <c r="P169" s="815"/>
      <c r="Q169" s="815"/>
    </row>
    <row r="170" spans="1:17" ht="10.5" x14ac:dyDescent="0.25">
      <c r="A170" s="817" t="str">
        <f>TYDESC</f>
        <v>For the 12 Months Ended December 31, 2022</v>
      </c>
      <c r="B170" s="817"/>
      <c r="C170" s="817"/>
      <c r="D170" s="817"/>
      <c r="E170" s="817"/>
      <c r="F170" s="817"/>
      <c r="G170" s="817"/>
      <c r="H170" s="817"/>
      <c r="I170" s="817"/>
      <c r="J170" s="817"/>
      <c r="K170" s="817"/>
      <c r="L170" s="817"/>
      <c r="M170" s="817"/>
      <c r="N170" s="817"/>
      <c r="O170" s="817"/>
      <c r="P170" s="817"/>
      <c r="Q170" s="817"/>
    </row>
    <row r="171" spans="1:17" ht="10.5" x14ac:dyDescent="0.25">
      <c r="A171" s="814" t="s">
        <v>39</v>
      </c>
      <c r="B171" s="814"/>
      <c r="C171" s="814"/>
      <c r="D171" s="814"/>
      <c r="E171" s="814"/>
      <c r="F171" s="814"/>
      <c r="G171" s="814"/>
      <c r="H171" s="814"/>
      <c r="I171" s="814"/>
      <c r="J171" s="814"/>
      <c r="K171" s="814"/>
      <c r="L171" s="814"/>
      <c r="M171" s="814"/>
      <c r="N171" s="814"/>
      <c r="O171" s="814"/>
      <c r="P171" s="814"/>
      <c r="Q171" s="814"/>
    </row>
    <row r="172" spans="1:17" ht="10.5" x14ac:dyDescent="0.25">
      <c r="A172" s="245" t="str">
        <f>$A$52</f>
        <v>Data: __ Base Period _X_ Forecasted Period</v>
      </c>
    </row>
    <row r="173" spans="1:17" ht="10.5" x14ac:dyDescent="0.25">
      <c r="A173" s="245" t="str">
        <f>$A$53</f>
        <v>Type of Filing: X Original _ Update _ Revised</v>
      </c>
      <c r="Q173" s="583" t="str">
        <f>$Q$53</f>
        <v>Schedule M-2.2</v>
      </c>
    </row>
    <row r="174" spans="1:17" ht="10.5" x14ac:dyDescent="0.25">
      <c r="A174" s="245" t="str">
        <f>$A$54</f>
        <v>Work Paper Reference No(s):</v>
      </c>
      <c r="Q174" s="583" t="s">
        <v>436</v>
      </c>
    </row>
    <row r="175" spans="1:17" ht="10.5" x14ac:dyDescent="0.25">
      <c r="A175" s="373" t="str">
        <f>$A$55</f>
        <v>12 Months Forecasted</v>
      </c>
      <c r="Q175" s="583" t="str">
        <f>Witness</f>
        <v>Witness:  Judith L. Siegler</v>
      </c>
    </row>
    <row r="176" spans="1:17" ht="10.5" x14ac:dyDescent="0.25">
      <c r="A176" s="816" t="s">
        <v>191</v>
      </c>
      <c r="B176" s="816"/>
      <c r="C176" s="816"/>
      <c r="D176" s="816"/>
      <c r="E176" s="816"/>
      <c r="F176" s="816"/>
      <c r="G176" s="816"/>
      <c r="H176" s="816"/>
      <c r="I176" s="816"/>
      <c r="J176" s="816"/>
      <c r="K176" s="816"/>
      <c r="L176" s="816"/>
      <c r="M176" s="816"/>
      <c r="N176" s="816"/>
      <c r="O176" s="816"/>
      <c r="P176" s="816"/>
      <c r="Q176" s="816"/>
    </row>
    <row r="177" spans="1:17" ht="10.5" x14ac:dyDescent="0.25">
      <c r="A177" s="732"/>
      <c r="B177" s="732"/>
      <c r="C177" s="732"/>
      <c r="D177" s="732"/>
      <c r="E177" s="732"/>
      <c r="F177" s="732"/>
      <c r="G177" s="732"/>
      <c r="H177" s="732"/>
      <c r="I177" s="732"/>
      <c r="J177" s="732"/>
      <c r="K177" s="732"/>
      <c r="L177" s="732"/>
      <c r="M177" s="732"/>
      <c r="N177" s="732"/>
      <c r="O177" s="732"/>
      <c r="P177" s="732"/>
      <c r="Q177" s="732"/>
    </row>
    <row r="178" spans="1:17" ht="10.5" x14ac:dyDescent="0.25">
      <c r="A178" s="727"/>
      <c r="B178" s="727"/>
      <c r="C178" s="727"/>
      <c r="D178" s="731"/>
      <c r="E178" s="584"/>
      <c r="F178" s="587"/>
      <c r="G178" s="584"/>
      <c r="H178" s="730"/>
      <c r="I178" s="584"/>
      <c r="J178" s="584"/>
      <c r="K178" s="584"/>
      <c r="L178" s="584"/>
      <c r="M178" s="584"/>
      <c r="N178" s="584"/>
      <c r="O178" s="727"/>
      <c r="P178" s="727"/>
      <c r="Q178" s="727"/>
    </row>
    <row r="179" spans="1:17" ht="10.5" x14ac:dyDescent="0.25">
      <c r="A179" s="727" t="s">
        <v>1</v>
      </c>
      <c r="B179" s="727" t="s">
        <v>0</v>
      </c>
      <c r="C179" s="727" t="s">
        <v>41</v>
      </c>
      <c r="D179" s="731" t="s">
        <v>47</v>
      </c>
      <c r="E179" s="584"/>
      <c r="F179" s="587"/>
      <c r="G179" s="584"/>
      <c r="H179" s="730"/>
      <c r="I179" s="584"/>
      <c r="J179" s="584"/>
      <c r="K179" s="584"/>
      <c r="L179" s="584"/>
      <c r="M179" s="584"/>
      <c r="N179" s="584"/>
      <c r="O179" s="732"/>
      <c r="P179" s="732"/>
      <c r="Q179" s="732"/>
    </row>
    <row r="180" spans="1:17" ht="10.5" x14ac:dyDescent="0.25">
      <c r="A180" s="263" t="s">
        <v>3</v>
      </c>
      <c r="B180" s="263" t="s">
        <v>40</v>
      </c>
      <c r="C180" s="263" t="s">
        <v>4</v>
      </c>
      <c r="D180" s="756" t="s">
        <v>48</v>
      </c>
      <c r="E180" s="380" t="str">
        <f>B!$D$11</f>
        <v>Jan-22</v>
      </c>
      <c r="F180" s="380" t="str">
        <f>B!$E$11</f>
        <v>Feb-22</v>
      </c>
      <c r="G180" s="380" t="str">
        <f>B!$F$11</f>
        <v>Mar-22</v>
      </c>
      <c r="H180" s="380" t="str">
        <f>B!$G$11</f>
        <v>Apr-22</v>
      </c>
      <c r="I180" s="380" t="str">
        <f>B!$H$11</f>
        <v>May-22</v>
      </c>
      <c r="J180" s="380" t="str">
        <f>B!$I$11</f>
        <v>Jun-22</v>
      </c>
      <c r="K180" s="380" t="str">
        <f>B!$J$11</f>
        <v>Jul-22</v>
      </c>
      <c r="L180" s="380" t="str">
        <f>B!$K$11</f>
        <v>Aug-22</v>
      </c>
      <c r="M180" s="380" t="str">
        <f>B!$L$11</f>
        <v>Sep-22</v>
      </c>
      <c r="N180" s="380" t="str">
        <f>B!$M$11</f>
        <v>Oct-22</v>
      </c>
      <c r="O180" s="380" t="str">
        <f>B!$N$11</f>
        <v>Nov-22</v>
      </c>
      <c r="P180" s="380" t="str">
        <f>B!$O$11</f>
        <v>Dec-22</v>
      </c>
      <c r="Q180" s="380" t="s">
        <v>9</v>
      </c>
    </row>
    <row r="181" spans="1:17" ht="10.5" x14ac:dyDescent="0.25">
      <c r="A181" s="727"/>
      <c r="B181" s="732" t="s">
        <v>42</v>
      </c>
      <c r="C181" s="732" t="s">
        <v>43</v>
      </c>
      <c r="D181" s="757" t="s">
        <v>45</v>
      </c>
      <c r="E181" s="586" t="s">
        <v>46</v>
      </c>
      <c r="F181" s="586" t="s">
        <v>49</v>
      </c>
      <c r="G181" s="586" t="s">
        <v>50</v>
      </c>
      <c r="H181" s="586" t="s">
        <v>51</v>
      </c>
      <c r="I181" s="586" t="s">
        <v>52</v>
      </c>
      <c r="J181" s="586" t="s">
        <v>53</v>
      </c>
      <c r="K181" s="588" t="s">
        <v>54</v>
      </c>
      <c r="L181" s="588" t="s">
        <v>55</v>
      </c>
      <c r="M181" s="588" t="s">
        <v>56</v>
      </c>
      <c r="N181" s="588" t="s">
        <v>57</v>
      </c>
      <c r="O181" s="588" t="s">
        <v>58</v>
      </c>
      <c r="P181" s="588" t="s">
        <v>59</v>
      </c>
      <c r="Q181" s="588" t="s">
        <v>200</v>
      </c>
    </row>
    <row r="182" spans="1:17" x14ac:dyDescent="0.2">
      <c r="G182" s="269"/>
      <c r="Q182" s="269"/>
    </row>
    <row r="183" spans="1:17" ht="10.5" x14ac:dyDescent="0.25">
      <c r="A183" s="216">
        <v>1</v>
      </c>
      <c r="C183" s="742" t="s">
        <v>94</v>
      </c>
      <c r="G183" s="269"/>
      <c r="Q183" s="269"/>
    </row>
    <row r="184" spans="1:17" x14ac:dyDescent="0.2">
      <c r="G184" s="269"/>
      <c r="Q184" s="269"/>
    </row>
    <row r="185" spans="1:17" x14ac:dyDescent="0.2">
      <c r="A185" s="216">
        <f>A183+1</f>
        <v>2</v>
      </c>
      <c r="B185" s="216" t="str">
        <f>Input!A28</f>
        <v>GSO</v>
      </c>
      <c r="C185" s="216" t="str">
        <f>'Sch M 2.1'!B30</f>
        <v>General Service - Industrial</v>
      </c>
      <c r="G185" s="269"/>
      <c r="Q185" s="269"/>
    </row>
    <row r="186" spans="1:17" x14ac:dyDescent="0.2">
      <c r="A186" s="216">
        <f>A185+1</f>
        <v>3</v>
      </c>
      <c r="C186" s="504" t="s">
        <v>216</v>
      </c>
      <c r="E186" s="267">
        <f t="shared" ref="E186:P186" si="72">E704</f>
        <v>52</v>
      </c>
      <c r="F186" s="267">
        <f t="shared" si="72"/>
        <v>52</v>
      </c>
      <c r="G186" s="267">
        <f t="shared" si="72"/>
        <v>51</v>
      </c>
      <c r="H186" s="267">
        <f t="shared" si="72"/>
        <v>51</v>
      </c>
      <c r="I186" s="267">
        <f t="shared" si="72"/>
        <v>50</v>
      </c>
      <c r="J186" s="267">
        <f t="shared" si="72"/>
        <v>51</v>
      </c>
      <c r="K186" s="267">
        <f t="shared" si="72"/>
        <v>51</v>
      </c>
      <c r="L186" s="267">
        <f t="shared" si="72"/>
        <v>51</v>
      </c>
      <c r="M186" s="267">
        <f t="shared" si="72"/>
        <v>51</v>
      </c>
      <c r="N186" s="267">
        <f t="shared" si="72"/>
        <v>52</v>
      </c>
      <c r="O186" s="267">
        <f t="shared" si="72"/>
        <v>53</v>
      </c>
      <c r="P186" s="267">
        <f t="shared" si="72"/>
        <v>53</v>
      </c>
      <c r="Q186" s="267">
        <f>SUM(E186:P186)</f>
        <v>618</v>
      </c>
    </row>
    <row r="187" spans="1:17" x14ac:dyDescent="0.2">
      <c r="A187" s="216">
        <f>A186+1</f>
        <v>4</v>
      </c>
      <c r="C187" s="504" t="s">
        <v>483</v>
      </c>
      <c r="E187" s="272">
        <f t="shared" ref="E187:P187" si="73">E713</f>
        <v>48458.8</v>
      </c>
      <c r="F187" s="272">
        <f t="shared" si="73"/>
        <v>46186.400000000001</v>
      </c>
      <c r="G187" s="272">
        <f t="shared" si="73"/>
        <v>30488.199999999997</v>
      </c>
      <c r="H187" s="272">
        <f t="shared" si="73"/>
        <v>9871.6</v>
      </c>
      <c r="I187" s="272">
        <f t="shared" si="73"/>
        <v>9771.9</v>
      </c>
      <c r="J187" s="272">
        <f t="shared" si="73"/>
        <v>6949.4</v>
      </c>
      <c r="K187" s="272">
        <f t="shared" si="73"/>
        <v>6025.1</v>
      </c>
      <c r="L187" s="272">
        <f t="shared" si="73"/>
        <v>7880.1</v>
      </c>
      <c r="M187" s="272">
        <f t="shared" si="73"/>
        <v>8890.2999999999993</v>
      </c>
      <c r="N187" s="272">
        <f t="shared" si="73"/>
        <v>13143.4</v>
      </c>
      <c r="O187" s="272">
        <f t="shared" si="73"/>
        <v>27525.699999999997</v>
      </c>
      <c r="P187" s="272">
        <f t="shared" si="73"/>
        <v>40778.5</v>
      </c>
      <c r="Q187" s="272">
        <f>SUM(E187:P187)</f>
        <v>255969.39999999997</v>
      </c>
    </row>
    <row r="188" spans="1:17" x14ac:dyDescent="0.2">
      <c r="A188" s="216">
        <f>A187+1</f>
        <v>5</v>
      </c>
      <c r="C188" s="504" t="s">
        <v>218</v>
      </c>
      <c r="E188" s="419">
        <f>E721+E730</f>
        <v>102515.62</v>
      </c>
      <c r="F188" s="419">
        <f t="shared" ref="F188:P188" si="74">F721+F730</f>
        <v>98235.22</v>
      </c>
      <c r="G188" s="419">
        <f t="shared" si="74"/>
        <v>68107.039999999994</v>
      </c>
      <c r="H188" s="419">
        <f t="shared" si="74"/>
        <v>25852.25</v>
      </c>
      <c r="I188" s="419">
        <f t="shared" si="74"/>
        <v>25457.839999999997</v>
      </c>
      <c r="J188" s="419">
        <f t="shared" si="74"/>
        <v>19125.05</v>
      </c>
      <c r="K188" s="419">
        <f t="shared" si="74"/>
        <v>16862.949999999997</v>
      </c>
      <c r="L188" s="419">
        <f t="shared" si="74"/>
        <v>20885.28</v>
      </c>
      <c r="M188" s="419">
        <f t="shared" si="74"/>
        <v>23136.36</v>
      </c>
      <c r="N188" s="419">
        <f t="shared" si="74"/>
        <v>32227.7</v>
      </c>
      <c r="O188" s="419">
        <f t="shared" si="74"/>
        <v>61219.79</v>
      </c>
      <c r="P188" s="419">
        <f t="shared" si="74"/>
        <v>87538.6</v>
      </c>
      <c r="Q188" s="419">
        <f>SUM(E188:P188)</f>
        <v>581163.69999999995</v>
      </c>
    </row>
    <row r="189" spans="1:17" x14ac:dyDescent="0.2">
      <c r="A189" s="216">
        <f>A188+1</f>
        <v>6</v>
      </c>
      <c r="C189" s="504" t="s">
        <v>219</v>
      </c>
      <c r="E189" s="419">
        <f t="shared" ref="E189:P189" si="75">E723</f>
        <v>212588.76</v>
      </c>
      <c r="F189" s="419">
        <f t="shared" si="75"/>
        <v>202619.74</v>
      </c>
      <c r="G189" s="419">
        <f t="shared" si="75"/>
        <v>133751.73000000001</v>
      </c>
      <c r="H189" s="419">
        <f t="shared" si="75"/>
        <v>43306.71</v>
      </c>
      <c r="I189" s="419">
        <f t="shared" si="75"/>
        <v>42869.33</v>
      </c>
      <c r="J189" s="419">
        <f t="shared" si="75"/>
        <v>30487.02</v>
      </c>
      <c r="K189" s="419">
        <f t="shared" si="75"/>
        <v>26432.11</v>
      </c>
      <c r="L189" s="419">
        <f t="shared" si="75"/>
        <v>34570</v>
      </c>
      <c r="M189" s="419">
        <f t="shared" si="75"/>
        <v>39001.75</v>
      </c>
      <c r="N189" s="419">
        <f t="shared" si="75"/>
        <v>57660.1</v>
      </c>
      <c r="O189" s="419">
        <f t="shared" si="75"/>
        <v>120755.25</v>
      </c>
      <c r="P189" s="419">
        <f t="shared" si="75"/>
        <v>178895.28</v>
      </c>
      <c r="Q189" s="419">
        <f>SUM(E189:P189)</f>
        <v>1122937.7799999998</v>
      </c>
    </row>
    <row r="190" spans="1:17" x14ac:dyDescent="0.2">
      <c r="A190" s="402">
        <f>A189+1</f>
        <v>7</v>
      </c>
      <c r="B190" s="402"/>
      <c r="C190" s="760" t="s">
        <v>484</v>
      </c>
      <c r="D190" s="412"/>
      <c r="E190" s="671">
        <f t="shared" ref="E190:P190" si="76">E732</f>
        <v>315104.38</v>
      </c>
      <c r="F190" s="671">
        <f t="shared" si="76"/>
        <v>300854.96000000002</v>
      </c>
      <c r="G190" s="671">
        <f t="shared" si="76"/>
        <v>201858.77000000002</v>
      </c>
      <c r="H190" s="671">
        <f t="shared" si="76"/>
        <v>69158.959999999992</v>
      </c>
      <c r="I190" s="671">
        <f t="shared" si="76"/>
        <v>68327.17</v>
      </c>
      <c r="J190" s="671">
        <f t="shared" si="76"/>
        <v>49612.07</v>
      </c>
      <c r="K190" s="671">
        <f t="shared" si="76"/>
        <v>43295.06</v>
      </c>
      <c r="L190" s="671">
        <f t="shared" si="76"/>
        <v>55455.28</v>
      </c>
      <c r="M190" s="671">
        <f t="shared" si="76"/>
        <v>62138.11</v>
      </c>
      <c r="N190" s="671">
        <f t="shared" si="76"/>
        <v>89887.8</v>
      </c>
      <c r="O190" s="671">
        <f t="shared" si="76"/>
        <v>181975.04000000001</v>
      </c>
      <c r="P190" s="671">
        <f t="shared" si="76"/>
        <v>266433.88</v>
      </c>
      <c r="Q190" s="671">
        <f>SUM(E190:P190)</f>
        <v>1704101.4800000004</v>
      </c>
    </row>
    <row r="191" spans="1:17" x14ac:dyDescent="0.2">
      <c r="A191" s="280"/>
      <c r="B191" s="280"/>
      <c r="C191" s="764"/>
      <c r="D191" s="282"/>
      <c r="E191" s="438"/>
      <c r="F191" s="438"/>
      <c r="G191" s="438"/>
      <c r="H191" s="438"/>
      <c r="I191" s="438"/>
      <c r="J191" s="438"/>
      <c r="K191" s="438"/>
      <c r="L191" s="438"/>
      <c r="M191" s="438"/>
      <c r="N191" s="438"/>
      <c r="O191" s="438"/>
      <c r="P191" s="438"/>
      <c r="Q191" s="438"/>
    </row>
    <row r="192" spans="1:17" x14ac:dyDescent="0.2">
      <c r="A192" s="216">
        <f>A190+1</f>
        <v>8</v>
      </c>
      <c r="B192" s="216" t="str">
        <f>Input!A33</f>
        <v xml:space="preserve">IS </v>
      </c>
      <c r="C192" s="216" t="str">
        <f>'Sch M 2.1'!B31</f>
        <v>Interruptible Service - Industrial</v>
      </c>
      <c r="G192" s="269"/>
      <c r="Q192" s="269"/>
    </row>
    <row r="193" spans="1:17" x14ac:dyDescent="0.2">
      <c r="A193" s="216">
        <f>A192+1</f>
        <v>9</v>
      </c>
      <c r="C193" s="504" t="s">
        <v>216</v>
      </c>
      <c r="E193" s="267">
        <f t="shared" ref="E193:P193" si="77">E757</f>
        <v>0</v>
      </c>
      <c r="F193" s="267">
        <f t="shared" si="77"/>
        <v>0</v>
      </c>
      <c r="G193" s="267">
        <f t="shared" si="77"/>
        <v>0</v>
      </c>
      <c r="H193" s="267">
        <f t="shared" si="77"/>
        <v>0</v>
      </c>
      <c r="I193" s="267">
        <f t="shared" si="77"/>
        <v>0</v>
      </c>
      <c r="J193" s="267">
        <f t="shared" si="77"/>
        <v>0</v>
      </c>
      <c r="K193" s="267">
        <f t="shared" si="77"/>
        <v>0</v>
      </c>
      <c r="L193" s="267">
        <f t="shared" si="77"/>
        <v>0</v>
      </c>
      <c r="M193" s="267">
        <f t="shared" si="77"/>
        <v>0</v>
      </c>
      <c r="N193" s="267">
        <f t="shared" si="77"/>
        <v>0</v>
      </c>
      <c r="O193" s="267">
        <f t="shared" si="77"/>
        <v>0</v>
      </c>
      <c r="P193" s="267">
        <f t="shared" si="77"/>
        <v>0</v>
      </c>
      <c r="Q193" s="267">
        <f>SUM(E193:P193)</f>
        <v>0</v>
      </c>
    </row>
    <row r="194" spans="1:17" x14ac:dyDescent="0.2">
      <c r="A194" s="216">
        <f>A193+1</f>
        <v>10</v>
      </c>
      <c r="C194" s="504" t="s">
        <v>483</v>
      </c>
      <c r="E194" s="272">
        <f t="shared" ref="E194:P194" si="78">E764</f>
        <v>0</v>
      </c>
      <c r="F194" s="272">
        <f t="shared" si="78"/>
        <v>0</v>
      </c>
      <c r="G194" s="272">
        <f t="shared" si="78"/>
        <v>0</v>
      </c>
      <c r="H194" s="272">
        <f t="shared" si="78"/>
        <v>0</v>
      </c>
      <c r="I194" s="272">
        <f t="shared" si="78"/>
        <v>0</v>
      </c>
      <c r="J194" s="272">
        <f t="shared" si="78"/>
        <v>0</v>
      </c>
      <c r="K194" s="272">
        <f t="shared" si="78"/>
        <v>0</v>
      </c>
      <c r="L194" s="272">
        <f t="shared" si="78"/>
        <v>0</v>
      </c>
      <c r="M194" s="272">
        <f t="shared" si="78"/>
        <v>0</v>
      </c>
      <c r="N194" s="272">
        <f t="shared" si="78"/>
        <v>0</v>
      </c>
      <c r="O194" s="272">
        <f t="shared" si="78"/>
        <v>0</v>
      </c>
      <c r="P194" s="272">
        <f t="shared" si="78"/>
        <v>0</v>
      </c>
      <c r="Q194" s="272">
        <f>SUM(E194:P194)</f>
        <v>0</v>
      </c>
    </row>
    <row r="195" spans="1:17" x14ac:dyDescent="0.2">
      <c r="A195" s="216">
        <f>A194+1</f>
        <v>11</v>
      </c>
      <c r="C195" s="504" t="s">
        <v>218</v>
      </c>
      <c r="E195" s="419">
        <f>E770+E779</f>
        <v>0</v>
      </c>
      <c r="F195" s="419">
        <f t="shared" ref="F195:P195" si="79">F770+F779</f>
        <v>0</v>
      </c>
      <c r="G195" s="419">
        <f t="shared" si="79"/>
        <v>0</v>
      </c>
      <c r="H195" s="419">
        <f t="shared" si="79"/>
        <v>0</v>
      </c>
      <c r="I195" s="419">
        <f t="shared" si="79"/>
        <v>0</v>
      </c>
      <c r="J195" s="419">
        <f t="shared" si="79"/>
        <v>0</v>
      </c>
      <c r="K195" s="419">
        <f t="shared" si="79"/>
        <v>0</v>
      </c>
      <c r="L195" s="419">
        <f t="shared" si="79"/>
        <v>0</v>
      </c>
      <c r="M195" s="419">
        <f t="shared" si="79"/>
        <v>0</v>
      </c>
      <c r="N195" s="419">
        <f t="shared" si="79"/>
        <v>0</v>
      </c>
      <c r="O195" s="419">
        <f t="shared" si="79"/>
        <v>0</v>
      </c>
      <c r="P195" s="419">
        <f t="shared" si="79"/>
        <v>0</v>
      </c>
      <c r="Q195" s="419">
        <f>SUM(E195:P195)</f>
        <v>0</v>
      </c>
    </row>
    <row r="196" spans="1:17" x14ac:dyDescent="0.2">
      <c r="A196" s="216">
        <f>A195+1</f>
        <v>12</v>
      </c>
      <c r="C196" s="504" t="s">
        <v>219</v>
      </c>
      <c r="E196" s="419">
        <f t="shared" ref="E196:P196" si="80">E772</f>
        <v>0</v>
      </c>
      <c r="F196" s="419">
        <f t="shared" si="80"/>
        <v>0</v>
      </c>
      <c r="G196" s="419">
        <f t="shared" si="80"/>
        <v>0</v>
      </c>
      <c r="H196" s="419">
        <f t="shared" si="80"/>
        <v>0</v>
      </c>
      <c r="I196" s="419">
        <f t="shared" si="80"/>
        <v>0</v>
      </c>
      <c r="J196" s="419">
        <f t="shared" si="80"/>
        <v>0</v>
      </c>
      <c r="K196" s="419">
        <f t="shared" si="80"/>
        <v>0</v>
      </c>
      <c r="L196" s="419">
        <f t="shared" si="80"/>
        <v>0</v>
      </c>
      <c r="M196" s="419">
        <f t="shared" si="80"/>
        <v>0</v>
      </c>
      <c r="N196" s="419">
        <f t="shared" si="80"/>
        <v>0</v>
      </c>
      <c r="O196" s="419">
        <f t="shared" si="80"/>
        <v>0</v>
      </c>
      <c r="P196" s="419">
        <f t="shared" si="80"/>
        <v>0</v>
      </c>
      <c r="Q196" s="419">
        <f>SUM(E196:P196)</f>
        <v>0</v>
      </c>
    </row>
    <row r="197" spans="1:17" x14ac:dyDescent="0.2">
      <c r="A197" s="402">
        <f>A196+1</f>
        <v>13</v>
      </c>
      <c r="B197" s="402"/>
      <c r="C197" s="760" t="s">
        <v>484</v>
      </c>
      <c r="D197" s="412"/>
      <c r="E197" s="671">
        <f t="shared" ref="E197:P197" si="81">E781</f>
        <v>0</v>
      </c>
      <c r="F197" s="671">
        <f t="shared" si="81"/>
        <v>0</v>
      </c>
      <c r="G197" s="671">
        <f t="shared" si="81"/>
        <v>0</v>
      </c>
      <c r="H197" s="671">
        <f t="shared" si="81"/>
        <v>0</v>
      </c>
      <c r="I197" s="671">
        <f t="shared" si="81"/>
        <v>0</v>
      </c>
      <c r="J197" s="671">
        <f t="shared" si="81"/>
        <v>0</v>
      </c>
      <c r="K197" s="671">
        <f t="shared" si="81"/>
        <v>0</v>
      </c>
      <c r="L197" s="671">
        <f t="shared" si="81"/>
        <v>0</v>
      </c>
      <c r="M197" s="671">
        <f t="shared" si="81"/>
        <v>0</v>
      </c>
      <c r="N197" s="671">
        <f t="shared" si="81"/>
        <v>0</v>
      </c>
      <c r="O197" s="671">
        <f t="shared" si="81"/>
        <v>0</v>
      </c>
      <c r="P197" s="671">
        <f t="shared" si="81"/>
        <v>0</v>
      </c>
      <c r="Q197" s="671">
        <f>SUM(E197:P197)</f>
        <v>0</v>
      </c>
    </row>
    <row r="198" spans="1:17" x14ac:dyDescent="0.2">
      <c r="E198" s="417"/>
      <c r="F198" s="417"/>
      <c r="G198" s="417"/>
      <c r="H198" s="417"/>
      <c r="I198" s="417"/>
      <c r="J198" s="417"/>
      <c r="K198" s="417"/>
      <c r="L198" s="417"/>
      <c r="M198" s="417"/>
      <c r="N198" s="417"/>
      <c r="O198" s="417"/>
      <c r="P198" s="417"/>
      <c r="Q198" s="417"/>
    </row>
    <row r="199" spans="1:17" x14ac:dyDescent="0.2">
      <c r="A199" s="216">
        <f>A197+1</f>
        <v>14</v>
      </c>
      <c r="B199" s="216" t="str">
        <f>Input!A34</f>
        <v>IUS</v>
      </c>
      <c r="C199" s="216" t="str">
        <f>'Sch M 2.1'!B32</f>
        <v>Intrastate Utility Service - Wholesale</v>
      </c>
      <c r="G199" s="269"/>
      <c r="Q199" s="269"/>
    </row>
    <row r="200" spans="1:17" x14ac:dyDescent="0.2">
      <c r="A200" s="216">
        <f>A199+1</f>
        <v>15</v>
      </c>
      <c r="C200" s="504" t="s">
        <v>216</v>
      </c>
      <c r="E200" s="267">
        <f t="shared" ref="E200:P200" si="82">E788</f>
        <v>2</v>
      </c>
      <c r="F200" s="267">
        <f t="shared" si="82"/>
        <v>2</v>
      </c>
      <c r="G200" s="267">
        <f t="shared" si="82"/>
        <v>2</v>
      </c>
      <c r="H200" s="267">
        <f t="shared" si="82"/>
        <v>2</v>
      </c>
      <c r="I200" s="267">
        <f t="shared" si="82"/>
        <v>2</v>
      </c>
      <c r="J200" s="267">
        <f t="shared" si="82"/>
        <v>2</v>
      </c>
      <c r="K200" s="267">
        <f t="shared" si="82"/>
        <v>2</v>
      </c>
      <c r="L200" s="267">
        <f t="shared" si="82"/>
        <v>2</v>
      </c>
      <c r="M200" s="267">
        <f t="shared" si="82"/>
        <v>2</v>
      </c>
      <c r="N200" s="267">
        <f t="shared" si="82"/>
        <v>2</v>
      </c>
      <c r="O200" s="267">
        <f t="shared" si="82"/>
        <v>2</v>
      </c>
      <c r="P200" s="267">
        <f t="shared" si="82"/>
        <v>2</v>
      </c>
      <c r="Q200" s="267">
        <f>SUM(E200:P200)</f>
        <v>24</v>
      </c>
    </row>
    <row r="201" spans="1:17" x14ac:dyDescent="0.2">
      <c r="A201" s="216">
        <f>A200+1</f>
        <v>16</v>
      </c>
      <c r="C201" s="504" t="s">
        <v>483</v>
      </c>
      <c r="E201" s="272">
        <f t="shared" ref="E201:P201" si="83">E792</f>
        <v>1938.9</v>
      </c>
      <c r="F201" s="272">
        <f t="shared" si="83"/>
        <v>1673.4</v>
      </c>
      <c r="G201" s="272">
        <f t="shared" si="83"/>
        <v>1850.8</v>
      </c>
      <c r="H201" s="272">
        <f t="shared" si="83"/>
        <v>714.5</v>
      </c>
      <c r="I201" s="272">
        <f t="shared" si="83"/>
        <v>576.5</v>
      </c>
      <c r="J201" s="272">
        <f t="shared" si="83"/>
        <v>489.9</v>
      </c>
      <c r="K201" s="272">
        <f t="shared" si="83"/>
        <v>341.7</v>
      </c>
      <c r="L201" s="272">
        <f t="shared" si="83"/>
        <v>376.6</v>
      </c>
      <c r="M201" s="272">
        <f t="shared" si="83"/>
        <v>306.3</v>
      </c>
      <c r="N201" s="272">
        <f t="shared" si="83"/>
        <v>562.5</v>
      </c>
      <c r="O201" s="272">
        <f t="shared" si="83"/>
        <v>936.2</v>
      </c>
      <c r="P201" s="272">
        <f t="shared" si="83"/>
        <v>1483.9</v>
      </c>
      <c r="Q201" s="272">
        <f>SUM(E201:P201)</f>
        <v>11251.2</v>
      </c>
    </row>
    <row r="202" spans="1:17" x14ac:dyDescent="0.2">
      <c r="A202" s="216">
        <f>A201+1</f>
        <v>17</v>
      </c>
      <c r="C202" s="504" t="s">
        <v>218</v>
      </c>
      <c r="E202" s="419">
        <f>E795+E804</f>
        <v>3641.7000000000003</v>
      </c>
      <c r="F202" s="419">
        <f t="shared" ref="F202:P202" si="84">F795+F804</f>
        <v>3355.33</v>
      </c>
      <c r="G202" s="419">
        <f t="shared" si="84"/>
        <v>3546.67</v>
      </c>
      <c r="H202" s="419">
        <f t="shared" si="84"/>
        <v>2321.06</v>
      </c>
      <c r="I202" s="419">
        <f t="shared" si="84"/>
        <v>2172.21</v>
      </c>
      <c r="J202" s="419">
        <f t="shared" si="84"/>
        <v>2078.8000000000002</v>
      </c>
      <c r="K202" s="419">
        <f t="shared" si="84"/>
        <v>1918.96</v>
      </c>
      <c r="L202" s="419">
        <f t="shared" si="84"/>
        <v>1956.6000000000001</v>
      </c>
      <c r="M202" s="419">
        <f t="shared" si="84"/>
        <v>1880.77</v>
      </c>
      <c r="N202" s="419">
        <f t="shared" si="84"/>
        <v>2157.11</v>
      </c>
      <c r="O202" s="419">
        <f t="shared" si="84"/>
        <v>2560.1800000000003</v>
      </c>
      <c r="P202" s="419">
        <f t="shared" si="84"/>
        <v>3150.93</v>
      </c>
      <c r="Q202" s="419">
        <f>SUM(E202:P202)</f>
        <v>30740.32</v>
      </c>
    </row>
    <row r="203" spans="1:17" x14ac:dyDescent="0.2">
      <c r="A203" s="216">
        <f>A202+1</f>
        <v>18</v>
      </c>
      <c r="C203" s="504" t="s">
        <v>219</v>
      </c>
      <c r="E203" s="419">
        <f t="shared" ref="E203:P203" si="85">E797</f>
        <v>8505.9500000000007</v>
      </c>
      <c r="F203" s="419">
        <f t="shared" si="85"/>
        <v>7341.21</v>
      </c>
      <c r="G203" s="419">
        <f t="shared" si="85"/>
        <v>8119.46</v>
      </c>
      <c r="H203" s="419">
        <f t="shared" si="85"/>
        <v>3134.51</v>
      </c>
      <c r="I203" s="419">
        <f t="shared" si="85"/>
        <v>2529.11</v>
      </c>
      <c r="J203" s="419">
        <f t="shared" si="85"/>
        <v>2149.19</v>
      </c>
      <c r="K203" s="419">
        <f t="shared" si="85"/>
        <v>1499.04</v>
      </c>
      <c r="L203" s="419">
        <f t="shared" si="85"/>
        <v>1652.14</v>
      </c>
      <c r="M203" s="419">
        <f t="shared" si="85"/>
        <v>1343.74</v>
      </c>
      <c r="N203" s="419">
        <f t="shared" si="85"/>
        <v>2467.69</v>
      </c>
      <c r="O203" s="419">
        <f t="shared" si="85"/>
        <v>4107.1099999999997</v>
      </c>
      <c r="P203" s="419">
        <f t="shared" si="85"/>
        <v>6509.87</v>
      </c>
      <c r="Q203" s="419">
        <f>SUM(E203:P203)</f>
        <v>49359.02</v>
      </c>
    </row>
    <row r="204" spans="1:17" x14ac:dyDescent="0.2">
      <c r="A204" s="402">
        <f>A203+1</f>
        <v>19</v>
      </c>
      <c r="B204" s="402"/>
      <c r="C204" s="760" t="s">
        <v>484</v>
      </c>
      <c r="D204" s="412"/>
      <c r="E204" s="671">
        <f t="shared" ref="E204:P204" si="86">E806</f>
        <v>12147.650000000001</v>
      </c>
      <c r="F204" s="671">
        <f t="shared" si="86"/>
        <v>10696.54</v>
      </c>
      <c r="G204" s="671">
        <f t="shared" si="86"/>
        <v>11666.13</v>
      </c>
      <c r="H204" s="671">
        <f t="shared" si="86"/>
        <v>5455.5700000000006</v>
      </c>
      <c r="I204" s="671">
        <f t="shared" si="86"/>
        <v>4701.32</v>
      </c>
      <c r="J204" s="671">
        <f t="shared" si="86"/>
        <v>4227.99</v>
      </c>
      <c r="K204" s="671">
        <f t="shared" si="86"/>
        <v>3418</v>
      </c>
      <c r="L204" s="671">
        <f t="shared" si="86"/>
        <v>3608.7400000000002</v>
      </c>
      <c r="M204" s="671">
        <f t="shared" si="86"/>
        <v>3224.5099999999998</v>
      </c>
      <c r="N204" s="671">
        <f t="shared" si="86"/>
        <v>4624.8</v>
      </c>
      <c r="O204" s="671">
        <f t="shared" si="86"/>
        <v>6667.29</v>
      </c>
      <c r="P204" s="671">
        <f t="shared" si="86"/>
        <v>9660.7999999999993</v>
      </c>
      <c r="Q204" s="671">
        <f>SUM(E204:P204)</f>
        <v>80099.34</v>
      </c>
    </row>
    <row r="205" spans="1:17" x14ac:dyDescent="0.2">
      <c r="A205" s="280"/>
      <c r="B205" s="280"/>
      <c r="C205" s="764"/>
      <c r="D205" s="282"/>
      <c r="E205" s="438"/>
      <c r="F205" s="438"/>
      <c r="G205" s="438"/>
      <c r="H205" s="438"/>
      <c r="I205" s="438"/>
      <c r="J205" s="438"/>
      <c r="K205" s="438"/>
      <c r="L205" s="438"/>
      <c r="M205" s="438"/>
      <c r="N205" s="438"/>
      <c r="O205" s="438"/>
      <c r="P205" s="438"/>
      <c r="Q205" s="438"/>
    </row>
    <row r="206" spans="1:17" x14ac:dyDescent="0.2">
      <c r="G206" s="269"/>
      <c r="Q206" s="269"/>
    </row>
    <row r="207" spans="1:17" x14ac:dyDescent="0.2">
      <c r="A207" s="216" t="str">
        <f>$A$108</f>
        <v>[1] Reflects Normalized Volumes.</v>
      </c>
      <c r="G207" s="269"/>
      <c r="Q207" s="269"/>
    </row>
    <row r="208" spans="1:17" x14ac:dyDescent="0.2">
      <c r="A208" s="411" t="str">
        <f>$A$109</f>
        <v>[2] See Schedule M-2.2 Pages 8 through 21 for detail.</v>
      </c>
      <c r="G208" s="269"/>
      <c r="Q208" s="269"/>
    </row>
    <row r="209" spans="1:17" ht="10.5" x14ac:dyDescent="0.25">
      <c r="A209" s="817" t="str">
        <f>CONAME</f>
        <v>Columbia Gas of Kentucky, Inc.</v>
      </c>
      <c r="B209" s="817"/>
      <c r="C209" s="817"/>
      <c r="D209" s="817"/>
      <c r="E209" s="817"/>
      <c r="F209" s="817"/>
      <c r="G209" s="817"/>
      <c r="H209" s="817"/>
      <c r="I209" s="817"/>
      <c r="J209" s="817"/>
      <c r="K209" s="817"/>
      <c r="L209" s="817"/>
      <c r="M209" s="817"/>
      <c r="N209" s="817"/>
      <c r="O209" s="817"/>
      <c r="P209" s="817"/>
      <c r="Q209" s="817"/>
    </row>
    <row r="210" spans="1:17" ht="10.5" x14ac:dyDescent="0.25">
      <c r="A210" s="800" t="str">
        <f>case</f>
        <v>Case No. 2021-00183</v>
      </c>
      <c r="B210" s="800"/>
      <c r="C210" s="800"/>
      <c r="D210" s="800"/>
      <c r="E210" s="800"/>
      <c r="F210" s="800"/>
      <c r="G210" s="800"/>
      <c r="H210" s="800"/>
      <c r="I210" s="800"/>
      <c r="J210" s="800"/>
      <c r="K210" s="800"/>
      <c r="L210" s="800"/>
      <c r="M210" s="800"/>
      <c r="N210" s="800"/>
      <c r="O210" s="800"/>
      <c r="P210" s="800"/>
      <c r="Q210" s="800"/>
    </row>
    <row r="211" spans="1:17" ht="10.5" x14ac:dyDescent="0.25">
      <c r="A211" s="815" t="s">
        <v>414</v>
      </c>
      <c r="B211" s="815"/>
      <c r="C211" s="815"/>
      <c r="D211" s="815"/>
      <c r="E211" s="815"/>
      <c r="F211" s="815"/>
      <c r="G211" s="815"/>
      <c r="H211" s="815"/>
      <c r="I211" s="815"/>
      <c r="J211" s="815"/>
      <c r="K211" s="815"/>
      <c r="L211" s="815"/>
      <c r="M211" s="815"/>
      <c r="N211" s="815"/>
      <c r="O211" s="815"/>
      <c r="P211" s="815"/>
      <c r="Q211" s="815"/>
    </row>
    <row r="212" spans="1:17" ht="10.5" x14ac:dyDescent="0.25">
      <c r="A212" s="817" t="str">
        <f>TYDESC</f>
        <v>For the 12 Months Ended December 31, 2022</v>
      </c>
      <c r="B212" s="817"/>
      <c r="C212" s="817"/>
      <c r="D212" s="817"/>
      <c r="E212" s="817"/>
      <c r="F212" s="817"/>
      <c r="G212" s="817"/>
      <c r="H212" s="817"/>
      <c r="I212" s="817"/>
      <c r="J212" s="817"/>
      <c r="K212" s="817"/>
      <c r="L212" s="817"/>
      <c r="M212" s="817"/>
      <c r="N212" s="817"/>
      <c r="O212" s="817"/>
      <c r="P212" s="817"/>
      <c r="Q212" s="817"/>
    </row>
    <row r="213" spans="1:17" ht="10.5" x14ac:dyDescent="0.25">
      <c r="A213" s="814" t="s">
        <v>39</v>
      </c>
      <c r="B213" s="814"/>
      <c r="C213" s="814"/>
      <c r="D213" s="814"/>
      <c r="E213" s="814"/>
      <c r="F213" s="814"/>
      <c r="G213" s="814"/>
      <c r="H213" s="814"/>
      <c r="I213" s="814"/>
      <c r="J213" s="814"/>
      <c r="K213" s="814"/>
      <c r="L213" s="814"/>
      <c r="M213" s="814"/>
      <c r="N213" s="814"/>
      <c r="O213" s="814"/>
      <c r="P213" s="814"/>
      <c r="Q213" s="814"/>
    </row>
    <row r="214" spans="1:17" ht="10.5" x14ac:dyDescent="0.25">
      <c r="A214" s="245" t="str">
        <f>$A$52</f>
        <v>Data: __ Base Period _X_ Forecasted Period</v>
      </c>
    </row>
    <row r="215" spans="1:17" ht="10.5" x14ac:dyDescent="0.25">
      <c r="A215" s="245" t="str">
        <f>$A$53</f>
        <v>Type of Filing: X Original _ Update _ Revised</v>
      </c>
      <c r="Q215" s="583" t="str">
        <f>$Q$53</f>
        <v>Schedule M-2.2</v>
      </c>
    </row>
    <row r="216" spans="1:17" ht="10.5" x14ac:dyDescent="0.25">
      <c r="A216" s="245" t="str">
        <f>$A$54</f>
        <v>Work Paper Reference No(s):</v>
      </c>
      <c r="Q216" s="583" t="s">
        <v>419</v>
      </c>
    </row>
    <row r="217" spans="1:17" ht="10.5" x14ac:dyDescent="0.25">
      <c r="A217" s="373" t="str">
        <f>$A$55</f>
        <v>12 Months Forecasted</v>
      </c>
      <c r="Q217" s="583" t="str">
        <f>Witness</f>
        <v>Witness:  Judith L. Siegler</v>
      </c>
    </row>
    <row r="218" spans="1:17" ht="10.5" x14ac:dyDescent="0.25">
      <c r="A218" s="816" t="s">
        <v>191</v>
      </c>
      <c r="B218" s="816"/>
      <c r="C218" s="816"/>
      <c r="D218" s="816"/>
      <c r="E218" s="816"/>
      <c r="F218" s="816"/>
      <c r="G218" s="816"/>
      <c r="H218" s="816"/>
      <c r="I218" s="816"/>
      <c r="J218" s="816"/>
      <c r="K218" s="816"/>
      <c r="L218" s="816"/>
      <c r="M218" s="816"/>
      <c r="N218" s="816"/>
      <c r="O218" s="816"/>
      <c r="P218" s="816"/>
      <c r="Q218" s="816"/>
    </row>
    <row r="219" spans="1:17" ht="10.5" x14ac:dyDescent="0.25">
      <c r="A219" s="732"/>
      <c r="B219" s="732"/>
      <c r="C219" s="732"/>
      <c r="D219" s="732"/>
      <c r="E219" s="732"/>
      <c r="F219" s="732"/>
      <c r="G219" s="732"/>
      <c r="H219" s="732"/>
      <c r="I219" s="732"/>
      <c r="J219" s="732"/>
      <c r="K219" s="732"/>
      <c r="L219" s="732"/>
      <c r="M219" s="732"/>
      <c r="N219" s="732"/>
      <c r="O219" s="732"/>
      <c r="P219" s="732"/>
      <c r="Q219" s="732"/>
    </row>
    <row r="220" spans="1:17" ht="10.5" x14ac:dyDescent="0.25">
      <c r="A220" s="727"/>
      <c r="B220" s="727"/>
      <c r="C220" s="727"/>
      <c r="D220" s="731"/>
      <c r="E220" s="584"/>
      <c r="F220" s="587"/>
      <c r="G220" s="584"/>
      <c r="H220" s="730"/>
      <c r="I220" s="584"/>
      <c r="J220" s="584"/>
      <c r="K220" s="584"/>
      <c r="L220" s="584"/>
      <c r="M220" s="584"/>
      <c r="N220" s="584"/>
      <c r="O220" s="727"/>
      <c r="P220" s="727"/>
      <c r="Q220" s="727"/>
    </row>
    <row r="221" spans="1:17" ht="10.5" x14ac:dyDescent="0.25">
      <c r="A221" s="727" t="s">
        <v>1</v>
      </c>
      <c r="B221" s="727" t="s">
        <v>0</v>
      </c>
      <c r="C221" s="727" t="s">
        <v>41</v>
      </c>
      <c r="D221" s="731" t="s">
        <v>47</v>
      </c>
      <c r="E221" s="584"/>
      <c r="F221" s="587"/>
      <c r="G221" s="584"/>
      <c r="H221" s="730"/>
      <c r="I221" s="584"/>
      <c r="J221" s="584"/>
      <c r="K221" s="584"/>
      <c r="L221" s="584"/>
      <c r="M221" s="584"/>
      <c r="N221" s="584"/>
      <c r="O221" s="732"/>
      <c r="P221" s="732"/>
      <c r="Q221" s="732"/>
    </row>
    <row r="222" spans="1:17" ht="10.5" x14ac:dyDescent="0.25">
      <c r="A222" s="263" t="s">
        <v>3</v>
      </c>
      <c r="B222" s="263" t="s">
        <v>40</v>
      </c>
      <c r="C222" s="263" t="s">
        <v>4</v>
      </c>
      <c r="D222" s="756" t="s">
        <v>48</v>
      </c>
      <c r="E222" s="380" t="str">
        <f>B!$D$11</f>
        <v>Jan-22</v>
      </c>
      <c r="F222" s="380" t="str">
        <f>B!$E$11</f>
        <v>Feb-22</v>
      </c>
      <c r="G222" s="380" t="str">
        <f>B!$F$11</f>
        <v>Mar-22</v>
      </c>
      <c r="H222" s="380" t="str">
        <f>B!$G$11</f>
        <v>Apr-22</v>
      </c>
      <c r="I222" s="380" t="str">
        <f>B!$H$11</f>
        <v>May-22</v>
      </c>
      <c r="J222" s="380" t="str">
        <f>B!$I$11</f>
        <v>Jun-22</v>
      </c>
      <c r="K222" s="380" t="str">
        <f>B!$J$11</f>
        <v>Jul-22</v>
      </c>
      <c r="L222" s="380" t="str">
        <f>B!$K$11</f>
        <v>Aug-22</v>
      </c>
      <c r="M222" s="380" t="str">
        <f>B!$L$11</f>
        <v>Sep-22</v>
      </c>
      <c r="N222" s="380" t="str">
        <f>B!$M$11</f>
        <v>Oct-22</v>
      </c>
      <c r="O222" s="380" t="str">
        <f>B!$N$11</f>
        <v>Nov-22</v>
      </c>
      <c r="P222" s="380" t="str">
        <f>B!$O$11</f>
        <v>Dec-22</v>
      </c>
      <c r="Q222" s="380" t="s">
        <v>9</v>
      </c>
    </row>
    <row r="223" spans="1:17" ht="10.5" x14ac:dyDescent="0.25">
      <c r="A223" s="727"/>
      <c r="B223" s="732" t="s">
        <v>42</v>
      </c>
      <c r="C223" s="732" t="s">
        <v>43</v>
      </c>
      <c r="D223" s="757" t="s">
        <v>45</v>
      </c>
      <c r="E223" s="586" t="s">
        <v>46</v>
      </c>
      <c r="F223" s="586" t="s">
        <v>49</v>
      </c>
      <c r="G223" s="586" t="s">
        <v>50</v>
      </c>
      <c r="H223" s="586" t="s">
        <v>51</v>
      </c>
      <c r="I223" s="586" t="s">
        <v>52</v>
      </c>
      <c r="J223" s="586" t="s">
        <v>53</v>
      </c>
      <c r="K223" s="588" t="s">
        <v>54</v>
      </c>
      <c r="L223" s="588" t="s">
        <v>55</v>
      </c>
      <c r="M223" s="588" t="s">
        <v>56</v>
      </c>
      <c r="N223" s="588" t="s">
        <v>57</v>
      </c>
      <c r="O223" s="588" t="s">
        <v>58</v>
      </c>
      <c r="P223" s="588" t="s">
        <v>59</v>
      </c>
      <c r="Q223" s="588" t="s">
        <v>200</v>
      </c>
    </row>
    <row r="224" spans="1:17" ht="10.5" x14ac:dyDescent="0.25">
      <c r="A224" s="727"/>
      <c r="B224" s="732"/>
      <c r="C224" s="732"/>
      <c r="D224" s="757"/>
      <c r="E224" s="586"/>
      <c r="F224" s="586"/>
      <c r="G224" s="586"/>
      <c r="H224" s="586"/>
      <c r="I224" s="586"/>
      <c r="J224" s="588"/>
      <c r="K224" s="588"/>
      <c r="L224" s="588"/>
      <c r="M224" s="588"/>
      <c r="N224" s="588"/>
      <c r="O224" s="588"/>
      <c r="P224" s="588"/>
      <c r="Q224" s="588"/>
    </row>
    <row r="225" spans="1:17" ht="10.5" x14ac:dyDescent="0.25">
      <c r="A225" s="216">
        <v>1</v>
      </c>
      <c r="C225" s="742" t="s">
        <v>95</v>
      </c>
    </row>
    <row r="227" spans="1:17" x14ac:dyDescent="0.2">
      <c r="A227" s="216">
        <f>A225+1</f>
        <v>2</v>
      </c>
      <c r="B227" s="216" t="str">
        <f>Input!A38</f>
        <v>GTR</v>
      </c>
      <c r="C227" s="216" t="str">
        <f>'Sch M 2.1'!B36</f>
        <v xml:space="preserve">GTS Choice - Residential </v>
      </c>
      <c r="G227" s="269"/>
      <c r="Q227" s="269"/>
    </row>
    <row r="228" spans="1:17" x14ac:dyDescent="0.2">
      <c r="A228" s="216">
        <f>A227+1</f>
        <v>3</v>
      </c>
      <c r="C228" s="504" t="s">
        <v>216</v>
      </c>
      <c r="E228" s="267">
        <f t="shared" ref="E228:P228" si="87">E830</f>
        <v>14412</v>
      </c>
      <c r="F228" s="267">
        <f t="shared" si="87"/>
        <v>14308</v>
      </c>
      <c r="G228" s="267">
        <f t="shared" si="87"/>
        <v>14237</v>
      </c>
      <c r="H228" s="267">
        <f t="shared" si="87"/>
        <v>14116</v>
      </c>
      <c r="I228" s="267">
        <f t="shared" si="87"/>
        <v>14041</v>
      </c>
      <c r="J228" s="267">
        <f t="shared" si="87"/>
        <v>13964</v>
      </c>
      <c r="K228" s="267">
        <f t="shared" si="87"/>
        <v>13875</v>
      </c>
      <c r="L228" s="267">
        <f t="shared" si="87"/>
        <v>13809</v>
      </c>
      <c r="M228" s="267">
        <f t="shared" si="87"/>
        <v>13699</v>
      </c>
      <c r="N228" s="267">
        <f t="shared" si="87"/>
        <v>13597</v>
      </c>
      <c r="O228" s="267">
        <f t="shared" si="87"/>
        <v>13511</v>
      </c>
      <c r="P228" s="267">
        <f t="shared" si="87"/>
        <v>13424</v>
      </c>
      <c r="Q228" s="267">
        <f>SUM(E228:P228)</f>
        <v>166993</v>
      </c>
    </row>
    <row r="229" spans="1:17" x14ac:dyDescent="0.2">
      <c r="A229" s="216">
        <f>A228+1</f>
        <v>4</v>
      </c>
      <c r="C229" s="504" t="s">
        <v>483</v>
      </c>
      <c r="E229" s="272">
        <f t="shared" ref="E229:P229" si="88">E834</f>
        <v>212675.3</v>
      </c>
      <c r="F229" s="272">
        <f t="shared" si="88"/>
        <v>214378.7</v>
      </c>
      <c r="G229" s="272">
        <f t="shared" si="88"/>
        <v>164319.6</v>
      </c>
      <c r="H229" s="272">
        <f t="shared" si="88"/>
        <v>95714.2</v>
      </c>
      <c r="I229" s="272">
        <f t="shared" si="88"/>
        <v>41538.6</v>
      </c>
      <c r="J229" s="272">
        <f t="shared" si="88"/>
        <v>20296.2</v>
      </c>
      <c r="K229" s="272">
        <f t="shared" si="88"/>
        <v>10992.1</v>
      </c>
      <c r="L229" s="272">
        <f t="shared" si="88"/>
        <v>11810.7</v>
      </c>
      <c r="M229" s="272">
        <f t="shared" si="88"/>
        <v>13181.9</v>
      </c>
      <c r="N229" s="272">
        <f t="shared" si="88"/>
        <v>24764.3</v>
      </c>
      <c r="O229" s="272">
        <f t="shared" si="88"/>
        <v>64840.6</v>
      </c>
      <c r="P229" s="272">
        <f t="shared" si="88"/>
        <v>148097.5</v>
      </c>
      <c r="Q229" s="272">
        <f>SUM(E229:P229)</f>
        <v>1022609.6999999998</v>
      </c>
    </row>
    <row r="230" spans="1:17" x14ac:dyDescent="0.2">
      <c r="A230" s="216">
        <f>A229+1</f>
        <v>5</v>
      </c>
      <c r="C230" s="504" t="s">
        <v>218</v>
      </c>
      <c r="E230" s="419">
        <f>E837+E847</f>
        <v>1036134.85</v>
      </c>
      <c r="F230" s="419">
        <f t="shared" ref="F230:P230" si="89">F837+F847</f>
        <v>1039338.46</v>
      </c>
      <c r="G230" s="419">
        <f t="shared" si="89"/>
        <v>872574.89999999991</v>
      </c>
      <c r="H230" s="419">
        <f t="shared" si="89"/>
        <v>643477.23</v>
      </c>
      <c r="I230" s="419">
        <f t="shared" si="89"/>
        <v>463042.94999999995</v>
      </c>
      <c r="J230" s="419">
        <f t="shared" si="89"/>
        <v>391189.06999999995</v>
      </c>
      <c r="K230" s="419">
        <f t="shared" si="89"/>
        <v>358433.83999999997</v>
      </c>
      <c r="L230" s="419">
        <f t="shared" si="89"/>
        <v>359601.38999999996</v>
      </c>
      <c r="M230" s="419">
        <f t="shared" si="89"/>
        <v>361569.95999999996</v>
      </c>
      <c r="N230" s="419">
        <f t="shared" si="89"/>
        <v>397404.92000000004</v>
      </c>
      <c r="O230" s="419">
        <f t="shared" si="89"/>
        <v>527595.64999999991</v>
      </c>
      <c r="P230" s="419">
        <f t="shared" si="89"/>
        <v>800190.07</v>
      </c>
      <c r="Q230" s="419">
        <f>SUM(E230:P230)</f>
        <v>7250553.2899999991</v>
      </c>
    </row>
    <row r="231" spans="1:17" x14ac:dyDescent="0.2">
      <c r="A231" s="216">
        <f>A230+1</f>
        <v>6</v>
      </c>
      <c r="C231" s="504" t="s">
        <v>219</v>
      </c>
      <c r="E231" s="419">
        <f t="shared" ref="E231:P231" si="90">E839</f>
        <v>0</v>
      </c>
      <c r="F231" s="419">
        <f t="shared" si="90"/>
        <v>0</v>
      </c>
      <c r="G231" s="419">
        <f t="shared" si="90"/>
        <v>0</v>
      </c>
      <c r="H231" s="419">
        <f t="shared" si="90"/>
        <v>0</v>
      </c>
      <c r="I231" s="419">
        <f t="shared" si="90"/>
        <v>0</v>
      </c>
      <c r="J231" s="419">
        <f t="shared" si="90"/>
        <v>0</v>
      </c>
      <c r="K231" s="419">
        <f t="shared" si="90"/>
        <v>0</v>
      </c>
      <c r="L231" s="419">
        <f t="shared" si="90"/>
        <v>0</v>
      </c>
      <c r="M231" s="419">
        <f t="shared" si="90"/>
        <v>0</v>
      </c>
      <c r="N231" s="419">
        <f t="shared" si="90"/>
        <v>0</v>
      </c>
      <c r="O231" s="419">
        <f t="shared" si="90"/>
        <v>0</v>
      </c>
      <c r="P231" s="419">
        <f t="shared" si="90"/>
        <v>0</v>
      </c>
      <c r="Q231" s="419">
        <f>SUM(E231:P231)</f>
        <v>0</v>
      </c>
    </row>
    <row r="232" spans="1:17" x14ac:dyDescent="0.2">
      <c r="A232" s="402">
        <f>A231+1</f>
        <v>7</v>
      </c>
      <c r="B232" s="402"/>
      <c r="C232" s="760" t="s">
        <v>484</v>
      </c>
      <c r="D232" s="412"/>
      <c r="E232" s="671">
        <f t="shared" ref="E232:P232" si="91">E849</f>
        <v>1036134.85</v>
      </c>
      <c r="F232" s="671">
        <f t="shared" si="91"/>
        <v>1039338.46</v>
      </c>
      <c r="G232" s="671">
        <f t="shared" si="91"/>
        <v>872574.89999999991</v>
      </c>
      <c r="H232" s="671">
        <f t="shared" si="91"/>
        <v>643477.23</v>
      </c>
      <c r="I232" s="671">
        <f t="shared" si="91"/>
        <v>463042.94999999995</v>
      </c>
      <c r="J232" s="671">
        <f t="shared" si="91"/>
        <v>391189.06999999995</v>
      </c>
      <c r="K232" s="671">
        <f t="shared" si="91"/>
        <v>358433.83999999997</v>
      </c>
      <c r="L232" s="671">
        <f t="shared" si="91"/>
        <v>359601.38999999996</v>
      </c>
      <c r="M232" s="671">
        <f t="shared" si="91"/>
        <v>361569.95999999996</v>
      </c>
      <c r="N232" s="671">
        <f t="shared" si="91"/>
        <v>397404.92000000004</v>
      </c>
      <c r="O232" s="671">
        <f t="shared" si="91"/>
        <v>527595.64999999991</v>
      </c>
      <c r="P232" s="671">
        <f t="shared" si="91"/>
        <v>800190.07</v>
      </c>
      <c r="Q232" s="671">
        <f>SUM(E232:P232)</f>
        <v>7250553.2899999991</v>
      </c>
    </row>
    <row r="233" spans="1:17" x14ac:dyDescent="0.2">
      <c r="C233" s="764"/>
      <c r="G233" s="269"/>
      <c r="Q233" s="269"/>
    </row>
    <row r="234" spans="1:17" x14ac:dyDescent="0.2">
      <c r="A234" s="216">
        <f>A232+1</f>
        <v>8</v>
      </c>
      <c r="B234" s="216" t="str">
        <f>Input!A39</f>
        <v>GTO</v>
      </c>
      <c r="C234" s="216" t="str">
        <f>'Sch M 2.1'!B37</f>
        <v>GTS Choice - Commercial</v>
      </c>
      <c r="G234" s="269"/>
      <c r="Q234" s="269"/>
    </row>
    <row r="235" spans="1:17" x14ac:dyDescent="0.2">
      <c r="A235" s="216">
        <f>A234+1</f>
        <v>9</v>
      </c>
      <c r="C235" s="504" t="s">
        <v>216</v>
      </c>
      <c r="E235" s="267">
        <f t="shared" ref="E235:P235" si="92">E856</f>
        <v>2990</v>
      </c>
      <c r="F235" s="267">
        <f t="shared" si="92"/>
        <v>2989</v>
      </c>
      <c r="G235" s="267">
        <f t="shared" si="92"/>
        <v>3221</v>
      </c>
      <c r="H235" s="267">
        <f t="shared" si="92"/>
        <v>3224</v>
      </c>
      <c r="I235" s="267">
        <f t="shared" si="92"/>
        <v>3231</v>
      </c>
      <c r="J235" s="267">
        <f t="shared" si="92"/>
        <v>3234</v>
      </c>
      <c r="K235" s="267">
        <f t="shared" si="92"/>
        <v>3237</v>
      </c>
      <c r="L235" s="267">
        <f t="shared" si="92"/>
        <v>3238</v>
      </c>
      <c r="M235" s="267">
        <f t="shared" si="92"/>
        <v>3227</v>
      </c>
      <c r="N235" s="267">
        <f t="shared" si="92"/>
        <v>3233</v>
      </c>
      <c r="O235" s="267">
        <f t="shared" si="92"/>
        <v>3232</v>
      </c>
      <c r="P235" s="267">
        <f t="shared" si="92"/>
        <v>3230</v>
      </c>
      <c r="Q235" s="267">
        <f>SUM(E235:P235)</f>
        <v>38286</v>
      </c>
    </row>
    <row r="236" spans="1:17" x14ac:dyDescent="0.2">
      <c r="A236" s="216">
        <f>A235+1</f>
        <v>10</v>
      </c>
      <c r="C236" s="504" t="s">
        <v>483</v>
      </c>
      <c r="E236" s="272">
        <f t="shared" ref="E236:P236" si="93">E865</f>
        <v>275894.2</v>
      </c>
      <c r="F236" s="272">
        <f t="shared" si="93"/>
        <v>264119.09999999998</v>
      </c>
      <c r="G236" s="272">
        <f t="shared" si="93"/>
        <v>222962.49999999997</v>
      </c>
      <c r="H236" s="272">
        <f t="shared" si="93"/>
        <v>117802.60000000002</v>
      </c>
      <c r="I236" s="272">
        <f t="shared" si="93"/>
        <v>79632.899999999994</v>
      </c>
      <c r="J236" s="272">
        <f t="shared" si="93"/>
        <v>54193.900000000009</v>
      </c>
      <c r="K236" s="272">
        <f t="shared" si="93"/>
        <v>40601.199999999997</v>
      </c>
      <c r="L236" s="272">
        <f t="shared" si="93"/>
        <v>38563.300000000003</v>
      </c>
      <c r="M236" s="272">
        <f t="shared" si="93"/>
        <v>42788.4</v>
      </c>
      <c r="N236" s="272">
        <f t="shared" si="93"/>
        <v>52457.999999999993</v>
      </c>
      <c r="O236" s="272">
        <f t="shared" si="93"/>
        <v>99717.3</v>
      </c>
      <c r="P236" s="272">
        <f t="shared" si="93"/>
        <v>187534.2</v>
      </c>
      <c r="Q236" s="272">
        <f>SUM(E236:P236)</f>
        <v>1476267.6</v>
      </c>
    </row>
    <row r="237" spans="1:17" x14ac:dyDescent="0.2">
      <c r="A237" s="216">
        <f>A236+1</f>
        <v>11</v>
      </c>
      <c r="C237" s="504" t="s">
        <v>218</v>
      </c>
      <c r="E237" s="419">
        <f>E874</f>
        <v>859532.16</v>
      </c>
      <c r="F237" s="419">
        <f t="shared" ref="F237:P237" si="94">F874</f>
        <v>835009.61999999988</v>
      </c>
      <c r="G237" s="419">
        <f t="shared" si="94"/>
        <v>757527.5</v>
      </c>
      <c r="H237" s="419">
        <f t="shared" si="94"/>
        <v>514989.35000000003</v>
      </c>
      <c r="I237" s="419">
        <f t="shared" si="94"/>
        <v>425013.03</v>
      </c>
      <c r="J237" s="419">
        <f t="shared" si="94"/>
        <v>359198.5</v>
      </c>
      <c r="K237" s="419">
        <f t="shared" si="94"/>
        <v>325372.77999999997</v>
      </c>
      <c r="L237" s="419">
        <f t="shared" si="94"/>
        <v>320288.62</v>
      </c>
      <c r="M237" s="419">
        <f t="shared" si="94"/>
        <v>328877.35000000003</v>
      </c>
      <c r="N237" s="419">
        <f t="shared" si="94"/>
        <v>353592.26000000007</v>
      </c>
      <c r="O237" s="419">
        <f t="shared" si="94"/>
        <v>469275.70999999996</v>
      </c>
      <c r="P237" s="419">
        <f t="shared" si="94"/>
        <v>677111.49</v>
      </c>
      <c r="Q237" s="419">
        <f>SUM(E237:P237)</f>
        <v>6225788.3699999992</v>
      </c>
    </row>
    <row r="238" spans="1:17" x14ac:dyDescent="0.2">
      <c r="A238" s="216">
        <f>A237+1</f>
        <v>12</v>
      </c>
      <c r="C238" s="504" t="s">
        <v>219</v>
      </c>
      <c r="E238" s="419">
        <f t="shared" ref="E238:P238" si="95">E876</f>
        <v>0</v>
      </c>
      <c r="F238" s="419">
        <f t="shared" si="95"/>
        <v>0</v>
      </c>
      <c r="G238" s="419">
        <f t="shared" si="95"/>
        <v>0</v>
      </c>
      <c r="H238" s="419">
        <f t="shared" si="95"/>
        <v>0</v>
      </c>
      <c r="I238" s="419">
        <f t="shared" si="95"/>
        <v>0</v>
      </c>
      <c r="J238" s="419">
        <f t="shared" si="95"/>
        <v>0</v>
      </c>
      <c r="K238" s="419">
        <f t="shared" si="95"/>
        <v>0</v>
      </c>
      <c r="L238" s="419">
        <f t="shared" si="95"/>
        <v>0</v>
      </c>
      <c r="M238" s="419">
        <f t="shared" si="95"/>
        <v>0</v>
      </c>
      <c r="N238" s="419">
        <f t="shared" si="95"/>
        <v>0</v>
      </c>
      <c r="O238" s="419">
        <f t="shared" si="95"/>
        <v>0</v>
      </c>
      <c r="P238" s="419">
        <f t="shared" si="95"/>
        <v>0</v>
      </c>
      <c r="Q238" s="419">
        <f>SUM(E238:P238)</f>
        <v>0</v>
      </c>
    </row>
    <row r="239" spans="1:17" x14ac:dyDescent="0.2">
      <c r="A239" s="402">
        <f>A238+1</f>
        <v>13</v>
      </c>
      <c r="B239" s="402"/>
      <c r="C239" s="760" t="s">
        <v>484</v>
      </c>
      <c r="D239" s="412"/>
      <c r="E239" s="671">
        <f t="shared" ref="E239:P239" si="96">E878</f>
        <v>859532.16</v>
      </c>
      <c r="F239" s="671">
        <f t="shared" si="96"/>
        <v>835009.61999999988</v>
      </c>
      <c r="G239" s="671">
        <f t="shared" si="96"/>
        <v>757527.5</v>
      </c>
      <c r="H239" s="671">
        <f t="shared" si="96"/>
        <v>514989.35000000003</v>
      </c>
      <c r="I239" s="671">
        <f t="shared" si="96"/>
        <v>425013.03</v>
      </c>
      <c r="J239" s="671">
        <f t="shared" si="96"/>
        <v>359198.5</v>
      </c>
      <c r="K239" s="671">
        <f t="shared" si="96"/>
        <v>325372.77999999997</v>
      </c>
      <c r="L239" s="671">
        <f t="shared" si="96"/>
        <v>320288.62</v>
      </c>
      <c r="M239" s="671">
        <f t="shared" si="96"/>
        <v>328877.35000000003</v>
      </c>
      <c r="N239" s="671">
        <f t="shared" si="96"/>
        <v>353592.26000000007</v>
      </c>
      <c r="O239" s="671">
        <f t="shared" si="96"/>
        <v>469275.70999999996</v>
      </c>
      <c r="P239" s="671">
        <f t="shared" si="96"/>
        <v>677111.49</v>
      </c>
      <c r="Q239" s="671">
        <f>SUM(E239:P239)</f>
        <v>6225788.3699999992</v>
      </c>
    </row>
    <row r="240" spans="1:17" x14ac:dyDescent="0.2">
      <c r="C240" s="764"/>
      <c r="G240" s="269"/>
      <c r="Q240" s="269"/>
    </row>
    <row r="241" spans="1:17" x14ac:dyDescent="0.2">
      <c r="A241" s="216">
        <f>A239+1</f>
        <v>14</v>
      </c>
      <c r="B241" s="216" t="str">
        <f>Input!A40</f>
        <v>GTO</v>
      </c>
      <c r="C241" s="216" t="str">
        <f>'Sch M 2.1'!B38</f>
        <v>GTS Choice - Industrial</v>
      </c>
      <c r="E241" s="267"/>
      <c r="G241" s="269"/>
      <c r="Q241" s="269"/>
    </row>
    <row r="242" spans="1:17" x14ac:dyDescent="0.2">
      <c r="A242" s="216">
        <f>A241+1</f>
        <v>15</v>
      </c>
      <c r="C242" s="504" t="s">
        <v>216</v>
      </c>
      <c r="E242" s="267">
        <f t="shared" ref="E242:P242" si="97">E902</f>
        <v>12</v>
      </c>
      <c r="F242" s="267">
        <f t="shared" si="97"/>
        <v>12</v>
      </c>
      <c r="G242" s="267">
        <f t="shared" si="97"/>
        <v>12</v>
      </c>
      <c r="H242" s="267">
        <f t="shared" si="97"/>
        <v>12</v>
      </c>
      <c r="I242" s="267">
        <f t="shared" si="97"/>
        <v>12</v>
      </c>
      <c r="J242" s="267">
        <f t="shared" si="97"/>
        <v>12</v>
      </c>
      <c r="K242" s="267">
        <f t="shared" si="97"/>
        <v>12</v>
      </c>
      <c r="L242" s="267">
        <f t="shared" si="97"/>
        <v>12</v>
      </c>
      <c r="M242" s="267">
        <f t="shared" si="97"/>
        <v>12</v>
      </c>
      <c r="N242" s="267">
        <f t="shared" si="97"/>
        <v>12</v>
      </c>
      <c r="O242" s="267">
        <f t="shared" si="97"/>
        <v>12</v>
      </c>
      <c r="P242" s="267">
        <f t="shared" si="97"/>
        <v>12</v>
      </c>
      <c r="Q242" s="267">
        <f>SUM(E242:P242)</f>
        <v>144</v>
      </c>
    </row>
    <row r="243" spans="1:17" x14ac:dyDescent="0.2">
      <c r="A243" s="216">
        <f>A242+1</f>
        <v>16</v>
      </c>
      <c r="C243" s="504" t="s">
        <v>483</v>
      </c>
      <c r="E243" s="272">
        <f t="shared" ref="E243:P243" si="98">E911</f>
        <v>5140</v>
      </c>
      <c r="F243" s="272">
        <f t="shared" si="98"/>
        <v>5041.8</v>
      </c>
      <c r="G243" s="272">
        <f t="shared" si="98"/>
        <v>5690</v>
      </c>
      <c r="H243" s="272">
        <f t="shared" si="98"/>
        <v>2420.1</v>
      </c>
      <c r="I243" s="272">
        <f t="shared" si="98"/>
        <v>2488.4000000000005</v>
      </c>
      <c r="J243" s="272">
        <f t="shared" si="98"/>
        <v>2355.7999999999997</v>
      </c>
      <c r="K243" s="272">
        <f t="shared" si="98"/>
        <v>2379.8000000000002</v>
      </c>
      <c r="L243" s="272">
        <f t="shared" si="98"/>
        <v>2916.3</v>
      </c>
      <c r="M243" s="272">
        <f t="shared" si="98"/>
        <v>2849.5</v>
      </c>
      <c r="N243" s="272">
        <f t="shared" si="98"/>
        <v>3294.7</v>
      </c>
      <c r="O243" s="272">
        <f t="shared" si="98"/>
        <v>3973.5</v>
      </c>
      <c r="P243" s="272">
        <f t="shared" si="98"/>
        <v>6536.9</v>
      </c>
      <c r="Q243" s="272">
        <f>SUM(E243:P243)</f>
        <v>45086.799999999996</v>
      </c>
    </row>
    <row r="244" spans="1:17" x14ac:dyDescent="0.2">
      <c r="A244" s="216">
        <f>A243+1</f>
        <v>17</v>
      </c>
      <c r="C244" s="504" t="s">
        <v>218</v>
      </c>
      <c r="E244" s="419">
        <f>E920</f>
        <v>11980.7</v>
      </c>
      <c r="F244" s="419">
        <f t="shared" ref="F244:P244" si="99">F920</f>
        <v>11782.28</v>
      </c>
      <c r="G244" s="419">
        <f t="shared" si="99"/>
        <v>13050.36</v>
      </c>
      <c r="H244" s="419">
        <f t="shared" si="99"/>
        <v>6298.31</v>
      </c>
      <c r="I244" s="419">
        <f t="shared" si="99"/>
        <v>6374.7599999999993</v>
      </c>
      <c r="J244" s="419">
        <f t="shared" si="99"/>
        <v>5985.6399999999994</v>
      </c>
      <c r="K244" s="419">
        <f t="shared" si="99"/>
        <v>5983.0199999999995</v>
      </c>
      <c r="L244" s="419">
        <f t="shared" si="99"/>
        <v>7108.83</v>
      </c>
      <c r="M244" s="419">
        <f t="shared" si="99"/>
        <v>7070.9199999999983</v>
      </c>
      <c r="N244" s="419">
        <f t="shared" si="99"/>
        <v>7879.71</v>
      </c>
      <c r="O244" s="419">
        <f t="shared" si="99"/>
        <v>9400.49</v>
      </c>
      <c r="P244" s="419">
        <f t="shared" si="99"/>
        <v>14541.039999999999</v>
      </c>
      <c r="Q244" s="419">
        <f>SUM(E244:P244)</f>
        <v>107456.06</v>
      </c>
    </row>
    <row r="245" spans="1:17" x14ac:dyDescent="0.2">
      <c r="A245" s="216">
        <f>A244+1</f>
        <v>18</v>
      </c>
      <c r="C245" s="504" t="s">
        <v>219</v>
      </c>
      <c r="E245" s="419">
        <f t="shared" ref="E245:P245" si="100">E922</f>
        <v>0</v>
      </c>
      <c r="F245" s="419">
        <f t="shared" si="100"/>
        <v>0</v>
      </c>
      <c r="G245" s="419">
        <f t="shared" si="100"/>
        <v>0</v>
      </c>
      <c r="H245" s="419">
        <f t="shared" si="100"/>
        <v>0</v>
      </c>
      <c r="I245" s="419">
        <f t="shared" si="100"/>
        <v>0</v>
      </c>
      <c r="J245" s="419">
        <f t="shared" si="100"/>
        <v>0</v>
      </c>
      <c r="K245" s="419">
        <f t="shared" si="100"/>
        <v>0</v>
      </c>
      <c r="L245" s="419">
        <f t="shared" si="100"/>
        <v>0</v>
      </c>
      <c r="M245" s="419">
        <f t="shared" si="100"/>
        <v>0</v>
      </c>
      <c r="N245" s="419">
        <f t="shared" si="100"/>
        <v>0</v>
      </c>
      <c r="O245" s="419">
        <f t="shared" si="100"/>
        <v>0</v>
      </c>
      <c r="P245" s="419">
        <f t="shared" si="100"/>
        <v>0</v>
      </c>
      <c r="Q245" s="419">
        <f>SUM(E245:P245)</f>
        <v>0</v>
      </c>
    </row>
    <row r="246" spans="1:17" x14ac:dyDescent="0.2">
      <c r="A246" s="402">
        <f>A245+1</f>
        <v>19</v>
      </c>
      <c r="B246" s="402"/>
      <c r="C246" s="760" t="s">
        <v>484</v>
      </c>
      <c r="D246" s="412"/>
      <c r="E246" s="671">
        <f t="shared" ref="E246:P246" si="101">E924</f>
        <v>11980.7</v>
      </c>
      <c r="F246" s="671">
        <f t="shared" si="101"/>
        <v>11782.28</v>
      </c>
      <c r="G246" s="671">
        <f t="shared" si="101"/>
        <v>13050.36</v>
      </c>
      <c r="H246" s="671">
        <f t="shared" si="101"/>
        <v>6298.31</v>
      </c>
      <c r="I246" s="671">
        <f t="shared" si="101"/>
        <v>6374.7599999999993</v>
      </c>
      <c r="J246" s="671">
        <f t="shared" si="101"/>
        <v>5985.6399999999994</v>
      </c>
      <c r="K246" s="671">
        <f t="shared" si="101"/>
        <v>5983.0199999999995</v>
      </c>
      <c r="L246" s="671">
        <f t="shared" si="101"/>
        <v>7108.83</v>
      </c>
      <c r="M246" s="671">
        <f t="shared" si="101"/>
        <v>7070.9199999999983</v>
      </c>
      <c r="N246" s="671">
        <f t="shared" si="101"/>
        <v>7879.71</v>
      </c>
      <c r="O246" s="671">
        <f t="shared" si="101"/>
        <v>9400.49</v>
      </c>
      <c r="P246" s="671">
        <f t="shared" si="101"/>
        <v>14541.039999999999</v>
      </c>
      <c r="Q246" s="671">
        <f>SUM(E246:P246)</f>
        <v>107456.06</v>
      </c>
    </row>
    <row r="248" spans="1:17" x14ac:dyDescent="0.2">
      <c r="A248" s="216">
        <f>A246+1</f>
        <v>20</v>
      </c>
      <c r="B248" s="216" t="str">
        <f>Input!A41</f>
        <v>DS</v>
      </c>
      <c r="C248" s="216" t="str">
        <f>'Sch M 2.1'!B39</f>
        <v>GTS Delivery Service - Commercial</v>
      </c>
      <c r="G248" s="269"/>
      <c r="Q248" s="269"/>
    </row>
    <row r="249" spans="1:17" x14ac:dyDescent="0.2">
      <c r="A249" s="216">
        <f>A248+1</f>
        <v>21</v>
      </c>
      <c r="C249" s="504" t="s">
        <v>216</v>
      </c>
      <c r="E249" s="267">
        <f t="shared" ref="E249:P249" si="102">E948</f>
        <v>28</v>
      </c>
      <c r="F249" s="267">
        <f t="shared" si="102"/>
        <v>28</v>
      </c>
      <c r="G249" s="267">
        <f t="shared" si="102"/>
        <v>28</v>
      </c>
      <c r="H249" s="267">
        <f t="shared" si="102"/>
        <v>28</v>
      </c>
      <c r="I249" s="267">
        <f t="shared" si="102"/>
        <v>28</v>
      </c>
      <c r="J249" s="267">
        <f t="shared" si="102"/>
        <v>28</v>
      </c>
      <c r="K249" s="267">
        <f t="shared" si="102"/>
        <v>28</v>
      </c>
      <c r="L249" s="267">
        <f t="shared" si="102"/>
        <v>28</v>
      </c>
      <c r="M249" s="267">
        <f t="shared" si="102"/>
        <v>28</v>
      </c>
      <c r="N249" s="267">
        <f t="shared" si="102"/>
        <v>28</v>
      </c>
      <c r="O249" s="267">
        <f t="shared" si="102"/>
        <v>28</v>
      </c>
      <c r="P249" s="267">
        <f t="shared" si="102"/>
        <v>28</v>
      </c>
      <c r="Q249" s="267">
        <f>SUM(E249:P249)</f>
        <v>336</v>
      </c>
    </row>
    <row r="250" spans="1:17" x14ac:dyDescent="0.2">
      <c r="A250" s="216">
        <f>A249+1</f>
        <v>22</v>
      </c>
      <c r="C250" s="504" t="s">
        <v>483</v>
      </c>
      <c r="E250" s="272">
        <f t="shared" ref="E250:P250" si="103">E957</f>
        <v>363010.2</v>
      </c>
      <c r="F250" s="272">
        <f t="shared" si="103"/>
        <v>308161.8</v>
      </c>
      <c r="G250" s="272">
        <f t="shared" si="103"/>
        <v>286122.09999999998</v>
      </c>
      <c r="H250" s="272">
        <f t="shared" si="103"/>
        <v>236391.1</v>
      </c>
      <c r="I250" s="272">
        <f t="shared" si="103"/>
        <v>184735</v>
      </c>
      <c r="J250" s="272">
        <f t="shared" si="103"/>
        <v>156750</v>
      </c>
      <c r="K250" s="272">
        <f t="shared" si="103"/>
        <v>159440.6</v>
      </c>
      <c r="L250" s="272">
        <f t="shared" si="103"/>
        <v>156637.20000000001</v>
      </c>
      <c r="M250" s="272">
        <f t="shared" si="103"/>
        <v>165216.20000000001</v>
      </c>
      <c r="N250" s="272">
        <f t="shared" si="103"/>
        <v>206061.4</v>
      </c>
      <c r="O250" s="272">
        <f t="shared" si="103"/>
        <v>287543.59999999998</v>
      </c>
      <c r="P250" s="272">
        <f t="shared" si="103"/>
        <v>341387.8</v>
      </c>
      <c r="Q250" s="272">
        <f>SUM(E250:P250)</f>
        <v>2851457</v>
      </c>
    </row>
    <row r="251" spans="1:17" x14ac:dyDescent="0.2">
      <c r="A251" s="216">
        <f>A250+1</f>
        <v>23</v>
      </c>
      <c r="C251" s="504" t="s">
        <v>218</v>
      </c>
      <c r="E251" s="419">
        <f>E965</f>
        <v>292290.66999999993</v>
      </c>
      <c r="F251" s="419">
        <f t="shared" ref="F251:P251" si="104">F965</f>
        <v>265589.09000000003</v>
      </c>
      <c r="G251" s="419">
        <f t="shared" si="104"/>
        <v>252629.81</v>
      </c>
      <c r="H251" s="419">
        <f t="shared" si="104"/>
        <v>227046.75</v>
      </c>
      <c r="I251" s="419">
        <f t="shared" si="104"/>
        <v>199893.90000000002</v>
      </c>
      <c r="J251" s="419">
        <f t="shared" si="104"/>
        <v>185687.56000000003</v>
      </c>
      <c r="K251" s="419">
        <f t="shared" si="104"/>
        <v>186455.58000000002</v>
      </c>
      <c r="L251" s="419">
        <f t="shared" si="104"/>
        <v>185745.36999999997</v>
      </c>
      <c r="M251" s="419">
        <f t="shared" si="104"/>
        <v>189636.35</v>
      </c>
      <c r="N251" s="419">
        <f t="shared" si="104"/>
        <v>208591.15</v>
      </c>
      <c r="O251" s="419">
        <f t="shared" si="104"/>
        <v>251850.53</v>
      </c>
      <c r="P251" s="419">
        <f t="shared" si="104"/>
        <v>280225.81</v>
      </c>
      <c r="Q251" s="419">
        <f>SUM(E251:P251)</f>
        <v>2725642.5700000003</v>
      </c>
    </row>
    <row r="252" spans="1:17" x14ac:dyDescent="0.2">
      <c r="A252" s="216">
        <f>A251+1</f>
        <v>24</v>
      </c>
      <c r="C252" s="504" t="s">
        <v>219</v>
      </c>
      <c r="E252" s="419">
        <f t="shared" ref="E252:P252" si="105">E967</f>
        <v>0</v>
      </c>
      <c r="F252" s="419">
        <f t="shared" si="105"/>
        <v>0</v>
      </c>
      <c r="G252" s="419">
        <f t="shared" si="105"/>
        <v>0</v>
      </c>
      <c r="H252" s="419">
        <f t="shared" si="105"/>
        <v>0</v>
      </c>
      <c r="I252" s="419">
        <f t="shared" si="105"/>
        <v>0</v>
      </c>
      <c r="J252" s="419">
        <f t="shared" si="105"/>
        <v>0</v>
      </c>
      <c r="K252" s="419">
        <f t="shared" si="105"/>
        <v>0</v>
      </c>
      <c r="L252" s="419">
        <f t="shared" si="105"/>
        <v>0</v>
      </c>
      <c r="M252" s="419">
        <f t="shared" si="105"/>
        <v>0</v>
      </c>
      <c r="N252" s="419">
        <f t="shared" si="105"/>
        <v>0</v>
      </c>
      <c r="O252" s="419">
        <f t="shared" si="105"/>
        <v>0</v>
      </c>
      <c r="P252" s="419">
        <f t="shared" si="105"/>
        <v>0</v>
      </c>
      <c r="Q252" s="419">
        <f>SUM(E252:P252)</f>
        <v>0</v>
      </c>
    </row>
    <row r="253" spans="1:17" x14ac:dyDescent="0.2">
      <c r="A253" s="402">
        <f>A252+1</f>
        <v>25</v>
      </c>
      <c r="B253" s="402"/>
      <c r="C253" s="760" t="s">
        <v>484</v>
      </c>
      <c r="D253" s="412"/>
      <c r="E253" s="671">
        <f t="shared" ref="E253:P253" si="106">E969</f>
        <v>292290.66999999993</v>
      </c>
      <c r="F253" s="671">
        <f t="shared" si="106"/>
        <v>265589.09000000003</v>
      </c>
      <c r="G253" s="671">
        <f t="shared" si="106"/>
        <v>252629.81</v>
      </c>
      <c r="H253" s="671">
        <f t="shared" si="106"/>
        <v>227046.75</v>
      </c>
      <c r="I253" s="671">
        <f t="shared" si="106"/>
        <v>199893.90000000002</v>
      </c>
      <c r="J253" s="671">
        <f t="shared" si="106"/>
        <v>185687.56000000003</v>
      </c>
      <c r="K253" s="671">
        <f t="shared" si="106"/>
        <v>186455.58000000002</v>
      </c>
      <c r="L253" s="671">
        <f t="shared" si="106"/>
        <v>185745.36999999997</v>
      </c>
      <c r="M253" s="671">
        <f t="shared" si="106"/>
        <v>189636.35</v>
      </c>
      <c r="N253" s="671">
        <f t="shared" si="106"/>
        <v>208591.15</v>
      </c>
      <c r="O253" s="671">
        <f t="shared" si="106"/>
        <v>251850.53</v>
      </c>
      <c r="P253" s="671">
        <f t="shared" si="106"/>
        <v>280225.81</v>
      </c>
      <c r="Q253" s="671">
        <f>SUM(E253:P253)</f>
        <v>2725642.5700000003</v>
      </c>
    </row>
    <row r="254" spans="1:17" x14ac:dyDescent="0.2">
      <c r="A254" s="280"/>
      <c r="C254" s="764"/>
      <c r="G254" s="269"/>
      <c r="Q254" s="269"/>
    </row>
    <row r="255" spans="1:17" x14ac:dyDescent="0.2">
      <c r="A255" s="216">
        <f>A253+1</f>
        <v>26</v>
      </c>
      <c r="B255" s="216" t="str">
        <f>Input!A42</f>
        <v>DS</v>
      </c>
      <c r="C255" s="216" t="str">
        <f>'Sch M 2.1'!B40</f>
        <v>GTS Delivery Service - Industrial</v>
      </c>
      <c r="G255" s="269"/>
      <c r="Q255" s="269"/>
    </row>
    <row r="256" spans="1:17" x14ac:dyDescent="0.2">
      <c r="A256" s="216">
        <f>A255+1</f>
        <v>27</v>
      </c>
      <c r="C256" s="504" t="s">
        <v>216</v>
      </c>
      <c r="E256" s="267">
        <f t="shared" ref="E256:P256" si="107">E976</f>
        <v>41</v>
      </c>
      <c r="F256" s="267">
        <f t="shared" si="107"/>
        <v>41</v>
      </c>
      <c r="G256" s="267">
        <f t="shared" si="107"/>
        <v>41</v>
      </c>
      <c r="H256" s="267">
        <f t="shared" si="107"/>
        <v>41</v>
      </c>
      <c r="I256" s="267">
        <f t="shared" si="107"/>
        <v>41</v>
      </c>
      <c r="J256" s="267">
        <f t="shared" si="107"/>
        <v>41</v>
      </c>
      <c r="K256" s="267">
        <f t="shared" si="107"/>
        <v>42</v>
      </c>
      <c r="L256" s="267">
        <f t="shared" si="107"/>
        <v>41</v>
      </c>
      <c r="M256" s="267">
        <f t="shared" si="107"/>
        <v>42</v>
      </c>
      <c r="N256" s="267">
        <f t="shared" si="107"/>
        <v>41</v>
      </c>
      <c r="O256" s="267">
        <f t="shared" si="107"/>
        <v>41</v>
      </c>
      <c r="P256" s="267">
        <f t="shared" si="107"/>
        <v>41</v>
      </c>
      <c r="Q256" s="267">
        <f>SUM(E256:P256)</f>
        <v>494</v>
      </c>
    </row>
    <row r="257" spans="1:17" x14ac:dyDescent="0.2">
      <c r="A257" s="216">
        <f>A256+1</f>
        <v>28</v>
      </c>
      <c r="C257" s="504" t="s">
        <v>483</v>
      </c>
      <c r="E257" s="272">
        <f t="shared" ref="E257:P257" si="108">E985</f>
        <v>657051</v>
      </c>
      <c r="F257" s="272">
        <f t="shared" si="108"/>
        <v>557545.30000000005</v>
      </c>
      <c r="G257" s="272">
        <f t="shared" si="108"/>
        <v>585929.19999999995</v>
      </c>
      <c r="H257" s="272">
        <f t="shared" si="108"/>
        <v>499357.1</v>
      </c>
      <c r="I257" s="272">
        <f t="shared" si="108"/>
        <v>428059</v>
      </c>
      <c r="J257" s="272">
        <f t="shared" si="108"/>
        <v>356401.7</v>
      </c>
      <c r="K257" s="272">
        <f t="shared" si="108"/>
        <v>280666.5</v>
      </c>
      <c r="L257" s="272">
        <f t="shared" si="108"/>
        <v>401773.1</v>
      </c>
      <c r="M257" s="272">
        <f t="shared" si="108"/>
        <v>406882</v>
      </c>
      <c r="N257" s="272">
        <f t="shared" si="108"/>
        <v>496181.89999999997</v>
      </c>
      <c r="O257" s="272">
        <f t="shared" si="108"/>
        <v>585009.4</v>
      </c>
      <c r="P257" s="272">
        <f t="shared" si="108"/>
        <v>585039.6</v>
      </c>
      <c r="Q257" s="272">
        <f>SUM(E257:P257)</f>
        <v>5839895.8000000007</v>
      </c>
    </row>
    <row r="258" spans="1:17" x14ac:dyDescent="0.2">
      <c r="A258" s="216">
        <f>A257+1</f>
        <v>29</v>
      </c>
      <c r="C258" s="504" t="s">
        <v>218</v>
      </c>
      <c r="E258" s="419">
        <f t="shared" ref="E258:P258" si="109">E993</f>
        <v>452640.52999999997</v>
      </c>
      <c r="F258" s="419">
        <f t="shared" si="109"/>
        <v>413604.56000000006</v>
      </c>
      <c r="G258" s="419">
        <f t="shared" si="109"/>
        <v>425022.16000000003</v>
      </c>
      <c r="H258" s="419">
        <f t="shared" si="109"/>
        <v>392589.76999999996</v>
      </c>
      <c r="I258" s="419">
        <f t="shared" si="109"/>
        <v>366913.64999999997</v>
      </c>
      <c r="J258" s="419">
        <f t="shared" si="109"/>
        <v>337081.88</v>
      </c>
      <c r="K258" s="419">
        <f t="shared" si="109"/>
        <v>301976.55</v>
      </c>
      <c r="L258" s="419">
        <f t="shared" si="109"/>
        <v>354683.91000000003</v>
      </c>
      <c r="M258" s="419">
        <f t="shared" si="109"/>
        <v>357615.74</v>
      </c>
      <c r="N258" s="419">
        <f t="shared" si="109"/>
        <v>396142.23000000004</v>
      </c>
      <c r="O258" s="419">
        <f t="shared" si="109"/>
        <v>431115.63</v>
      </c>
      <c r="P258" s="419">
        <f t="shared" si="109"/>
        <v>427664.31</v>
      </c>
      <c r="Q258" s="419">
        <f>SUM(E258:P258)</f>
        <v>4657050.92</v>
      </c>
    </row>
    <row r="259" spans="1:17" x14ac:dyDescent="0.2">
      <c r="A259" s="216">
        <f>A258+1</f>
        <v>30</v>
      </c>
      <c r="C259" s="504" t="s">
        <v>219</v>
      </c>
      <c r="E259" s="419">
        <f t="shared" ref="E259:P259" si="110">E995</f>
        <v>0</v>
      </c>
      <c r="F259" s="419">
        <f t="shared" si="110"/>
        <v>0</v>
      </c>
      <c r="G259" s="419">
        <f t="shared" si="110"/>
        <v>0</v>
      </c>
      <c r="H259" s="419">
        <f t="shared" si="110"/>
        <v>0</v>
      </c>
      <c r="I259" s="419">
        <f t="shared" si="110"/>
        <v>0</v>
      </c>
      <c r="J259" s="419">
        <f t="shared" si="110"/>
        <v>0</v>
      </c>
      <c r="K259" s="419">
        <f t="shared" si="110"/>
        <v>0</v>
      </c>
      <c r="L259" s="419">
        <f t="shared" si="110"/>
        <v>0</v>
      </c>
      <c r="M259" s="419">
        <f t="shared" si="110"/>
        <v>0</v>
      </c>
      <c r="N259" s="419">
        <f t="shared" si="110"/>
        <v>0</v>
      </c>
      <c r="O259" s="419">
        <f t="shared" si="110"/>
        <v>0</v>
      </c>
      <c r="P259" s="419">
        <f t="shared" si="110"/>
        <v>0</v>
      </c>
      <c r="Q259" s="419">
        <f>SUM(E259:P259)</f>
        <v>0</v>
      </c>
    </row>
    <row r="260" spans="1:17" x14ac:dyDescent="0.2">
      <c r="A260" s="402">
        <f>A259+1</f>
        <v>31</v>
      </c>
      <c r="B260" s="402"/>
      <c r="C260" s="760" t="s">
        <v>484</v>
      </c>
      <c r="D260" s="412"/>
      <c r="E260" s="671">
        <f t="shared" ref="E260:P260" si="111">E997</f>
        <v>452640.52999999997</v>
      </c>
      <c r="F260" s="671">
        <f t="shared" si="111"/>
        <v>413604.56000000006</v>
      </c>
      <c r="G260" s="671">
        <f t="shared" si="111"/>
        <v>425022.16000000003</v>
      </c>
      <c r="H260" s="671">
        <f t="shared" si="111"/>
        <v>392589.76999999996</v>
      </c>
      <c r="I260" s="671">
        <f t="shared" si="111"/>
        <v>366913.64999999997</v>
      </c>
      <c r="J260" s="671">
        <f t="shared" si="111"/>
        <v>337081.88</v>
      </c>
      <c r="K260" s="671">
        <f t="shared" si="111"/>
        <v>301976.55</v>
      </c>
      <c r="L260" s="671">
        <f t="shared" si="111"/>
        <v>354683.91000000003</v>
      </c>
      <c r="M260" s="671">
        <f t="shared" si="111"/>
        <v>357615.74</v>
      </c>
      <c r="N260" s="671">
        <f t="shared" si="111"/>
        <v>396142.23000000004</v>
      </c>
      <c r="O260" s="671">
        <f t="shared" si="111"/>
        <v>431115.63</v>
      </c>
      <c r="P260" s="671">
        <f t="shared" si="111"/>
        <v>427664.31</v>
      </c>
      <c r="Q260" s="671">
        <f>SUM(E260:P260)</f>
        <v>4657050.92</v>
      </c>
    </row>
    <row r="261" spans="1:17" x14ac:dyDescent="0.2">
      <c r="G261" s="269"/>
      <c r="Q261" s="269"/>
    </row>
    <row r="262" spans="1:17" x14ac:dyDescent="0.2">
      <c r="A262" s="216">
        <f>A260+1</f>
        <v>32</v>
      </c>
      <c r="B262" s="216" t="str">
        <f>Input!A43</f>
        <v>GDS</v>
      </c>
      <c r="C262" s="216" t="str">
        <f>'Sch M 2.1'!B41</f>
        <v>GTS Grandfathered Delivery Service - Commercial</v>
      </c>
      <c r="G262" s="269"/>
      <c r="Q262" s="269"/>
    </row>
    <row r="263" spans="1:17" x14ac:dyDescent="0.2">
      <c r="A263" s="216">
        <f>A262+1</f>
        <v>33</v>
      </c>
      <c r="C263" s="504" t="s">
        <v>216</v>
      </c>
      <c r="E263" s="267">
        <f t="shared" ref="E263:P263" si="112">E1020</f>
        <v>14</v>
      </c>
      <c r="F263" s="267">
        <f t="shared" si="112"/>
        <v>14</v>
      </c>
      <c r="G263" s="267">
        <f t="shared" si="112"/>
        <v>13</v>
      </c>
      <c r="H263" s="267">
        <f t="shared" si="112"/>
        <v>13</v>
      </c>
      <c r="I263" s="267">
        <f t="shared" si="112"/>
        <v>13</v>
      </c>
      <c r="J263" s="267">
        <f t="shared" si="112"/>
        <v>13</v>
      </c>
      <c r="K263" s="267">
        <f t="shared" si="112"/>
        <v>13</v>
      </c>
      <c r="L263" s="267">
        <f t="shared" si="112"/>
        <v>13</v>
      </c>
      <c r="M263" s="267">
        <f t="shared" si="112"/>
        <v>13</v>
      </c>
      <c r="N263" s="267">
        <f t="shared" si="112"/>
        <v>13</v>
      </c>
      <c r="O263" s="267">
        <f t="shared" si="112"/>
        <v>13</v>
      </c>
      <c r="P263" s="267">
        <f t="shared" si="112"/>
        <v>13</v>
      </c>
      <c r="Q263" s="267">
        <f>SUM(E263:P263)</f>
        <v>158</v>
      </c>
    </row>
    <row r="264" spans="1:17" x14ac:dyDescent="0.2">
      <c r="A264" s="216">
        <f>A263+1</f>
        <v>34</v>
      </c>
      <c r="C264" s="504" t="s">
        <v>483</v>
      </c>
      <c r="E264" s="272">
        <f t="shared" ref="E264:P264" si="113">E1030</f>
        <v>66917</v>
      </c>
      <c r="F264" s="272">
        <f t="shared" si="113"/>
        <v>76267.100000000006</v>
      </c>
      <c r="G264" s="272">
        <f t="shared" si="113"/>
        <v>27922.799999999999</v>
      </c>
      <c r="H264" s="272">
        <f t="shared" si="113"/>
        <v>42749.2</v>
      </c>
      <c r="I264" s="272">
        <f t="shared" si="113"/>
        <v>14503.300000000001</v>
      </c>
      <c r="J264" s="272">
        <f t="shared" si="113"/>
        <v>13332.5</v>
      </c>
      <c r="K264" s="272">
        <f t="shared" si="113"/>
        <v>14475.899999999998</v>
      </c>
      <c r="L264" s="272">
        <f t="shared" si="113"/>
        <v>15890.5</v>
      </c>
      <c r="M264" s="272">
        <f t="shared" si="113"/>
        <v>14297.800000000001</v>
      </c>
      <c r="N264" s="272">
        <f t="shared" si="113"/>
        <v>10664.8</v>
      </c>
      <c r="O264" s="272">
        <f t="shared" si="113"/>
        <v>25016</v>
      </c>
      <c r="P264" s="272">
        <f t="shared" si="113"/>
        <v>58790.6</v>
      </c>
      <c r="Q264" s="272">
        <f>SUM(E264:P264)</f>
        <v>380827.49999999988</v>
      </c>
    </row>
    <row r="265" spans="1:17" x14ac:dyDescent="0.2">
      <c r="A265" s="216">
        <f>A264+1</f>
        <v>35</v>
      </c>
      <c r="C265" s="504" t="s">
        <v>218</v>
      </c>
      <c r="E265" s="419">
        <f>E1039</f>
        <v>129125.09</v>
      </c>
      <c r="F265" s="419">
        <f t="shared" ref="F265:P265" si="114">F1039</f>
        <v>146522.84</v>
      </c>
      <c r="G265" s="419">
        <f t="shared" si="114"/>
        <v>56489.88</v>
      </c>
      <c r="H265" s="419">
        <f t="shared" si="114"/>
        <v>84087.07</v>
      </c>
      <c r="I265" s="419">
        <f t="shared" si="114"/>
        <v>31338.05</v>
      </c>
      <c r="J265" s="419">
        <f t="shared" si="114"/>
        <v>28720.06</v>
      </c>
      <c r="K265" s="419">
        <f t="shared" si="114"/>
        <v>30841.270000000004</v>
      </c>
      <c r="L265" s="419">
        <f t="shared" si="114"/>
        <v>33587.14</v>
      </c>
      <c r="M265" s="419">
        <f t="shared" si="114"/>
        <v>30604.32</v>
      </c>
      <c r="N265" s="419">
        <f t="shared" si="114"/>
        <v>23587.190000000002</v>
      </c>
      <c r="O265" s="419">
        <f t="shared" si="114"/>
        <v>51070.909999999996</v>
      </c>
      <c r="P265" s="419">
        <f t="shared" si="114"/>
        <v>113935.30999999998</v>
      </c>
      <c r="Q265" s="419">
        <f>SUM(E265:P265)</f>
        <v>759909.12999999989</v>
      </c>
    </row>
    <row r="266" spans="1:17" x14ac:dyDescent="0.2">
      <c r="A266" s="216">
        <f>A265+1</f>
        <v>36</v>
      </c>
      <c r="C266" s="504" t="s">
        <v>219</v>
      </c>
      <c r="E266" s="419">
        <f t="shared" ref="E266:P266" si="115">E1041</f>
        <v>0</v>
      </c>
      <c r="F266" s="419">
        <f t="shared" si="115"/>
        <v>0</v>
      </c>
      <c r="G266" s="419">
        <f t="shared" si="115"/>
        <v>0</v>
      </c>
      <c r="H266" s="419">
        <f t="shared" si="115"/>
        <v>0</v>
      </c>
      <c r="I266" s="419">
        <f t="shared" si="115"/>
        <v>0</v>
      </c>
      <c r="J266" s="419">
        <f t="shared" si="115"/>
        <v>0</v>
      </c>
      <c r="K266" s="419">
        <f t="shared" si="115"/>
        <v>0</v>
      </c>
      <c r="L266" s="419">
        <f t="shared" si="115"/>
        <v>0</v>
      </c>
      <c r="M266" s="419">
        <f t="shared" si="115"/>
        <v>0</v>
      </c>
      <c r="N266" s="419">
        <f t="shared" si="115"/>
        <v>0</v>
      </c>
      <c r="O266" s="419">
        <f t="shared" si="115"/>
        <v>0</v>
      </c>
      <c r="P266" s="419">
        <f t="shared" si="115"/>
        <v>0</v>
      </c>
      <c r="Q266" s="419">
        <f>SUM(E266:P266)</f>
        <v>0</v>
      </c>
    </row>
    <row r="267" spans="1:17" x14ac:dyDescent="0.2">
      <c r="A267" s="402">
        <f>A266+1</f>
        <v>37</v>
      </c>
      <c r="B267" s="402"/>
      <c r="C267" s="760" t="s">
        <v>484</v>
      </c>
      <c r="D267" s="412"/>
      <c r="E267" s="671">
        <f t="shared" ref="E267:P267" si="116">E1043</f>
        <v>129125.09</v>
      </c>
      <c r="F267" s="671">
        <f t="shared" si="116"/>
        <v>146522.84</v>
      </c>
      <c r="G267" s="671">
        <f t="shared" si="116"/>
        <v>56489.88</v>
      </c>
      <c r="H267" s="671">
        <f t="shared" si="116"/>
        <v>84087.07</v>
      </c>
      <c r="I267" s="671">
        <f t="shared" si="116"/>
        <v>31338.05</v>
      </c>
      <c r="J267" s="671">
        <f t="shared" si="116"/>
        <v>28720.06</v>
      </c>
      <c r="K267" s="671">
        <f t="shared" si="116"/>
        <v>30841.270000000004</v>
      </c>
      <c r="L267" s="671">
        <f t="shared" si="116"/>
        <v>33587.14</v>
      </c>
      <c r="M267" s="671">
        <f t="shared" si="116"/>
        <v>30604.32</v>
      </c>
      <c r="N267" s="671">
        <f t="shared" si="116"/>
        <v>23587.190000000002</v>
      </c>
      <c r="O267" s="671">
        <f t="shared" si="116"/>
        <v>51070.909999999996</v>
      </c>
      <c r="P267" s="671">
        <f t="shared" si="116"/>
        <v>113935.30999999998</v>
      </c>
      <c r="Q267" s="671">
        <f>SUM(E267:P267)</f>
        <v>759909.12999999989</v>
      </c>
    </row>
    <row r="268" spans="1:17" x14ac:dyDescent="0.2">
      <c r="G268" s="269"/>
      <c r="Q268" s="269"/>
    </row>
    <row r="269" spans="1:17" x14ac:dyDescent="0.2">
      <c r="D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</row>
    <row r="270" spans="1:17" x14ac:dyDescent="0.2">
      <c r="A270" s="216" t="str">
        <f>$A$108</f>
        <v>[1] Reflects Normalized Volumes.</v>
      </c>
    </row>
    <row r="271" spans="1:17" x14ac:dyDescent="0.2">
      <c r="A271" s="411" t="str">
        <f>$A$109</f>
        <v>[2] See Schedule M-2.2 Pages 8 through 21 for detail.</v>
      </c>
    </row>
    <row r="272" spans="1:17" ht="10.5" x14ac:dyDescent="0.25">
      <c r="A272" s="817" t="str">
        <f>CONAME</f>
        <v>Columbia Gas of Kentucky, Inc.</v>
      </c>
      <c r="B272" s="817"/>
      <c r="C272" s="817"/>
      <c r="D272" s="817"/>
      <c r="E272" s="817"/>
      <c r="F272" s="817"/>
      <c r="G272" s="817"/>
      <c r="H272" s="817"/>
      <c r="I272" s="817"/>
      <c r="J272" s="817"/>
      <c r="K272" s="817"/>
      <c r="L272" s="817"/>
      <c r="M272" s="817"/>
      <c r="N272" s="817"/>
      <c r="O272" s="817"/>
      <c r="P272" s="817"/>
      <c r="Q272" s="817"/>
    </row>
    <row r="273" spans="1:17" ht="10.5" x14ac:dyDescent="0.25">
      <c r="A273" s="800" t="str">
        <f>case</f>
        <v>Case No. 2021-00183</v>
      </c>
      <c r="B273" s="800"/>
      <c r="C273" s="800"/>
      <c r="D273" s="800"/>
      <c r="E273" s="800"/>
      <c r="F273" s="800"/>
      <c r="G273" s="800"/>
      <c r="H273" s="800"/>
      <c r="I273" s="800"/>
      <c r="J273" s="800"/>
      <c r="K273" s="800"/>
      <c r="L273" s="800"/>
      <c r="M273" s="800"/>
      <c r="N273" s="800"/>
      <c r="O273" s="800"/>
      <c r="P273" s="800"/>
      <c r="Q273" s="800"/>
    </row>
    <row r="274" spans="1:17" ht="10.5" x14ac:dyDescent="0.25">
      <c r="A274" s="815" t="s">
        <v>414</v>
      </c>
      <c r="B274" s="815"/>
      <c r="C274" s="815"/>
      <c r="D274" s="815"/>
      <c r="E274" s="815"/>
      <c r="F274" s="815"/>
      <c r="G274" s="815"/>
      <c r="H274" s="815"/>
      <c r="I274" s="815"/>
      <c r="J274" s="815"/>
      <c r="K274" s="815"/>
      <c r="L274" s="815"/>
      <c r="M274" s="815"/>
      <c r="N274" s="815"/>
      <c r="O274" s="815"/>
      <c r="P274" s="815"/>
      <c r="Q274" s="815"/>
    </row>
    <row r="275" spans="1:17" ht="10.5" x14ac:dyDescent="0.25">
      <c r="A275" s="817" t="str">
        <f>TYDESC</f>
        <v>For the 12 Months Ended December 31, 2022</v>
      </c>
      <c r="B275" s="817"/>
      <c r="C275" s="817"/>
      <c r="D275" s="817"/>
      <c r="E275" s="817"/>
      <c r="F275" s="817"/>
      <c r="G275" s="817"/>
      <c r="H275" s="817"/>
      <c r="I275" s="817"/>
      <c r="J275" s="817"/>
      <c r="K275" s="817"/>
      <c r="L275" s="817"/>
      <c r="M275" s="817"/>
      <c r="N275" s="817"/>
      <c r="O275" s="817"/>
      <c r="P275" s="817"/>
      <c r="Q275" s="817"/>
    </row>
    <row r="276" spans="1:17" ht="10.5" x14ac:dyDescent="0.25">
      <c r="A276" s="814" t="s">
        <v>39</v>
      </c>
      <c r="B276" s="814"/>
      <c r="C276" s="814"/>
      <c r="D276" s="814"/>
      <c r="E276" s="814"/>
      <c r="F276" s="814"/>
      <c r="G276" s="814"/>
      <c r="H276" s="814"/>
      <c r="I276" s="814"/>
      <c r="J276" s="814"/>
      <c r="K276" s="814"/>
      <c r="L276" s="814"/>
      <c r="M276" s="814"/>
      <c r="N276" s="814"/>
      <c r="O276" s="814"/>
      <c r="P276" s="814"/>
      <c r="Q276" s="814"/>
    </row>
    <row r="277" spans="1:17" ht="10.5" x14ac:dyDescent="0.25">
      <c r="A277" s="245" t="str">
        <f>$A$52</f>
        <v>Data: __ Base Period _X_ Forecasted Period</v>
      </c>
    </row>
    <row r="278" spans="1:17" ht="10.5" x14ac:dyDescent="0.25">
      <c r="A278" s="245" t="str">
        <f>$A$53</f>
        <v>Type of Filing: X Original _ Update _ Revised</v>
      </c>
      <c r="Q278" s="583" t="str">
        <f>$Q$53</f>
        <v>Schedule M-2.2</v>
      </c>
    </row>
    <row r="279" spans="1:17" ht="10.5" x14ac:dyDescent="0.25">
      <c r="A279" s="245" t="str">
        <f>$A$54</f>
        <v>Work Paper Reference No(s):</v>
      </c>
      <c r="Q279" s="583" t="s">
        <v>420</v>
      </c>
    </row>
    <row r="280" spans="1:17" ht="10.5" x14ac:dyDescent="0.25">
      <c r="A280" s="373" t="str">
        <f>$A$55</f>
        <v>12 Months Forecasted</v>
      </c>
      <c r="Q280" s="583" t="str">
        <f>Witness</f>
        <v>Witness:  Judith L. Siegler</v>
      </c>
    </row>
    <row r="281" spans="1:17" ht="10.5" x14ac:dyDescent="0.25">
      <c r="A281" s="816" t="s">
        <v>191</v>
      </c>
      <c r="B281" s="816"/>
      <c r="C281" s="816"/>
      <c r="D281" s="816"/>
      <c r="E281" s="816"/>
      <c r="F281" s="816"/>
      <c r="G281" s="816"/>
      <c r="H281" s="816"/>
      <c r="I281" s="816"/>
      <c r="J281" s="816"/>
      <c r="K281" s="816"/>
      <c r="L281" s="816"/>
      <c r="M281" s="816"/>
      <c r="N281" s="816"/>
      <c r="O281" s="816"/>
      <c r="P281" s="816"/>
      <c r="Q281" s="816"/>
    </row>
    <row r="282" spans="1:17" ht="10.5" x14ac:dyDescent="0.25">
      <c r="A282" s="392"/>
      <c r="B282" s="280"/>
      <c r="C282" s="280"/>
      <c r="D282" s="282"/>
      <c r="E282" s="280"/>
      <c r="F282" s="438"/>
      <c r="G282" s="439"/>
      <c r="H282" s="438"/>
      <c r="I282" s="440"/>
      <c r="J282" s="438"/>
      <c r="K282" s="438"/>
      <c r="L282" s="438"/>
      <c r="M282" s="438"/>
      <c r="N282" s="438"/>
      <c r="O282" s="438"/>
      <c r="P282" s="438"/>
      <c r="Q282" s="280"/>
    </row>
    <row r="283" spans="1:17" ht="10.5" x14ac:dyDescent="0.25">
      <c r="A283" s="727" t="s">
        <v>1</v>
      </c>
      <c r="B283" s="727" t="s">
        <v>0</v>
      </c>
      <c r="C283" s="727" t="s">
        <v>41</v>
      </c>
      <c r="D283" s="731" t="s">
        <v>47</v>
      </c>
      <c r="E283" s="584"/>
      <c r="F283" s="587"/>
      <c r="G283" s="584"/>
      <c r="H283" s="730"/>
      <c r="I283" s="584"/>
      <c r="J283" s="584"/>
      <c r="K283" s="584"/>
      <c r="L283" s="584"/>
      <c r="M283" s="584"/>
      <c r="N283" s="584"/>
      <c r="O283" s="732"/>
      <c r="P283" s="732"/>
      <c r="Q283" s="732"/>
    </row>
    <row r="284" spans="1:17" ht="10.5" x14ac:dyDescent="0.25">
      <c r="A284" s="263" t="s">
        <v>3</v>
      </c>
      <c r="B284" s="263" t="s">
        <v>40</v>
      </c>
      <c r="C284" s="263" t="s">
        <v>4</v>
      </c>
      <c r="D284" s="756" t="s">
        <v>48</v>
      </c>
      <c r="E284" s="380" t="str">
        <f>B!$D$11</f>
        <v>Jan-22</v>
      </c>
      <c r="F284" s="380" t="str">
        <f>B!$E$11</f>
        <v>Feb-22</v>
      </c>
      <c r="G284" s="380" t="str">
        <f>B!$F$11</f>
        <v>Mar-22</v>
      </c>
      <c r="H284" s="380" t="str">
        <f>B!$G$11</f>
        <v>Apr-22</v>
      </c>
      <c r="I284" s="380" t="str">
        <f>B!$H$11</f>
        <v>May-22</v>
      </c>
      <c r="J284" s="380" t="str">
        <f>B!$I$11</f>
        <v>Jun-22</v>
      </c>
      <c r="K284" s="380" t="str">
        <f>B!$J$11</f>
        <v>Jul-22</v>
      </c>
      <c r="L284" s="380" t="str">
        <f>B!$K$11</f>
        <v>Aug-22</v>
      </c>
      <c r="M284" s="380" t="str">
        <f>B!$L$11</f>
        <v>Sep-22</v>
      </c>
      <c r="N284" s="380" t="str">
        <f>B!$M$11</f>
        <v>Oct-22</v>
      </c>
      <c r="O284" s="380" t="str">
        <f>B!$N$11</f>
        <v>Nov-22</v>
      </c>
      <c r="P284" s="380" t="str">
        <f>B!$O$11</f>
        <v>Dec-22</v>
      </c>
      <c r="Q284" s="380" t="s">
        <v>9</v>
      </c>
    </row>
    <row r="285" spans="1:17" ht="10.5" x14ac:dyDescent="0.25">
      <c r="A285" s="727"/>
      <c r="B285" s="732" t="s">
        <v>42</v>
      </c>
      <c r="C285" s="732" t="s">
        <v>43</v>
      </c>
      <c r="D285" s="757" t="s">
        <v>45</v>
      </c>
      <c r="E285" s="586" t="s">
        <v>46</v>
      </c>
      <c r="F285" s="586" t="s">
        <v>49</v>
      </c>
      <c r="G285" s="586" t="s">
        <v>50</v>
      </c>
      <c r="H285" s="586" t="s">
        <v>51</v>
      </c>
      <c r="I285" s="586" t="s">
        <v>52</v>
      </c>
      <c r="J285" s="586" t="s">
        <v>53</v>
      </c>
      <c r="K285" s="588" t="s">
        <v>54</v>
      </c>
      <c r="L285" s="588" t="s">
        <v>55</v>
      </c>
      <c r="M285" s="588" t="s">
        <v>56</v>
      </c>
      <c r="N285" s="588" t="s">
        <v>57</v>
      </c>
      <c r="O285" s="588" t="s">
        <v>58</v>
      </c>
      <c r="P285" s="588" t="s">
        <v>59</v>
      </c>
      <c r="Q285" s="588" t="s">
        <v>200</v>
      </c>
    </row>
    <row r="286" spans="1:17" ht="10.5" x14ac:dyDescent="0.25">
      <c r="E286" s="732"/>
      <c r="F286" s="588"/>
      <c r="G286" s="585"/>
      <c r="H286" s="588"/>
      <c r="I286" s="586"/>
      <c r="J286" s="588"/>
      <c r="K286" s="588"/>
      <c r="L286" s="588"/>
      <c r="M286" s="588"/>
      <c r="N286" s="588"/>
      <c r="O286" s="588"/>
      <c r="P286" s="588"/>
      <c r="Q286" s="732"/>
    </row>
    <row r="287" spans="1:17" ht="10.5" x14ac:dyDescent="0.25">
      <c r="A287" s="216">
        <v>1</v>
      </c>
      <c r="C287" s="742" t="s">
        <v>95</v>
      </c>
    </row>
    <row r="289" spans="1:17" x14ac:dyDescent="0.2">
      <c r="A289" s="216">
        <f>A287+1</f>
        <v>2</v>
      </c>
      <c r="B289" s="216" t="str">
        <f>Input!A44</f>
        <v>GDS</v>
      </c>
      <c r="C289" s="216" t="str">
        <f>'Sch M 2.1'!B42</f>
        <v>GTS Grandfathered Delivery Service - Industrial</v>
      </c>
      <c r="G289" s="269"/>
      <c r="Q289" s="269"/>
    </row>
    <row r="290" spans="1:17" x14ac:dyDescent="0.2">
      <c r="A290" s="216">
        <f>A289+1</f>
        <v>3</v>
      </c>
      <c r="C290" s="504" t="s">
        <v>216</v>
      </c>
      <c r="E290" s="267">
        <f t="shared" ref="E290:P290" si="117">E1049</f>
        <v>7</v>
      </c>
      <c r="F290" s="267">
        <f t="shared" si="117"/>
        <v>7</v>
      </c>
      <c r="G290" s="267">
        <f t="shared" si="117"/>
        <v>7</v>
      </c>
      <c r="H290" s="267">
        <f t="shared" si="117"/>
        <v>7</v>
      </c>
      <c r="I290" s="267">
        <f t="shared" si="117"/>
        <v>7</v>
      </c>
      <c r="J290" s="267">
        <f t="shared" si="117"/>
        <v>7</v>
      </c>
      <c r="K290" s="267">
        <f t="shared" si="117"/>
        <v>7</v>
      </c>
      <c r="L290" s="267">
        <f t="shared" si="117"/>
        <v>7</v>
      </c>
      <c r="M290" s="267">
        <f t="shared" si="117"/>
        <v>7</v>
      </c>
      <c r="N290" s="267">
        <f t="shared" si="117"/>
        <v>7</v>
      </c>
      <c r="O290" s="267">
        <f t="shared" si="117"/>
        <v>7</v>
      </c>
      <c r="P290" s="267">
        <f t="shared" si="117"/>
        <v>7</v>
      </c>
      <c r="Q290" s="267">
        <f>SUM(E290:P290)</f>
        <v>84</v>
      </c>
    </row>
    <row r="291" spans="1:17" x14ac:dyDescent="0.2">
      <c r="A291" s="216">
        <f>A290+1</f>
        <v>4</v>
      </c>
      <c r="C291" s="504" t="s">
        <v>483</v>
      </c>
      <c r="E291" s="272">
        <f t="shared" ref="E291:P291" si="118">E1059</f>
        <v>7745.1</v>
      </c>
      <c r="F291" s="272">
        <f t="shared" si="118"/>
        <v>6667.2999999999993</v>
      </c>
      <c r="G291" s="272">
        <f t="shared" si="118"/>
        <v>18285.099999999999</v>
      </c>
      <c r="H291" s="272">
        <f t="shared" si="118"/>
        <v>4301</v>
      </c>
      <c r="I291" s="272">
        <f t="shared" si="118"/>
        <v>3388.6000000000004</v>
      </c>
      <c r="J291" s="272">
        <f t="shared" si="118"/>
        <v>2237.3000000000002</v>
      </c>
      <c r="K291" s="272">
        <f t="shared" si="118"/>
        <v>2063.8000000000002</v>
      </c>
      <c r="L291" s="272">
        <f t="shared" si="118"/>
        <v>2674.6</v>
      </c>
      <c r="M291" s="272">
        <f t="shared" si="118"/>
        <v>2159.9</v>
      </c>
      <c r="N291" s="272">
        <f t="shared" si="118"/>
        <v>3806.9999999999995</v>
      </c>
      <c r="O291" s="272">
        <f t="shared" si="118"/>
        <v>5084</v>
      </c>
      <c r="P291" s="272">
        <f t="shared" si="118"/>
        <v>8648.1</v>
      </c>
      <c r="Q291" s="272">
        <f>SUM(E291:P291)</f>
        <v>67061.8</v>
      </c>
    </row>
    <row r="292" spans="1:17" x14ac:dyDescent="0.2">
      <c r="A292" s="216">
        <f>A291+1</f>
        <v>5</v>
      </c>
      <c r="C292" s="504" t="s">
        <v>218</v>
      </c>
      <c r="E292" s="419">
        <f>E1068</f>
        <v>16242.17</v>
      </c>
      <c r="F292" s="419">
        <f t="shared" ref="F292:P292" si="119">F1068</f>
        <v>14228.820000000002</v>
      </c>
      <c r="G292" s="419">
        <f t="shared" si="119"/>
        <v>36189.15</v>
      </c>
      <c r="H292" s="419">
        <f t="shared" si="119"/>
        <v>9737.2200000000012</v>
      </c>
      <c r="I292" s="419">
        <f t="shared" si="119"/>
        <v>7809.41</v>
      </c>
      <c r="J292" s="419">
        <f t="shared" si="119"/>
        <v>5413.25</v>
      </c>
      <c r="K292" s="419">
        <f t="shared" si="119"/>
        <v>5037.1100000000006</v>
      </c>
      <c r="L292" s="419">
        <f t="shared" si="119"/>
        <v>6327.93</v>
      </c>
      <c r="M292" s="419">
        <f t="shared" si="119"/>
        <v>5274.7400000000007</v>
      </c>
      <c r="N292" s="419">
        <f t="shared" si="119"/>
        <v>8672.2800000000007</v>
      </c>
      <c r="O292" s="419">
        <f t="shared" si="119"/>
        <v>11084.68</v>
      </c>
      <c r="P292" s="419">
        <f t="shared" si="119"/>
        <v>18083.929999999997</v>
      </c>
      <c r="Q292" s="419">
        <f>SUM(E292:P292)</f>
        <v>144100.69</v>
      </c>
    </row>
    <row r="293" spans="1:17" x14ac:dyDescent="0.2">
      <c r="A293" s="216">
        <f>A292+1</f>
        <v>6</v>
      </c>
      <c r="C293" s="504" t="s">
        <v>219</v>
      </c>
      <c r="E293" s="419">
        <f t="shared" ref="E293:P293" si="120">E1070</f>
        <v>0</v>
      </c>
      <c r="F293" s="419">
        <f t="shared" si="120"/>
        <v>0</v>
      </c>
      <c r="G293" s="419">
        <f t="shared" si="120"/>
        <v>0</v>
      </c>
      <c r="H293" s="419">
        <f t="shared" si="120"/>
        <v>0</v>
      </c>
      <c r="I293" s="419">
        <f t="shared" si="120"/>
        <v>0</v>
      </c>
      <c r="J293" s="419">
        <f t="shared" si="120"/>
        <v>0</v>
      </c>
      <c r="K293" s="419">
        <f t="shared" si="120"/>
        <v>0</v>
      </c>
      <c r="L293" s="419">
        <f t="shared" si="120"/>
        <v>0</v>
      </c>
      <c r="M293" s="419">
        <f t="shared" si="120"/>
        <v>0</v>
      </c>
      <c r="N293" s="419">
        <f t="shared" si="120"/>
        <v>0</v>
      </c>
      <c r="O293" s="419">
        <f t="shared" si="120"/>
        <v>0</v>
      </c>
      <c r="P293" s="419">
        <f t="shared" si="120"/>
        <v>0</v>
      </c>
      <c r="Q293" s="419">
        <f>SUM(E293:P293)</f>
        <v>0</v>
      </c>
    </row>
    <row r="294" spans="1:17" x14ac:dyDescent="0.2">
      <c r="A294" s="402">
        <f>A293+1</f>
        <v>7</v>
      </c>
      <c r="B294" s="402"/>
      <c r="C294" s="760" t="s">
        <v>484</v>
      </c>
      <c r="D294" s="412"/>
      <c r="E294" s="671">
        <f t="shared" ref="E294:P294" si="121">E1072</f>
        <v>16242.17</v>
      </c>
      <c r="F294" s="671">
        <f t="shared" si="121"/>
        <v>14228.820000000002</v>
      </c>
      <c r="G294" s="671">
        <f t="shared" si="121"/>
        <v>36189.15</v>
      </c>
      <c r="H294" s="671">
        <f t="shared" si="121"/>
        <v>9737.2200000000012</v>
      </c>
      <c r="I294" s="671">
        <f t="shared" si="121"/>
        <v>7809.41</v>
      </c>
      <c r="J294" s="671">
        <f t="shared" si="121"/>
        <v>5413.25</v>
      </c>
      <c r="K294" s="671">
        <f t="shared" si="121"/>
        <v>5037.1100000000006</v>
      </c>
      <c r="L294" s="671">
        <f t="shared" si="121"/>
        <v>6327.93</v>
      </c>
      <c r="M294" s="671">
        <f t="shared" si="121"/>
        <v>5274.7400000000007</v>
      </c>
      <c r="N294" s="671">
        <f t="shared" si="121"/>
        <v>8672.2800000000007</v>
      </c>
      <c r="O294" s="671">
        <f t="shared" si="121"/>
        <v>11084.68</v>
      </c>
      <c r="P294" s="671">
        <f t="shared" si="121"/>
        <v>18083.929999999997</v>
      </c>
      <c r="Q294" s="671">
        <f>SUM(E294:P294)</f>
        <v>144100.69</v>
      </c>
    </row>
    <row r="295" spans="1:17" x14ac:dyDescent="0.2">
      <c r="G295" s="269"/>
      <c r="Q295" s="269"/>
    </row>
    <row r="296" spans="1:17" x14ac:dyDescent="0.2">
      <c r="A296" s="216">
        <f>A294+1</f>
        <v>8</v>
      </c>
      <c r="B296" s="216" t="str">
        <f>Input!A45</f>
        <v>DS3</v>
      </c>
      <c r="C296" s="216" t="str">
        <f>'Sch M 2.1'!B43</f>
        <v>GTS Main Line Service - Industrial</v>
      </c>
      <c r="G296" s="269"/>
      <c r="Q296" s="269"/>
    </row>
    <row r="297" spans="1:17" x14ac:dyDescent="0.2">
      <c r="A297" s="216">
        <f>A296+1</f>
        <v>9</v>
      </c>
      <c r="C297" s="504" t="s">
        <v>216</v>
      </c>
      <c r="E297" s="267">
        <f t="shared" ref="E297:P297" si="122">E1096</f>
        <v>3</v>
      </c>
      <c r="F297" s="267">
        <f t="shared" si="122"/>
        <v>3</v>
      </c>
      <c r="G297" s="267">
        <f t="shared" si="122"/>
        <v>3</v>
      </c>
      <c r="H297" s="267">
        <f t="shared" si="122"/>
        <v>3</v>
      </c>
      <c r="I297" s="267">
        <f t="shared" si="122"/>
        <v>3</v>
      </c>
      <c r="J297" s="267">
        <f t="shared" si="122"/>
        <v>3</v>
      </c>
      <c r="K297" s="267">
        <f t="shared" si="122"/>
        <v>3</v>
      </c>
      <c r="L297" s="267">
        <f t="shared" si="122"/>
        <v>3</v>
      </c>
      <c r="M297" s="267">
        <f t="shared" si="122"/>
        <v>3</v>
      </c>
      <c r="N297" s="267">
        <f t="shared" si="122"/>
        <v>3</v>
      </c>
      <c r="O297" s="267">
        <f t="shared" si="122"/>
        <v>3</v>
      </c>
      <c r="P297" s="267">
        <f t="shared" si="122"/>
        <v>3</v>
      </c>
      <c r="Q297" s="267">
        <f>SUM(E297:P297)</f>
        <v>36</v>
      </c>
    </row>
    <row r="298" spans="1:17" x14ac:dyDescent="0.2">
      <c r="A298" s="216">
        <f>A297+1</f>
        <v>10</v>
      </c>
      <c r="C298" s="504" t="s">
        <v>483</v>
      </c>
      <c r="E298" s="272">
        <f t="shared" ref="E298:P298" si="123">E1100</f>
        <v>54000</v>
      </c>
      <c r="F298" s="272">
        <f t="shared" si="123"/>
        <v>51500</v>
      </c>
      <c r="G298" s="272">
        <f t="shared" si="123"/>
        <v>49500</v>
      </c>
      <c r="H298" s="272">
        <f t="shared" si="123"/>
        <v>47400</v>
      </c>
      <c r="I298" s="272">
        <f t="shared" si="123"/>
        <v>50900</v>
      </c>
      <c r="J298" s="272">
        <f t="shared" si="123"/>
        <v>48600</v>
      </c>
      <c r="K298" s="272">
        <f t="shared" si="123"/>
        <v>49900</v>
      </c>
      <c r="L298" s="272">
        <f t="shared" si="123"/>
        <v>47500</v>
      </c>
      <c r="M298" s="272">
        <f t="shared" si="123"/>
        <v>49500</v>
      </c>
      <c r="N298" s="272">
        <f t="shared" si="123"/>
        <v>52800</v>
      </c>
      <c r="O298" s="272">
        <f t="shared" si="123"/>
        <v>51200</v>
      </c>
      <c r="P298" s="272">
        <f t="shared" si="123"/>
        <v>49300</v>
      </c>
      <c r="Q298" s="272">
        <f>SUM(E298:P298)</f>
        <v>602100</v>
      </c>
    </row>
    <row r="299" spans="1:17" x14ac:dyDescent="0.2">
      <c r="A299" s="216">
        <f>A298+1</f>
        <v>11</v>
      </c>
      <c r="C299" s="504" t="s">
        <v>218</v>
      </c>
      <c r="E299" s="419">
        <f t="shared" ref="E299:P299" si="124">E1103</f>
        <v>6178.5</v>
      </c>
      <c r="F299" s="419">
        <f t="shared" si="124"/>
        <v>5928</v>
      </c>
      <c r="G299" s="419">
        <f t="shared" si="124"/>
        <v>5727.6</v>
      </c>
      <c r="H299" s="419">
        <f t="shared" si="124"/>
        <v>5517.18</v>
      </c>
      <c r="I299" s="419">
        <f t="shared" si="124"/>
        <v>5867.88</v>
      </c>
      <c r="J299" s="419">
        <f t="shared" si="124"/>
        <v>5637.42</v>
      </c>
      <c r="K299" s="419">
        <f t="shared" si="124"/>
        <v>5767.68</v>
      </c>
      <c r="L299" s="419">
        <f t="shared" si="124"/>
        <v>5527.2</v>
      </c>
      <c r="M299" s="419">
        <f t="shared" si="124"/>
        <v>5727.6</v>
      </c>
      <c r="N299" s="419">
        <f t="shared" si="124"/>
        <v>6058.2599999999993</v>
      </c>
      <c r="O299" s="419">
        <f t="shared" si="124"/>
        <v>5897.94</v>
      </c>
      <c r="P299" s="419">
        <f t="shared" si="124"/>
        <v>5707.5599999999995</v>
      </c>
      <c r="Q299" s="419">
        <f>SUM(E299:P299)</f>
        <v>69542.820000000007</v>
      </c>
    </row>
    <row r="300" spans="1:17" x14ac:dyDescent="0.2">
      <c r="A300" s="216">
        <f>A299+1</f>
        <v>12</v>
      </c>
      <c r="C300" s="504" t="s">
        <v>219</v>
      </c>
      <c r="E300" s="419">
        <f t="shared" ref="E300:P300" si="125">E1105</f>
        <v>0</v>
      </c>
      <c r="F300" s="419">
        <f t="shared" si="125"/>
        <v>0</v>
      </c>
      <c r="G300" s="419">
        <f t="shared" si="125"/>
        <v>0</v>
      </c>
      <c r="H300" s="419">
        <f t="shared" si="125"/>
        <v>0</v>
      </c>
      <c r="I300" s="419">
        <f t="shared" si="125"/>
        <v>0</v>
      </c>
      <c r="J300" s="419">
        <f t="shared" si="125"/>
        <v>0</v>
      </c>
      <c r="K300" s="419">
        <f t="shared" si="125"/>
        <v>0</v>
      </c>
      <c r="L300" s="419">
        <f t="shared" si="125"/>
        <v>0</v>
      </c>
      <c r="M300" s="419">
        <f t="shared" si="125"/>
        <v>0</v>
      </c>
      <c r="N300" s="419">
        <f t="shared" si="125"/>
        <v>0</v>
      </c>
      <c r="O300" s="419">
        <f t="shared" si="125"/>
        <v>0</v>
      </c>
      <c r="P300" s="419">
        <f t="shared" si="125"/>
        <v>0</v>
      </c>
      <c r="Q300" s="419">
        <f>SUM(E300:P300)</f>
        <v>0</v>
      </c>
    </row>
    <row r="301" spans="1:17" x14ac:dyDescent="0.2">
      <c r="A301" s="402">
        <f>A300+1</f>
        <v>13</v>
      </c>
      <c r="B301" s="402"/>
      <c r="C301" s="760" t="s">
        <v>484</v>
      </c>
      <c r="D301" s="412"/>
      <c r="E301" s="671">
        <f t="shared" ref="E301:P301" si="126">E1107</f>
        <v>6178.5</v>
      </c>
      <c r="F301" s="671">
        <f t="shared" si="126"/>
        <v>5928</v>
      </c>
      <c r="G301" s="671">
        <f t="shared" si="126"/>
        <v>5727.6</v>
      </c>
      <c r="H301" s="671">
        <f t="shared" si="126"/>
        <v>5517.18</v>
      </c>
      <c r="I301" s="671">
        <f t="shared" si="126"/>
        <v>5867.88</v>
      </c>
      <c r="J301" s="671">
        <f t="shared" si="126"/>
        <v>5637.42</v>
      </c>
      <c r="K301" s="671">
        <f t="shared" si="126"/>
        <v>5767.68</v>
      </c>
      <c r="L301" s="671">
        <f t="shared" si="126"/>
        <v>5527.2</v>
      </c>
      <c r="M301" s="671">
        <f t="shared" si="126"/>
        <v>5727.6</v>
      </c>
      <c r="N301" s="671">
        <f t="shared" si="126"/>
        <v>6058.2599999999993</v>
      </c>
      <c r="O301" s="671">
        <f t="shared" si="126"/>
        <v>5897.94</v>
      </c>
      <c r="P301" s="671">
        <f t="shared" si="126"/>
        <v>5707.5599999999995</v>
      </c>
      <c r="Q301" s="671">
        <f>SUM(E301:P301)</f>
        <v>69542.820000000007</v>
      </c>
    </row>
    <row r="303" spans="1:17" x14ac:dyDescent="0.2">
      <c r="A303" s="216">
        <f>A301+1</f>
        <v>14</v>
      </c>
      <c r="B303" s="216" t="str">
        <f>Input!A46</f>
        <v>FX1</v>
      </c>
      <c r="C303" s="216" t="str">
        <f>'Sch M 2.1'!B44</f>
        <v>GTS Flex Rate - Commercial</v>
      </c>
      <c r="G303" s="269"/>
      <c r="Q303" s="269"/>
    </row>
    <row r="304" spans="1:17" x14ac:dyDescent="0.2">
      <c r="A304" s="216">
        <f>A303+1</f>
        <v>15</v>
      </c>
      <c r="C304" s="504" t="s">
        <v>216</v>
      </c>
      <c r="E304" s="267">
        <f t="shared" ref="E304:P304" si="127">E1114</f>
        <v>0</v>
      </c>
      <c r="F304" s="267">
        <f t="shared" si="127"/>
        <v>0</v>
      </c>
      <c r="G304" s="267">
        <f t="shared" si="127"/>
        <v>0</v>
      </c>
      <c r="H304" s="267">
        <f t="shared" si="127"/>
        <v>0</v>
      </c>
      <c r="I304" s="267">
        <f t="shared" si="127"/>
        <v>0</v>
      </c>
      <c r="J304" s="267">
        <f t="shared" si="127"/>
        <v>0</v>
      </c>
      <c r="K304" s="267">
        <f t="shared" si="127"/>
        <v>0</v>
      </c>
      <c r="L304" s="267">
        <f t="shared" si="127"/>
        <v>0</v>
      </c>
      <c r="M304" s="267">
        <f t="shared" si="127"/>
        <v>0</v>
      </c>
      <c r="N304" s="267">
        <f t="shared" si="127"/>
        <v>0</v>
      </c>
      <c r="O304" s="267">
        <f t="shared" si="127"/>
        <v>0</v>
      </c>
      <c r="P304" s="267">
        <f t="shared" si="127"/>
        <v>0</v>
      </c>
      <c r="Q304" s="267">
        <f>SUM(E304:P304)</f>
        <v>0</v>
      </c>
    </row>
    <row r="305" spans="1:17" x14ac:dyDescent="0.2">
      <c r="A305" s="216">
        <f>A304+1</f>
        <v>16</v>
      </c>
      <c r="C305" s="504" t="s">
        <v>483</v>
      </c>
      <c r="E305" s="272">
        <f t="shared" ref="E305:P305" si="128">E1118</f>
        <v>0</v>
      </c>
      <c r="F305" s="272">
        <f t="shared" si="128"/>
        <v>0</v>
      </c>
      <c r="G305" s="272">
        <f t="shared" si="128"/>
        <v>0</v>
      </c>
      <c r="H305" s="272">
        <f t="shared" si="128"/>
        <v>0</v>
      </c>
      <c r="I305" s="272">
        <f t="shared" si="128"/>
        <v>0</v>
      </c>
      <c r="J305" s="272">
        <f t="shared" si="128"/>
        <v>0</v>
      </c>
      <c r="K305" s="272">
        <f t="shared" si="128"/>
        <v>0</v>
      </c>
      <c r="L305" s="272">
        <f t="shared" si="128"/>
        <v>0</v>
      </c>
      <c r="M305" s="272">
        <f t="shared" si="128"/>
        <v>0</v>
      </c>
      <c r="N305" s="272">
        <f t="shared" si="128"/>
        <v>0</v>
      </c>
      <c r="O305" s="272">
        <f t="shared" si="128"/>
        <v>0</v>
      </c>
      <c r="P305" s="272">
        <f t="shared" si="128"/>
        <v>0</v>
      </c>
      <c r="Q305" s="272">
        <f>SUM(E305:P305)</f>
        <v>0</v>
      </c>
    </row>
    <row r="306" spans="1:17" x14ac:dyDescent="0.2">
      <c r="A306" s="216">
        <f>A305+1</f>
        <v>17</v>
      </c>
      <c r="C306" s="504" t="s">
        <v>218</v>
      </c>
      <c r="E306" s="419">
        <f t="shared" ref="E306:P306" si="129">E1121</f>
        <v>0</v>
      </c>
      <c r="F306" s="419">
        <f t="shared" si="129"/>
        <v>0</v>
      </c>
      <c r="G306" s="419">
        <f t="shared" si="129"/>
        <v>0</v>
      </c>
      <c r="H306" s="419">
        <f t="shared" si="129"/>
        <v>0</v>
      </c>
      <c r="I306" s="419">
        <f t="shared" si="129"/>
        <v>0</v>
      </c>
      <c r="J306" s="419">
        <f t="shared" si="129"/>
        <v>0</v>
      </c>
      <c r="K306" s="419">
        <f t="shared" si="129"/>
        <v>0</v>
      </c>
      <c r="L306" s="419">
        <f t="shared" si="129"/>
        <v>0</v>
      </c>
      <c r="M306" s="419">
        <f t="shared" si="129"/>
        <v>0</v>
      </c>
      <c r="N306" s="419">
        <f t="shared" si="129"/>
        <v>0</v>
      </c>
      <c r="O306" s="419">
        <f t="shared" si="129"/>
        <v>0</v>
      </c>
      <c r="P306" s="419">
        <f t="shared" si="129"/>
        <v>0</v>
      </c>
      <c r="Q306" s="419">
        <f>SUM(E306:P306)</f>
        <v>0</v>
      </c>
    </row>
    <row r="307" spans="1:17" x14ac:dyDescent="0.2">
      <c r="A307" s="216">
        <f>A306+1</f>
        <v>18</v>
      </c>
      <c r="C307" s="504" t="s">
        <v>219</v>
      </c>
      <c r="E307" s="419">
        <f t="shared" ref="E307:P307" si="130">E1123</f>
        <v>0</v>
      </c>
      <c r="F307" s="419">
        <f t="shared" si="130"/>
        <v>0</v>
      </c>
      <c r="G307" s="419">
        <f t="shared" si="130"/>
        <v>0</v>
      </c>
      <c r="H307" s="419">
        <f t="shared" si="130"/>
        <v>0</v>
      </c>
      <c r="I307" s="419">
        <f t="shared" si="130"/>
        <v>0</v>
      </c>
      <c r="J307" s="419">
        <f t="shared" si="130"/>
        <v>0</v>
      </c>
      <c r="K307" s="419">
        <f t="shared" si="130"/>
        <v>0</v>
      </c>
      <c r="L307" s="419">
        <f t="shared" si="130"/>
        <v>0</v>
      </c>
      <c r="M307" s="419">
        <f t="shared" si="130"/>
        <v>0</v>
      </c>
      <c r="N307" s="419">
        <f t="shared" si="130"/>
        <v>0</v>
      </c>
      <c r="O307" s="419">
        <f t="shared" si="130"/>
        <v>0</v>
      </c>
      <c r="P307" s="419">
        <f t="shared" si="130"/>
        <v>0</v>
      </c>
      <c r="Q307" s="419">
        <f>SUM(E307:P307)</f>
        <v>0</v>
      </c>
    </row>
    <row r="308" spans="1:17" x14ac:dyDescent="0.2">
      <c r="A308" s="402">
        <f>A307+1</f>
        <v>19</v>
      </c>
      <c r="B308" s="402"/>
      <c r="C308" s="760" t="s">
        <v>484</v>
      </c>
      <c r="D308" s="412"/>
      <c r="E308" s="671">
        <f t="shared" ref="E308:P308" si="131">E1125</f>
        <v>0</v>
      </c>
      <c r="F308" s="671">
        <f t="shared" si="131"/>
        <v>0</v>
      </c>
      <c r="G308" s="671">
        <f t="shared" si="131"/>
        <v>0</v>
      </c>
      <c r="H308" s="671">
        <f t="shared" si="131"/>
        <v>0</v>
      </c>
      <c r="I308" s="671">
        <f t="shared" si="131"/>
        <v>0</v>
      </c>
      <c r="J308" s="671">
        <f t="shared" si="131"/>
        <v>0</v>
      </c>
      <c r="K308" s="671">
        <f t="shared" si="131"/>
        <v>0</v>
      </c>
      <c r="L308" s="671">
        <f t="shared" si="131"/>
        <v>0</v>
      </c>
      <c r="M308" s="671">
        <f t="shared" si="131"/>
        <v>0</v>
      </c>
      <c r="N308" s="671">
        <f t="shared" si="131"/>
        <v>0</v>
      </c>
      <c r="O308" s="671">
        <f t="shared" si="131"/>
        <v>0</v>
      </c>
      <c r="P308" s="671">
        <f t="shared" si="131"/>
        <v>0</v>
      </c>
      <c r="Q308" s="671">
        <f>SUM(E308:P308)</f>
        <v>0</v>
      </c>
    </row>
    <row r="309" spans="1:17" x14ac:dyDescent="0.2">
      <c r="A309" s="280"/>
      <c r="B309" s="280"/>
      <c r="C309" s="764"/>
      <c r="D309" s="282"/>
      <c r="E309" s="438"/>
      <c r="F309" s="438"/>
      <c r="G309" s="438"/>
      <c r="H309" s="438"/>
      <c r="I309" s="438"/>
      <c r="J309" s="438"/>
      <c r="K309" s="438"/>
      <c r="L309" s="438"/>
      <c r="M309" s="438"/>
      <c r="N309" s="438"/>
      <c r="O309" s="438"/>
      <c r="P309" s="438"/>
      <c r="Q309" s="438"/>
    </row>
    <row r="310" spans="1:17" x14ac:dyDescent="0.2">
      <c r="A310" s="216">
        <f>A308+1</f>
        <v>20</v>
      </c>
      <c r="B310" s="216" t="str">
        <f>Input!A47</f>
        <v>FX2</v>
      </c>
      <c r="C310" s="216" t="str">
        <f>'Sch M 2.1'!B45</f>
        <v>GTS Flex Rate - Commercial</v>
      </c>
      <c r="G310" s="269"/>
      <c r="Q310" s="269"/>
    </row>
    <row r="311" spans="1:17" x14ac:dyDescent="0.2">
      <c r="A311" s="216">
        <f>A310+1</f>
        <v>21</v>
      </c>
      <c r="C311" s="504" t="s">
        <v>216</v>
      </c>
      <c r="E311" s="267">
        <f t="shared" ref="E311:P311" si="132">E1132</f>
        <v>0</v>
      </c>
      <c r="F311" s="267">
        <f t="shared" si="132"/>
        <v>0</v>
      </c>
      <c r="G311" s="267">
        <f t="shared" si="132"/>
        <v>0</v>
      </c>
      <c r="H311" s="267">
        <f t="shared" si="132"/>
        <v>0</v>
      </c>
      <c r="I311" s="267">
        <f t="shared" si="132"/>
        <v>0</v>
      </c>
      <c r="J311" s="267">
        <f t="shared" si="132"/>
        <v>0</v>
      </c>
      <c r="K311" s="267">
        <f t="shared" si="132"/>
        <v>0</v>
      </c>
      <c r="L311" s="267">
        <f t="shared" si="132"/>
        <v>0</v>
      </c>
      <c r="M311" s="267">
        <f t="shared" si="132"/>
        <v>0</v>
      </c>
      <c r="N311" s="267">
        <f t="shared" si="132"/>
        <v>0</v>
      </c>
      <c r="O311" s="267">
        <f t="shared" si="132"/>
        <v>0</v>
      </c>
      <c r="P311" s="267">
        <f t="shared" si="132"/>
        <v>0</v>
      </c>
      <c r="Q311" s="267">
        <f>SUM(E311:P311)</f>
        <v>0</v>
      </c>
    </row>
    <row r="312" spans="1:17" x14ac:dyDescent="0.2">
      <c r="A312" s="216">
        <f>A311+1</f>
        <v>22</v>
      </c>
      <c r="C312" s="504" t="s">
        <v>483</v>
      </c>
      <c r="E312" s="272">
        <f t="shared" ref="E312:P312" si="133">E1136</f>
        <v>0</v>
      </c>
      <c r="F312" s="272">
        <f t="shared" si="133"/>
        <v>0</v>
      </c>
      <c r="G312" s="272">
        <f t="shared" si="133"/>
        <v>0</v>
      </c>
      <c r="H312" s="272">
        <f t="shared" si="133"/>
        <v>0</v>
      </c>
      <c r="I312" s="272">
        <f t="shared" si="133"/>
        <v>0</v>
      </c>
      <c r="J312" s="272">
        <f t="shared" si="133"/>
        <v>0</v>
      </c>
      <c r="K312" s="272">
        <f t="shared" si="133"/>
        <v>0</v>
      </c>
      <c r="L312" s="272">
        <f t="shared" si="133"/>
        <v>0</v>
      </c>
      <c r="M312" s="272">
        <f t="shared" si="133"/>
        <v>0</v>
      </c>
      <c r="N312" s="272">
        <f t="shared" si="133"/>
        <v>0</v>
      </c>
      <c r="O312" s="272">
        <f t="shared" si="133"/>
        <v>0</v>
      </c>
      <c r="P312" s="272">
        <f t="shared" si="133"/>
        <v>0</v>
      </c>
      <c r="Q312" s="272">
        <f>SUM(E312:P312)</f>
        <v>0</v>
      </c>
    </row>
    <row r="313" spans="1:17" x14ac:dyDescent="0.2">
      <c r="A313" s="216">
        <f>A312+1</f>
        <v>23</v>
      </c>
      <c r="C313" s="504" t="s">
        <v>218</v>
      </c>
      <c r="E313" s="419">
        <f t="shared" ref="E313:P313" si="134">E1139</f>
        <v>0</v>
      </c>
      <c r="F313" s="419">
        <f t="shared" si="134"/>
        <v>0</v>
      </c>
      <c r="G313" s="419">
        <f t="shared" si="134"/>
        <v>0</v>
      </c>
      <c r="H313" s="419">
        <f t="shared" si="134"/>
        <v>0</v>
      </c>
      <c r="I313" s="419">
        <f t="shared" si="134"/>
        <v>0</v>
      </c>
      <c r="J313" s="419">
        <f t="shared" si="134"/>
        <v>0</v>
      </c>
      <c r="K313" s="419">
        <f t="shared" si="134"/>
        <v>0</v>
      </c>
      <c r="L313" s="419">
        <f t="shared" si="134"/>
        <v>0</v>
      </c>
      <c r="M313" s="419">
        <f t="shared" si="134"/>
        <v>0</v>
      </c>
      <c r="N313" s="419">
        <f t="shared" si="134"/>
        <v>0</v>
      </c>
      <c r="O313" s="419">
        <f t="shared" si="134"/>
        <v>0</v>
      </c>
      <c r="P313" s="419">
        <f t="shared" si="134"/>
        <v>0</v>
      </c>
      <c r="Q313" s="419">
        <f>SUM(E313:P313)</f>
        <v>0</v>
      </c>
    </row>
    <row r="314" spans="1:17" x14ac:dyDescent="0.2">
      <c r="A314" s="216">
        <f>A313+1</f>
        <v>24</v>
      </c>
      <c r="C314" s="504" t="s">
        <v>219</v>
      </c>
      <c r="E314" s="419">
        <f t="shared" ref="E314:P314" si="135">E1141</f>
        <v>0</v>
      </c>
      <c r="F314" s="419">
        <f t="shared" si="135"/>
        <v>0</v>
      </c>
      <c r="G314" s="419">
        <f t="shared" si="135"/>
        <v>0</v>
      </c>
      <c r="H314" s="419">
        <f t="shared" si="135"/>
        <v>0</v>
      </c>
      <c r="I314" s="419">
        <f t="shared" si="135"/>
        <v>0</v>
      </c>
      <c r="J314" s="419">
        <f t="shared" si="135"/>
        <v>0</v>
      </c>
      <c r="K314" s="419">
        <f t="shared" si="135"/>
        <v>0</v>
      </c>
      <c r="L314" s="419">
        <f t="shared" si="135"/>
        <v>0</v>
      </c>
      <c r="M314" s="419">
        <f t="shared" si="135"/>
        <v>0</v>
      </c>
      <c r="N314" s="419">
        <f t="shared" si="135"/>
        <v>0</v>
      </c>
      <c r="O314" s="419">
        <f t="shared" si="135"/>
        <v>0</v>
      </c>
      <c r="P314" s="419">
        <f t="shared" si="135"/>
        <v>0</v>
      </c>
      <c r="Q314" s="419">
        <f>SUM(E314:P314)</f>
        <v>0</v>
      </c>
    </row>
    <row r="315" spans="1:17" x14ac:dyDescent="0.2">
      <c r="A315" s="402">
        <f>A314+1</f>
        <v>25</v>
      </c>
      <c r="B315" s="402"/>
      <c r="C315" s="760" t="s">
        <v>484</v>
      </c>
      <c r="D315" s="412"/>
      <c r="E315" s="671">
        <f t="shared" ref="E315:P315" si="136">E1143</f>
        <v>0</v>
      </c>
      <c r="F315" s="671">
        <f t="shared" si="136"/>
        <v>0</v>
      </c>
      <c r="G315" s="671">
        <f t="shared" si="136"/>
        <v>0</v>
      </c>
      <c r="H315" s="671">
        <f t="shared" si="136"/>
        <v>0</v>
      </c>
      <c r="I315" s="671">
        <f t="shared" si="136"/>
        <v>0</v>
      </c>
      <c r="J315" s="671">
        <f t="shared" si="136"/>
        <v>0</v>
      </c>
      <c r="K315" s="671">
        <f t="shared" si="136"/>
        <v>0</v>
      </c>
      <c r="L315" s="671">
        <f t="shared" si="136"/>
        <v>0</v>
      </c>
      <c r="M315" s="671">
        <f t="shared" si="136"/>
        <v>0</v>
      </c>
      <c r="N315" s="671">
        <f t="shared" si="136"/>
        <v>0</v>
      </c>
      <c r="O315" s="671">
        <f t="shared" si="136"/>
        <v>0</v>
      </c>
      <c r="P315" s="671">
        <f t="shared" si="136"/>
        <v>0</v>
      </c>
      <c r="Q315" s="671">
        <f>SUM(E315:P315)</f>
        <v>0</v>
      </c>
    </row>
    <row r="317" spans="1:17" x14ac:dyDescent="0.2">
      <c r="A317" s="216">
        <f>A315+1</f>
        <v>26</v>
      </c>
      <c r="B317" s="216" t="str">
        <f>Input!A48</f>
        <v>FX5</v>
      </c>
      <c r="C317" s="216" t="str">
        <f>'Sch M 2.1'!B46</f>
        <v>GTS Flex Rate - Industrial</v>
      </c>
      <c r="G317" s="269"/>
      <c r="Q317" s="269"/>
    </row>
    <row r="318" spans="1:17" x14ac:dyDescent="0.2">
      <c r="A318" s="216">
        <f>A317+1</f>
        <v>27</v>
      </c>
      <c r="C318" s="504" t="s">
        <v>216</v>
      </c>
      <c r="E318" s="267">
        <f t="shared" ref="E318:P318" si="137">E1166</f>
        <v>3</v>
      </c>
      <c r="F318" s="267">
        <f t="shared" si="137"/>
        <v>3</v>
      </c>
      <c r="G318" s="267">
        <f t="shared" si="137"/>
        <v>3</v>
      </c>
      <c r="H318" s="267">
        <f t="shared" si="137"/>
        <v>3</v>
      </c>
      <c r="I318" s="267">
        <f t="shared" si="137"/>
        <v>3</v>
      </c>
      <c r="J318" s="267">
        <f t="shared" si="137"/>
        <v>3</v>
      </c>
      <c r="K318" s="267">
        <f t="shared" si="137"/>
        <v>3</v>
      </c>
      <c r="L318" s="267">
        <f t="shared" si="137"/>
        <v>3</v>
      </c>
      <c r="M318" s="267">
        <f t="shared" si="137"/>
        <v>3</v>
      </c>
      <c r="N318" s="267">
        <f t="shared" si="137"/>
        <v>3</v>
      </c>
      <c r="O318" s="267">
        <f t="shared" si="137"/>
        <v>3</v>
      </c>
      <c r="P318" s="267">
        <f t="shared" si="137"/>
        <v>3</v>
      </c>
      <c r="Q318" s="267">
        <f>SUM(E318:P318)</f>
        <v>36</v>
      </c>
    </row>
    <row r="319" spans="1:17" x14ac:dyDescent="0.2">
      <c r="A319" s="216">
        <f>A318+1</f>
        <v>28</v>
      </c>
      <c r="C319" s="504" t="s">
        <v>483</v>
      </c>
      <c r="E319" s="272">
        <f t="shared" ref="E319:P319" si="138">E1170</f>
        <v>696800</v>
      </c>
      <c r="F319" s="272">
        <f t="shared" si="138"/>
        <v>607600</v>
      </c>
      <c r="G319" s="272">
        <f t="shared" si="138"/>
        <v>636000</v>
      </c>
      <c r="H319" s="272">
        <f t="shared" si="138"/>
        <v>527800</v>
      </c>
      <c r="I319" s="272">
        <f t="shared" si="138"/>
        <v>421300</v>
      </c>
      <c r="J319" s="272">
        <f t="shared" si="138"/>
        <v>410800</v>
      </c>
      <c r="K319" s="272">
        <f t="shared" si="138"/>
        <v>448700</v>
      </c>
      <c r="L319" s="272">
        <f t="shared" si="138"/>
        <v>454200</v>
      </c>
      <c r="M319" s="272">
        <f t="shared" si="138"/>
        <v>506900</v>
      </c>
      <c r="N319" s="272">
        <f t="shared" si="138"/>
        <v>620500</v>
      </c>
      <c r="O319" s="272">
        <f t="shared" si="138"/>
        <v>642500</v>
      </c>
      <c r="P319" s="272">
        <f t="shared" si="138"/>
        <v>738400</v>
      </c>
      <c r="Q319" s="272">
        <f>SUM(E319:P319)</f>
        <v>6711500</v>
      </c>
    </row>
    <row r="320" spans="1:17" x14ac:dyDescent="0.2">
      <c r="A320" s="216">
        <f>A319+1</f>
        <v>29</v>
      </c>
      <c r="C320" s="504" t="s">
        <v>218</v>
      </c>
      <c r="E320" s="419">
        <f>E1173</f>
        <v>60553.14</v>
      </c>
      <c r="F320" s="419">
        <f t="shared" ref="F320:P320" si="139">F1173</f>
        <v>52899.78</v>
      </c>
      <c r="G320" s="419">
        <f t="shared" si="139"/>
        <v>55336.5</v>
      </c>
      <c r="H320" s="419">
        <f t="shared" si="139"/>
        <v>46052.939999999995</v>
      </c>
      <c r="I320" s="419">
        <f t="shared" si="139"/>
        <v>36915.24</v>
      </c>
      <c r="J320" s="419">
        <f t="shared" si="139"/>
        <v>36014.339999999997</v>
      </c>
      <c r="K320" s="419">
        <f t="shared" si="139"/>
        <v>39266.159999999996</v>
      </c>
      <c r="L320" s="419">
        <f t="shared" si="139"/>
        <v>39738.06</v>
      </c>
      <c r="M320" s="419">
        <f t="shared" si="139"/>
        <v>44259.719999999994</v>
      </c>
      <c r="N320" s="419">
        <f t="shared" si="139"/>
        <v>54006.6</v>
      </c>
      <c r="O320" s="419">
        <f t="shared" si="139"/>
        <v>55894.2</v>
      </c>
      <c r="P320" s="419">
        <f t="shared" si="139"/>
        <v>64122.42</v>
      </c>
      <c r="Q320" s="419">
        <f>SUM(E320:P320)</f>
        <v>585059.09999999986</v>
      </c>
    </row>
    <row r="321" spans="1:17" x14ac:dyDescent="0.2">
      <c r="A321" s="216">
        <f>A320+1</f>
        <v>30</v>
      </c>
      <c r="C321" s="504" t="s">
        <v>219</v>
      </c>
      <c r="E321" s="419">
        <f t="shared" ref="E321:P321" si="140">E1175</f>
        <v>0</v>
      </c>
      <c r="F321" s="419">
        <f t="shared" si="140"/>
        <v>0</v>
      </c>
      <c r="G321" s="419">
        <f t="shared" si="140"/>
        <v>0</v>
      </c>
      <c r="H321" s="419">
        <f t="shared" si="140"/>
        <v>0</v>
      </c>
      <c r="I321" s="419">
        <f t="shared" si="140"/>
        <v>0</v>
      </c>
      <c r="J321" s="419">
        <f t="shared" si="140"/>
        <v>0</v>
      </c>
      <c r="K321" s="419">
        <f t="shared" si="140"/>
        <v>0</v>
      </c>
      <c r="L321" s="419">
        <f t="shared" si="140"/>
        <v>0</v>
      </c>
      <c r="M321" s="419">
        <f t="shared" si="140"/>
        <v>0</v>
      </c>
      <c r="N321" s="419">
        <f t="shared" si="140"/>
        <v>0</v>
      </c>
      <c r="O321" s="419">
        <f t="shared" si="140"/>
        <v>0</v>
      </c>
      <c r="P321" s="419">
        <f t="shared" si="140"/>
        <v>0</v>
      </c>
      <c r="Q321" s="419">
        <f>SUM(E321:P321)</f>
        <v>0</v>
      </c>
    </row>
    <row r="322" spans="1:17" x14ac:dyDescent="0.2">
      <c r="A322" s="402">
        <f>A321+1</f>
        <v>31</v>
      </c>
      <c r="B322" s="402"/>
      <c r="C322" s="760" t="s">
        <v>484</v>
      </c>
      <c r="D322" s="412"/>
      <c r="E322" s="671">
        <f t="shared" ref="E322:P322" si="141">E1177</f>
        <v>60553.14</v>
      </c>
      <c r="F322" s="671">
        <f t="shared" si="141"/>
        <v>52899.78</v>
      </c>
      <c r="G322" s="671">
        <f t="shared" si="141"/>
        <v>55336.5</v>
      </c>
      <c r="H322" s="671">
        <f t="shared" si="141"/>
        <v>46052.939999999995</v>
      </c>
      <c r="I322" s="671">
        <f t="shared" si="141"/>
        <v>36915.24</v>
      </c>
      <c r="J322" s="671">
        <f t="shared" si="141"/>
        <v>36014.339999999997</v>
      </c>
      <c r="K322" s="671">
        <f t="shared" si="141"/>
        <v>39266.159999999996</v>
      </c>
      <c r="L322" s="671">
        <f t="shared" si="141"/>
        <v>39738.06</v>
      </c>
      <c r="M322" s="671">
        <f t="shared" si="141"/>
        <v>44259.719999999994</v>
      </c>
      <c r="N322" s="671">
        <f t="shared" si="141"/>
        <v>54006.6</v>
      </c>
      <c r="O322" s="671">
        <f t="shared" si="141"/>
        <v>55894.2</v>
      </c>
      <c r="P322" s="671">
        <f t="shared" si="141"/>
        <v>64122.42</v>
      </c>
      <c r="Q322" s="671">
        <f>SUM(E322:P322)</f>
        <v>585059.09999999986</v>
      </c>
    </row>
    <row r="323" spans="1:17" x14ac:dyDescent="0.2">
      <c r="G323" s="269"/>
      <c r="Q323" s="269"/>
    </row>
    <row r="324" spans="1:17" x14ac:dyDescent="0.2">
      <c r="A324" s="216">
        <f>A322+1</f>
        <v>32</v>
      </c>
      <c r="B324" s="216" t="str">
        <f>Input!A49</f>
        <v>FX7</v>
      </c>
      <c r="C324" s="216" t="str">
        <f>'Sch M 2.1'!B47</f>
        <v>GTS Flex Rate - Industrial</v>
      </c>
      <c r="G324" s="269"/>
      <c r="Q324" s="269"/>
    </row>
    <row r="325" spans="1:17" x14ac:dyDescent="0.2">
      <c r="A325" s="216">
        <f>A324+1</f>
        <v>33</v>
      </c>
      <c r="C325" s="504" t="s">
        <v>216</v>
      </c>
      <c r="E325" s="267">
        <f t="shared" ref="E325:P325" si="142">E1184</f>
        <v>0</v>
      </c>
      <c r="F325" s="267">
        <f t="shared" si="142"/>
        <v>0</v>
      </c>
      <c r="G325" s="267">
        <f t="shared" si="142"/>
        <v>0</v>
      </c>
      <c r="H325" s="267">
        <f t="shared" si="142"/>
        <v>0</v>
      </c>
      <c r="I325" s="267">
        <f t="shared" si="142"/>
        <v>0</v>
      </c>
      <c r="J325" s="267">
        <f t="shared" si="142"/>
        <v>0</v>
      </c>
      <c r="K325" s="267">
        <f t="shared" si="142"/>
        <v>0</v>
      </c>
      <c r="L325" s="267">
        <f t="shared" si="142"/>
        <v>0</v>
      </c>
      <c r="M325" s="267">
        <f t="shared" si="142"/>
        <v>0</v>
      </c>
      <c r="N325" s="267">
        <f t="shared" si="142"/>
        <v>0</v>
      </c>
      <c r="O325" s="267">
        <f t="shared" si="142"/>
        <v>0</v>
      </c>
      <c r="P325" s="267">
        <f t="shared" si="142"/>
        <v>0</v>
      </c>
      <c r="Q325" s="267">
        <f>SUM(E325:P325)</f>
        <v>0</v>
      </c>
    </row>
    <row r="326" spans="1:17" x14ac:dyDescent="0.2">
      <c r="A326" s="216">
        <f>A325+1</f>
        <v>34</v>
      </c>
      <c r="C326" s="504" t="s">
        <v>483</v>
      </c>
      <c r="E326" s="272">
        <f t="shared" ref="E326:P326" si="143">E1191</f>
        <v>0</v>
      </c>
      <c r="F326" s="272">
        <f t="shared" si="143"/>
        <v>0</v>
      </c>
      <c r="G326" s="272">
        <f t="shared" si="143"/>
        <v>0</v>
      </c>
      <c r="H326" s="272">
        <f t="shared" si="143"/>
        <v>0</v>
      </c>
      <c r="I326" s="272">
        <f t="shared" si="143"/>
        <v>0</v>
      </c>
      <c r="J326" s="272">
        <f t="shared" si="143"/>
        <v>0</v>
      </c>
      <c r="K326" s="272">
        <f t="shared" si="143"/>
        <v>0</v>
      </c>
      <c r="L326" s="272">
        <f t="shared" si="143"/>
        <v>0</v>
      </c>
      <c r="M326" s="272">
        <f t="shared" si="143"/>
        <v>0</v>
      </c>
      <c r="N326" s="272">
        <f t="shared" si="143"/>
        <v>0</v>
      </c>
      <c r="O326" s="272">
        <f t="shared" si="143"/>
        <v>0</v>
      </c>
      <c r="P326" s="272">
        <f t="shared" si="143"/>
        <v>0</v>
      </c>
      <c r="Q326" s="272">
        <f>SUM(E326:P326)</f>
        <v>0</v>
      </c>
    </row>
    <row r="327" spans="1:17" x14ac:dyDescent="0.2">
      <c r="A327" s="216">
        <f>A326+1</f>
        <v>35</v>
      </c>
      <c r="C327" s="504" t="s">
        <v>218</v>
      </c>
      <c r="E327" s="419">
        <f t="shared" ref="E327:P327" si="144">E1197</f>
        <v>0</v>
      </c>
      <c r="F327" s="419">
        <f t="shared" si="144"/>
        <v>0</v>
      </c>
      <c r="G327" s="419">
        <f t="shared" si="144"/>
        <v>0</v>
      </c>
      <c r="H327" s="419">
        <f t="shared" si="144"/>
        <v>0</v>
      </c>
      <c r="I327" s="419">
        <f t="shared" si="144"/>
        <v>0</v>
      </c>
      <c r="J327" s="419">
        <f t="shared" si="144"/>
        <v>0</v>
      </c>
      <c r="K327" s="419">
        <f t="shared" si="144"/>
        <v>0</v>
      </c>
      <c r="L327" s="419">
        <f t="shared" si="144"/>
        <v>0</v>
      </c>
      <c r="M327" s="419">
        <f t="shared" si="144"/>
        <v>0</v>
      </c>
      <c r="N327" s="419">
        <f t="shared" si="144"/>
        <v>0</v>
      </c>
      <c r="O327" s="419">
        <f t="shared" si="144"/>
        <v>0</v>
      </c>
      <c r="P327" s="419">
        <f t="shared" si="144"/>
        <v>0</v>
      </c>
      <c r="Q327" s="419">
        <f>SUM(E327:P327)</f>
        <v>0</v>
      </c>
    </row>
    <row r="328" spans="1:17" x14ac:dyDescent="0.2">
      <c r="A328" s="216">
        <f>A327+1</f>
        <v>36</v>
      </c>
      <c r="C328" s="504" t="s">
        <v>219</v>
      </c>
      <c r="E328" s="419">
        <f t="shared" ref="E328:P328" si="145">E1199</f>
        <v>0</v>
      </c>
      <c r="F328" s="419">
        <f t="shared" si="145"/>
        <v>0</v>
      </c>
      <c r="G328" s="419">
        <f t="shared" si="145"/>
        <v>0</v>
      </c>
      <c r="H328" s="419">
        <f t="shared" si="145"/>
        <v>0</v>
      </c>
      <c r="I328" s="419">
        <f t="shared" si="145"/>
        <v>0</v>
      </c>
      <c r="J328" s="419">
        <f t="shared" si="145"/>
        <v>0</v>
      </c>
      <c r="K328" s="419">
        <f t="shared" si="145"/>
        <v>0</v>
      </c>
      <c r="L328" s="419">
        <f t="shared" si="145"/>
        <v>0</v>
      </c>
      <c r="M328" s="419">
        <f t="shared" si="145"/>
        <v>0</v>
      </c>
      <c r="N328" s="419">
        <f t="shared" si="145"/>
        <v>0</v>
      </c>
      <c r="O328" s="419">
        <f t="shared" si="145"/>
        <v>0</v>
      </c>
      <c r="P328" s="419">
        <f t="shared" si="145"/>
        <v>0</v>
      </c>
      <c r="Q328" s="419">
        <f>SUM(E328:P328)</f>
        <v>0</v>
      </c>
    </row>
    <row r="329" spans="1:17" x14ac:dyDescent="0.2">
      <c r="A329" s="402">
        <f>A328+1</f>
        <v>37</v>
      </c>
      <c r="B329" s="402"/>
      <c r="C329" s="760" t="s">
        <v>484</v>
      </c>
      <c r="D329" s="412"/>
      <c r="E329" s="671">
        <f t="shared" ref="E329:P329" si="146">E1201</f>
        <v>0</v>
      </c>
      <c r="F329" s="671">
        <f t="shared" si="146"/>
        <v>0</v>
      </c>
      <c r="G329" s="671">
        <f t="shared" si="146"/>
        <v>0</v>
      </c>
      <c r="H329" s="671">
        <f t="shared" si="146"/>
        <v>0</v>
      </c>
      <c r="I329" s="671">
        <f t="shared" si="146"/>
        <v>0</v>
      </c>
      <c r="J329" s="671">
        <f t="shared" si="146"/>
        <v>0</v>
      </c>
      <c r="K329" s="671">
        <f t="shared" si="146"/>
        <v>0</v>
      </c>
      <c r="L329" s="671">
        <f t="shared" si="146"/>
        <v>0</v>
      </c>
      <c r="M329" s="671">
        <f t="shared" si="146"/>
        <v>0</v>
      </c>
      <c r="N329" s="671">
        <f t="shared" si="146"/>
        <v>0</v>
      </c>
      <c r="O329" s="671">
        <f t="shared" si="146"/>
        <v>0</v>
      </c>
      <c r="P329" s="671">
        <f t="shared" si="146"/>
        <v>0</v>
      </c>
      <c r="Q329" s="671">
        <f>SUM(E329:P329)</f>
        <v>0</v>
      </c>
    </row>
    <row r="330" spans="1:17" x14ac:dyDescent="0.2">
      <c r="A330" s="280"/>
      <c r="B330" s="280"/>
      <c r="C330" s="764"/>
      <c r="D330" s="282"/>
      <c r="E330" s="672"/>
      <c r="F330" s="672"/>
      <c r="G330" s="672"/>
      <c r="H330" s="672"/>
      <c r="I330" s="672"/>
      <c r="J330" s="672"/>
      <c r="K330" s="672"/>
      <c r="L330" s="672"/>
      <c r="M330" s="672"/>
      <c r="N330" s="672"/>
      <c r="O330" s="672"/>
      <c r="P330" s="672"/>
      <c r="Q330" s="672"/>
    </row>
    <row r="331" spans="1:17" x14ac:dyDescent="0.2">
      <c r="A331" s="280"/>
      <c r="B331" s="280"/>
      <c r="C331" s="764"/>
      <c r="D331" s="282"/>
      <c r="E331" s="672"/>
      <c r="F331" s="672"/>
      <c r="G331" s="672"/>
      <c r="H331" s="672"/>
      <c r="I331" s="672"/>
      <c r="J331" s="672"/>
      <c r="K331" s="672"/>
      <c r="L331" s="672"/>
      <c r="M331" s="672"/>
      <c r="N331" s="672"/>
      <c r="O331" s="672"/>
      <c r="P331" s="672"/>
      <c r="Q331" s="672"/>
    </row>
    <row r="332" spans="1:17" x14ac:dyDescent="0.2">
      <c r="A332" s="216" t="str">
        <f>$A$108</f>
        <v>[1] Reflects Normalized Volumes.</v>
      </c>
      <c r="B332" s="280"/>
      <c r="C332" s="764"/>
      <c r="D332" s="282"/>
      <c r="E332" s="672"/>
      <c r="F332" s="672"/>
      <c r="G332" s="672"/>
      <c r="H332" s="672"/>
      <c r="I332" s="672"/>
      <c r="J332" s="672"/>
      <c r="K332" s="672"/>
      <c r="L332" s="672"/>
      <c r="M332" s="672"/>
      <c r="N332" s="672"/>
      <c r="O332" s="672"/>
      <c r="P332" s="672"/>
      <c r="Q332" s="672"/>
    </row>
    <row r="333" spans="1:17" x14ac:dyDescent="0.2">
      <c r="A333" s="411" t="str">
        <f>$A$109</f>
        <v>[2] See Schedule M-2.2 Pages 8 through 21 for detail.</v>
      </c>
      <c r="B333" s="280"/>
      <c r="C333" s="764"/>
      <c r="D333" s="282"/>
      <c r="E333" s="672"/>
      <c r="F333" s="672"/>
      <c r="G333" s="672"/>
      <c r="H333" s="672"/>
      <c r="I333" s="672"/>
      <c r="J333" s="672"/>
      <c r="K333" s="672"/>
      <c r="L333" s="672"/>
      <c r="M333" s="672"/>
      <c r="N333" s="672"/>
      <c r="O333" s="672"/>
      <c r="P333" s="672"/>
      <c r="Q333" s="672"/>
    </row>
    <row r="334" spans="1:17" ht="10.5" x14ac:dyDescent="0.25">
      <c r="A334" s="817" t="str">
        <f>CONAME</f>
        <v>Columbia Gas of Kentucky, Inc.</v>
      </c>
      <c r="B334" s="817"/>
      <c r="C334" s="817"/>
      <c r="D334" s="817"/>
      <c r="E334" s="817"/>
      <c r="F334" s="817"/>
      <c r="G334" s="817"/>
      <c r="H334" s="817"/>
      <c r="I334" s="817"/>
      <c r="J334" s="817"/>
      <c r="K334" s="817"/>
      <c r="L334" s="817"/>
      <c r="M334" s="817"/>
      <c r="N334" s="817"/>
      <c r="O334" s="817"/>
      <c r="P334" s="817"/>
      <c r="Q334" s="817"/>
    </row>
    <row r="335" spans="1:17" ht="10.5" x14ac:dyDescent="0.25">
      <c r="A335" s="800" t="str">
        <f>case</f>
        <v>Case No. 2021-00183</v>
      </c>
      <c r="B335" s="800"/>
      <c r="C335" s="800"/>
      <c r="D335" s="800"/>
      <c r="E335" s="800"/>
      <c r="F335" s="800"/>
      <c r="G335" s="800"/>
      <c r="H335" s="800"/>
      <c r="I335" s="800"/>
      <c r="J335" s="800"/>
      <c r="K335" s="800"/>
      <c r="L335" s="800"/>
      <c r="M335" s="800"/>
      <c r="N335" s="800"/>
      <c r="O335" s="800"/>
      <c r="P335" s="800"/>
      <c r="Q335" s="800"/>
    </row>
    <row r="336" spans="1:17" ht="10.5" x14ac:dyDescent="0.25">
      <c r="A336" s="815" t="s">
        <v>414</v>
      </c>
      <c r="B336" s="815"/>
      <c r="C336" s="815"/>
      <c r="D336" s="815"/>
      <c r="E336" s="815"/>
      <c r="F336" s="815"/>
      <c r="G336" s="815"/>
      <c r="H336" s="815"/>
      <c r="I336" s="815"/>
      <c r="J336" s="815"/>
      <c r="K336" s="815"/>
      <c r="L336" s="815"/>
      <c r="M336" s="815"/>
      <c r="N336" s="815"/>
      <c r="O336" s="815"/>
      <c r="P336" s="815"/>
      <c r="Q336" s="815"/>
    </row>
    <row r="337" spans="1:17" ht="10.5" x14ac:dyDescent="0.25">
      <c r="A337" s="817" t="str">
        <f>TYDESC</f>
        <v>For the 12 Months Ended December 31, 2022</v>
      </c>
      <c r="B337" s="817"/>
      <c r="C337" s="817"/>
      <c r="D337" s="817"/>
      <c r="E337" s="817"/>
      <c r="F337" s="817"/>
      <c r="G337" s="817"/>
      <c r="H337" s="817"/>
      <c r="I337" s="817"/>
      <c r="J337" s="817"/>
      <c r="K337" s="817"/>
      <c r="L337" s="817"/>
      <c r="M337" s="817"/>
      <c r="N337" s="817"/>
      <c r="O337" s="817"/>
      <c r="P337" s="817"/>
      <c r="Q337" s="817"/>
    </row>
    <row r="338" spans="1:17" ht="10.5" x14ac:dyDescent="0.25">
      <c r="A338" s="814" t="s">
        <v>39</v>
      </c>
      <c r="B338" s="814"/>
      <c r="C338" s="814"/>
      <c r="D338" s="814"/>
      <c r="E338" s="814"/>
      <c r="F338" s="814"/>
      <c r="G338" s="814"/>
      <c r="H338" s="814"/>
      <c r="I338" s="814"/>
      <c r="J338" s="814"/>
      <c r="K338" s="814"/>
      <c r="L338" s="814"/>
      <c r="M338" s="814"/>
      <c r="N338" s="814"/>
      <c r="O338" s="814"/>
      <c r="P338" s="814"/>
      <c r="Q338" s="814"/>
    </row>
    <row r="339" spans="1:17" ht="10.5" x14ac:dyDescent="0.25">
      <c r="A339" s="245" t="str">
        <f>$A$52</f>
        <v>Data: __ Base Period _X_ Forecasted Period</v>
      </c>
    </row>
    <row r="340" spans="1:17" ht="10.5" x14ac:dyDescent="0.25">
      <c r="A340" s="245" t="str">
        <f>$A$53</f>
        <v>Type of Filing: X Original _ Update _ Revised</v>
      </c>
      <c r="Q340" s="583" t="str">
        <f>$Q$53</f>
        <v>Schedule M-2.2</v>
      </c>
    </row>
    <row r="341" spans="1:17" ht="10.5" x14ac:dyDescent="0.25">
      <c r="A341" s="245" t="str">
        <f>$A$54</f>
        <v>Work Paper Reference No(s):</v>
      </c>
      <c r="Q341" s="583" t="s">
        <v>435</v>
      </c>
    </row>
    <row r="342" spans="1:17" ht="10.5" x14ac:dyDescent="0.25">
      <c r="A342" s="373" t="str">
        <f>$A$55</f>
        <v>12 Months Forecasted</v>
      </c>
      <c r="Q342" s="583" t="str">
        <f>Witness</f>
        <v>Witness:  Judith L. Siegler</v>
      </c>
    </row>
    <row r="343" spans="1:17" ht="10.5" x14ac:dyDescent="0.25">
      <c r="A343" s="816" t="s">
        <v>191</v>
      </c>
      <c r="B343" s="816"/>
      <c r="C343" s="816"/>
      <c r="D343" s="816"/>
      <c r="E343" s="816"/>
      <c r="F343" s="816"/>
      <c r="G343" s="816"/>
      <c r="H343" s="816"/>
      <c r="I343" s="816"/>
      <c r="J343" s="816"/>
      <c r="K343" s="816"/>
      <c r="L343" s="816"/>
      <c r="M343" s="816"/>
      <c r="N343" s="816"/>
      <c r="O343" s="816"/>
      <c r="P343" s="816"/>
      <c r="Q343" s="816"/>
    </row>
    <row r="344" spans="1:17" ht="10.5" x14ac:dyDescent="0.25">
      <c r="A344" s="392"/>
      <c r="B344" s="280"/>
      <c r="C344" s="280"/>
      <c r="D344" s="282"/>
      <c r="E344" s="280"/>
      <c r="F344" s="438"/>
      <c r="G344" s="439"/>
      <c r="H344" s="438"/>
      <c r="I344" s="440"/>
      <c r="J344" s="438"/>
      <c r="K344" s="438"/>
      <c r="L344" s="438"/>
      <c r="M344" s="438"/>
      <c r="N344" s="438"/>
      <c r="O344" s="438"/>
      <c r="P344" s="438"/>
      <c r="Q344" s="280"/>
    </row>
    <row r="345" spans="1:17" ht="10.5" x14ac:dyDescent="0.25">
      <c r="A345" s="727" t="s">
        <v>1</v>
      </c>
      <c r="B345" s="727" t="s">
        <v>0</v>
      </c>
      <c r="C345" s="727" t="s">
        <v>41</v>
      </c>
      <c r="D345" s="731" t="s">
        <v>47</v>
      </c>
      <c r="E345" s="727"/>
      <c r="F345" s="584"/>
      <c r="G345" s="587"/>
      <c r="H345" s="584"/>
      <c r="I345" s="730"/>
      <c r="J345" s="584"/>
      <c r="K345" s="584"/>
      <c r="L345" s="584"/>
      <c r="M345" s="584"/>
      <c r="N345" s="584"/>
      <c r="O345" s="584"/>
      <c r="P345" s="584"/>
      <c r="Q345" s="732"/>
    </row>
    <row r="346" spans="1:17" ht="10.5" x14ac:dyDescent="0.25">
      <c r="A346" s="263" t="s">
        <v>3</v>
      </c>
      <c r="B346" s="263" t="s">
        <v>40</v>
      </c>
      <c r="C346" s="263" t="s">
        <v>4</v>
      </c>
      <c r="D346" s="756" t="s">
        <v>48</v>
      </c>
      <c r="E346" s="380" t="str">
        <f>B!$D$11</f>
        <v>Jan-22</v>
      </c>
      <c r="F346" s="380" t="str">
        <f>B!$E$11</f>
        <v>Feb-22</v>
      </c>
      <c r="G346" s="380" t="str">
        <f>B!$F$11</f>
        <v>Mar-22</v>
      </c>
      <c r="H346" s="380" t="str">
        <f>B!$G$11</f>
        <v>Apr-22</v>
      </c>
      <c r="I346" s="380" t="str">
        <f>B!$H$11</f>
        <v>May-22</v>
      </c>
      <c r="J346" s="380" t="str">
        <f>B!$I$11</f>
        <v>Jun-22</v>
      </c>
      <c r="K346" s="380" t="str">
        <f>B!$J$11</f>
        <v>Jul-22</v>
      </c>
      <c r="L346" s="380" t="str">
        <f>B!$K$11</f>
        <v>Aug-22</v>
      </c>
      <c r="M346" s="380" t="str">
        <f>B!$L$11</f>
        <v>Sep-22</v>
      </c>
      <c r="N346" s="380" t="str">
        <f>B!$M$11</f>
        <v>Oct-22</v>
      </c>
      <c r="O346" s="380" t="str">
        <f>B!$N$11</f>
        <v>Nov-22</v>
      </c>
      <c r="P346" s="380" t="str">
        <f>B!$O$11</f>
        <v>Dec-22</v>
      </c>
      <c r="Q346" s="380" t="s">
        <v>9</v>
      </c>
    </row>
    <row r="347" spans="1:17" ht="10.5" x14ac:dyDescent="0.25">
      <c r="A347" s="727"/>
      <c r="B347" s="732" t="s">
        <v>42</v>
      </c>
      <c r="C347" s="732" t="s">
        <v>43</v>
      </c>
      <c r="D347" s="757" t="s">
        <v>45</v>
      </c>
      <c r="E347" s="586" t="s">
        <v>46</v>
      </c>
      <c r="F347" s="586" t="s">
        <v>49</v>
      </c>
      <c r="G347" s="586" t="s">
        <v>50</v>
      </c>
      <c r="H347" s="586" t="s">
        <v>51</v>
      </c>
      <c r="I347" s="586" t="s">
        <v>52</v>
      </c>
      <c r="J347" s="586" t="s">
        <v>53</v>
      </c>
      <c r="K347" s="588" t="s">
        <v>54</v>
      </c>
      <c r="L347" s="588" t="s">
        <v>55</v>
      </c>
      <c r="M347" s="588" t="s">
        <v>56</v>
      </c>
      <c r="N347" s="588" t="s">
        <v>57</v>
      </c>
      <c r="O347" s="588" t="s">
        <v>58</v>
      </c>
      <c r="P347" s="588" t="s">
        <v>59</v>
      </c>
      <c r="Q347" s="588" t="s">
        <v>200</v>
      </c>
    </row>
    <row r="348" spans="1:17" x14ac:dyDescent="0.2">
      <c r="G348" s="269"/>
      <c r="Q348" s="269"/>
    </row>
    <row r="349" spans="1:17" ht="10.5" x14ac:dyDescent="0.25">
      <c r="A349" s="216">
        <v>1</v>
      </c>
      <c r="C349" s="742" t="s">
        <v>95</v>
      </c>
      <c r="G349" s="269"/>
      <c r="Q349" s="269"/>
    </row>
    <row r="350" spans="1:17" x14ac:dyDescent="0.2">
      <c r="G350" s="269"/>
      <c r="Q350" s="269"/>
    </row>
    <row r="351" spans="1:17" x14ac:dyDescent="0.2">
      <c r="A351" s="216">
        <f>A349+1</f>
        <v>2</v>
      </c>
      <c r="B351" s="216" t="str">
        <f>Input!A50</f>
        <v>SAS</v>
      </c>
      <c r="C351" s="216" t="str">
        <f>'Sch M 2.1'!B48</f>
        <v>GTS Special Agency Service</v>
      </c>
      <c r="G351" s="269"/>
      <c r="Q351" s="269"/>
    </row>
    <row r="352" spans="1:17" x14ac:dyDescent="0.2">
      <c r="A352" s="216">
        <f>A351+1</f>
        <v>3</v>
      </c>
      <c r="C352" s="504" t="s">
        <v>216</v>
      </c>
      <c r="E352" s="267">
        <f t="shared" ref="E352:P352" si="147">E1224</f>
        <v>0</v>
      </c>
      <c r="F352" s="267">
        <f t="shared" si="147"/>
        <v>0</v>
      </c>
      <c r="G352" s="267">
        <f t="shared" si="147"/>
        <v>0</v>
      </c>
      <c r="H352" s="267">
        <f t="shared" si="147"/>
        <v>0</v>
      </c>
      <c r="I352" s="267">
        <f t="shared" si="147"/>
        <v>0</v>
      </c>
      <c r="J352" s="267">
        <f t="shared" si="147"/>
        <v>0</v>
      </c>
      <c r="K352" s="267">
        <f t="shared" si="147"/>
        <v>0</v>
      </c>
      <c r="L352" s="267">
        <f t="shared" si="147"/>
        <v>0</v>
      </c>
      <c r="M352" s="267">
        <f t="shared" si="147"/>
        <v>0</v>
      </c>
      <c r="N352" s="267">
        <f t="shared" si="147"/>
        <v>0</v>
      </c>
      <c r="O352" s="267">
        <f t="shared" si="147"/>
        <v>0</v>
      </c>
      <c r="P352" s="267">
        <f t="shared" si="147"/>
        <v>0</v>
      </c>
      <c r="Q352" s="267">
        <f>SUM(E352:P352)</f>
        <v>0</v>
      </c>
    </row>
    <row r="353" spans="1:17" x14ac:dyDescent="0.2">
      <c r="A353" s="216">
        <f>A352+1</f>
        <v>4</v>
      </c>
      <c r="C353" s="504" t="s">
        <v>483</v>
      </c>
      <c r="E353" s="272">
        <f t="shared" ref="E353:P353" si="148">E1232</f>
        <v>0</v>
      </c>
      <c r="F353" s="272">
        <f t="shared" si="148"/>
        <v>0</v>
      </c>
      <c r="G353" s="272">
        <f t="shared" si="148"/>
        <v>0</v>
      </c>
      <c r="H353" s="272">
        <f t="shared" si="148"/>
        <v>0</v>
      </c>
      <c r="I353" s="272">
        <f t="shared" si="148"/>
        <v>0</v>
      </c>
      <c r="J353" s="272">
        <f t="shared" si="148"/>
        <v>0</v>
      </c>
      <c r="K353" s="272">
        <f t="shared" si="148"/>
        <v>0</v>
      </c>
      <c r="L353" s="272">
        <f t="shared" si="148"/>
        <v>0</v>
      </c>
      <c r="M353" s="272">
        <f t="shared" si="148"/>
        <v>0</v>
      </c>
      <c r="N353" s="272">
        <f t="shared" si="148"/>
        <v>0</v>
      </c>
      <c r="O353" s="272">
        <f t="shared" si="148"/>
        <v>0</v>
      </c>
      <c r="P353" s="272">
        <f t="shared" si="148"/>
        <v>0</v>
      </c>
      <c r="Q353" s="272">
        <f>SUM(E353:P353)</f>
        <v>0</v>
      </c>
    </row>
    <row r="354" spans="1:17" x14ac:dyDescent="0.2">
      <c r="A354" s="216">
        <f>A353+1</f>
        <v>5</v>
      </c>
      <c r="C354" s="504" t="s">
        <v>218</v>
      </c>
      <c r="E354" s="419">
        <f t="shared" ref="E354:P354" si="149">E1239</f>
        <v>0</v>
      </c>
      <c r="F354" s="419">
        <f t="shared" si="149"/>
        <v>0</v>
      </c>
      <c r="G354" s="419">
        <f t="shared" si="149"/>
        <v>0</v>
      </c>
      <c r="H354" s="419">
        <f t="shared" si="149"/>
        <v>0</v>
      </c>
      <c r="I354" s="419">
        <f t="shared" si="149"/>
        <v>0</v>
      </c>
      <c r="J354" s="419">
        <f t="shared" si="149"/>
        <v>0</v>
      </c>
      <c r="K354" s="419">
        <f t="shared" si="149"/>
        <v>0</v>
      </c>
      <c r="L354" s="419">
        <f t="shared" si="149"/>
        <v>0</v>
      </c>
      <c r="M354" s="419">
        <f t="shared" si="149"/>
        <v>0</v>
      </c>
      <c r="N354" s="419">
        <f t="shared" si="149"/>
        <v>0</v>
      </c>
      <c r="O354" s="419">
        <f t="shared" si="149"/>
        <v>0</v>
      </c>
      <c r="P354" s="419">
        <f t="shared" si="149"/>
        <v>0</v>
      </c>
      <c r="Q354" s="419">
        <f>SUM(E354:P354)</f>
        <v>0</v>
      </c>
    </row>
    <row r="355" spans="1:17" x14ac:dyDescent="0.2">
      <c r="A355" s="216">
        <f>A354+1</f>
        <v>6</v>
      </c>
      <c r="C355" s="504" t="s">
        <v>219</v>
      </c>
      <c r="E355" s="419">
        <f t="shared" ref="E355:P355" si="150">E1241</f>
        <v>0</v>
      </c>
      <c r="F355" s="419">
        <f t="shared" si="150"/>
        <v>0</v>
      </c>
      <c r="G355" s="419">
        <f t="shared" si="150"/>
        <v>0</v>
      </c>
      <c r="H355" s="419">
        <f t="shared" si="150"/>
        <v>0</v>
      </c>
      <c r="I355" s="419">
        <f t="shared" si="150"/>
        <v>0</v>
      </c>
      <c r="J355" s="419">
        <f t="shared" si="150"/>
        <v>0</v>
      </c>
      <c r="K355" s="419">
        <f t="shared" si="150"/>
        <v>0</v>
      </c>
      <c r="L355" s="419">
        <f t="shared" si="150"/>
        <v>0</v>
      </c>
      <c r="M355" s="419">
        <f t="shared" si="150"/>
        <v>0</v>
      </c>
      <c r="N355" s="419">
        <f t="shared" si="150"/>
        <v>0</v>
      </c>
      <c r="O355" s="419">
        <f t="shared" si="150"/>
        <v>0</v>
      </c>
      <c r="P355" s="419">
        <f t="shared" si="150"/>
        <v>0</v>
      </c>
      <c r="Q355" s="419">
        <f>SUM(E355:P355)</f>
        <v>0</v>
      </c>
    </row>
    <row r="356" spans="1:17" x14ac:dyDescent="0.2">
      <c r="A356" s="402">
        <f>A355+1</f>
        <v>7</v>
      </c>
      <c r="B356" s="402"/>
      <c r="C356" s="760" t="s">
        <v>484</v>
      </c>
      <c r="D356" s="412"/>
      <c r="E356" s="671">
        <f t="shared" ref="E356:P356" si="151">E1243</f>
        <v>0</v>
      </c>
      <c r="F356" s="671">
        <f t="shared" si="151"/>
        <v>0</v>
      </c>
      <c r="G356" s="671">
        <f t="shared" si="151"/>
        <v>0</v>
      </c>
      <c r="H356" s="671">
        <f t="shared" si="151"/>
        <v>0</v>
      </c>
      <c r="I356" s="671">
        <f t="shared" si="151"/>
        <v>0</v>
      </c>
      <c r="J356" s="671">
        <f t="shared" si="151"/>
        <v>0</v>
      </c>
      <c r="K356" s="671">
        <f t="shared" si="151"/>
        <v>0</v>
      </c>
      <c r="L356" s="671">
        <f t="shared" si="151"/>
        <v>0</v>
      </c>
      <c r="M356" s="671">
        <f t="shared" si="151"/>
        <v>0</v>
      </c>
      <c r="N356" s="671">
        <f t="shared" si="151"/>
        <v>0</v>
      </c>
      <c r="O356" s="671">
        <f t="shared" si="151"/>
        <v>0</v>
      </c>
      <c r="P356" s="671">
        <f t="shared" si="151"/>
        <v>0</v>
      </c>
      <c r="Q356" s="671">
        <f>SUM(E356:P356)</f>
        <v>0</v>
      </c>
    </row>
    <row r="357" spans="1:17" x14ac:dyDescent="0.2">
      <c r="G357" s="269"/>
      <c r="Q357" s="269"/>
    </row>
    <row r="358" spans="1:17" x14ac:dyDescent="0.2">
      <c r="A358" s="216">
        <f>A356+1</f>
        <v>8</v>
      </c>
      <c r="B358" s="216" t="str">
        <f>Input!A51</f>
        <v>SC3</v>
      </c>
      <c r="C358" s="216" t="str">
        <f>'Sch M 2.1'!B49</f>
        <v>GTS Special Rate - Industrial</v>
      </c>
      <c r="D358" s="255"/>
      <c r="E358" s="385"/>
      <c r="F358" s="455"/>
      <c r="G358" s="455"/>
      <c r="H358" s="455"/>
      <c r="I358" s="448"/>
      <c r="J358" s="455"/>
      <c r="K358" s="455"/>
      <c r="L358" s="455"/>
      <c r="M358" s="455"/>
      <c r="N358" s="455"/>
      <c r="O358" s="455"/>
      <c r="P358" s="455"/>
      <c r="Q358" s="455"/>
    </row>
    <row r="359" spans="1:17" x14ac:dyDescent="0.2">
      <c r="A359" s="216">
        <f>A358+1</f>
        <v>9</v>
      </c>
      <c r="C359" s="504" t="s">
        <v>216</v>
      </c>
      <c r="D359" s="255"/>
      <c r="E359" s="267">
        <f t="shared" ref="E359:P359" si="152">E1249</f>
        <v>0</v>
      </c>
      <c r="F359" s="267">
        <f t="shared" si="152"/>
        <v>0</v>
      </c>
      <c r="G359" s="267">
        <f t="shared" si="152"/>
        <v>0</v>
      </c>
      <c r="H359" s="267">
        <f t="shared" si="152"/>
        <v>0</v>
      </c>
      <c r="I359" s="267">
        <f t="shared" si="152"/>
        <v>0</v>
      </c>
      <c r="J359" s="267">
        <f t="shared" si="152"/>
        <v>0</v>
      </c>
      <c r="K359" s="267">
        <f t="shared" si="152"/>
        <v>0</v>
      </c>
      <c r="L359" s="267">
        <f t="shared" si="152"/>
        <v>0</v>
      </c>
      <c r="M359" s="267">
        <f t="shared" si="152"/>
        <v>0</v>
      </c>
      <c r="N359" s="267">
        <f t="shared" si="152"/>
        <v>0</v>
      </c>
      <c r="O359" s="267">
        <f t="shared" si="152"/>
        <v>0</v>
      </c>
      <c r="P359" s="267">
        <f t="shared" si="152"/>
        <v>0</v>
      </c>
      <c r="Q359" s="267">
        <f>SUM(E359:P359)</f>
        <v>0</v>
      </c>
    </row>
    <row r="360" spans="1:17" x14ac:dyDescent="0.2">
      <c r="A360" s="216">
        <f>A359+1</f>
        <v>10</v>
      </c>
      <c r="C360" s="504" t="s">
        <v>483</v>
      </c>
      <c r="D360" s="255"/>
      <c r="E360" s="272">
        <f t="shared" ref="E360:P360" si="153">E1256</f>
        <v>0</v>
      </c>
      <c r="F360" s="272">
        <f t="shared" si="153"/>
        <v>0</v>
      </c>
      <c r="G360" s="272">
        <f t="shared" si="153"/>
        <v>0</v>
      </c>
      <c r="H360" s="272">
        <f t="shared" si="153"/>
        <v>0</v>
      </c>
      <c r="I360" s="272">
        <f t="shared" si="153"/>
        <v>0</v>
      </c>
      <c r="J360" s="272">
        <f t="shared" si="153"/>
        <v>0</v>
      </c>
      <c r="K360" s="272">
        <f t="shared" si="153"/>
        <v>0</v>
      </c>
      <c r="L360" s="272">
        <f t="shared" si="153"/>
        <v>0</v>
      </c>
      <c r="M360" s="272">
        <f t="shared" si="153"/>
        <v>0</v>
      </c>
      <c r="N360" s="272">
        <f t="shared" si="153"/>
        <v>0</v>
      </c>
      <c r="O360" s="272">
        <f t="shared" si="153"/>
        <v>0</v>
      </c>
      <c r="P360" s="272">
        <f t="shared" si="153"/>
        <v>0</v>
      </c>
      <c r="Q360" s="272">
        <f>SUM(E360:P360)</f>
        <v>0</v>
      </c>
    </row>
    <row r="361" spans="1:17" x14ac:dyDescent="0.2">
      <c r="A361" s="216">
        <f>A360+1</f>
        <v>11</v>
      </c>
      <c r="C361" s="504" t="s">
        <v>218</v>
      </c>
      <c r="D361" s="255"/>
      <c r="E361" s="419">
        <f t="shared" ref="E361:P361" si="154">E1262</f>
        <v>0</v>
      </c>
      <c r="F361" s="419">
        <f t="shared" si="154"/>
        <v>0</v>
      </c>
      <c r="G361" s="419">
        <f t="shared" si="154"/>
        <v>0</v>
      </c>
      <c r="H361" s="419">
        <f t="shared" si="154"/>
        <v>0</v>
      </c>
      <c r="I361" s="419">
        <f t="shared" si="154"/>
        <v>0</v>
      </c>
      <c r="J361" s="419">
        <f t="shared" si="154"/>
        <v>0</v>
      </c>
      <c r="K361" s="419">
        <f t="shared" si="154"/>
        <v>0</v>
      </c>
      <c r="L361" s="419">
        <f t="shared" si="154"/>
        <v>0</v>
      </c>
      <c r="M361" s="419">
        <f t="shared" si="154"/>
        <v>0</v>
      </c>
      <c r="N361" s="419">
        <f t="shared" si="154"/>
        <v>0</v>
      </c>
      <c r="O361" s="419">
        <f t="shared" si="154"/>
        <v>0</v>
      </c>
      <c r="P361" s="419">
        <f t="shared" si="154"/>
        <v>0</v>
      </c>
      <c r="Q361" s="419">
        <f>SUM(E361:P361)</f>
        <v>0</v>
      </c>
    </row>
    <row r="362" spans="1:17" x14ac:dyDescent="0.2">
      <c r="A362" s="216">
        <f>A361+1</f>
        <v>12</v>
      </c>
      <c r="C362" s="504" t="s">
        <v>219</v>
      </c>
      <c r="D362" s="255"/>
      <c r="E362" s="419">
        <f t="shared" ref="E362:P362" si="155">E1264</f>
        <v>0</v>
      </c>
      <c r="F362" s="419">
        <f t="shared" si="155"/>
        <v>0</v>
      </c>
      <c r="G362" s="419">
        <f t="shared" si="155"/>
        <v>0</v>
      </c>
      <c r="H362" s="419">
        <f t="shared" si="155"/>
        <v>0</v>
      </c>
      <c r="I362" s="419">
        <f t="shared" si="155"/>
        <v>0</v>
      </c>
      <c r="J362" s="419">
        <f t="shared" si="155"/>
        <v>0</v>
      </c>
      <c r="K362" s="419">
        <f t="shared" si="155"/>
        <v>0</v>
      </c>
      <c r="L362" s="419">
        <f t="shared" si="155"/>
        <v>0</v>
      </c>
      <c r="M362" s="419">
        <f t="shared" si="155"/>
        <v>0</v>
      </c>
      <c r="N362" s="419">
        <f t="shared" si="155"/>
        <v>0</v>
      </c>
      <c r="O362" s="419">
        <f t="shared" si="155"/>
        <v>0</v>
      </c>
      <c r="P362" s="419">
        <f t="shared" si="155"/>
        <v>0</v>
      </c>
      <c r="Q362" s="419">
        <f>SUM(E362:P362)</f>
        <v>0</v>
      </c>
    </row>
    <row r="363" spans="1:17" x14ac:dyDescent="0.2">
      <c r="A363" s="402">
        <f>A362+1</f>
        <v>13</v>
      </c>
      <c r="B363" s="402"/>
      <c r="C363" s="760" t="s">
        <v>484</v>
      </c>
      <c r="D363" s="765"/>
      <c r="E363" s="671">
        <f t="shared" ref="E363:P363" si="156">E1266</f>
        <v>0</v>
      </c>
      <c r="F363" s="671">
        <f t="shared" si="156"/>
        <v>0</v>
      </c>
      <c r="G363" s="671">
        <f t="shared" si="156"/>
        <v>0</v>
      </c>
      <c r="H363" s="671">
        <f t="shared" si="156"/>
        <v>0</v>
      </c>
      <c r="I363" s="671">
        <f t="shared" si="156"/>
        <v>0</v>
      </c>
      <c r="J363" s="671">
        <f t="shared" si="156"/>
        <v>0</v>
      </c>
      <c r="K363" s="671">
        <f t="shared" si="156"/>
        <v>0</v>
      </c>
      <c r="L363" s="671">
        <f t="shared" si="156"/>
        <v>0</v>
      </c>
      <c r="M363" s="671">
        <f t="shared" si="156"/>
        <v>0</v>
      </c>
      <c r="N363" s="671">
        <f t="shared" si="156"/>
        <v>0</v>
      </c>
      <c r="O363" s="671">
        <f t="shared" si="156"/>
        <v>0</v>
      </c>
      <c r="P363" s="671">
        <f t="shared" si="156"/>
        <v>0</v>
      </c>
      <c r="Q363" s="671">
        <f>SUM(E363:P363)</f>
        <v>0</v>
      </c>
    </row>
    <row r="364" spans="1:17" x14ac:dyDescent="0.2">
      <c r="D364" s="255"/>
      <c r="E364" s="385"/>
      <c r="F364" s="455"/>
      <c r="G364" s="455"/>
      <c r="H364" s="455"/>
      <c r="I364" s="448"/>
      <c r="J364" s="455"/>
      <c r="K364" s="455"/>
      <c r="L364" s="455"/>
      <c r="M364" s="455"/>
      <c r="N364" s="455"/>
      <c r="O364" s="455"/>
      <c r="P364" s="455"/>
      <c r="Q364" s="455"/>
    </row>
    <row r="365" spans="1:17" x14ac:dyDescent="0.2">
      <c r="A365" s="216">
        <f>A363+1</f>
        <v>14</v>
      </c>
      <c r="B365" s="216" t="s">
        <v>106</v>
      </c>
      <c r="E365" s="419">
        <f t="shared" ref="E365:P365" si="157">E70+E77+E84+E91+E98+E105+E134+E141+E148+E155+E162+E190+E197+E204+E232+E239+E246+E253+E260+E267+E294+E301+E308+E315+E322+E329+E356+E363</f>
        <v>23009741.040000003</v>
      </c>
      <c r="F365" s="419">
        <f t="shared" si="157"/>
        <v>22858909.240000002</v>
      </c>
      <c r="G365" s="419">
        <f t="shared" si="157"/>
        <v>19065205.039999999</v>
      </c>
      <c r="H365" s="419">
        <f t="shared" si="157"/>
        <v>12531701.740000002</v>
      </c>
      <c r="I365" s="419">
        <f t="shared" si="157"/>
        <v>8375460.5600000005</v>
      </c>
      <c r="J365" s="419">
        <f t="shared" si="157"/>
        <v>6719687.5099999988</v>
      </c>
      <c r="K365" s="419">
        <f t="shared" si="157"/>
        <v>5957652.8899999987</v>
      </c>
      <c r="L365" s="419">
        <f t="shared" si="157"/>
        <v>5984633.8699999992</v>
      </c>
      <c r="M365" s="419">
        <f t="shared" si="157"/>
        <v>6144890.5899999989</v>
      </c>
      <c r="N365" s="419">
        <f t="shared" si="157"/>
        <v>7044132.5200000005</v>
      </c>
      <c r="O365" s="419">
        <f t="shared" si="157"/>
        <v>10547737.129999999</v>
      </c>
      <c r="P365" s="419">
        <f t="shared" si="157"/>
        <v>18054456.82</v>
      </c>
      <c r="Q365" s="419">
        <f>SUM(E365:P365)</f>
        <v>146294208.95000002</v>
      </c>
    </row>
    <row r="366" spans="1:17" x14ac:dyDescent="0.2">
      <c r="E366" s="417"/>
      <c r="F366" s="417"/>
      <c r="G366" s="417"/>
      <c r="H366" s="417"/>
      <c r="I366" s="417"/>
      <c r="J366" s="417"/>
      <c r="K366" s="417"/>
      <c r="L366" s="417"/>
      <c r="M366" s="417"/>
      <c r="N366" s="417"/>
      <c r="O366" s="417"/>
      <c r="P366" s="417"/>
      <c r="Q366" s="417"/>
    </row>
    <row r="367" spans="1:17" ht="10.5" x14ac:dyDescent="0.25">
      <c r="A367" s="216">
        <f>A365+1</f>
        <v>15</v>
      </c>
      <c r="C367" s="742" t="s">
        <v>102</v>
      </c>
      <c r="E367" s="754"/>
      <c r="F367" s="754"/>
      <c r="G367" s="754"/>
      <c r="H367" s="754"/>
      <c r="I367" s="754"/>
      <c r="J367" s="754"/>
      <c r="K367" s="754"/>
      <c r="L367" s="754"/>
      <c r="M367" s="754"/>
      <c r="N367" s="754"/>
      <c r="O367" s="754"/>
      <c r="P367" s="754"/>
    </row>
    <row r="368" spans="1:17" x14ac:dyDescent="0.2">
      <c r="F368" s="216"/>
      <c r="G368" s="216"/>
      <c r="H368" s="216"/>
      <c r="I368" s="216"/>
      <c r="J368" s="216"/>
      <c r="K368" s="216"/>
      <c r="L368" s="216"/>
      <c r="M368" s="216"/>
      <c r="N368" s="216"/>
      <c r="O368" s="216"/>
      <c r="P368" s="216"/>
    </row>
    <row r="369" spans="1:17" x14ac:dyDescent="0.2">
      <c r="A369" s="216">
        <f>A367+1</f>
        <v>16</v>
      </c>
      <c r="C369" s="216" t="s">
        <v>176</v>
      </c>
      <c r="E369" s="419">
        <v>61698.21</v>
      </c>
      <c r="F369" s="419">
        <v>77601.47</v>
      </c>
      <c r="G369" s="419">
        <v>64730.760000000009</v>
      </c>
      <c r="H369" s="419">
        <v>37699.116666666676</v>
      </c>
      <c r="I369" s="419">
        <v>23873.186666666661</v>
      </c>
      <c r="J369" s="419">
        <v>22930.896666666667</v>
      </c>
      <c r="K369" s="419">
        <v>15374.97</v>
      </c>
      <c r="L369" s="419">
        <v>12900.786666666667</v>
      </c>
      <c r="M369" s="419">
        <v>13944.786666666667</v>
      </c>
      <c r="N369" s="419">
        <v>14062.410000000002</v>
      </c>
      <c r="O369" s="419">
        <v>13451.786666666665</v>
      </c>
      <c r="P369" s="419">
        <v>31809.26</v>
      </c>
      <c r="Q369" s="419">
        <f>SUM(E369:P369)</f>
        <v>390077.64</v>
      </c>
    </row>
    <row r="370" spans="1:17" x14ac:dyDescent="0.2">
      <c r="A370" s="216">
        <f>A369+1</f>
        <v>17</v>
      </c>
      <c r="C370" s="216" t="s">
        <v>103</v>
      </c>
      <c r="E370" s="419">
        <v>5942.6066666666666</v>
      </c>
      <c r="F370" s="419">
        <v>11364.44</v>
      </c>
      <c r="G370" s="419">
        <v>8098.21</v>
      </c>
      <c r="H370" s="419">
        <v>7979.916666666667</v>
      </c>
      <c r="I370" s="419">
        <v>12876.963333333335</v>
      </c>
      <c r="J370" s="419">
        <v>-6927.8566666666666</v>
      </c>
      <c r="K370" s="419">
        <v>6255.206666666666</v>
      </c>
      <c r="L370" s="419">
        <v>20702.363333333331</v>
      </c>
      <c r="M370" s="419">
        <v>-7827.2333333333327</v>
      </c>
      <c r="N370" s="419">
        <v>31071.313333333335</v>
      </c>
      <c r="O370" s="419">
        <v>14409.32</v>
      </c>
      <c r="P370" s="419">
        <v>13556.096666666666</v>
      </c>
      <c r="Q370" s="419">
        <f>SUM(E370:P370)</f>
        <v>117501.34666666666</v>
      </c>
    </row>
    <row r="371" spans="1:17" x14ac:dyDescent="0.2">
      <c r="A371" s="216">
        <f>A370+1</f>
        <v>18</v>
      </c>
      <c r="C371" s="216" t="s">
        <v>315</v>
      </c>
      <c r="E371" s="419">
        <v>4169.666666666667</v>
      </c>
      <c r="F371" s="419">
        <v>2762.3333333333335</v>
      </c>
      <c r="G371" s="419">
        <v>3466</v>
      </c>
      <c r="H371" s="419">
        <v>3466</v>
      </c>
      <c r="I371" s="419">
        <v>3466</v>
      </c>
      <c r="J371" s="419">
        <v>3466</v>
      </c>
      <c r="K371" s="419">
        <v>3466</v>
      </c>
      <c r="L371" s="419">
        <v>3466</v>
      </c>
      <c r="M371" s="419">
        <v>3466</v>
      </c>
      <c r="N371" s="419">
        <v>3466</v>
      </c>
      <c r="O371" s="419">
        <v>3466</v>
      </c>
      <c r="P371" s="419">
        <v>3466</v>
      </c>
      <c r="Q371" s="419">
        <f>SUM(E371:P371)</f>
        <v>41592</v>
      </c>
    </row>
    <row r="372" spans="1:17" x14ac:dyDescent="0.2">
      <c r="A372" s="216">
        <f>A371+1</f>
        <v>19</v>
      </c>
      <c r="C372" s="216" t="s">
        <v>104</v>
      </c>
      <c r="E372" s="419">
        <v>0</v>
      </c>
      <c r="F372" s="419">
        <v>0</v>
      </c>
      <c r="G372" s="419">
        <v>0</v>
      </c>
      <c r="H372" s="419">
        <v>0</v>
      </c>
      <c r="I372" s="419">
        <v>0</v>
      </c>
      <c r="J372" s="419">
        <v>0</v>
      </c>
      <c r="K372" s="419">
        <v>0</v>
      </c>
      <c r="L372" s="419">
        <v>0</v>
      </c>
      <c r="M372" s="419">
        <v>0</v>
      </c>
      <c r="N372" s="419">
        <v>0</v>
      </c>
      <c r="O372" s="419">
        <v>0</v>
      </c>
      <c r="P372" s="419">
        <v>0</v>
      </c>
      <c r="Q372" s="419">
        <f>SUM(E372:P372)</f>
        <v>0</v>
      </c>
    </row>
    <row r="373" spans="1:17" x14ac:dyDescent="0.2">
      <c r="A373" s="216">
        <f>A372+1</f>
        <v>20</v>
      </c>
      <c r="C373" s="216" t="s">
        <v>105</v>
      </c>
      <c r="E373" s="419">
        <v>38507.726666666662</v>
      </c>
      <c r="F373" s="419">
        <v>102473.7</v>
      </c>
      <c r="G373" s="419">
        <v>48446.93</v>
      </c>
      <c r="H373" s="419">
        <v>31408.923333333329</v>
      </c>
      <c r="I373" s="419">
        <v>22219.25</v>
      </c>
      <c r="J373" s="419">
        <v>29995.97</v>
      </c>
      <c r="K373" s="419">
        <v>32668.956666666665</v>
      </c>
      <c r="L373" s="419">
        <v>11055.753333333334</v>
      </c>
      <c r="M373" s="419">
        <v>94743.723333333328</v>
      </c>
      <c r="N373" s="419">
        <v>136060.20666666667</v>
      </c>
      <c r="O373" s="419">
        <v>35411.036666666667</v>
      </c>
      <c r="P373" s="419">
        <v>95390.256666666668</v>
      </c>
      <c r="Q373" s="419">
        <f>SUM(E373:P373)</f>
        <v>678382.43333333335</v>
      </c>
    </row>
    <row r="375" spans="1:17" x14ac:dyDescent="0.2">
      <c r="A375" s="216">
        <f>A373+1</f>
        <v>21</v>
      </c>
      <c r="B375" s="216" t="s">
        <v>107</v>
      </c>
      <c r="E375" s="419">
        <f t="shared" ref="E375:P375" si="158">SUM(E369:E374)</f>
        <v>110318.20999999999</v>
      </c>
      <c r="F375" s="419">
        <f t="shared" si="158"/>
        <v>194201.94333333333</v>
      </c>
      <c r="G375" s="419">
        <f t="shared" si="158"/>
        <v>124741.90000000002</v>
      </c>
      <c r="H375" s="419">
        <f t="shared" si="158"/>
        <v>80553.956666666665</v>
      </c>
      <c r="I375" s="419">
        <f t="shared" si="158"/>
        <v>62435.399999999994</v>
      </c>
      <c r="J375" s="419">
        <f t="shared" si="158"/>
        <v>49465.01</v>
      </c>
      <c r="K375" s="419">
        <f t="shared" si="158"/>
        <v>57765.133333333331</v>
      </c>
      <c r="L375" s="419">
        <f t="shared" si="158"/>
        <v>48124.903333333328</v>
      </c>
      <c r="M375" s="419">
        <f t="shared" si="158"/>
        <v>104327.27666666666</v>
      </c>
      <c r="N375" s="419">
        <f t="shared" si="158"/>
        <v>184659.93</v>
      </c>
      <c r="O375" s="419">
        <f t="shared" si="158"/>
        <v>66738.143333333341</v>
      </c>
      <c r="P375" s="419">
        <f t="shared" si="158"/>
        <v>144221.61333333334</v>
      </c>
      <c r="Q375" s="419">
        <f>SUM(E375:P375)</f>
        <v>1227553.42</v>
      </c>
    </row>
    <row r="376" spans="1:17" ht="10.5" x14ac:dyDescent="0.25">
      <c r="C376" s="742"/>
    </row>
    <row r="377" spans="1:17" x14ac:dyDescent="0.2">
      <c r="A377" s="402">
        <f>A375+1</f>
        <v>22</v>
      </c>
      <c r="B377" s="402" t="s">
        <v>108</v>
      </c>
      <c r="C377" s="402"/>
      <c r="D377" s="412"/>
      <c r="E377" s="671">
        <f t="shared" ref="E377:Q377" si="159">E365+E375</f>
        <v>23120059.250000004</v>
      </c>
      <c r="F377" s="671">
        <f t="shared" si="159"/>
        <v>23053111.183333334</v>
      </c>
      <c r="G377" s="671">
        <f t="shared" si="159"/>
        <v>19189946.939999998</v>
      </c>
      <c r="H377" s="671">
        <f t="shared" si="159"/>
        <v>12612255.696666669</v>
      </c>
      <c r="I377" s="671">
        <f t="shared" si="159"/>
        <v>8437895.9600000009</v>
      </c>
      <c r="J377" s="671">
        <f t="shared" si="159"/>
        <v>6769152.5199999986</v>
      </c>
      <c r="K377" s="671">
        <f t="shared" si="159"/>
        <v>6015418.0233333325</v>
      </c>
      <c r="L377" s="671">
        <f t="shared" si="159"/>
        <v>6032758.7733333325</v>
      </c>
      <c r="M377" s="671">
        <f t="shared" si="159"/>
        <v>6249217.8666666653</v>
      </c>
      <c r="N377" s="671">
        <f t="shared" si="159"/>
        <v>7228792.4500000002</v>
      </c>
      <c r="O377" s="671">
        <f t="shared" si="159"/>
        <v>10614475.273333332</v>
      </c>
      <c r="P377" s="671">
        <f t="shared" si="159"/>
        <v>18198678.433333334</v>
      </c>
      <c r="Q377" s="671">
        <f t="shared" si="159"/>
        <v>147521762.37</v>
      </c>
    </row>
    <row r="378" spans="1:17" x14ac:dyDescent="0.2">
      <c r="A378" s="280"/>
      <c r="B378" s="280"/>
      <c r="C378" s="280"/>
      <c r="D378" s="282"/>
      <c r="E378" s="438"/>
      <c r="F378" s="438"/>
      <c r="G378" s="438"/>
      <c r="H378" s="438"/>
      <c r="I378" s="438"/>
      <c r="J378" s="438"/>
      <c r="K378" s="438"/>
      <c r="L378" s="438"/>
      <c r="M378" s="438"/>
      <c r="N378" s="438"/>
      <c r="O378" s="438"/>
      <c r="P378" s="438"/>
      <c r="Q378" s="438"/>
    </row>
    <row r="379" spans="1:17" x14ac:dyDescent="0.2">
      <c r="A379" s="216" t="str">
        <f>$A$108</f>
        <v>[1] Reflects Normalized Volumes.</v>
      </c>
      <c r="B379" s="280"/>
      <c r="C379" s="280"/>
      <c r="D379" s="282"/>
      <c r="E379" s="438"/>
      <c r="F379" s="438"/>
      <c r="G379" s="438"/>
      <c r="H379" s="438"/>
      <c r="I379" s="438"/>
      <c r="J379" s="438"/>
      <c r="K379" s="438"/>
      <c r="L379" s="438"/>
      <c r="M379" s="438"/>
      <c r="N379" s="438"/>
      <c r="O379" s="438"/>
      <c r="P379" s="438"/>
      <c r="Q379" s="438"/>
    </row>
    <row r="380" spans="1:17" x14ac:dyDescent="0.2">
      <c r="A380" s="411" t="str">
        <f>$A$109</f>
        <v>[2] See Schedule M-2.2 Pages 8 through 21 for detail.</v>
      </c>
      <c r="B380" s="280"/>
      <c r="C380" s="280"/>
      <c r="D380" s="282"/>
      <c r="E380" s="438"/>
      <c r="F380" s="438"/>
      <c r="G380" s="438"/>
      <c r="H380" s="438"/>
      <c r="I380" s="438"/>
      <c r="J380" s="438"/>
      <c r="K380" s="438"/>
      <c r="L380" s="438"/>
      <c r="M380" s="438"/>
      <c r="N380" s="438"/>
      <c r="O380" s="438"/>
      <c r="P380" s="438"/>
      <c r="Q380" s="438"/>
    </row>
    <row r="381" spans="1:17" ht="10.5" x14ac:dyDescent="0.25">
      <c r="A381" s="817" t="str">
        <f>CONAME</f>
        <v>Columbia Gas of Kentucky, Inc.</v>
      </c>
      <c r="B381" s="817"/>
      <c r="C381" s="817"/>
      <c r="D381" s="817"/>
      <c r="E381" s="817"/>
      <c r="F381" s="817"/>
      <c r="G381" s="817"/>
      <c r="H381" s="817"/>
      <c r="I381" s="817"/>
      <c r="J381" s="817"/>
      <c r="K381" s="817"/>
      <c r="L381" s="817"/>
      <c r="M381" s="817"/>
      <c r="N381" s="817"/>
      <c r="O381" s="817"/>
      <c r="P381" s="817"/>
      <c r="Q381" s="817"/>
    </row>
    <row r="382" spans="1:17" ht="10.5" x14ac:dyDescent="0.25">
      <c r="A382" s="800" t="str">
        <f>case</f>
        <v>Case No. 2021-00183</v>
      </c>
      <c r="B382" s="800"/>
      <c r="C382" s="800"/>
      <c r="D382" s="800"/>
      <c r="E382" s="800"/>
      <c r="F382" s="800"/>
      <c r="G382" s="800"/>
      <c r="H382" s="800"/>
      <c r="I382" s="800"/>
      <c r="J382" s="800"/>
      <c r="K382" s="800"/>
      <c r="L382" s="800"/>
      <c r="M382" s="800"/>
      <c r="N382" s="800"/>
      <c r="O382" s="800"/>
      <c r="P382" s="800"/>
      <c r="Q382" s="800"/>
    </row>
    <row r="383" spans="1:17" ht="10.5" x14ac:dyDescent="0.25">
      <c r="A383" s="815" t="s">
        <v>414</v>
      </c>
      <c r="B383" s="815"/>
      <c r="C383" s="815"/>
      <c r="D383" s="815"/>
      <c r="E383" s="815"/>
      <c r="F383" s="815"/>
      <c r="G383" s="815"/>
      <c r="H383" s="815"/>
      <c r="I383" s="815"/>
      <c r="J383" s="815"/>
      <c r="K383" s="815"/>
      <c r="L383" s="815"/>
      <c r="M383" s="815"/>
      <c r="N383" s="815"/>
      <c r="O383" s="815"/>
      <c r="P383" s="815"/>
      <c r="Q383" s="815"/>
    </row>
    <row r="384" spans="1:17" ht="10.5" x14ac:dyDescent="0.25">
      <c r="A384" s="817" t="str">
        <f>TYDESC</f>
        <v>For the 12 Months Ended December 31, 2022</v>
      </c>
      <c r="B384" s="817"/>
      <c r="C384" s="817"/>
      <c r="D384" s="817"/>
      <c r="E384" s="817"/>
      <c r="F384" s="817"/>
      <c r="G384" s="817"/>
      <c r="H384" s="817"/>
      <c r="I384" s="817"/>
      <c r="J384" s="817"/>
      <c r="K384" s="817"/>
      <c r="L384" s="817"/>
      <c r="M384" s="817"/>
      <c r="N384" s="817"/>
      <c r="O384" s="817"/>
      <c r="P384" s="817"/>
      <c r="Q384" s="817"/>
    </row>
    <row r="385" spans="1:19" ht="10.5" x14ac:dyDescent="0.25">
      <c r="A385" s="814" t="s">
        <v>39</v>
      </c>
      <c r="B385" s="814"/>
      <c r="C385" s="814"/>
      <c r="D385" s="814"/>
      <c r="E385" s="814"/>
      <c r="F385" s="814"/>
      <c r="G385" s="814"/>
      <c r="H385" s="814"/>
      <c r="I385" s="814"/>
      <c r="J385" s="814"/>
      <c r="K385" s="814"/>
      <c r="L385" s="814"/>
      <c r="M385" s="814"/>
      <c r="N385" s="814"/>
      <c r="O385" s="814"/>
      <c r="P385" s="814"/>
      <c r="Q385" s="814"/>
    </row>
    <row r="386" spans="1:19" ht="10.5" x14ac:dyDescent="0.25">
      <c r="A386" s="245" t="str">
        <f>$A$52</f>
        <v>Data: __ Base Period _X_ Forecasted Period</v>
      </c>
    </row>
    <row r="387" spans="1:19" ht="10.5" x14ac:dyDescent="0.25">
      <c r="A387" s="245" t="str">
        <f>$A$53</f>
        <v>Type of Filing: X Original _ Update _ Revised</v>
      </c>
      <c r="Q387" s="583" t="str">
        <f>$Q$53</f>
        <v>Schedule M-2.2</v>
      </c>
    </row>
    <row r="388" spans="1:19" ht="10.5" x14ac:dyDescent="0.25">
      <c r="A388" s="245" t="str">
        <f>$A$54</f>
        <v>Work Paper Reference No(s):</v>
      </c>
      <c r="Q388" s="583" t="s">
        <v>421</v>
      </c>
    </row>
    <row r="389" spans="1:19" ht="10.5" x14ac:dyDescent="0.25">
      <c r="A389" s="373" t="str">
        <f>$A$55</f>
        <v>12 Months Forecasted</v>
      </c>
      <c r="Q389" s="583" t="str">
        <f>Witness</f>
        <v>Witness:  Judith L. Siegler</v>
      </c>
    </row>
    <row r="390" spans="1:19" ht="10.5" x14ac:dyDescent="0.25">
      <c r="A390" s="816" t="s">
        <v>191</v>
      </c>
      <c r="B390" s="816"/>
      <c r="C390" s="816"/>
      <c r="D390" s="816"/>
      <c r="E390" s="816"/>
      <c r="F390" s="816"/>
      <c r="G390" s="816"/>
      <c r="H390" s="816"/>
      <c r="I390" s="816"/>
      <c r="J390" s="816"/>
      <c r="K390" s="816"/>
      <c r="L390" s="816"/>
      <c r="M390" s="816"/>
      <c r="N390" s="816"/>
      <c r="O390" s="816"/>
      <c r="P390" s="816"/>
      <c r="Q390" s="816"/>
    </row>
    <row r="391" spans="1:19" ht="10.5" x14ac:dyDescent="0.25">
      <c r="A391" s="392"/>
      <c r="B391" s="280"/>
      <c r="C391" s="280"/>
      <c r="D391" s="282"/>
      <c r="E391" s="280"/>
      <c r="F391" s="438"/>
      <c r="G391" s="439"/>
      <c r="H391" s="438"/>
      <c r="I391" s="440"/>
      <c r="J391" s="438"/>
      <c r="K391" s="438"/>
      <c r="L391" s="438"/>
      <c r="M391" s="438"/>
      <c r="N391" s="438"/>
      <c r="O391" s="438"/>
      <c r="P391" s="438"/>
      <c r="Q391" s="280"/>
    </row>
    <row r="392" spans="1:19" ht="10.5" x14ac:dyDescent="0.25">
      <c r="A392" s="727" t="s">
        <v>1</v>
      </c>
      <c r="B392" s="727" t="s">
        <v>0</v>
      </c>
      <c r="C392" s="727" t="s">
        <v>41</v>
      </c>
      <c r="D392" s="731" t="s">
        <v>47</v>
      </c>
      <c r="E392" s="727"/>
      <c r="F392" s="584"/>
      <c r="G392" s="587"/>
      <c r="H392" s="584"/>
      <c r="I392" s="730"/>
      <c r="J392" s="584"/>
      <c r="K392" s="584"/>
      <c r="L392" s="584"/>
      <c r="M392" s="584"/>
      <c r="N392" s="584"/>
      <c r="O392" s="584"/>
      <c r="P392" s="584"/>
      <c r="Q392" s="732"/>
    </row>
    <row r="393" spans="1:19" ht="10.5" x14ac:dyDescent="0.25">
      <c r="A393" s="263" t="s">
        <v>3</v>
      </c>
      <c r="B393" s="263" t="s">
        <v>40</v>
      </c>
      <c r="C393" s="263" t="s">
        <v>4</v>
      </c>
      <c r="D393" s="756" t="s">
        <v>48</v>
      </c>
      <c r="E393" s="380" t="str">
        <f>B!$D$11</f>
        <v>Jan-22</v>
      </c>
      <c r="F393" s="380" t="str">
        <f>B!$E$11</f>
        <v>Feb-22</v>
      </c>
      <c r="G393" s="380" t="str">
        <f>B!$F$11</f>
        <v>Mar-22</v>
      </c>
      <c r="H393" s="380" t="str">
        <f>B!$G$11</f>
        <v>Apr-22</v>
      </c>
      <c r="I393" s="380" t="str">
        <f>B!$H$11</f>
        <v>May-22</v>
      </c>
      <c r="J393" s="380" t="str">
        <f>B!$I$11</f>
        <v>Jun-22</v>
      </c>
      <c r="K393" s="380" t="str">
        <f>B!$J$11</f>
        <v>Jul-22</v>
      </c>
      <c r="L393" s="380" t="str">
        <f>B!$K$11</f>
        <v>Aug-22</v>
      </c>
      <c r="M393" s="380" t="str">
        <f>B!$L$11</f>
        <v>Sep-22</v>
      </c>
      <c r="N393" s="380" t="str">
        <f>B!$M$11</f>
        <v>Oct-22</v>
      </c>
      <c r="O393" s="380" t="str">
        <f>B!$N$11</f>
        <v>Nov-22</v>
      </c>
      <c r="P393" s="380" t="str">
        <f>B!$O$11</f>
        <v>Dec-22</v>
      </c>
      <c r="Q393" s="380" t="s">
        <v>9</v>
      </c>
    </row>
    <row r="394" spans="1:19" ht="10.5" x14ac:dyDescent="0.25">
      <c r="A394" s="727"/>
      <c r="B394" s="732" t="s">
        <v>42</v>
      </c>
      <c r="C394" s="732" t="s">
        <v>43</v>
      </c>
      <c r="D394" s="757" t="s">
        <v>45</v>
      </c>
      <c r="E394" s="586" t="s">
        <v>46</v>
      </c>
      <c r="F394" s="586" t="s">
        <v>49</v>
      </c>
      <c r="G394" s="586" t="s">
        <v>50</v>
      </c>
      <c r="H394" s="586" t="s">
        <v>51</v>
      </c>
      <c r="I394" s="586" t="s">
        <v>52</v>
      </c>
      <c r="J394" s="586" t="s">
        <v>53</v>
      </c>
      <c r="K394" s="588" t="s">
        <v>54</v>
      </c>
      <c r="L394" s="588" t="s">
        <v>55</v>
      </c>
      <c r="M394" s="588" t="s">
        <v>56</v>
      </c>
      <c r="N394" s="588" t="s">
        <v>57</v>
      </c>
      <c r="O394" s="588" t="s">
        <v>58</v>
      </c>
      <c r="P394" s="588" t="s">
        <v>59</v>
      </c>
      <c r="Q394" s="588" t="s">
        <v>200</v>
      </c>
    </row>
    <row r="395" spans="1:19" ht="10.5" x14ac:dyDescent="0.25">
      <c r="E395" s="732"/>
      <c r="F395" s="588"/>
      <c r="G395" s="585"/>
      <c r="H395" s="588"/>
      <c r="I395" s="586"/>
      <c r="J395" s="588"/>
      <c r="K395" s="588"/>
      <c r="L395" s="588"/>
      <c r="M395" s="588"/>
      <c r="N395" s="588"/>
      <c r="O395" s="588"/>
      <c r="P395" s="588"/>
      <c r="Q395" s="732"/>
    </row>
    <row r="396" spans="1:19" x14ac:dyDescent="0.2">
      <c r="A396" s="216">
        <v>1</v>
      </c>
      <c r="B396" s="216" t="str">
        <f>B65</f>
        <v>GSR</v>
      </c>
      <c r="C396" s="216" t="str">
        <f>C65</f>
        <v>General Service - Residential</v>
      </c>
    </row>
    <row r="398" spans="1:19" ht="10.5" x14ac:dyDescent="0.25">
      <c r="A398" s="216">
        <f>A396+1</f>
        <v>2</v>
      </c>
      <c r="C398" s="245" t="s">
        <v>109</v>
      </c>
    </row>
    <row r="400" spans="1:19" x14ac:dyDescent="0.2">
      <c r="A400" s="216">
        <f>A398+1</f>
        <v>3</v>
      </c>
      <c r="C400" s="216" t="s">
        <v>199</v>
      </c>
      <c r="D400" s="430"/>
      <c r="E400" s="421">
        <f>B!D17</f>
        <v>110183</v>
      </c>
      <c r="F400" s="421">
        <f>B!E17</f>
        <v>110452</v>
      </c>
      <c r="G400" s="421">
        <f>B!F17</f>
        <v>110749</v>
      </c>
      <c r="H400" s="421">
        <f>B!G17</f>
        <v>109941</v>
      </c>
      <c r="I400" s="421">
        <f>B!H17</f>
        <v>109375</v>
      </c>
      <c r="J400" s="421">
        <f>B!I17</f>
        <v>108720</v>
      </c>
      <c r="K400" s="421">
        <f>B!J17</f>
        <v>108575</v>
      </c>
      <c r="L400" s="421">
        <f>B!K17</f>
        <v>108485</v>
      </c>
      <c r="M400" s="421">
        <f>B!L17</f>
        <v>108035</v>
      </c>
      <c r="N400" s="421">
        <f>B!M17</f>
        <v>108160</v>
      </c>
      <c r="O400" s="421">
        <f>B!N17</f>
        <v>109559</v>
      </c>
      <c r="P400" s="421">
        <f>B!O17</f>
        <v>111027</v>
      </c>
      <c r="Q400" s="421">
        <f>SUM(E400:P400)</f>
        <v>1313261</v>
      </c>
      <c r="S400" s="421"/>
    </row>
    <row r="401" spans="1:19" x14ac:dyDescent="0.2">
      <c r="A401" s="216">
        <f>A400+1</f>
        <v>4</v>
      </c>
      <c r="C401" s="216" t="s">
        <v>207</v>
      </c>
      <c r="D401" s="608">
        <f>Input!H16</f>
        <v>16</v>
      </c>
      <c r="E401" s="419">
        <f>ROUND(E400*$D$401,2)</f>
        <v>1762928</v>
      </c>
      <c r="F401" s="419">
        <f t="shared" ref="F401:P401" si="160">ROUND(F400*$D$401,2)</f>
        <v>1767232</v>
      </c>
      <c r="G401" s="419">
        <f t="shared" si="160"/>
        <v>1771984</v>
      </c>
      <c r="H401" s="419">
        <f t="shared" si="160"/>
        <v>1759056</v>
      </c>
      <c r="I401" s="419">
        <f t="shared" si="160"/>
        <v>1750000</v>
      </c>
      <c r="J401" s="419">
        <f t="shared" si="160"/>
        <v>1739520</v>
      </c>
      <c r="K401" s="419">
        <f t="shared" si="160"/>
        <v>1737200</v>
      </c>
      <c r="L401" s="419">
        <f t="shared" si="160"/>
        <v>1735760</v>
      </c>
      <c r="M401" s="419">
        <f t="shared" si="160"/>
        <v>1728560</v>
      </c>
      <c r="N401" s="419">
        <f t="shared" si="160"/>
        <v>1730560</v>
      </c>
      <c r="O401" s="419">
        <f t="shared" si="160"/>
        <v>1752944</v>
      </c>
      <c r="P401" s="419">
        <f t="shared" si="160"/>
        <v>1776432</v>
      </c>
      <c r="Q401" s="419">
        <f>SUM(E401:P401)</f>
        <v>21012176</v>
      </c>
    </row>
    <row r="402" spans="1:19" x14ac:dyDescent="0.2">
      <c r="A402" s="216">
        <f>A401+1</f>
        <v>5</v>
      </c>
      <c r="C402" s="216" t="s">
        <v>208</v>
      </c>
      <c r="D402" s="608">
        <f>Input!K16</f>
        <v>6.63</v>
      </c>
      <c r="E402" s="419">
        <f>ROUND(E400*$D$402,2)</f>
        <v>730513.29</v>
      </c>
      <c r="F402" s="419">
        <f t="shared" ref="F402:P402" si="161">ROUND(F400*$D$402,2)</f>
        <v>732296.76</v>
      </c>
      <c r="G402" s="419">
        <f t="shared" si="161"/>
        <v>734265.87</v>
      </c>
      <c r="H402" s="419">
        <f t="shared" si="161"/>
        <v>728908.83</v>
      </c>
      <c r="I402" s="419">
        <f t="shared" si="161"/>
        <v>725156.25</v>
      </c>
      <c r="J402" s="419">
        <f t="shared" si="161"/>
        <v>720813.6</v>
      </c>
      <c r="K402" s="419">
        <f t="shared" si="161"/>
        <v>719852.25</v>
      </c>
      <c r="L402" s="419">
        <f t="shared" si="161"/>
        <v>719255.55</v>
      </c>
      <c r="M402" s="419">
        <f t="shared" si="161"/>
        <v>716272.05</v>
      </c>
      <c r="N402" s="419">
        <f t="shared" si="161"/>
        <v>717100.8</v>
      </c>
      <c r="O402" s="419">
        <f t="shared" si="161"/>
        <v>726376.17</v>
      </c>
      <c r="P402" s="419">
        <f t="shared" si="161"/>
        <v>736109.01</v>
      </c>
      <c r="Q402" s="419">
        <f>SUM(E402:P402)</f>
        <v>8706920.4299999997</v>
      </c>
    </row>
    <row r="403" spans="1:19" x14ac:dyDescent="0.2">
      <c r="D403" s="766"/>
    </row>
    <row r="404" spans="1:19" x14ac:dyDescent="0.2">
      <c r="A404" s="216">
        <f>A402+1</f>
        <v>6</v>
      </c>
      <c r="C404" s="267" t="s">
        <v>206</v>
      </c>
      <c r="D404" s="766"/>
      <c r="E404" s="424">
        <f>'C'!D17</f>
        <v>1484059.2</v>
      </c>
      <c r="F404" s="424">
        <f>'C'!E17</f>
        <v>1502349.6</v>
      </c>
      <c r="G404" s="424">
        <f>'C'!F17</f>
        <v>1166162.7</v>
      </c>
      <c r="H404" s="424">
        <f>'C'!G17</f>
        <v>664959.6</v>
      </c>
      <c r="I404" s="424">
        <f>'C'!H17</f>
        <v>284958.40000000002</v>
      </c>
      <c r="J404" s="424">
        <f>'C'!I17</f>
        <v>148158.1</v>
      </c>
      <c r="K404" s="424">
        <f>'C'!J17</f>
        <v>83378.5</v>
      </c>
      <c r="L404" s="424">
        <f>'C'!K17</f>
        <v>87613.7</v>
      </c>
      <c r="M404" s="424">
        <f>'C'!L17</f>
        <v>102204</v>
      </c>
      <c r="N404" s="424">
        <f>'C'!M17</f>
        <v>177653.4</v>
      </c>
      <c r="O404" s="424">
        <f>'C'!N17</f>
        <v>461545.8</v>
      </c>
      <c r="P404" s="424">
        <f>'C'!O17</f>
        <v>1093564.7</v>
      </c>
      <c r="Q404" s="424">
        <f>SUM(E404:P404)</f>
        <v>7256607.7000000002</v>
      </c>
      <c r="S404" s="424"/>
    </row>
    <row r="405" spans="1:19" x14ac:dyDescent="0.2">
      <c r="A405" s="216">
        <f>A404+1</f>
        <v>7</v>
      </c>
      <c r="C405" s="280" t="s">
        <v>209</v>
      </c>
      <c r="D405" s="609">
        <f>Input!C16</f>
        <v>3.5665</v>
      </c>
      <c r="E405" s="419">
        <f>ROUND(E404*$D$405,2)</f>
        <v>5292897.1399999997</v>
      </c>
      <c r="F405" s="419">
        <f t="shared" ref="F405:P405" si="162">ROUND(F404*$D$405,2)</f>
        <v>5358129.8499999996</v>
      </c>
      <c r="G405" s="419">
        <f t="shared" si="162"/>
        <v>4159119.27</v>
      </c>
      <c r="H405" s="419">
        <f t="shared" si="162"/>
        <v>2371578.41</v>
      </c>
      <c r="I405" s="419">
        <f t="shared" si="162"/>
        <v>1016304.13</v>
      </c>
      <c r="J405" s="419">
        <f t="shared" si="162"/>
        <v>528405.86</v>
      </c>
      <c r="K405" s="419">
        <f t="shared" si="162"/>
        <v>297369.42</v>
      </c>
      <c r="L405" s="419">
        <f t="shared" si="162"/>
        <v>312474.26</v>
      </c>
      <c r="M405" s="419">
        <f t="shared" si="162"/>
        <v>364510.57</v>
      </c>
      <c r="N405" s="419">
        <f t="shared" si="162"/>
        <v>633600.85</v>
      </c>
      <c r="O405" s="419">
        <f t="shared" si="162"/>
        <v>1646103.1</v>
      </c>
      <c r="P405" s="419">
        <f t="shared" si="162"/>
        <v>3900198.5</v>
      </c>
      <c r="Q405" s="419">
        <f>SUM(E405:P405)</f>
        <v>25880691.360000003</v>
      </c>
    </row>
    <row r="406" spans="1:19" x14ac:dyDescent="0.2">
      <c r="A406" s="216">
        <f>A405+1</f>
        <v>8</v>
      </c>
      <c r="C406" s="767" t="s">
        <v>529</v>
      </c>
      <c r="D406" s="609">
        <f>Input!J16</f>
        <v>-0.28249999999999997</v>
      </c>
      <c r="E406" s="281">
        <f t="shared" ref="E406:P406" si="163">ROUND($D$406*E404,2)</f>
        <v>-419246.72</v>
      </c>
      <c r="F406" s="281">
        <f t="shared" si="163"/>
        <v>-424413.76</v>
      </c>
      <c r="G406" s="281">
        <f t="shared" si="163"/>
        <v>-329440.96000000002</v>
      </c>
      <c r="H406" s="281">
        <f t="shared" si="163"/>
        <v>-187851.09</v>
      </c>
      <c r="I406" s="281">
        <f t="shared" si="163"/>
        <v>-80500.75</v>
      </c>
      <c r="J406" s="281">
        <f t="shared" si="163"/>
        <v>-41854.660000000003</v>
      </c>
      <c r="K406" s="281">
        <f t="shared" si="163"/>
        <v>-23554.43</v>
      </c>
      <c r="L406" s="281">
        <f t="shared" si="163"/>
        <v>-24750.87</v>
      </c>
      <c r="M406" s="281">
        <f t="shared" si="163"/>
        <v>-28872.63</v>
      </c>
      <c r="N406" s="281">
        <f t="shared" si="163"/>
        <v>-50187.09</v>
      </c>
      <c r="O406" s="281">
        <f t="shared" si="163"/>
        <v>-130386.69</v>
      </c>
      <c r="P406" s="281">
        <f t="shared" si="163"/>
        <v>-308932.03000000003</v>
      </c>
      <c r="Q406" s="673">
        <f>SUM(E406:P406)</f>
        <v>-2049991.6799999999</v>
      </c>
    </row>
    <row r="407" spans="1:19" x14ac:dyDescent="0.2">
      <c r="A407" s="216">
        <f>A406+1</f>
        <v>9</v>
      </c>
      <c r="C407" s="216" t="s">
        <v>201</v>
      </c>
      <c r="D407" s="768"/>
      <c r="E407" s="419">
        <f t="shared" ref="E407:O407" si="164">E401+E402+E405+E406</f>
        <v>7367091.71</v>
      </c>
      <c r="F407" s="419">
        <f t="shared" si="164"/>
        <v>7433244.8499999996</v>
      </c>
      <c r="G407" s="419">
        <f t="shared" si="164"/>
        <v>6335928.1800000006</v>
      </c>
      <c r="H407" s="419">
        <f t="shared" si="164"/>
        <v>4671692.1500000004</v>
      </c>
      <c r="I407" s="419">
        <f t="shared" si="164"/>
        <v>3410959.63</v>
      </c>
      <c r="J407" s="419">
        <f t="shared" si="164"/>
        <v>2946884.8</v>
      </c>
      <c r="K407" s="419">
        <f t="shared" si="164"/>
        <v>2730867.2399999998</v>
      </c>
      <c r="L407" s="419">
        <f t="shared" si="164"/>
        <v>2742738.9399999995</v>
      </c>
      <c r="M407" s="419">
        <f t="shared" si="164"/>
        <v>2780469.9899999998</v>
      </c>
      <c r="N407" s="419">
        <f t="shared" si="164"/>
        <v>3031074.56</v>
      </c>
      <c r="O407" s="419">
        <f t="shared" si="164"/>
        <v>3995036.58</v>
      </c>
      <c r="P407" s="419">
        <f>P401+P402+P405+P406</f>
        <v>6103807.4799999995</v>
      </c>
      <c r="Q407" s="419">
        <f>SUM(E407:P407)</f>
        <v>53549796.109999999</v>
      </c>
    </row>
    <row r="408" spans="1:19" x14ac:dyDescent="0.2">
      <c r="C408" s="267"/>
      <c r="D408" s="768"/>
      <c r="E408" s="430"/>
      <c r="F408" s="430"/>
      <c r="G408" s="430"/>
      <c r="H408" s="430"/>
      <c r="I408" s="430"/>
      <c r="J408" s="430"/>
      <c r="K408" s="430"/>
      <c r="L408" s="430"/>
      <c r="M408" s="430"/>
      <c r="N408" s="430"/>
      <c r="O408" s="430"/>
      <c r="P408" s="430"/>
      <c r="Q408" s="430"/>
    </row>
    <row r="409" spans="1:19" x14ac:dyDescent="0.2">
      <c r="A409" s="216">
        <f>A407+1</f>
        <v>10</v>
      </c>
      <c r="C409" s="267" t="s">
        <v>205</v>
      </c>
      <c r="D409" s="609">
        <f>EGC</f>
        <v>4.3869999999999996</v>
      </c>
      <c r="E409" s="674">
        <f t="shared" ref="E409:P409" si="165">ROUND(E404*$D$409,2)</f>
        <v>6510567.71</v>
      </c>
      <c r="F409" s="674">
        <f t="shared" si="165"/>
        <v>6590807.7000000002</v>
      </c>
      <c r="G409" s="674">
        <f t="shared" si="165"/>
        <v>5115955.76</v>
      </c>
      <c r="H409" s="674">
        <f t="shared" si="165"/>
        <v>2917177.77</v>
      </c>
      <c r="I409" s="674">
        <f t="shared" si="165"/>
        <v>1250112.5</v>
      </c>
      <c r="J409" s="674">
        <f t="shared" si="165"/>
        <v>649969.57999999996</v>
      </c>
      <c r="K409" s="674">
        <f t="shared" si="165"/>
        <v>365781.48</v>
      </c>
      <c r="L409" s="674">
        <f t="shared" si="165"/>
        <v>384361.3</v>
      </c>
      <c r="M409" s="674">
        <f t="shared" si="165"/>
        <v>448368.95</v>
      </c>
      <c r="N409" s="674">
        <f t="shared" si="165"/>
        <v>779365.47</v>
      </c>
      <c r="O409" s="674">
        <f t="shared" si="165"/>
        <v>2024801.42</v>
      </c>
      <c r="P409" s="674">
        <f t="shared" si="165"/>
        <v>4797468.34</v>
      </c>
      <c r="Q409" s="674">
        <f>SUM(E409:P409)</f>
        <v>31834737.98</v>
      </c>
    </row>
    <row r="410" spans="1:19" x14ac:dyDescent="0.2">
      <c r="C410" s="255"/>
      <c r="D410" s="766"/>
      <c r="E410" s="457"/>
      <c r="F410" s="457"/>
      <c r="G410" s="457"/>
      <c r="H410" s="457"/>
      <c r="I410" s="457"/>
      <c r="J410" s="457"/>
      <c r="K410" s="457"/>
      <c r="L410" s="457"/>
      <c r="M410" s="457"/>
      <c r="N410" s="457"/>
      <c r="O410" s="457"/>
      <c r="P410" s="457"/>
      <c r="Q410" s="457"/>
    </row>
    <row r="411" spans="1:19" x14ac:dyDescent="0.2">
      <c r="A411" s="280">
        <f>A409+1</f>
        <v>11</v>
      </c>
      <c r="B411" s="280"/>
      <c r="C411" s="282" t="s">
        <v>203</v>
      </c>
      <c r="D411" s="769"/>
      <c r="E411" s="672">
        <f>E407+E409</f>
        <v>13877659.42</v>
      </c>
      <c r="F411" s="672">
        <f t="shared" ref="F411:O411" si="166">F407+F409</f>
        <v>14024052.550000001</v>
      </c>
      <c r="G411" s="672">
        <f t="shared" si="166"/>
        <v>11451883.940000001</v>
      </c>
      <c r="H411" s="672">
        <f t="shared" si="166"/>
        <v>7588869.9199999999</v>
      </c>
      <c r="I411" s="672">
        <f t="shared" si="166"/>
        <v>4661072.13</v>
      </c>
      <c r="J411" s="672">
        <f t="shared" si="166"/>
        <v>3596854.38</v>
      </c>
      <c r="K411" s="672">
        <f t="shared" si="166"/>
        <v>3096648.7199999997</v>
      </c>
      <c r="L411" s="672">
        <f t="shared" si="166"/>
        <v>3127100.2399999993</v>
      </c>
      <c r="M411" s="672">
        <f t="shared" si="166"/>
        <v>3228838.94</v>
      </c>
      <c r="N411" s="672">
        <f t="shared" si="166"/>
        <v>3810440.0300000003</v>
      </c>
      <c r="O411" s="672">
        <f t="shared" si="166"/>
        <v>6019838</v>
      </c>
      <c r="P411" s="672">
        <f>P407+P409</f>
        <v>10901275.82</v>
      </c>
      <c r="Q411" s="672">
        <f>SUM(E411:P411)</f>
        <v>85384534.090000004</v>
      </c>
    </row>
    <row r="412" spans="1:19" x14ac:dyDescent="0.2">
      <c r="C412" s="267"/>
      <c r="D412" s="766"/>
      <c r="E412" s="430"/>
      <c r="F412" s="430"/>
      <c r="G412" s="430"/>
      <c r="H412" s="430"/>
      <c r="I412" s="430"/>
      <c r="J412" s="430"/>
      <c r="K412" s="430"/>
      <c r="L412" s="430"/>
      <c r="M412" s="430"/>
      <c r="N412" s="430"/>
      <c r="O412" s="430"/>
      <c r="P412" s="430"/>
      <c r="Q412" s="430"/>
    </row>
    <row r="413" spans="1:19" x14ac:dyDescent="0.2">
      <c r="A413" s="216">
        <f>A411+1</f>
        <v>12</v>
      </c>
      <c r="C413" s="267" t="s">
        <v>193</v>
      </c>
      <c r="D413" s="766"/>
      <c r="E413" s="430"/>
      <c r="F413" s="430"/>
      <c r="G413" s="430"/>
      <c r="H413" s="430"/>
      <c r="I413" s="430"/>
      <c r="J413" s="430"/>
      <c r="K413" s="430"/>
      <c r="L413" s="430"/>
      <c r="M413" s="430"/>
      <c r="N413" s="430"/>
      <c r="O413" s="430"/>
      <c r="P413" s="430"/>
      <c r="Q413" s="430"/>
    </row>
    <row r="414" spans="1:19" x14ac:dyDescent="0.2">
      <c r="A414" s="216">
        <f>A413+1</f>
        <v>13</v>
      </c>
      <c r="C414" s="216" t="s">
        <v>210</v>
      </c>
      <c r="D414" s="609">
        <f>Input!L16</f>
        <v>0.28999999999999998</v>
      </c>
      <c r="E414" s="419">
        <f t="shared" ref="E414:P414" si="167">ROUND(E400*$D$414,2)</f>
        <v>31953.07</v>
      </c>
      <c r="F414" s="419">
        <f t="shared" si="167"/>
        <v>32031.08</v>
      </c>
      <c r="G414" s="419">
        <f t="shared" si="167"/>
        <v>32117.21</v>
      </c>
      <c r="H414" s="419">
        <f t="shared" si="167"/>
        <v>31882.89</v>
      </c>
      <c r="I414" s="419">
        <f t="shared" si="167"/>
        <v>31718.75</v>
      </c>
      <c r="J414" s="419">
        <f t="shared" si="167"/>
        <v>31528.799999999999</v>
      </c>
      <c r="K414" s="419">
        <f t="shared" si="167"/>
        <v>31486.75</v>
      </c>
      <c r="L414" s="419">
        <f t="shared" si="167"/>
        <v>31460.65</v>
      </c>
      <c r="M414" s="419">
        <f t="shared" si="167"/>
        <v>31330.15</v>
      </c>
      <c r="N414" s="419">
        <f t="shared" si="167"/>
        <v>31366.400000000001</v>
      </c>
      <c r="O414" s="419">
        <f t="shared" si="167"/>
        <v>31772.11</v>
      </c>
      <c r="P414" s="419">
        <f t="shared" si="167"/>
        <v>32197.83</v>
      </c>
      <c r="Q414" s="419">
        <f>SUM(E414:P414)</f>
        <v>380845.69</v>
      </c>
    </row>
    <row r="415" spans="1:19" x14ac:dyDescent="0.2">
      <c r="A415" s="216">
        <f>A414+1</f>
        <v>14</v>
      </c>
      <c r="C415" s="267" t="s">
        <v>211</v>
      </c>
      <c r="D415" s="609">
        <f>Input!O16</f>
        <v>2.58E-2</v>
      </c>
      <c r="E415" s="267">
        <f>ROUND(E404*$D$415,2)</f>
        <v>38288.730000000003</v>
      </c>
      <c r="F415" s="267">
        <f t="shared" ref="F415:P415" si="168">ROUND(F404*$D$415,2)</f>
        <v>38760.620000000003</v>
      </c>
      <c r="G415" s="267">
        <f t="shared" si="168"/>
        <v>30087</v>
      </c>
      <c r="H415" s="267">
        <f t="shared" si="168"/>
        <v>17155.96</v>
      </c>
      <c r="I415" s="267">
        <f t="shared" si="168"/>
        <v>7351.93</v>
      </c>
      <c r="J415" s="267">
        <f t="shared" si="168"/>
        <v>3822.48</v>
      </c>
      <c r="K415" s="267">
        <f t="shared" si="168"/>
        <v>2151.17</v>
      </c>
      <c r="L415" s="267">
        <f t="shared" si="168"/>
        <v>2260.4299999999998</v>
      </c>
      <c r="M415" s="267">
        <f t="shared" si="168"/>
        <v>2636.86</v>
      </c>
      <c r="N415" s="267">
        <f t="shared" si="168"/>
        <v>4583.46</v>
      </c>
      <c r="O415" s="267">
        <f t="shared" si="168"/>
        <v>11907.88</v>
      </c>
      <c r="P415" s="267">
        <f t="shared" si="168"/>
        <v>28213.97</v>
      </c>
      <c r="Q415" s="606">
        <f>SUM(E415:P415)</f>
        <v>187220.49</v>
      </c>
    </row>
    <row r="416" spans="1:19" x14ac:dyDescent="0.2">
      <c r="A416" s="216">
        <f>A415+1</f>
        <v>15</v>
      </c>
      <c r="C416" s="267" t="s">
        <v>553</v>
      </c>
      <c r="D416" s="609">
        <f>Input!$N$16</f>
        <v>1.44E-2</v>
      </c>
      <c r="E416" s="267">
        <f>ROUND($D$416*E404,2)</f>
        <v>21370.45</v>
      </c>
      <c r="F416" s="267">
        <f t="shared" ref="F416:N416" si="169">ROUND($D$416*F404,2)</f>
        <v>21633.83</v>
      </c>
      <c r="G416" s="267">
        <f t="shared" si="169"/>
        <v>16792.740000000002</v>
      </c>
      <c r="H416" s="267">
        <f>ROUND($D$416*H404,2)</f>
        <v>9575.42</v>
      </c>
      <c r="I416" s="267">
        <f t="shared" si="169"/>
        <v>4103.3999999999996</v>
      </c>
      <c r="J416" s="267">
        <f t="shared" si="169"/>
        <v>2133.48</v>
      </c>
      <c r="K416" s="267">
        <f t="shared" si="169"/>
        <v>1200.6500000000001</v>
      </c>
      <c r="L416" s="267">
        <f t="shared" si="169"/>
        <v>1261.6400000000001</v>
      </c>
      <c r="M416" s="267">
        <f t="shared" si="169"/>
        <v>1471.74</v>
      </c>
      <c r="N416" s="267">
        <f t="shared" si="169"/>
        <v>2558.21</v>
      </c>
      <c r="O416" s="267">
        <f>ROUND($D$416*O404,2)</f>
        <v>6646.26</v>
      </c>
      <c r="P416" s="267">
        <f>ROUND($D$416*P404,2)</f>
        <v>15747.33</v>
      </c>
      <c r="Q416" s="606">
        <f>SUM(E416:P416)</f>
        <v>104495.15</v>
      </c>
    </row>
    <row r="417" spans="1:19" x14ac:dyDescent="0.2">
      <c r="A417" s="216">
        <f>A416+1</f>
        <v>16</v>
      </c>
      <c r="C417" s="216" t="s">
        <v>212</v>
      </c>
      <c r="D417" s="609">
        <f>Input!M16</f>
        <v>0.3</v>
      </c>
      <c r="E417" s="255">
        <f>ROUND(E400*$D$417,2)</f>
        <v>33054.9</v>
      </c>
      <c r="F417" s="255">
        <f t="shared" ref="F417:P417" si="170">ROUND(F400*$D$417,2)</f>
        <v>33135.599999999999</v>
      </c>
      <c r="G417" s="255">
        <f t="shared" si="170"/>
        <v>33224.699999999997</v>
      </c>
      <c r="H417" s="255">
        <f t="shared" si="170"/>
        <v>32982.300000000003</v>
      </c>
      <c r="I417" s="255">
        <f t="shared" si="170"/>
        <v>32812.5</v>
      </c>
      <c r="J417" s="255">
        <f t="shared" si="170"/>
        <v>32616</v>
      </c>
      <c r="K417" s="255">
        <f t="shared" si="170"/>
        <v>32572.5</v>
      </c>
      <c r="L417" s="255">
        <f t="shared" si="170"/>
        <v>32545.5</v>
      </c>
      <c r="M417" s="255">
        <f t="shared" si="170"/>
        <v>32410.5</v>
      </c>
      <c r="N417" s="255">
        <f t="shared" si="170"/>
        <v>32448</v>
      </c>
      <c r="O417" s="255">
        <f t="shared" si="170"/>
        <v>32867.699999999997</v>
      </c>
      <c r="P417" s="255">
        <f t="shared" si="170"/>
        <v>33308.1</v>
      </c>
      <c r="Q417" s="255">
        <f>SUM(E417:P417)</f>
        <v>393978.3</v>
      </c>
    </row>
    <row r="418" spans="1:19" x14ac:dyDescent="0.2">
      <c r="A418" s="216">
        <f>A417+1</f>
        <v>17</v>
      </c>
      <c r="C418" s="216" t="s">
        <v>213</v>
      </c>
      <c r="D418" s="430"/>
      <c r="E418" s="419">
        <f>SUM(E414:E417)</f>
        <v>124667.15</v>
      </c>
      <c r="F418" s="419">
        <f t="shared" ref="F418:O418" si="171">SUM(F414:F417)</f>
        <v>125561.13</v>
      </c>
      <c r="G418" s="419">
        <f t="shared" si="171"/>
        <v>112221.65</v>
      </c>
      <c r="H418" s="419">
        <f t="shared" si="171"/>
        <v>91596.57</v>
      </c>
      <c r="I418" s="419">
        <f t="shared" si="171"/>
        <v>75986.58</v>
      </c>
      <c r="J418" s="419">
        <f t="shared" si="171"/>
        <v>70100.760000000009</v>
      </c>
      <c r="K418" s="419">
        <f t="shared" si="171"/>
        <v>67411.070000000007</v>
      </c>
      <c r="L418" s="419">
        <f t="shared" si="171"/>
        <v>67528.22</v>
      </c>
      <c r="M418" s="419">
        <f t="shared" si="171"/>
        <v>67849.25</v>
      </c>
      <c r="N418" s="419">
        <f t="shared" si="171"/>
        <v>70956.070000000007</v>
      </c>
      <c r="O418" s="419">
        <f t="shared" si="171"/>
        <v>83193.95</v>
      </c>
      <c r="P418" s="419">
        <f>SUM(P414:P417)</f>
        <v>109467.23000000001</v>
      </c>
      <c r="Q418" s="419">
        <f>SUM(E418:P418)</f>
        <v>1066539.6299999999</v>
      </c>
    </row>
    <row r="419" spans="1:19" x14ac:dyDescent="0.2">
      <c r="D419" s="430"/>
      <c r="E419" s="430"/>
      <c r="F419" s="430"/>
      <c r="G419" s="430"/>
      <c r="H419" s="430"/>
      <c r="I419" s="430"/>
      <c r="J419" s="430"/>
      <c r="K419" s="430"/>
      <c r="L419" s="430"/>
      <c r="M419" s="430"/>
      <c r="N419" s="430"/>
      <c r="O419" s="430"/>
      <c r="P419" s="430"/>
      <c r="Q419" s="430"/>
    </row>
    <row r="420" spans="1:19" ht="10.5" thickBot="1" x14ac:dyDescent="0.25">
      <c r="A420" s="433">
        <f>A418+1</f>
        <v>18</v>
      </c>
      <c r="B420" s="433"/>
      <c r="C420" s="770" t="s">
        <v>202</v>
      </c>
      <c r="D420" s="771"/>
      <c r="E420" s="675">
        <f>E411+E418</f>
        <v>14002326.57</v>
      </c>
      <c r="F420" s="675">
        <f t="shared" ref="F420:O420" si="172">F411+F418</f>
        <v>14149613.680000002</v>
      </c>
      <c r="G420" s="675">
        <f t="shared" si="172"/>
        <v>11564105.590000002</v>
      </c>
      <c r="H420" s="675">
        <f t="shared" si="172"/>
        <v>7680466.4900000002</v>
      </c>
      <c r="I420" s="675">
        <f t="shared" si="172"/>
        <v>4737058.71</v>
      </c>
      <c r="J420" s="675">
        <f t="shared" si="172"/>
        <v>3666955.1399999997</v>
      </c>
      <c r="K420" s="675">
        <f t="shared" si="172"/>
        <v>3164059.7899999996</v>
      </c>
      <c r="L420" s="675">
        <f t="shared" si="172"/>
        <v>3194628.4599999995</v>
      </c>
      <c r="M420" s="675">
        <f t="shared" si="172"/>
        <v>3296688.19</v>
      </c>
      <c r="N420" s="675">
        <f t="shared" si="172"/>
        <v>3881396.1</v>
      </c>
      <c r="O420" s="675">
        <f t="shared" si="172"/>
        <v>6103031.9500000002</v>
      </c>
      <c r="P420" s="675">
        <f>P411+P418</f>
        <v>11010743.050000001</v>
      </c>
      <c r="Q420" s="675">
        <f>SUM(E420:P420)</f>
        <v>86451073.719999999</v>
      </c>
    </row>
    <row r="421" spans="1:19" ht="10.5" thickTop="1" x14ac:dyDescent="0.2">
      <c r="A421" s="280"/>
      <c r="B421" s="280"/>
      <c r="C421" s="280"/>
      <c r="D421" s="282"/>
      <c r="E421" s="489"/>
      <c r="F421" s="489"/>
      <c r="G421" s="489"/>
      <c r="H421" s="489"/>
      <c r="I421" s="489"/>
      <c r="J421" s="489"/>
      <c r="K421" s="489"/>
      <c r="L421" s="489"/>
      <c r="M421" s="489"/>
      <c r="N421" s="489"/>
      <c r="O421" s="489"/>
      <c r="P421" s="489"/>
      <c r="Q421" s="489"/>
      <c r="S421" s="262"/>
    </row>
    <row r="422" spans="1:19" x14ac:dyDescent="0.2">
      <c r="A422" s="280"/>
      <c r="B422" s="280"/>
      <c r="C422" s="280"/>
      <c r="D422" s="282"/>
      <c r="E422" s="489"/>
      <c r="F422" s="489"/>
      <c r="G422" s="489"/>
      <c r="H422" s="489"/>
      <c r="I422" s="489"/>
      <c r="J422" s="489"/>
      <c r="K422" s="489"/>
      <c r="L422" s="489"/>
      <c r="M422" s="489"/>
      <c r="N422" s="489"/>
      <c r="O422" s="489"/>
      <c r="P422" s="489"/>
      <c r="Q422" s="489"/>
    </row>
    <row r="423" spans="1:19" x14ac:dyDescent="0.2">
      <c r="A423" s="280">
        <f>A420+1</f>
        <v>19</v>
      </c>
      <c r="B423" s="280" t="str">
        <f>B72</f>
        <v>G1C</v>
      </c>
      <c r="C423" s="280" t="str">
        <f>C72</f>
        <v>LG&amp;E Commercial</v>
      </c>
      <c r="D423" s="282"/>
      <c r="E423" s="280"/>
      <c r="F423" s="438"/>
      <c r="G423" s="439"/>
      <c r="H423" s="438"/>
      <c r="I423" s="440"/>
      <c r="J423" s="438"/>
      <c r="K423" s="438"/>
      <c r="L423" s="438"/>
      <c r="M423" s="438"/>
      <c r="N423" s="438"/>
      <c r="O423" s="438"/>
      <c r="P423" s="438"/>
      <c r="Q423" s="280"/>
    </row>
    <row r="424" spans="1:19" x14ac:dyDescent="0.2">
      <c r="A424" s="280"/>
      <c r="B424" s="280"/>
      <c r="C424" s="280"/>
      <c r="D424" s="282"/>
      <c r="E424" s="280"/>
      <c r="F424" s="438"/>
      <c r="G424" s="439"/>
      <c r="H424" s="438"/>
      <c r="I424" s="440"/>
      <c r="J424" s="438"/>
      <c r="K424" s="438"/>
      <c r="L424" s="438"/>
      <c r="M424" s="438"/>
      <c r="N424" s="438"/>
      <c r="O424" s="438"/>
      <c r="P424" s="438"/>
      <c r="Q424" s="280"/>
    </row>
    <row r="425" spans="1:19" ht="10.5" x14ac:dyDescent="0.25">
      <c r="A425" s="280">
        <f>A423+1</f>
        <v>20</v>
      </c>
      <c r="B425" s="280"/>
      <c r="C425" s="392" t="s">
        <v>111</v>
      </c>
      <c r="D425" s="282"/>
      <c r="E425" s="280"/>
      <c r="F425" s="438"/>
      <c r="G425" s="439"/>
      <c r="H425" s="438"/>
      <c r="I425" s="440"/>
      <c r="J425" s="438"/>
      <c r="K425" s="438"/>
      <c r="L425" s="438"/>
      <c r="M425" s="438"/>
      <c r="N425" s="438"/>
      <c r="O425" s="438"/>
      <c r="P425" s="438"/>
      <c r="Q425" s="280"/>
    </row>
    <row r="426" spans="1:19" x14ac:dyDescent="0.2">
      <c r="A426" s="280"/>
      <c r="B426" s="280"/>
      <c r="C426" s="280"/>
      <c r="D426" s="282"/>
      <c r="E426" s="280"/>
      <c r="F426" s="438"/>
      <c r="G426" s="439"/>
      <c r="H426" s="438"/>
      <c r="I426" s="440"/>
      <c r="J426" s="438"/>
      <c r="K426" s="438"/>
      <c r="L426" s="438"/>
      <c r="M426" s="438"/>
      <c r="N426" s="438"/>
      <c r="O426" s="438"/>
      <c r="P426" s="438"/>
      <c r="Q426" s="280"/>
    </row>
    <row r="427" spans="1:19" x14ac:dyDescent="0.2">
      <c r="A427" s="280">
        <f>A425+1</f>
        <v>21</v>
      </c>
      <c r="B427" s="280"/>
      <c r="C427" s="280" t="s">
        <v>199</v>
      </c>
      <c r="D427" s="282"/>
      <c r="E427" s="441">
        <f>B!D22</f>
        <v>0</v>
      </c>
      <c r="F427" s="441">
        <f>B!E22</f>
        <v>0</v>
      </c>
      <c r="G427" s="441">
        <f>B!F22</f>
        <v>0</v>
      </c>
      <c r="H427" s="441">
        <f>B!G22</f>
        <v>0</v>
      </c>
      <c r="I427" s="441">
        <f>B!H22</f>
        <v>0</v>
      </c>
      <c r="J427" s="441">
        <f>B!I22</f>
        <v>0</v>
      </c>
      <c r="K427" s="441">
        <f>B!J22</f>
        <v>0</v>
      </c>
      <c r="L427" s="441">
        <f>B!K22</f>
        <v>0</v>
      </c>
      <c r="M427" s="441">
        <f>B!L22</f>
        <v>0</v>
      </c>
      <c r="N427" s="441">
        <f>B!M22</f>
        <v>0</v>
      </c>
      <c r="O427" s="441">
        <f>B!N22</f>
        <v>0</v>
      </c>
      <c r="P427" s="441">
        <f>B!O22</f>
        <v>0</v>
      </c>
      <c r="Q427" s="676">
        <f>SUM(E427:P427)</f>
        <v>0</v>
      </c>
    </row>
    <row r="428" spans="1:19" x14ac:dyDescent="0.2">
      <c r="A428" s="280">
        <f>A427+1</f>
        <v>22</v>
      </c>
      <c r="B428" s="280"/>
      <c r="C428" s="280" t="s">
        <v>207</v>
      </c>
      <c r="D428" s="608">
        <f>Input!H17</f>
        <v>70.34</v>
      </c>
      <c r="E428" s="672">
        <f t="shared" ref="E428:P428" si="173">ROUND(E427*$D$428,2)</f>
        <v>0</v>
      </c>
      <c r="F428" s="672">
        <f t="shared" si="173"/>
        <v>0</v>
      </c>
      <c r="G428" s="672">
        <f t="shared" si="173"/>
        <v>0</v>
      </c>
      <c r="H428" s="672">
        <f t="shared" si="173"/>
        <v>0</v>
      </c>
      <c r="I428" s="672">
        <f t="shared" si="173"/>
        <v>0</v>
      </c>
      <c r="J428" s="672">
        <f t="shared" si="173"/>
        <v>0</v>
      </c>
      <c r="K428" s="672">
        <f t="shared" si="173"/>
        <v>0</v>
      </c>
      <c r="L428" s="672">
        <f t="shared" si="173"/>
        <v>0</v>
      </c>
      <c r="M428" s="672">
        <f t="shared" si="173"/>
        <v>0</v>
      </c>
      <c r="N428" s="672">
        <f t="shared" si="173"/>
        <v>0</v>
      </c>
      <c r="O428" s="672">
        <f t="shared" si="173"/>
        <v>0</v>
      </c>
      <c r="P428" s="672">
        <f t="shared" si="173"/>
        <v>0</v>
      </c>
      <c r="Q428" s="672">
        <f>SUM(E428:P428)</f>
        <v>0</v>
      </c>
    </row>
    <row r="429" spans="1:19" x14ac:dyDescent="0.2">
      <c r="A429" s="280"/>
      <c r="B429" s="280"/>
      <c r="C429" s="280"/>
      <c r="E429" s="280"/>
      <c r="F429" s="438"/>
      <c r="G429" s="439"/>
      <c r="H429" s="438"/>
      <c r="I429" s="440"/>
      <c r="J429" s="438"/>
      <c r="K429" s="438"/>
      <c r="L429" s="438"/>
      <c r="M429" s="438"/>
      <c r="N429" s="438"/>
      <c r="O429" s="438"/>
      <c r="P429" s="438"/>
      <c r="Q429" s="280"/>
    </row>
    <row r="430" spans="1:19" x14ac:dyDescent="0.2">
      <c r="A430" s="280">
        <f>A428+1</f>
        <v>23</v>
      </c>
      <c r="B430" s="280"/>
      <c r="C430" s="280" t="s">
        <v>206</v>
      </c>
      <c r="E430" s="443">
        <f>'C'!D22</f>
        <v>0</v>
      </c>
      <c r="F430" s="443">
        <f>'C'!E22</f>
        <v>0</v>
      </c>
      <c r="G430" s="443">
        <f>'C'!F22</f>
        <v>0</v>
      </c>
      <c r="H430" s="443">
        <f>'C'!G22</f>
        <v>0</v>
      </c>
      <c r="I430" s="443">
        <f>'C'!H22</f>
        <v>0</v>
      </c>
      <c r="J430" s="443">
        <f>'C'!I22</f>
        <v>0</v>
      </c>
      <c r="K430" s="443">
        <f>'C'!J22</f>
        <v>0</v>
      </c>
      <c r="L430" s="443">
        <f>'C'!K22</f>
        <v>0</v>
      </c>
      <c r="M430" s="443">
        <f>'C'!L22</f>
        <v>0</v>
      </c>
      <c r="N430" s="443">
        <f>'C'!M22</f>
        <v>0</v>
      </c>
      <c r="O430" s="443">
        <f>'C'!N22</f>
        <v>0</v>
      </c>
      <c r="P430" s="443">
        <f>'C'!O22</f>
        <v>0</v>
      </c>
      <c r="Q430" s="677">
        <f>SUM(E430:P430)</f>
        <v>0</v>
      </c>
    </row>
    <row r="431" spans="1:19" x14ac:dyDescent="0.2">
      <c r="A431" s="280">
        <f>A430+1</f>
        <v>24</v>
      </c>
      <c r="B431" s="280"/>
      <c r="C431" s="282" t="s">
        <v>209</v>
      </c>
      <c r="D431" s="609">
        <f>Input!C17</f>
        <v>3.2636000000000003</v>
      </c>
      <c r="E431" s="672">
        <f t="shared" ref="E431:P431" si="174">ROUND(E430*$D$431,2)</f>
        <v>0</v>
      </c>
      <c r="F431" s="672">
        <f t="shared" si="174"/>
        <v>0</v>
      </c>
      <c r="G431" s="672">
        <f t="shared" si="174"/>
        <v>0</v>
      </c>
      <c r="H431" s="672">
        <f t="shared" si="174"/>
        <v>0</v>
      </c>
      <c r="I431" s="672">
        <f t="shared" si="174"/>
        <v>0</v>
      </c>
      <c r="J431" s="672">
        <f t="shared" si="174"/>
        <v>0</v>
      </c>
      <c r="K431" s="672">
        <f t="shared" si="174"/>
        <v>0</v>
      </c>
      <c r="L431" s="672">
        <f t="shared" si="174"/>
        <v>0</v>
      </c>
      <c r="M431" s="672">
        <f t="shared" si="174"/>
        <v>0</v>
      </c>
      <c r="N431" s="672">
        <f t="shared" si="174"/>
        <v>0</v>
      </c>
      <c r="O431" s="672">
        <f t="shared" si="174"/>
        <v>0</v>
      </c>
      <c r="P431" s="672">
        <f t="shared" si="174"/>
        <v>0</v>
      </c>
      <c r="Q431" s="672">
        <f>SUM(E431:P431)</f>
        <v>0</v>
      </c>
    </row>
    <row r="432" spans="1:19" x14ac:dyDescent="0.2">
      <c r="A432" s="280"/>
      <c r="B432" s="280"/>
      <c r="C432" s="280"/>
      <c r="E432" s="280"/>
      <c r="F432" s="438"/>
      <c r="G432" s="439"/>
      <c r="H432" s="438"/>
      <c r="I432" s="440"/>
      <c r="J432" s="438"/>
      <c r="K432" s="438"/>
      <c r="L432" s="438"/>
      <c r="M432" s="438"/>
      <c r="N432" s="438"/>
      <c r="O432" s="438"/>
      <c r="P432" s="438"/>
      <c r="Q432" s="678"/>
    </row>
    <row r="433" spans="1:17" x14ac:dyDescent="0.2">
      <c r="A433" s="280">
        <f>A431+1</f>
        <v>25</v>
      </c>
      <c r="B433" s="280"/>
      <c r="C433" s="280" t="s">
        <v>201</v>
      </c>
      <c r="E433" s="672">
        <f t="shared" ref="E433:O433" si="175">E428+E431</f>
        <v>0</v>
      </c>
      <c r="F433" s="672">
        <f t="shared" si="175"/>
        <v>0</v>
      </c>
      <c r="G433" s="672">
        <f t="shared" si="175"/>
        <v>0</v>
      </c>
      <c r="H433" s="672">
        <f t="shared" si="175"/>
        <v>0</v>
      </c>
      <c r="I433" s="672">
        <f t="shared" si="175"/>
        <v>0</v>
      </c>
      <c r="J433" s="672">
        <f t="shared" si="175"/>
        <v>0</v>
      </c>
      <c r="K433" s="672">
        <f t="shared" si="175"/>
        <v>0</v>
      </c>
      <c r="L433" s="672">
        <f t="shared" si="175"/>
        <v>0</v>
      </c>
      <c r="M433" s="672">
        <f t="shared" si="175"/>
        <v>0</v>
      </c>
      <c r="N433" s="672">
        <f t="shared" si="175"/>
        <v>0</v>
      </c>
      <c r="O433" s="672">
        <f t="shared" si="175"/>
        <v>0</v>
      </c>
      <c r="P433" s="672">
        <f>P428+P431</f>
        <v>0</v>
      </c>
      <c r="Q433" s="672">
        <f>SUM(E433:P433)</f>
        <v>0</v>
      </c>
    </row>
    <row r="434" spans="1:17" x14ac:dyDescent="0.2">
      <c r="A434" s="280"/>
      <c r="B434" s="280"/>
      <c r="C434" s="280"/>
      <c r="E434" s="454"/>
      <c r="F434" s="454"/>
      <c r="G434" s="454"/>
      <c r="H434" s="454"/>
      <c r="I434" s="454"/>
      <c r="J434" s="454"/>
      <c r="K434" s="454"/>
      <c r="L434" s="454"/>
      <c r="M434" s="454"/>
      <c r="N434" s="454"/>
      <c r="O434" s="454"/>
      <c r="P434" s="454"/>
      <c r="Q434" s="454"/>
    </row>
    <row r="435" spans="1:17" x14ac:dyDescent="0.2">
      <c r="A435" s="280">
        <f>A433+1</f>
        <v>26</v>
      </c>
      <c r="B435" s="280"/>
      <c r="C435" s="280" t="s">
        <v>205</v>
      </c>
      <c r="D435" s="609">
        <f>EGC</f>
        <v>4.3869999999999996</v>
      </c>
      <c r="E435" s="679">
        <f t="shared" ref="E435:P435" si="176">ROUND(E430*$D$435,2)</f>
        <v>0</v>
      </c>
      <c r="F435" s="679">
        <f t="shared" si="176"/>
        <v>0</v>
      </c>
      <c r="G435" s="679">
        <f t="shared" si="176"/>
        <v>0</v>
      </c>
      <c r="H435" s="679">
        <f t="shared" si="176"/>
        <v>0</v>
      </c>
      <c r="I435" s="679">
        <f t="shared" si="176"/>
        <v>0</v>
      </c>
      <c r="J435" s="679">
        <f t="shared" si="176"/>
        <v>0</v>
      </c>
      <c r="K435" s="679">
        <f t="shared" si="176"/>
        <v>0</v>
      </c>
      <c r="L435" s="679">
        <f t="shared" si="176"/>
        <v>0</v>
      </c>
      <c r="M435" s="679">
        <f t="shared" si="176"/>
        <v>0</v>
      </c>
      <c r="N435" s="679">
        <f t="shared" si="176"/>
        <v>0</v>
      </c>
      <c r="O435" s="679">
        <f t="shared" si="176"/>
        <v>0</v>
      </c>
      <c r="P435" s="679">
        <f t="shared" si="176"/>
        <v>0</v>
      </c>
      <c r="Q435" s="679">
        <f>SUM(E435:P435)</f>
        <v>0</v>
      </c>
    </row>
    <row r="436" spans="1:17" x14ac:dyDescent="0.2">
      <c r="A436" s="280"/>
      <c r="B436" s="280"/>
      <c r="C436" s="280"/>
      <c r="D436" s="282"/>
      <c r="E436" s="454"/>
      <c r="F436" s="454"/>
      <c r="G436" s="454"/>
      <c r="H436" s="454"/>
      <c r="I436" s="454"/>
      <c r="J436" s="454"/>
      <c r="K436" s="454"/>
      <c r="L436" s="454"/>
      <c r="M436" s="454"/>
      <c r="N436" s="454"/>
      <c r="O436" s="454"/>
      <c r="P436" s="454"/>
      <c r="Q436" s="454"/>
    </row>
    <row r="437" spans="1:17" ht="10.5" thickBot="1" x14ac:dyDescent="0.25">
      <c r="A437" s="433">
        <f>A435+1</f>
        <v>27</v>
      </c>
      <c r="B437" s="433"/>
      <c r="C437" s="433" t="s">
        <v>202</v>
      </c>
      <c r="D437" s="770"/>
      <c r="E437" s="675">
        <f t="shared" ref="E437:O437" si="177">E433+E435</f>
        <v>0</v>
      </c>
      <c r="F437" s="675">
        <f t="shared" si="177"/>
        <v>0</v>
      </c>
      <c r="G437" s="675">
        <f t="shared" si="177"/>
        <v>0</v>
      </c>
      <c r="H437" s="675">
        <f t="shared" si="177"/>
        <v>0</v>
      </c>
      <c r="I437" s="675">
        <f t="shared" si="177"/>
        <v>0</v>
      </c>
      <c r="J437" s="675">
        <f t="shared" si="177"/>
        <v>0</v>
      </c>
      <c r="K437" s="675">
        <f t="shared" si="177"/>
        <v>0</v>
      </c>
      <c r="L437" s="675">
        <f t="shared" si="177"/>
        <v>0</v>
      </c>
      <c r="M437" s="675">
        <f t="shared" si="177"/>
        <v>0</v>
      </c>
      <c r="N437" s="675">
        <f t="shared" si="177"/>
        <v>0</v>
      </c>
      <c r="O437" s="675">
        <f t="shared" si="177"/>
        <v>0</v>
      </c>
      <c r="P437" s="675">
        <f>P433+P435</f>
        <v>0</v>
      </c>
      <c r="Q437" s="675">
        <f>SUM(E437:P437)</f>
        <v>0</v>
      </c>
    </row>
    <row r="438" spans="1:17" ht="10.5" thickTop="1" x14ac:dyDescent="0.2">
      <c r="E438" s="430"/>
      <c r="F438" s="430"/>
      <c r="G438" s="430"/>
      <c r="H438" s="430"/>
      <c r="I438" s="430"/>
      <c r="J438" s="430"/>
      <c r="K438" s="430"/>
      <c r="L438" s="430"/>
      <c r="M438" s="430"/>
      <c r="N438" s="430"/>
      <c r="O438" s="430"/>
      <c r="P438" s="430"/>
      <c r="Q438" s="430"/>
    </row>
    <row r="439" spans="1:17" x14ac:dyDescent="0.2">
      <c r="E439" s="430"/>
      <c r="F439" s="430"/>
      <c r="G439" s="430"/>
      <c r="H439" s="430"/>
      <c r="I439" s="430"/>
      <c r="J439" s="430"/>
      <c r="K439" s="430"/>
      <c r="L439" s="430"/>
      <c r="M439" s="430"/>
      <c r="N439" s="430"/>
      <c r="O439" s="430"/>
      <c r="P439" s="430"/>
      <c r="Q439" s="430"/>
    </row>
    <row r="440" spans="1:17" x14ac:dyDescent="0.2">
      <c r="A440" s="216" t="str">
        <f>$A$270</f>
        <v>[1] Reflects Normalized Volumes.</v>
      </c>
    </row>
    <row r="441" spans="1:17" x14ac:dyDescent="0.2">
      <c r="A441" s="216" t="str">
        <f>"[2] Reflects Gas Cost Adjustment Rate" &amp;CONCATENATE(" as of ",EGCDATE)&amp;"."</f>
        <v>[2] Reflects Gas Cost Adjustment Rate as of March 1, 2021.</v>
      </c>
    </row>
    <row r="442" spans="1:17" ht="10.5" x14ac:dyDescent="0.25">
      <c r="A442" s="817" t="str">
        <f>CONAME</f>
        <v>Columbia Gas of Kentucky, Inc.</v>
      </c>
      <c r="B442" s="817"/>
      <c r="C442" s="817"/>
      <c r="D442" s="817"/>
      <c r="E442" s="817"/>
      <c r="F442" s="817"/>
      <c r="G442" s="817"/>
      <c r="H442" s="817"/>
      <c r="I442" s="817"/>
      <c r="J442" s="817"/>
      <c r="K442" s="817"/>
      <c r="L442" s="817"/>
      <c r="M442" s="817"/>
      <c r="N442" s="817"/>
      <c r="O442" s="817"/>
      <c r="P442" s="817"/>
      <c r="Q442" s="817"/>
    </row>
    <row r="443" spans="1:17" ht="10.5" x14ac:dyDescent="0.25">
      <c r="A443" s="800" t="str">
        <f>case</f>
        <v>Case No. 2021-00183</v>
      </c>
      <c r="B443" s="800"/>
      <c r="C443" s="800"/>
      <c r="D443" s="800"/>
      <c r="E443" s="800"/>
      <c r="F443" s="800"/>
      <c r="G443" s="800"/>
      <c r="H443" s="800"/>
      <c r="I443" s="800"/>
      <c r="J443" s="800"/>
      <c r="K443" s="800"/>
      <c r="L443" s="800"/>
      <c r="M443" s="800"/>
      <c r="N443" s="800"/>
      <c r="O443" s="800"/>
      <c r="P443" s="800"/>
      <c r="Q443" s="800"/>
    </row>
    <row r="444" spans="1:17" ht="10.5" x14ac:dyDescent="0.25">
      <c r="A444" s="815" t="s">
        <v>414</v>
      </c>
      <c r="B444" s="815"/>
      <c r="C444" s="815"/>
      <c r="D444" s="815"/>
      <c r="E444" s="815"/>
      <c r="F444" s="815"/>
      <c r="G444" s="815"/>
      <c r="H444" s="815"/>
      <c r="I444" s="815"/>
      <c r="J444" s="815"/>
      <c r="K444" s="815"/>
      <c r="L444" s="815"/>
      <c r="M444" s="815"/>
      <c r="N444" s="815"/>
      <c r="O444" s="815"/>
      <c r="P444" s="815"/>
      <c r="Q444" s="815"/>
    </row>
    <row r="445" spans="1:17" ht="10.5" x14ac:dyDescent="0.25">
      <c r="A445" s="817" t="str">
        <f>TYDESC</f>
        <v>For the 12 Months Ended December 31, 2022</v>
      </c>
      <c r="B445" s="817"/>
      <c r="C445" s="817"/>
      <c r="D445" s="817"/>
      <c r="E445" s="817"/>
      <c r="F445" s="817"/>
      <c r="G445" s="817"/>
      <c r="H445" s="817"/>
      <c r="I445" s="817"/>
      <c r="J445" s="817"/>
      <c r="K445" s="817"/>
      <c r="L445" s="817"/>
      <c r="M445" s="817"/>
      <c r="N445" s="817"/>
      <c r="O445" s="817"/>
      <c r="P445" s="817"/>
      <c r="Q445" s="817"/>
    </row>
    <row r="446" spans="1:17" ht="10.5" x14ac:dyDescent="0.25">
      <c r="A446" s="814" t="s">
        <v>39</v>
      </c>
      <c r="B446" s="814"/>
      <c r="C446" s="814"/>
      <c r="D446" s="814"/>
      <c r="E446" s="814"/>
      <c r="F446" s="814"/>
      <c r="G446" s="814"/>
      <c r="H446" s="814"/>
      <c r="I446" s="814"/>
      <c r="J446" s="814"/>
      <c r="K446" s="814"/>
      <c r="L446" s="814"/>
      <c r="M446" s="814"/>
      <c r="N446" s="814"/>
      <c r="O446" s="814"/>
      <c r="P446" s="814"/>
      <c r="Q446" s="814"/>
    </row>
    <row r="447" spans="1:17" ht="10.5" x14ac:dyDescent="0.25">
      <c r="A447" s="245" t="str">
        <f>$A$52</f>
        <v>Data: __ Base Period _X_ Forecasted Period</v>
      </c>
    </row>
    <row r="448" spans="1:17" ht="10.5" x14ac:dyDescent="0.25">
      <c r="A448" s="245" t="str">
        <f>$A$53</f>
        <v>Type of Filing: X Original _ Update _ Revised</v>
      </c>
      <c r="Q448" s="583" t="str">
        <f>$Q$53</f>
        <v>Schedule M-2.2</v>
      </c>
    </row>
    <row r="449" spans="1:17" ht="10.5" x14ac:dyDescent="0.25">
      <c r="A449" s="245" t="str">
        <f>$A$54</f>
        <v>Work Paper Reference No(s):</v>
      </c>
      <c r="Q449" s="583" t="s">
        <v>434</v>
      </c>
    </row>
    <row r="450" spans="1:17" ht="10.5" x14ac:dyDescent="0.25">
      <c r="A450" s="373" t="str">
        <f>$A$55</f>
        <v>12 Months Forecasted</v>
      </c>
      <c r="Q450" s="583" t="str">
        <f>Witness</f>
        <v>Witness:  Judith L. Siegler</v>
      </c>
    </row>
    <row r="451" spans="1:17" ht="10.5" x14ac:dyDescent="0.25">
      <c r="A451" s="816" t="s">
        <v>191</v>
      </c>
      <c r="B451" s="816"/>
      <c r="C451" s="816"/>
      <c r="D451" s="816"/>
      <c r="E451" s="816"/>
      <c r="F451" s="816"/>
      <c r="G451" s="816"/>
      <c r="H451" s="816"/>
      <c r="I451" s="816"/>
      <c r="J451" s="816"/>
      <c r="K451" s="816"/>
      <c r="L451" s="816"/>
      <c r="M451" s="816"/>
      <c r="N451" s="816"/>
      <c r="O451" s="816"/>
      <c r="P451" s="816"/>
      <c r="Q451" s="816"/>
    </row>
    <row r="452" spans="1:17" ht="10.5" x14ac:dyDescent="0.25">
      <c r="A452" s="392"/>
      <c r="B452" s="280"/>
      <c r="C452" s="280"/>
      <c r="D452" s="282"/>
      <c r="E452" s="280"/>
      <c r="F452" s="438"/>
      <c r="G452" s="439"/>
      <c r="H452" s="438"/>
      <c r="I452" s="440"/>
      <c r="J452" s="438"/>
      <c r="K452" s="438"/>
      <c r="L452" s="438"/>
      <c r="M452" s="438"/>
      <c r="N452" s="438"/>
      <c r="O452" s="438"/>
      <c r="P452" s="438"/>
      <c r="Q452" s="280"/>
    </row>
    <row r="453" spans="1:17" ht="10.5" x14ac:dyDescent="0.25">
      <c r="A453" s="727" t="s">
        <v>1</v>
      </c>
      <c r="B453" s="727" t="s">
        <v>0</v>
      </c>
      <c r="C453" s="727" t="s">
        <v>41</v>
      </c>
      <c r="D453" s="731" t="s">
        <v>47</v>
      </c>
      <c r="E453" s="727"/>
      <c r="F453" s="584"/>
      <c r="G453" s="587"/>
      <c r="H453" s="584"/>
      <c r="I453" s="730"/>
      <c r="J453" s="584"/>
      <c r="K453" s="584"/>
      <c r="L453" s="584"/>
      <c r="M453" s="584"/>
      <c r="N453" s="584"/>
      <c r="O453" s="584"/>
      <c r="P453" s="584"/>
      <c r="Q453" s="732"/>
    </row>
    <row r="454" spans="1:17" ht="10.5" x14ac:dyDescent="0.25">
      <c r="A454" s="263" t="s">
        <v>3</v>
      </c>
      <c r="B454" s="263" t="s">
        <v>40</v>
      </c>
      <c r="C454" s="263" t="s">
        <v>4</v>
      </c>
      <c r="D454" s="756" t="s">
        <v>48</v>
      </c>
      <c r="E454" s="380" t="str">
        <f>B!$D$11</f>
        <v>Jan-22</v>
      </c>
      <c r="F454" s="380" t="str">
        <f>B!$E$11</f>
        <v>Feb-22</v>
      </c>
      <c r="G454" s="380" t="str">
        <f>B!$F$11</f>
        <v>Mar-22</v>
      </c>
      <c r="H454" s="380" t="str">
        <f>B!$G$11</f>
        <v>Apr-22</v>
      </c>
      <c r="I454" s="380" t="str">
        <f>B!$H$11</f>
        <v>May-22</v>
      </c>
      <c r="J454" s="380" t="str">
        <f>B!$I$11</f>
        <v>Jun-22</v>
      </c>
      <c r="K454" s="380" t="str">
        <f>B!$J$11</f>
        <v>Jul-22</v>
      </c>
      <c r="L454" s="380" t="str">
        <f>B!$K$11</f>
        <v>Aug-22</v>
      </c>
      <c r="M454" s="380" t="str">
        <f>B!$L$11</f>
        <v>Sep-22</v>
      </c>
      <c r="N454" s="380" t="str">
        <f>B!$M$11</f>
        <v>Oct-22</v>
      </c>
      <c r="O454" s="380" t="str">
        <f>B!$N$11</f>
        <v>Nov-22</v>
      </c>
      <c r="P454" s="380" t="str">
        <f>B!$O$11</f>
        <v>Dec-22</v>
      </c>
      <c r="Q454" s="380" t="s">
        <v>9</v>
      </c>
    </row>
    <row r="455" spans="1:17" ht="10.5" x14ac:dyDescent="0.25">
      <c r="A455" s="727"/>
      <c r="B455" s="732" t="s">
        <v>42</v>
      </c>
      <c r="C455" s="732" t="s">
        <v>43</v>
      </c>
      <c r="D455" s="757" t="s">
        <v>45</v>
      </c>
      <c r="E455" s="586" t="s">
        <v>46</v>
      </c>
      <c r="F455" s="586" t="s">
        <v>49</v>
      </c>
      <c r="G455" s="586" t="s">
        <v>50</v>
      </c>
      <c r="H455" s="586" t="s">
        <v>51</v>
      </c>
      <c r="I455" s="586" t="s">
        <v>52</v>
      </c>
      <c r="J455" s="586" t="s">
        <v>53</v>
      </c>
      <c r="K455" s="588" t="s">
        <v>54</v>
      </c>
      <c r="L455" s="588" t="s">
        <v>55</v>
      </c>
      <c r="M455" s="588" t="s">
        <v>56</v>
      </c>
      <c r="N455" s="588" t="s">
        <v>57</v>
      </c>
      <c r="O455" s="588" t="s">
        <v>58</v>
      </c>
      <c r="P455" s="588" t="s">
        <v>59</v>
      </c>
      <c r="Q455" s="588" t="s">
        <v>200</v>
      </c>
    </row>
    <row r="456" spans="1:17" ht="10.5" x14ac:dyDescent="0.25">
      <c r="E456" s="732"/>
      <c r="F456" s="588"/>
      <c r="G456" s="585"/>
      <c r="H456" s="588"/>
      <c r="I456" s="586"/>
      <c r="J456" s="588"/>
      <c r="K456" s="588"/>
      <c r="L456" s="588"/>
      <c r="M456" s="588"/>
      <c r="N456" s="588"/>
      <c r="O456" s="588"/>
      <c r="P456" s="588"/>
      <c r="Q456" s="732"/>
    </row>
    <row r="457" spans="1:17" x14ac:dyDescent="0.2">
      <c r="A457" s="216">
        <v>1</v>
      </c>
      <c r="B457" s="216" t="str">
        <f>B79</f>
        <v>G1R</v>
      </c>
      <c r="C457" s="216" t="str">
        <f>C79</f>
        <v>LG&amp;E Residential</v>
      </c>
    </row>
    <row r="459" spans="1:17" ht="10.5" x14ac:dyDescent="0.25">
      <c r="A459" s="216">
        <f>A457+1</f>
        <v>2</v>
      </c>
      <c r="C459" s="245" t="s">
        <v>109</v>
      </c>
    </row>
    <row r="461" spans="1:17" x14ac:dyDescent="0.2">
      <c r="A461" s="216">
        <f>A459+1</f>
        <v>3</v>
      </c>
      <c r="C461" s="216" t="s">
        <v>199</v>
      </c>
      <c r="E461" s="421">
        <f>B!D27</f>
        <v>4</v>
      </c>
      <c r="F461" s="421">
        <f>B!E27</f>
        <v>4</v>
      </c>
      <c r="G461" s="421">
        <f>B!F27</f>
        <v>4</v>
      </c>
      <c r="H461" s="421">
        <f>B!G27</f>
        <v>4</v>
      </c>
      <c r="I461" s="421">
        <f>B!H27</f>
        <v>4</v>
      </c>
      <c r="J461" s="421">
        <f>B!I27</f>
        <v>4</v>
      </c>
      <c r="K461" s="421">
        <f>B!J27</f>
        <v>4</v>
      </c>
      <c r="L461" s="421">
        <f>B!K27</f>
        <v>4</v>
      </c>
      <c r="M461" s="421">
        <f>B!L27</f>
        <v>4</v>
      </c>
      <c r="N461" s="421">
        <f>B!M27</f>
        <v>4</v>
      </c>
      <c r="O461" s="421">
        <f>B!N27</f>
        <v>4</v>
      </c>
      <c r="P461" s="421">
        <f>B!O27</f>
        <v>4</v>
      </c>
      <c r="Q461" s="453">
        <f>SUM(E461:P461)</f>
        <v>48</v>
      </c>
    </row>
    <row r="462" spans="1:17" x14ac:dyDescent="0.2">
      <c r="A462" s="216">
        <f>A461+1</f>
        <v>4</v>
      </c>
      <c r="C462" s="216" t="s">
        <v>207</v>
      </c>
      <c r="D462" s="608">
        <f>Input!H18</f>
        <v>22.32</v>
      </c>
      <c r="E462" s="419">
        <f t="shared" ref="E462:P462" si="178">ROUND(E461*$D$462,2)</f>
        <v>89.28</v>
      </c>
      <c r="F462" s="419">
        <f t="shared" si="178"/>
        <v>89.28</v>
      </c>
      <c r="G462" s="419">
        <f t="shared" si="178"/>
        <v>89.28</v>
      </c>
      <c r="H462" s="419">
        <f t="shared" si="178"/>
        <v>89.28</v>
      </c>
      <c r="I462" s="419">
        <f t="shared" si="178"/>
        <v>89.28</v>
      </c>
      <c r="J462" s="419">
        <f t="shared" si="178"/>
        <v>89.28</v>
      </c>
      <c r="K462" s="419">
        <f t="shared" si="178"/>
        <v>89.28</v>
      </c>
      <c r="L462" s="419">
        <f t="shared" si="178"/>
        <v>89.28</v>
      </c>
      <c r="M462" s="419">
        <f t="shared" si="178"/>
        <v>89.28</v>
      </c>
      <c r="N462" s="419">
        <f t="shared" si="178"/>
        <v>89.28</v>
      </c>
      <c r="O462" s="419">
        <f t="shared" si="178"/>
        <v>89.28</v>
      </c>
      <c r="P462" s="419">
        <f t="shared" si="178"/>
        <v>89.28</v>
      </c>
      <c r="Q462" s="419">
        <f>SUM(E462:P462)</f>
        <v>1071.3599999999999</v>
      </c>
    </row>
    <row r="464" spans="1:17" x14ac:dyDescent="0.2">
      <c r="A464" s="216">
        <f>A462+1</f>
        <v>5</v>
      </c>
      <c r="C464" s="216" t="s">
        <v>206</v>
      </c>
      <c r="E464" s="424">
        <f>'C'!D27</f>
        <v>90.7</v>
      </c>
      <c r="F464" s="424">
        <f>'C'!E27</f>
        <v>99.9</v>
      </c>
      <c r="G464" s="424">
        <f>'C'!F27</f>
        <v>67.7</v>
      </c>
      <c r="H464" s="424">
        <f>'C'!G27</f>
        <v>41.7</v>
      </c>
      <c r="I464" s="424">
        <f>'C'!H27</f>
        <v>15.5</v>
      </c>
      <c r="J464" s="424">
        <f>'C'!I27</f>
        <v>6.8</v>
      </c>
      <c r="K464" s="424">
        <f>'C'!J27</f>
        <v>2</v>
      </c>
      <c r="L464" s="424">
        <f>'C'!K27</f>
        <v>2.2000000000000002</v>
      </c>
      <c r="M464" s="424">
        <f>'C'!L27</f>
        <v>3.5</v>
      </c>
      <c r="N464" s="424">
        <f>'C'!M27</f>
        <v>14.4</v>
      </c>
      <c r="O464" s="424">
        <f>'C'!N27</f>
        <v>39.299999999999997</v>
      </c>
      <c r="P464" s="424">
        <f>'C'!O27</f>
        <v>68.7</v>
      </c>
      <c r="Q464" s="589">
        <f>SUM(E464:P464)</f>
        <v>452.4</v>
      </c>
    </row>
    <row r="465" spans="1:17" x14ac:dyDescent="0.2">
      <c r="A465" s="216">
        <f>A464+1</f>
        <v>6</v>
      </c>
      <c r="C465" s="267" t="s">
        <v>209</v>
      </c>
      <c r="D465" s="609">
        <f>Input!C18</f>
        <v>3.9009999999999998</v>
      </c>
      <c r="E465" s="419">
        <f t="shared" ref="E465:O465" si="179">ROUND(E464*$D$465,2)</f>
        <v>353.82</v>
      </c>
      <c r="F465" s="419">
        <f t="shared" si="179"/>
        <v>389.71</v>
      </c>
      <c r="G465" s="419">
        <f t="shared" si="179"/>
        <v>264.10000000000002</v>
      </c>
      <c r="H465" s="419">
        <f t="shared" si="179"/>
        <v>162.66999999999999</v>
      </c>
      <c r="I465" s="419">
        <f t="shared" si="179"/>
        <v>60.47</v>
      </c>
      <c r="J465" s="419">
        <f t="shared" si="179"/>
        <v>26.53</v>
      </c>
      <c r="K465" s="419">
        <f t="shared" si="179"/>
        <v>7.8</v>
      </c>
      <c r="L465" s="419">
        <f t="shared" si="179"/>
        <v>8.58</v>
      </c>
      <c r="M465" s="419">
        <f t="shared" si="179"/>
        <v>13.65</v>
      </c>
      <c r="N465" s="419">
        <f t="shared" si="179"/>
        <v>56.17</v>
      </c>
      <c r="O465" s="419">
        <f t="shared" si="179"/>
        <v>153.31</v>
      </c>
      <c r="P465" s="419">
        <f>ROUND(P464*$D$465,2)</f>
        <v>268</v>
      </c>
      <c r="Q465" s="419">
        <f>SUM(E465:P465)</f>
        <v>1764.81</v>
      </c>
    </row>
    <row r="466" spans="1:17" x14ac:dyDescent="0.2">
      <c r="A466" s="216">
        <f t="shared" ref="A466:A467" si="180">A465+1</f>
        <v>7</v>
      </c>
      <c r="E466" s="417"/>
      <c r="F466" s="417"/>
      <c r="G466" s="417"/>
      <c r="H466" s="417"/>
      <c r="I466" s="417"/>
      <c r="J466" s="417"/>
      <c r="K466" s="417"/>
      <c r="L466" s="417"/>
      <c r="M466" s="417"/>
      <c r="N466" s="417"/>
      <c r="O466" s="417"/>
      <c r="P466" s="417"/>
      <c r="Q466" s="457"/>
    </row>
    <row r="467" spans="1:17" x14ac:dyDescent="0.2">
      <c r="A467" s="216">
        <f t="shared" si="180"/>
        <v>8</v>
      </c>
      <c r="B467" s="280"/>
      <c r="C467" s="280" t="s">
        <v>201</v>
      </c>
      <c r="E467" s="419">
        <f t="shared" ref="E467:O467" si="181">E462+E465</f>
        <v>443.1</v>
      </c>
      <c r="F467" s="419">
        <f t="shared" si="181"/>
        <v>478.99</v>
      </c>
      <c r="G467" s="419">
        <f t="shared" si="181"/>
        <v>353.38</v>
      </c>
      <c r="H467" s="419">
        <f t="shared" si="181"/>
        <v>251.95</v>
      </c>
      <c r="I467" s="419">
        <f t="shared" si="181"/>
        <v>149.75</v>
      </c>
      <c r="J467" s="419">
        <f t="shared" si="181"/>
        <v>115.81</v>
      </c>
      <c r="K467" s="419">
        <f t="shared" si="181"/>
        <v>97.08</v>
      </c>
      <c r="L467" s="419">
        <f t="shared" si="181"/>
        <v>97.86</v>
      </c>
      <c r="M467" s="419">
        <f t="shared" si="181"/>
        <v>102.93</v>
      </c>
      <c r="N467" s="419">
        <f t="shared" si="181"/>
        <v>145.44999999999999</v>
      </c>
      <c r="O467" s="419">
        <f t="shared" si="181"/>
        <v>242.59</v>
      </c>
      <c r="P467" s="419">
        <f>P462+P465</f>
        <v>357.28</v>
      </c>
      <c r="Q467" s="419">
        <f>SUM(E467:P467)</f>
        <v>2836.17</v>
      </c>
    </row>
    <row r="468" spans="1:17" x14ac:dyDescent="0.2">
      <c r="E468" s="417"/>
      <c r="F468" s="417"/>
      <c r="G468" s="417"/>
      <c r="H468" s="417"/>
      <c r="I468" s="417"/>
      <c r="J468" s="417"/>
      <c r="K468" s="417"/>
      <c r="L468" s="417"/>
      <c r="M468" s="417"/>
      <c r="N468" s="417"/>
      <c r="O468" s="417"/>
      <c r="P468" s="417"/>
      <c r="Q468" s="417"/>
    </row>
    <row r="469" spans="1:17" x14ac:dyDescent="0.2">
      <c r="A469" s="216">
        <f>A467+1</f>
        <v>9</v>
      </c>
      <c r="C469" s="216" t="s">
        <v>205</v>
      </c>
      <c r="D469" s="609">
        <f>EGC</f>
        <v>4.3869999999999996</v>
      </c>
      <c r="E469" s="419">
        <f t="shared" ref="E469:O469" si="182">ROUND(E464*$D$469,2)</f>
        <v>397.9</v>
      </c>
      <c r="F469" s="419">
        <f t="shared" si="182"/>
        <v>438.26</v>
      </c>
      <c r="G469" s="419">
        <f t="shared" si="182"/>
        <v>297</v>
      </c>
      <c r="H469" s="419">
        <f t="shared" si="182"/>
        <v>182.94</v>
      </c>
      <c r="I469" s="419">
        <f t="shared" si="182"/>
        <v>68</v>
      </c>
      <c r="J469" s="419">
        <f t="shared" si="182"/>
        <v>29.83</v>
      </c>
      <c r="K469" s="419">
        <f t="shared" si="182"/>
        <v>8.77</v>
      </c>
      <c r="L469" s="419">
        <f t="shared" si="182"/>
        <v>9.65</v>
      </c>
      <c r="M469" s="419">
        <f t="shared" si="182"/>
        <v>15.35</v>
      </c>
      <c r="N469" s="419">
        <f t="shared" si="182"/>
        <v>63.17</v>
      </c>
      <c r="O469" s="419">
        <f t="shared" si="182"/>
        <v>172.41</v>
      </c>
      <c r="P469" s="419">
        <f>ROUND(P464*$D$469,2)</f>
        <v>301.39</v>
      </c>
      <c r="Q469" s="419">
        <f>SUM(E469:P469)</f>
        <v>1984.67</v>
      </c>
    </row>
    <row r="470" spans="1:17" x14ac:dyDescent="0.2">
      <c r="E470" s="417"/>
      <c r="F470" s="417"/>
      <c r="G470" s="417"/>
      <c r="H470" s="417"/>
      <c r="I470" s="417"/>
      <c r="J470" s="417"/>
      <c r="K470" s="417"/>
      <c r="L470" s="417"/>
      <c r="M470" s="417"/>
      <c r="N470" s="417"/>
      <c r="O470" s="417"/>
      <c r="P470" s="417"/>
      <c r="Q470" s="417"/>
    </row>
    <row r="471" spans="1:17" ht="10.5" thickBot="1" x14ac:dyDescent="0.25">
      <c r="A471" s="433">
        <f>A469+1</f>
        <v>10</v>
      </c>
      <c r="B471" s="433"/>
      <c r="C471" s="433" t="s">
        <v>202</v>
      </c>
      <c r="D471" s="770"/>
      <c r="E471" s="675">
        <f>E467+E469</f>
        <v>841</v>
      </c>
      <c r="F471" s="675">
        <f t="shared" ref="F471:O471" si="183">F467+F469</f>
        <v>917.25</v>
      </c>
      <c r="G471" s="675">
        <f t="shared" si="183"/>
        <v>650.38</v>
      </c>
      <c r="H471" s="675">
        <f t="shared" si="183"/>
        <v>434.89</v>
      </c>
      <c r="I471" s="675">
        <f t="shared" si="183"/>
        <v>217.75</v>
      </c>
      <c r="J471" s="675">
        <f t="shared" si="183"/>
        <v>145.63999999999999</v>
      </c>
      <c r="K471" s="675">
        <f t="shared" si="183"/>
        <v>105.85</v>
      </c>
      <c r="L471" s="675">
        <f t="shared" si="183"/>
        <v>107.51</v>
      </c>
      <c r="M471" s="675">
        <f t="shared" si="183"/>
        <v>118.28</v>
      </c>
      <c r="N471" s="675">
        <f t="shared" si="183"/>
        <v>208.62</v>
      </c>
      <c r="O471" s="675">
        <f t="shared" si="183"/>
        <v>415</v>
      </c>
      <c r="P471" s="675">
        <f>P467+P469</f>
        <v>658.67</v>
      </c>
      <c r="Q471" s="675">
        <f>SUM(E471:P471)</f>
        <v>4820.84</v>
      </c>
    </row>
    <row r="472" spans="1:17" ht="10.5" thickTop="1" x14ac:dyDescent="0.2">
      <c r="A472" s="280"/>
      <c r="B472" s="280"/>
      <c r="C472" s="280"/>
      <c r="D472" s="282"/>
      <c r="E472" s="489"/>
      <c r="F472" s="489"/>
      <c r="G472" s="489"/>
      <c r="H472" s="489"/>
      <c r="I472" s="489"/>
      <c r="J472" s="489"/>
      <c r="K472" s="489"/>
      <c r="L472" s="489"/>
      <c r="M472" s="489"/>
      <c r="N472" s="489"/>
      <c r="O472" s="489"/>
      <c r="P472" s="489"/>
      <c r="Q472" s="590"/>
    </row>
    <row r="473" spans="1:17" x14ac:dyDescent="0.2">
      <c r="A473" s="280"/>
      <c r="B473" s="280"/>
      <c r="C473" s="280"/>
      <c r="D473" s="282"/>
      <c r="E473" s="489"/>
      <c r="F473" s="489"/>
      <c r="G473" s="489"/>
      <c r="H473" s="489"/>
      <c r="I473" s="489"/>
      <c r="J473" s="489"/>
      <c r="K473" s="489"/>
      <c r="L473" s="489"/>
      <c r="M473" s="489"/>
      <c r="N473" s="489"/>
      <c r="O473" s="489"/>
      <c r="P473" s="489"/>
      <c r="Q473" s="590"/>
    </row>
    <row r="474" spans="1:17" x14ac:dyDescent="0.2">
      <c r="A474" s="216">
        <f>A471+1</f>
        <v>11</v>
      </c>
      <c r="B474" s="216" t="str">
        <f>B86</f>
        <v>IN3</v>
      </c>
      <c r="C474" s="216" t="str">
        <f>C86</f>
        <v>Inland Gas General Service - Residential</v>
      </c>
    </row>
    <row r="476" spans="1:17" ht="10.5" x14ac:dyDescent="0.25">
      <c r="A476" s="216">
        <f>A474+1</f>
        <v>12</v>
      </c>
      <c r="C476" s="245" t="s">
        <v>109</v>
      </c>
    </row>
    <row r="478" spans="1:17" x14ac:dyDescent="0.2">
      <c r="A478" s="216">
        <f>A476+1</f>
        <v>13</v>
      </c>
      <c r="C478" s="216" t="s">
        <v>199</v>
      </c>
      <c r="E478" s="421">
        <f>B!D32</f>
        <v>10</v>
      </c>
      <c r="F478" s="421">
        <f>B!E32</f>
        <v>10</v>
      </c>
      <c r="G478" s="421">
        <f>B!F32</f>
        <v>10</v>
      </c>
      <c r="H478" s="421">
        <f>B!G32</f>
        <v>10</v>
      </c>
      <c r="I478" s="421">
        <f>B!H32</f>
        <v>10</v>
      </c>
      <c r="J478" s="421">
        <f>B!I32</f>
        <v>10</v>
      </c>
      <c r="K478" s="421">
        <f>B!J32</f>
        <v>10</v>
      </c>
      <c r="L478" s="421">
        <f>B!K32</f>
        <v>10</v>
      </c>
      <c r="M478" s="421">
        <f>B!L32</f>
        <v>10</v>
      </c>
      <c r="N478" s="421">
        <f>B!M32</f>
        <v>10</v>
      </c>
      <c r="O478" s="421">
        <f>B!N32</f>
        <v>10</v>
      </c>
      <c r="P478" s="421">
        <f>B!O32</f>
        <v>10</v>
      </c>
      <c r="Q478" s="453">
        <f>SUM(E478:P478)</f>
        <v>120</v>
      </c>
    </row>
    <row r="479" spans="1:17" x14ac:dyDescent="0.2">
      <c r="A479" s="216">
        <f>A478+1</f>
        <v>14</v>
      </c>
      <c r="C479" s="216" t="s">
        <v>207</v>
      </c>
      <c r="D479" s="608">
        <f>Input!H19</f>
        <v>0</v>
      </c>
      <c r="E479" s="419">
        <f t="shared" ref="E479:P479" si="184">ROUND(E478*$D$479,2)</f>
        <v>0</v>
      </c>
      <c r="F479" s="419">
        <f t="shared" si="184"/>
        <v>0</v>
      </c>
      <c r="G479" s="419">
        <f t="shared" si="184"/>
        <v>0</v>
      </c>
      <c r="H479" s="419">
        <f t="shared" si="184"/>
        <v>0</v>
      </c>
      <c r="I479" s="419">
        <f t="shared" si="184"/>
        <v>0</v>
      </c>
      <c r="J479" s="419">
        <f t="shared" si="184"/>
        <v>0</v>
      </c>
      <c r="K479" s="419">
        <f t="shared" si="184"/>
        <v>0</v>
      </c>
      <c r="L479" s="419">
        <f t="shared" si="184"/>
        <v>0</v>
      </c>
      <c r="M479" s="419">
        <f t="shared" si="184"/>
        <v>0</v>
      </c>
      <c r="N479" s="419">
        <f t="shared" si="184"/>
        <v>0</v>
      </c>
      <c r="O479" s="419">
        <f t="shared" si="184"/>
        <v>0</v>
      </c>
      <c r="P479" s="419">
        <f t="shared" si="184"/>
        <v>0</v>
      </c>
      <c r="Q479" s="419">
        <f>SUM(E479:P479)</f>
        <v>0</v>
      </c>
    </row>
    <row r="481" spans="1:17" x14ac:dyDescent="0.2">
      <c r="A481" s="216">
        <f>A479+1</f>
        <v>15</v>
      </c>
      <c r="C481" s="267" t="s">
        <v>206</v>
      </c>
      <c r="E481" s="424">
        <f>'C'!D32</f>
        <v>277.89999999999998</v>
      </c>
      <c r="F481" s="424">
        <f>'C'!E32</f>
        <v>245</v>
      </c>
      <c r="G481" s="424">
        <f>'C'!F32</f>
        <v>198.6</v>
      </c>
      <c r="H481" s="424">
        <f>'C'!G32</f>
        <v>145.4</v>
      </c>
      <c r="I481" s="424">
        <f>'C'!H32</f>
        <v>58.8</v>
      </c>
      <c r="J481" s="424">
        <f>'C'!I32</f>
        <v>19.399999999999999</v>
      </c>
      <c r="K481" s="424">
        <f>'C'!J32</f>
        <v>11.6</v>
      </c>
      <c r="L481" s="424">
        <f>'C'!K32</f>
        <v>12.1</v>
      </c>
      <c r="M481" s="424">
        <f>'C'!L32</f>
        <v>15.1</v>
      </c>
      <c r="N481" s="424">
        <f>'C'!M32</f>
        <v>45.2</v>
      </c>
      <c r="O481" s="424">
        <f>'C'!N32</f>
        <v>118.1</v>
      </c>
      <c r="P481" s="424">
        <f>'C'!O32</f>
        <v>235.4</v>
      </c>
      <c r="Q481" s="589">
        <f>SUM(E481:P481)</f>
        <v>1382.6</v>
      </c>
    </row>
    <row r="482" spans="1:17" x14ac:dyDescent="0.2">
      <c r="A482" s="216">
        <f>A481+1</f>
        <v>16</v>
      </c>
      <c r="C482" s="216" t="s">
        <v>209</v>
      </c>
      <c r="D482" s="609">
        <f>Input!C19</f>
        <v>0.4</v>
      </c>
      <c r="E482" s="419">
        <f t="shared" ref="E482:P482" si="185">ROUND(E481*$D$482,2)</f>
        <v>111.16</v>
      </c>
      <c r="F482" s="419">
        <f t="shared" si="185"/>
        <v>98</v>
      </c>
      <c r="G482" s="419">
        <f t="shared" si="185"/>
        <v>79.44</v>
      </c>
      <c r="H482" s="419">
        <f t="shared" si="185"/>
        <v>58.16</v>
      </c>
      <c r="I482" s="419">
        <f t="shared" si="185"/>
        <v>23.52</v>
      </c>
      <c r="J482" s="419">
        <f t="shared" si="185"/>
        <v>7.76</v>
      </c>
      <c r="K482" s="419">
        <f t="shared" si="185"/>
        <v>4.6399999999999997</v>
      </c>
      <c r="L482" s="419">
        <f t="shared" si="185"/>
        <v>4.84</v>
      </c>
      <c r="M482" s="419">
        <f t="shared" si="185"/>
        <v>6.04</v>
      </c>
      <c r="N482" s="419">
        <f t="shared" si="185"/>
        <v>18.079999999999998</v>
      </c>
      <c r="O482" s="419">
        <f t="shared" si="185"/>
        <v>47.24</v>
      </c>
      <c r="P482" s="419">
        <f t="shared" si="185"/>
        <v>94.16</v>
      </c>
      <c r="Q482" s="419">
        <f>SUM(E482:P482)</f>
        <v>553.04</v>
      </c>
    </row>
    <row r="483" spans="1:17" x14ac:dyDescent="0.2">
      <c r="A483" s="216">
        <f t="shared" ref="A483:A484" si="186">A482+1</f>
        <v>17</v>
      </c>
      <c r="C483" s="767" t="s">
        <v>140</v>
      </c>
      <c r="D483" s="609">
        <f>Input!N19</f>
        <v>1.44E-2</v>
      </c>
      <c r="E483" s="419">
        <f>ROUND(E481*$D$483,2)</f>
        <v>4</v>
      </c>
      <c r="F483" s="419">
        <f t="shared" ref="F483:P483" si="187">ROUND(F481*$D$483,2)</f>
        <v>3.53</v>
      </c>
      <c r="G483" s="419">
        <f t="shared" si="187"/>
        <v>2.86</v>
      </c>
      <c r="H483" s="419">
        <f t="shared" si="187"/>
        <v>2.09</v>
      </c>
      <c r="I483" s="419">
        <f t="shared" si="187"/>
        <v>0.85</v>
      </c>
      <c r="J483" s="419">
        <f t="shared" si="187"/>
        <v>0.28000000000000003</v>
      </c>
      <c r="K483" s="419">
        <f t="shared" si="187"/>
        <v>0.17</v>
      </c>
      <c r="L483" s="419">
        <f t="shared" si="187"/>
        <v>0.17</v>
      </c>
      <c r="M483" s="419">
        <f t="shared" si="187"/>
        <v>0.22</v>
      </c>
      <c r="N483" s="419">
        <f t="shared" si="187"/>
        <v>0.65</v>
      </c>
      <c r="O483" s="419">
        <f t="shared" si="187"/>
        <v>1.7</v>
      </c>
      <c r="P483" s="419">
        <f t="shared" si="187"/>
        <v>3.39</v>
      </c>
      <c r="Q483" s="419">
        <f>SUM(E483:P483)</f>
        <v>19.91</v>
      </c>
    </row>
    <row r="484" spans="1:17" x14ac:dyDescent="0.2">
      <c r="A484" s="216">
        <f t="shared" si="186"/>
        <v>18</v>
      </c>
      <c r="C484" s="216" t="s">
        <v>201</v>
      </c>
      <c r="E484" s="419">
        <f>E479+E482+E483</f>
        <v>115.16</v>
      </c>
      <c r="F484" s="419">
        <f t="shared" ref="F484:P484" si="188">F479+F482+F483</f>
        <v>101.53</v>
      </c>
      <c r="G484" s="419">
        <f t="shared" si="188"/>
        <v>82.3</v>
      </c>
      <c r="H484" s="419">
        <f t="shared" si="188"/>
        <v>60.25</v>
      </c>
      <c r="I484" s="419">
        <f t="shared" si="188"/>
        <v>24.37</v>
      </c>
      <c r="J484" s="419">
        <f t="shared" si="188"/>
        <v>8.0399999999999991</v>
      </c>
      <c r="K484" s="419">
        <f t="shared" si="188"/>
        <v>4.8099999999999996</v>
      </c>
      <c r="L484" s="419">
        <f t="shared" si="188"/>
        <v>5.01</v>
      </c>
      <c r="M484" s="419">
        <f t="shared" si="188"/>
        <v>6.26</v>
      </c>
      <c r="N484" s="419">
        <f t="shared" si="188"/>
        <v>18.729999999999997</v>
      </c>
      <c r="O484" s="419">
        <f t="shared" si="188"/>
        <v>48.940000000000005</v>
      </c>
      <c r="P484" s="419">
        <f t="shared" si="188"/>
        <v>97.55</v>
      </c>
      <c r="Q484" s="419">
        <f>SUM(E484:P484)</f>
        <v>572.95000000000005</v>
      </c>
    </row>
    <row r="485" spans="1:17" x14ac:dyDescent="0.2">
      <c r="Q485" s="418"/>
    </row>
    <row r="486" spans="1:17" x14ac:dyDescent="0.2">
      <c r="A486" s="216">
        <f>A484+1</f>
        <v>19</v>
      </c>
      <c r="C486" s="216" t="s">
        <v>148</v>
      </c>
      <c r="D486" s="609">
        <v>0</v>
      </c>
      <c r="E486" s="419">
        <v>0</v>
      </c>
      <c r="F486" s="419">
        <v>0</v>
      </c>
      <c r="G486" s="419">
        <v>0</v>
      </c>
      <c r="H486" s="419">
        <v>0</v>
      </c>
      <c r="I486" s="419">
        <v>0</v>
      </c>
      <c r="J486" s="419">
        <v>0</v>
      </c>
      <c r="K486" s="419">
        <v>0</v>
      </c>
      <c r="L486" s="419">
        <v>0</v>
      </c>
      <c r="M486" s="419">
        <v>0</v>
      </c>
      <c r="N486" s="419">
        <v>0</v>
      </c>
      <c r="O486" s="419">
        <v>0</v>
      </c>
      <c r="P486" s="419">
        <v>0</v>
      </c>
      <c r="Q486" s="419">
        <f>SUM(E486:P486)</f>
        <v>0</v>
      </c>
    </row>
    <row r="487" spans="1:17" x14ac:dyDescent="0.2">
      <c r="D487" s="446"/>
    </row>
    <row r="488" spans="1:17" ht="10.5" thickBot="1" x14ac:dyDescent="0.25">
      <c r="A488" s="433">
        <f>A486+1</f>
        <v>20</v>
      </c>
      <c r="B488" s="433"/>
      <c r="C488" s="433" t="s">
        <v>202</v>
      </c>
      <c r="D488" s="770"/>
      <c r="E488" s="675">
        <f>E484+E486</f>
        <v>115.16</v>
      </c>
      <c r="F488" s="675">
        <f t="shared" ref="F488:O488" si="189">F484+F486</f>
        <v>101.53</v>
      </c>
      <c r="G488" s="675">
        <f t="shared" si="189"/>
        <v>82.3</v>
      </c>
      <c r="H488" s="675">
        <f t="shared" si="189"/>
        <v>60.25</v>
      </c>
      <c r="I488" s="675">
        <f t="shared" si="189"/>
        <v>24.37</v>
      </c>
      <c r="J488" s="675">
        <f t="shared" si="189"/>
        <v>8.0399999999999991</v>
      </c>
      <c r="K488" s="675">
        <f t="shared" si="189"/>
        <v>4.8099999999999996</v>
      </c>
      <c r="L488" s="675">
        <f t="shared" si="189"/>
        <v>5.01</v>
      </c>
      <c r="M488" s="675">
        <f t="shared" si="189"/>
        <v>6.26</v>
      </c>
      <c r="N488" s="675">
        <f t="shared" si="189"/>
        <v>18.729999999999997</v>
      </c>
      <c r="O488" s="675">
        <f t="shared" si="189"/>
        <v>48.940000000000005</v>
      </c>
      <c r="P488" s="675">
        <f>P484+P486</f>
        <v>97.55</v>
      </c>
      <c r="Q488" s="675">
        <f>SUM(E488:P488)</f>
        <v>572.95000000000005</v>
      </c>
    </row>
    <row r="489" spans="1:17" ht="10.5" thickTop="1" x14ac:dyDescent="0.2">
      <c r="A489" s="280"/>
      <c r="B489" s="280"/>
      <c r="C489" s="280"/>
      <c r="D489" s="282"/>
      <c r="E489" s="489"/>
      <c r="F489" s="489"/>
      <c r="G489" s="489"/>
      <c r="H489" s="489"/>
      <c r="I489" s="489"/>
      <c r="J489" s="489"/>
      <c r="K489" s="489"/>
      <c r="L489" s="489"/>
      <c r="M489" s="489"/>
      <c r="N489" s="489"/>
      <c r="O489" s="489"/>
      <c r="P489" s="489"/>
      <c r="Q489" s="590"/>
    </row>
    <row r="490" spans="1:17" x14ac:dyDescent="0.2">
      <c r="A490" s="280"/>
      <c r="B490" s="280"/>
      <c r="C490" s="280"/>
      <c r="D490" s="282"/>
      <c r="E490" s="489"/>
      <c r="F490" s="489"/>
      <c r="G490" s="489"/>
      <c r="H490" s="489"/>
      <c r="I490" s="489"/>
      <c r="J490" s="489"/>
      <c r="K490" s="489"/>
      <c r="L490" s="489"/>
      <c r="M490" s="489"/>
      <c r="N490" s="489"/>
      <c r="O490" s="489"/>
      <c r="P490" s="489"/>
      <c r="Q490" s="590"/>
    </row>
    <row r="491" spans="1:17" x14ac:dyDescent="0.2">
      <c r="A491" s="216">
        <f>A488+1</f>
        <v>21</v>
      </c>
      <c r="B491" s="216" t="str">
        <f>B93</f>
        <v>IN4</v>
      </c>
      <c r="C491" s="216" t="str">
        <f>C93</f>
        <v>Inland Gas General Service - Residential</v>
      </c>
    </row>
    <row r="493" spans="1:17" ht="10.5" x14ac:dyDescent="0.25">
      <c r="A493" s="216">
        <f>A491+1</f>
        <v>22</v>
      </c>
      <c r="C493" s="245" t="s">
        <v>109</v>
      </c>
    </row>
    <row r="495" spans="1:17" x14ac:dyDescent="0.2">
      <c r="A495" s="216">
        <f>A493+1</f>
        <v>23</v>
      </c>
      <c r="C495" s="216" t="s">
        <v>199</v>
      </c>
      <c r="E495" s="421">
        <f>B!D37</f>
        <v>0</v>
      </c>
      <c r="F495" s="421">
        <f>B!E37</f>
        <v>0</v>
      </c>
      <c r="G495" s="421">
        <f>B!F37</f>
        <v>0</v>
      </c>
      <c r="H495" s="421">
        <f>B!G37</f>
        <v>0</v>
      </c>
      <c r="I495" s="421">
        <f>B!H37</f>
        <v>0</v>
      </c>
      <c r="J495" s="421">
        <f>B!I37</f>
        <v>0</v>
      </c>
      <c r="K495" s="421">
        <f>B!J37</f>
        <v>0</v>
      </c>
      <c r="L495" s="421">
        <f>B!K37</f>
        <v>0</v>
      </c>
      <c r="M495" s="421">
        <f>B!L37</f>
        <v>0</v>
      </c>
      <c r="N495" s="421">
        <f>B!M37</f>
        <v>0</v>
      </c>
      <c r="O495" s="421">
        <f>B!N37</f>
        <v>0</v>
      </c>
      <c r="P495" s="421">
        <f>B!O37</f>
        <v>0</v>
      </c>
      <c r="Q495" s="453">
        <f>SUM(E495:P495)</f>
        <v>0</v>
      </c>
    </row>
    <row r="496" spans="1:17" x14ac:dyDescent="0.2">
      <c r="A496" s="216">
        <f>A495+1</f>
        <v>24</v>
      </c>
      <c r="C496" s="216" t="s">
        <v>207</v>
      </c>
      <c r="D496" s="608">
        <f>Input!H21</f>
        <v>0</v>
      </c>
      <c r="E496" s="419">
        <f t="shared" ref="E496:P496" si="190">ROUND(E495*$D$496,2)</f>
        <v>0</v>
      </c>
      <c r="F496" s="419">
        <f t="shared" si="190"/>
        <v>0</v>
      </c>
      <c r="G496" s="419">
        <f t="shared" si="190"/>
        <v>0</v>
      </c>
      <c r="H496" s="419">
        <f t="shared" si="190"/>
        <v>0</v>
      </c>
      <c r="I496" s="419">
        <f t="shared" si="190"/>
        <v>0</v>
      </c>
      <c r="J496" s="419">
        <f t="shared" si="190"/>
        <v>0</v>
      </c>
      <c r="K496" s="419">
        <f t="shared" si="190"/>
        <v>0</v>
      </c>
      <c r="L496" s="419">
        <f t="shared" si="190"/>
        <v>0</v>
      </c>
      <c r="M496" s="419">
        <f t="shared" si="190"/>
        <v>0</v>
      </c>
      <c r="N496" s="419">
        <f t="shared" si="190"/>
        <v>0</v>
      </c>
      <c r="O496" s="419">
        <f t="shared" si="190"/>
        <v>0</v>
      </c>
      <c r="P496" s="419">
        <f t="shared" si="190"/>
        <v>0</v>
      </c>
      <c r="Q496" s="419">
        <f>SUM(E496:P496)</f>
        <v>0</v>
      </c>
    </row>
    <row r="498" spans="1:17" x14ac:dyDescent="0.2">
      <c r="A498" s="216">
        <f>A496+1</f>
        <v>25</v>
      </c>
      <c r="C498" s="267" t="s">
        <v>206</v>
      </c>
      <c r="E498" s="424">
        <f>'C'!D37</f>
        <v>0</v>
      </c>
      <c r="F498" s="424">
        <f>'C'!E37</f>
        <v>0</v>
      </c>
      <c r="G498" s="424">
        <f>'C'!F37</f>
        <v>0</v>
      </c>
      <c r="H498" s="424">
        <f>'C'!G37</f>
        <v>0</v>
      </c>
      <c r="I498" s="424">
        <f>'C'!H37</f>
        <v>0</v>
      </c>
      <c r="J498" s="424">
        <f>'C'!I37</f>
        <v>0</v>
      </c>
      <c r="K498" s="424">
        <f>'C'!J37</f>
        <v>0</v>
      </c>
      <c r="L498" s="424">
        <f>'C'!K37</f>
        <v>0</v>
      </c>
      <c r="M498" s="424">
        <f>'C'!L37</f>
        <v>0</v>
      </c>
      <c r="N498" s="424">
        <f>'C'!M37</f>
        <v>0</v>
      </c>
      <c r="O498" s="424">
        <f>'C'!N37</f>
        <v>0</v>
      </c>
      <c r="P498" s="424">
        <f>'C'!O37</f>
        <v>0</v>
      </c>
      <c r="Q498" s="589">
        <f>SUM(E498:P498)</f>
        <v>0</v>
      </c>
    </row>
    <row r="499" spans="1:17" x14ac:dyDescent="0.2">
      <c r="A499" s="216">
        <f>A498+1</f>
        <v>26</v>
      </c>
      <c r="C499" s="216" t="s">
        <v>209</v>
      </c>
      <c r="D499" s="609">
        <f>Input!C21</f>
        <v>0</v>
      </c>
      <c r="E499" s="419">
        <f t="shared" ref="E499:P499" si="191">ROUND(E498*$D$499,2)</f>
        <v>0</v>
      </c>
      <c r="F499" s="419">
        <f t="shared" si="191"/>
        <v>0</v>
      </c>
      <c r="G499" s="419">
        <f t="shared" si="191"/>
        <v>0</v>
      </c>
      <c r="H499" s="419">
        <f t="shared" si="191"/>
        <v>0</v>
      </c>
      <c r="I499" s="419">
        <f t="shared" si="191"/>
        <v>0</v>
      </c>
      <c r="J499" s="419">
        <f t="shared" si="191"/>
        <v>0</v>
      </c>
      <c r="K499" s="419">
        <f t="shared" si="191"/>
        <v>0</v>
      </c>
      <c r="L499" s="419">
        <f t="shared" si="191"/>
        <v>0</v>
      </c>
      <c r="M499" s="419">
        <f t="shared" si="191"/>
        <v>0</v>
      </c>
      <c r="N499" s="419">
        <f t="shared" si="191"/>
        <v>0</v>
      </c>
      <c r="O499" s="419">
        <f t="shared" si="191"/>
        <v>0</v>
      </c>
      <c r="P499" s="419">
        <f t="shared" si="191"/>
        <v>0</v>
      </c>
      <c r="Q499" s="419">
        <f>SUM(E499:P499)</f>
        <v>0</v>
      </c>
    </row>
    <row r="500" spans="1:17" x14ac:dyDescent="0.2">
      <c r="A500" s="216">
        <f t="shared" ref="A500:A501" si="192">A499+1</f>
        <v>27</v>
      </c>
      <c r="C500" s="767" t="s">
        <v>140</v>
      </c>
      <c r="D500" s="609">
        <f>Input!N21</f>
        <v>1.44E-2</v>
      </c>
      <c r="E500" s="419">
        <f>ROUND(E498*$D$500,2)</f>
        <v>0</v>
      </c>
      <c r="F500" s="419">
        <f t="shared" ref="F500:P500" si="193">ROUND(F498*$D$500,2)</f>
        <v>0</v>
      </c>
      <c r="G500" s="419">
        <f t="shared" si="193"/>
        <v>0</v>
      </c>
      <c r="H500" s="419">
        <f t="shared" si="193"/>
        <v>0</v>
      </c>
      <c r="I500" s="419">
        <f t="shared" si="193"/>
        <v>0</v>
      </c>
      <c r="J500" s="419">
        <f t="shared" si="193"/>
        <v>0</v>
      </c>
      <c r="K500" s="419">
        <f t="shared" si="193"/>
        <v>0</v>
      </c>
      <c r="L500" s="419">
        <f t="shared" si="193"/>
        <v>0</v>
      </c>
      <c r="M500" s="419">
        <f t="shared" si="193"/>
        <v>0</v>
      </c>
      <c r="N500" s="419">
        <f t="shared" si="193"/>
        <v>0</v>
      </c>
      <c r="O500" s="419">
        <f t="shared" si="193"/>
        <v>0</v>
      </c>
      <c r="P500" s="419">
        <f t="shared" si="193"/>
        <v>0</v>
      </c>
      <c r="Q500" s="419">
        <f>SUM(E500:P500)</f>
        <v>0</v>
      </c>
    </row>
    <row r="501" spans="1:17" x14ac:dyDescent="0.2">
      <c r="A501" s="216">
        <f t="shared" si="192"/>
        <v>28</v>
      </c>
      <c r="C501" s="216" t="s">
        <v>201</v>
      </c>
      <c r="E501" s="419">
        <f>E496+E499+E500</f>
        <v>0</v>
      </c>
      <c r="F501" s="419">
        <f t="shared" ref="F501:P501" si="194">F496+F499+F500</f>
        <v>0</v>
      </c>
      <c r="G501" s="419">
        <f t="shared" si="194"/>
        <v>0</v>
      </c>
      <c r="H501" s="419">
        <f t="shared" si="194"/>
        <v>0</v>
      </c>
      <c r="I501" s="419">
        <f t="shared" si="194"/>
        <v>0</v>
      </c>
      <c r="J501" s="419">
        <f t="shared" si="194"/>
        <v>0</v>
      </c>
      <c r="K501" s="419">
        <f t="shared" si="194"/>
        <v>0</v>
      </c>
      <c r="L501" s="419">
        <f t="shared" si="194"/>
        <v>0</v>
      </c>
      <c r="M501" s="419">
        <f t="shared" si="194"/>
        <v>0</v>
      </c>
      <c r="N501" s="419">
        <f t="shared" si="194"/>
        <v>0</v>
      </c>
      <c r="O501" s="419">
        <f t="shared" si="194"/>
        <v>0</v>
      </c>
      <c r="P501" s="419">
        <f t="shared" si="194"/>
        <v>0</v>
      </c>
      <c r="Q501" s="419">
        <f>SUM(E501:P501)</f>
        <v>0</v>
      </c>
    </row>
    <row r="502" spans="1:17" x14ac:dyDescent="0.2">
      <c r="E502" s="417"/>
      <c r="F502" s="417"/>
      <c r="G502" s="417"/>
      <c r="H502" s="417"/>
      <c r="I502" s="417"/>
      <c r="J502" s="417"/>
      <c r="K502" s="417"/>
      <c r="L502" s="417"/>
      <c r="M502" s="417"/>
      <c r="N502" s="417"/>
      <c r="O502" s="417"/>
      <c r="P502" s="417"/>
      <c r="Q502" s="417"/>
    </row>
    <row r="503" spans="1:17" x14ac:dyDescent="0.2">
      <c r="A503" s="216">
        <f>A501+1</f>
        <v>29</v>
      </c>
      <c r="C503" s="216" t="s">
        <v>148</v>
      </c>
      <c r="D503" s="609">
        <v>0</v>
      </c>
      <c r="E503" s="419">
        <v>0</v>
      </c>
      <c r="F503" s="419">
        <v>0</v>
      </c>
      <c r="G503" s="419">
        <v>0</v>
      </c>
      <c r="H503" s="419">
        <v>0</v>
      </c>
      <c r="I503" s="419">
        <v>0</v>
      </c>
      <c r="J503" s="419">
        <v>0</v>
      </c>
      <c r="K503" s="419">
        <v>0</v>
      </c>
      <c r="L503" s="419">
        <v>0</v>
      </c>
      <c r="M503" s="419">
        <v>0</v>
      </c>
      <c r="N503" s="419">
        <v>0</v>
      </c>
      <c r="O503" s="419">
        <v>0</v>
      </c>
      <c r="P503" s="419">
        <v>0</v>
      </c>
      <c r="Q503" s="419">
        <f>SUM(E503:P503)</f>
        <v>0</v>
      </c>
    </row>
    <row r="504" spans="1:17" x14ac:dyDescent="0.2">
      <c r="E504" s="417"/>
      <c r="F504" s="417"/>
      <c r="G504" s="417"/>
      <c r="H504" s="417"/>
      <c r="I504" s="417"/>
      <c r="J504" s="417"/>
      <c r="K504" s="417"/>
      <c r="L504" s="417"/>
      <c r="M504" s="417"/>
      <c r="N504" s="417"/>
      <c r="O504" s="417"/>
      <c r="P504" s="417"/>
      <c r="Q504" s="417"/>
    </row>
    <row r="505" spans="1:17" ht="10.5" thickBot="1" x14ac:dyDescent="0.25">
      <c r="A505" s="402">
        <f>A503+1</f>
        <v>30</v>
      </c>
      <c r="B505" s="402"/>
      <c r="C505" s="433" t="s">
        <v>202</v>
      </c>
      <c r="D505" s="770"/>
      <c r="E505" s="675">
        <f>E501+E503</f>
        <v>0</v>
      </c>
      <c r="F505" s="675">
        <f t="shared" ref="F505:P505" si="195">F501+F503</f>
        <v>0</v>
      </c>
      <c r="G505" s="675">
        <f t="shared" si="195"/>
        <v>0</v>
      </c>
      <c r="H505" s="675">
        <f t="shared" si="195"/>
        <v>0</v>
      </c>
      <c r="I505" s="675">
        <f t="shared" si="195"/>
        <v>0</v>
      </c>
      <c r="J505" s="675">
        <f t="shared" si="195"/>
        <v>0</v>
      </c>
      <c r="K505" s="675">
        <f t="shared" si="195"/>
        <v>0</v>
      </c>
      <c r="L505" s="675">
        <f t="shared" si="195"/>
        <v>0</v>
      </c>
      <c r="M505" s="675">
        <f t="shared" si="195"/>
        <v>0</v>
      </c>
      <c r="N505" s="675">
        <f t="shared" si="195"/>
        <v>0</v>
      </c>
      <c r="O505" s="675">
        <f t="shared" si="195"/>
        <v>0</v>
      </c>
      <c r="P505" s="675">
        <f t="shared" si="195"/>
        <v>0</v>
      </c>
      <c r="Q505" s="675">
        <f>SUM(E505:P505)</f>
        <v>0</v>
      </c>
    </row>
    <row r="506" spans="1:17" ht="10.5" thickTop="1" x14ac:dyDescent="0.2">
      <c r="A506" s="280"/>
      <c r="B506" s="280"/>
      <c r="C506" s="280"/>
      <c r="D506" s="282"/>
      <c r="E506" s="489"/>
      <c r="F506" s="489"/>
      <c r="G506" s="489"/>
      <c r="H506" s="489"/>
      <c r="I506" s="489"/>
      <c r="J506" s="489"/>
      <c r="K506" s="489"/>
      <c r="L506" s="489"/>
      <c r="M506" s="489"/>
      <c r="N506" s="489"/>
      <c r="O506" s="489"/>
      <c r="P506" s="489"/>
      <c r="Q506" s="590"/>
    </row>
    <row r="507" spans="1:17" x14ac:dyDescent="0.2">
      <c r="A507" s="280"/>
      <c r="B507" s="280"/>
      <c r="C507" s="280"/>
      <c r="D507" s="282"/>
      <c r="E507" s="489"/>
      <c r="F507" s="489"/>
      <c r="G507" s="489"/>
      <c r="H507" s="489"/>
      <c r="I507" s="489"/>
      <c r="J507" s="489"/>
      <c r="K507" s="489"/>
      <c r="L507" s="489"/>
      <c r="M507" s="489"/>
      <c r="N507" s="489"/>
      <c r="O507" s="489"/>
      <c r="P507" s="489"/>
      <c r="Q507" s="590"/>
    </row>
    <row r="508" spans="1:17" x14ac:dyDescent="0.2">
      <c r="A508" s="216" t="str">
        <f>$A$270</f>
        <v>[1] Reflects Normalized Volumes.</v>
      </c>
    </row>
    <row r="509" spans="1:17" x14ac:dyDescent="0.2">
      <c r="A509" s="216" t="str">
        <f>"[2] Reflects Gas Cost Adjustment Rate"&amp;CONCATENATE(" as of ",EGCDATE)&amp;"."</f>
        <v>[2] Reflects Gas Cost Adjustment Rate as of March 1, 2021.</v>
      </c>
    </row>
    <row r="510" spans="1:17" ht="10.5" x14ac:dyDescent="0.25">
      <c r="A510" s="817" t="str">
        <f>CONAME</f>
        <v>Columbia Gas of Kentucky, Inc.</v>
      </c>
      <c r="B510" s="817"/>
      <c r="C510" s="817"/>
      <c r="D510" s="817"/>
      <c r="E510" s="817"/>
      <c r="F510" s="817"/>
      <c r="G510" s="817"/>
      <c r="H510" s="817"/>
      <c r="I510" s="817"/>
      <c r="J510" s="817"/>
      <c r="K510" s="817"/>
      <c r="L510" s="817"/>
      <c r="M510" s="817"/>
      <c r="N510" s="817"/>
      <c r="O510" s="817"/>
      <c r="P510" s="817"/>
      <c r="Q510" s="817"/>
    </row>
    <row r="511" spans="1:17" ht="10.5" x14ac:dyDescent="0.25">
      <c r="A511" s="800" t="str">
        <f>case</f>
        <v>Case No. 2021-00183</v>
      </c>
      <c r="B511" s="800"/>
      <c r="C511" s="800"/>
      <c r="D511" s="800"/>
      <c r="E511" s="800"/>
      <c r="F511" s="800"/>
      <c r="G511" s="800"/>
      <c r="H511" s="800"/>
      <c r="I511" s="800"/>
      <c r="J511" s="800"/>
      <c r="K511" s="800"/>
      <c r="L511" s="800"/>
      <c r="M511" s="800"/>
      <c r="N511" s="800"/>
      <c r="O511" s="800"/>
      <c r="P511" s="800"/>
      <c r="Q511" s="800"/>
    </row>
    <row r="512" spans="1:17" ht="10.5" x14ac:dyDescent="0.25">
      <c r="A512" s="815" t="s">
        <v>414</v>
      </c>
      <c r="B512" s="815"/>
      <c r="C512" s="815"/>
      <c r="D512" s="815"/>
      <c r="E512" s="815"/>
      <c r="F512" s="815"/>
      <c r="G512" s="815"/>
      <c r="H512" s="815"/>
      <c r="I512" s="815"/>
      <c r="J512" s="815"/>
      <c r="K512" s="815"/>
      <c r="L512" s="815"/>
      <c r="M512" s="815"/>
      <c r="N512" s="815"/>
      <c r="O512" s="815"/>
      <c r="P512" s="815"/>
      <c r="Q512" s="815"/>
    </row>
    <row r="513" spans="1:17" ht="10.5" x14ac:dyDescent="0.25">
      <c r="A513" s="817" t="str">
        <f>TYDESC</f>
        <v>For the 12 Months Ended December 31, 2022</v>
      </c>
      <c r="B513" s="817"/>
      <c r="C513" s="817"/>
      <c r="D513" s="817"/>
      <c r="E513" s="817"/>
      <c r="F513" s="817"/>
      <c r="G513" s="817"/>
      <c r="H513" s="817"/>
      <c r="I513" s="817"/>
      <c r="J513" s="817"/>
      <c r="K513" s="817"/>
      <c r="L513" s="817"/>
      <c r="M513" s="817"/>
      <c r="N513" s="817"/>
      <c r="O513" s="817"/>
      <c r="P513" s="817"/>
      <c r="Q513" s="817"/>
    </row>
    <row r="514" spans="1:17" ht="10.5" x14ac:dyDescent="0.25">
      <c r="A514" s="814" t="s">
        <v>39</v>
      </c>
      <c r="B514" s="814"/>
      <c r="C514" s="814"/>
      <c r="D514" s="814"/>
      <c r="E514" s="814"/>
      <c r="F514" s="814"/>
      <c r="G514" s="814"/>
      <c r="H514" s="814"/>
      <c r="I514" s="814"/>
      <c r="J514" s="814"/>
      <c r="K514" s="814"/>
      <c r="L514" s="814"/>
      <c r="M514" s="814"/>
      <c r="N514" s="814"/>
      <c r="O514" s="814"/>
      <c r="P514" s="814"/>
      <c r="Q514" s="814"/>
    </row>
    <row r="515" spans="1:17" ht="10.5" x14ac:dyDescent="0.25">
      <c r="A515" s="245" t="str">
        <f>$A$52</f>
        <v>Data: __ Base Period _X_ Forecasted Period</v>
      </c>
    </row>
    <row r="516" spans="1:17" ht="10.5" x14ac:dyDescent="0.25">
      <c r="A516" s="245" t="str">
        <f>$A$53</f>
        <v>Type of Filing: X Original _ Update _ Revised</v>
      </c>
      <c r="Q516" s="583" t="str">
        <f>$Q$53</f>
        <v>Schedule M-2.2</v>
      </c>
    </row>
    <row r="517" spans="1:17" ht="10.5" x14ac:dyDescent="0.25">
      <c r="A517" s="245" t="str">
        <f>$A$54</f>
        <v>Work Paper Reference No(s):</v>
      </c>
      <c r="Q517" s="583" t="s">
        <v>422</v>
      </c>
    </row>
    <row r="518" spans="1:17" ht="10.5" x14ac:dyDescent="0.25">
      <c r="A518" s="373" t="str">
        <f>$A$55</f>
        <v>12 Months Forecasted</v>
      </c>
      <c r="Q518" s="583" t="str">
        <f>Witness</f>
        <v>Witness:  Judith L. Siegler</v>
      </c>
    </row>
    <row r="519" spans="1:17" ht="10.5" x14ac:dyDescent="0.25">
      <c r="A519" s="816" t="s">
        <v>191</v>
      </c>
      <c r="B519" s="816"/>
      <c r="C519" s="816"/>
      <c r="D519" s="816"/>
      <c r="E519" s="816"/>
      <c r="F519" s="816"/>
      <c r="G519" s="816"/>
      <c r="H519" s="816"/>
      <c r="I519" s="816"/>
      <c r="J519" s="816"/>
      <c r="K519" s="816"/>
      <c r="L519" s="816"/>
      <c r="M519" s="816"/>
      <c r="N519" s="816"/>
      <c r="O519" s="816"/>
      <c r="P519" s="816"/>
      <c r="Q519" s="816"/>
    </row>
    <row r="520" spans="1:17" ht="10.5" x14ac:dyDescent="0.25">
      <c r="A520" s="392"/>
      <c r="B520" s="280"/>
      <c r="C520" s="280"/>
      <c r="D520" s="282"/>
      <c r="E520" s="280"/>
      <c r="F520" s="438"/>
      <c r="G520" s="439"/>
      <c r="H520" s="438"/>
      <c r="I520" s="440"/>
      <c r="J520" s="438"/>
      <c r="K520" s="438"/>
      <c r="L520" s="438"/>
      <c r="M520" s="438"/>
      <c r="N520" s="438"/>
      <c r="O520" s="438"/>
      <c r="P520" s="438"/>
      <c r="Q520" s="280"/>
    </row>
    <row r="521" spans="1:17" ht="10.5" x14ac:dyDescent="0.25">
      <c r="A521" s="727" t="s">
        <v>1</v>
      </c>
      <c r="B521" s="727" t="s">
        <v>0</v>
      </c>
      <c r="C521" s="727" t="s">
        <v>41</v>
      </c>
      <c r="D521" s="731" t="s">
        <v>47</v>
      </c>
      <c r="E521" s="727"/>
      <c r="F521" s="584"/>
      <c r="G521" s="587"/>
      <c r="H521" s="584"/>
      <c r="I521" s="730"/>
      <c r="J521" s="584"/>
      <c r="K521" s="584"/>
      <c r="L521" s="584"/>
      <c r="M521" s="584"/>
      <c r="N521" s="584"/>
      <c r="O521" s="584"/>
      <c r="P521" s="584"/>
      <c r="Q521" s="732"/>
    </row>
    <row r="522" spans="1:17" ht="10.5" x14ac:dyDescent="0.25">
      <c r="A522" s="263" t="s">
        <v>3</v>
      </c>
      <c r="B522" s="263" t="s">
        <v>40</v>
      </c>
      <c r="C522" s="263" t="s">
        <v>4</v>
      </c>
      <c r="D522" s="756" t="s">
        <v>48</v>
      </c>
      <c r="E522" s="380" t="str">
        <f>B!$D$11</f>
        <v>Jan-22</v>
      </c>
      <c r="F522" s="380" t="str">
        <f>B!$E$11</f>
        <v>Feb-22</v>
      </c>
      <c r="G522" s="380" t="str">
        <f>B!$F$11</f>
        <v>Mar-22</v>
      </c>
      <c r="H522" s="380" t="str">
        <f>B!$G$11</f>
        <v>Apr-22</v>
      </c>
      <c r="I522" s="380" t="str">
        <f>B!$H$11</f>
        <v>May-22</v>
      </c>
      <c r="J522" s="380" t="str">
        <f>B!$I$11</f>
        <v>Jun-22</v>
      </c>
      <c r="K522" s="380" t="str">
        <f>B!$J$11</f>
        <v>Jul-22</v>
      </c>
      <c r="L522" s="380" t="str">
        <f>B!$K$11</f>
        <v>Aug-22</v>
      </c>
      <c r="M522" s="380" t="str">
        <f>B!$L$11</f>
        <v>Sep-22</v>
      </c>
      <c r="N522" s="380" t="str">
        <f>B!$M$11</f>
        <v>Oct-22</v>
      </c>
      <c r="O522" s="380" t="str">
        <f>B!$N$11</f>
        <v>Nov-22</v>
      </c>
      <c r="P522" s="380" t="str">
        <f>B!$O$11</f>
        <v>Dec-22</v>
      </c>
      <c r="Q522" s="380" t="s">
        <v>9</v>
      </c>
    </row>
    <row r="523" spans="1:17" ht="10.5" x14ac:dyDescent="0.25">
      <c r="A523" s="727"/>
      <c r="B523" s="732" t="s">
        <v>42</v>
      </c>
      <c r="C523" s="732" t="s">
        <v>43</v>
      </c>
      <c r="D523" s="757" t="s">
        <v>45</v>
      </c>
      <c r="E523" s="586" t="s">
        <v>46</v>
      </c>
      <c r="F523" s="586" t="s">
        <v>49</v>
      </c>
      <c r="G523" s="586" t="s">
        <v>50</v>
      </c>
      <c r="H523" s="586" t="s">
        <v>51</v>
      </c>
      <c r="I523" s="586" t="s">
        <v>52</v>
      </c>
      <c r="J523" s="586" t="s">
        <v>53</v>
      </c>
      <c r="K523" s="588" t="s">
        <v>54</v>
      </c>
      <c r="L523" s="588" t="s">
        <v>55</v>
      </c>
      <c r="M523" s="588" t="s">
        <v>56</v>
      </c>
      <c r="N523" s="588" t="s">
        <v>57</v>
      </c>
      <c r="O523" s="588" t="s">
        <v>58</v>
      </c>
      <c r="P523" s="588" t="s">
        <v>59</v>
      </c>
      <c r="Q523" s="588" t="s">
        <v>200</v>
      </c>
    </row>
    <row r="524" spans="1:17" ht="10.5" x14ac:dyDescent="0.25">
      <c r="E524" s="732"/>
      <c r="F524" s="588"/>
      <c r="G524" s="585"/>
      <c r="H524" s="588"/>
      <c r="I524" s="586"/>
      <c r="J524" s="588"/>
      <c r="K524" s="588"/>
      <c r="L524" s="588"/>
      <c r="M524" s="588"/>
      <c r="N524" s="588"/>
      <c r="O524" s="588"/>
      <c r="P524" s="588"/>
      <c r="Q524" s="732"/>
    </row>
    <row r="525" spans="1:17" x14ac:dyDescent="0.2">
      <c r="A525" s="216">
        <v>1</v>
      </c>
      <c r="B525" s="216" t="str">
        <f>B100</f>
        <v>IN5</v>
      </c>
      <c r="C525" s="216" t="str">
        <f>C100</f>
        <v>Inland Gas General Service - Residential</v>
      </c>
    </row>
    <row r="527" spans="1:17" ht="10.5" x14ac:dyDescent="0.25">
      <c r="A527" s="216">
        <f>A525+1</f>
        <v>2</v>
      </c>
      <c r="C527" s="245" t="s">
        <v>109</v>
      </c>
    </row>
    <row r="529" spans="1:17" x14ac:dyDescent="0.2">
      <c r="A529" s="216">
        <f>A527+1</f>
        <v>3</v>
      </c>
      <c r="C529" s="216" t="s">
        <v>199</v>
      </c>
      <c r="E529" s="421">
        <f>B!D42</f>
        <v>3</v>
      </c>
      <c r="F529" s="421">
        <f>B!E42</f>
        <v>3</v>
      </c>
      <c r="G529" s="421">
        <f>B!F42</f>
        <v>3</v>
      </c>
      <c r="H529" s="421">
        <f>B!G42</f>
        <v>3</v>
      </c>
      <c r="I529" s="421">
        <f>B!H42</f>
        <v>3</v>
      </c>
      <c r="J529" s="421">
        <f>B!I42</f>
        <v>3</v>
      </c>
      <c r="K529" s="421">
        <f>B!J42</f>
        <v>3</v>
      </c>
      <c r="L529" s="421">
        <f>B!K42</f>
        <v>3</v>
      </c>
      <c r="M529" s="421">
        <f>B!L42</f>
        <v>3</v>
      </c>
      <c r="N529" s="421">
        <f>B!M42</f>
        <v>3</v>
      </c>
      <c r="O529" s="421">
        <f>B!N42</f>
        <v>3</v>
      </c>
      <c r="P529" s="421">
        <f>B!O42</f>
        <v>3</v>
      </c>
      <c r="Q529" s="453">
        <f>SUM(E529:P529)</f>
        <v>36</v>
      </c>
    </row>
    <row r="530" spans="1:17" x14ac:dyDescent="0.2">
      <c r="A530" s="216">
        <f>A529+1</f>
        <v>4</v>
      </c>
      <c r="C530" s="216" t="s">
        <v>207</v>
      </c>
      <c r="D530" s="608">
        <f>Input!H22</f>
        <v>0</v>
      </c>
      <c r="E530" s="419">
        <f t="shared" ref="E530:P530" si="196">ROUND(E529*$D$496,2)</f>
        <v>0</v>
      </c>
      <c r="F530" s="419">
        <f t="shared" si="196"/>
        <v>0</v>
      </c>
      <c r="G530" s="419">
        <f t="shared" si="196"/>
        <v>0</v>
      </c>
      <c r="H530" s="419">
        <f t="shared" si="196"/>
        <v>0</v>
      </c>
      <c r="I530" s="419">
        <f t="shared" si="196"/>
        <v>0</v>
      </c>
      <c r="J530" s="419">
        <f t="shared" si="196"/>
        <v>0</v>
      </c>
      <c r="K530" s="419">
        <f t="shared" si="196"/>
        <v>0</v>
      </c>
      <c r="L530" s="419">
        <f t="shared" si="196"/>
        <v>0</v>
      </c>
      <c r="M530" s="419">
        <f t="shared" si="196"/>
        <v>0</v>
      </c>
      <c r="N530" s="419">
        <f t="shared" si="196"/>
        <v>0</v>
      </c>
      <c r="O530" s="419">
        <f t="shared" si="196"/>
        <v>0</v>
      </c>
      <c r="P530" s="419">
        <f t="shared" si="196"/>
        <v>0</v>
      </c>
      <c r="Q530" s="419">
        <f>SUM(E530:P530)</f>
        <v>0</v>
      </c>
    </row>
    <row r="532" spans="1:17" x14ac:dyDescent="0.2">
      <c r="A532" s="216">
        <f>A530+1</f>
        <v>5</v>
      </c>
      <c r="C532" s="267" t="s">
        <v>206</v>
      </c>
      <c r="E532" s="424">
        <f>'C'!D42</f>
        <v>52.6</v>
      </c>
      <c r="F532" s="424">
        <f>'C'!E42</f>
        <v>46.7</v>
      </c>
      <c r="G532" s="424">
        <f>'C'!F42</f>
        <v>43.2</v>
      </c>
      <c r="H532" s="424">
        <f>'C'!G42</f>
        <v>28</v>
      </c>
      <c r="I532" s="424">
        <f>'C'!H42</f>
        <v>11.2</v>
      </c>
      <c r="J532" s="424">
        <f>'C'!I42</f>
        <v>2.9</v>
      </c>
      <c r="K532" s="424">
        <f>'C'!J42</f>
        <v>2.4</v>
      </c>
      <c r="L532" s="424">
        <f>'C'!K42</f>
        <v>2.7</v>
      </c>
      <c r="M532" s="424">
        <f>'C'!L42</f>
        <v>2.9</v>
      </c>
      <c r="N532" s="424">
        <f>'C'!M42</f>
        <v>4.7</v>
      </c>
      <c r="O532" s="424">
        <f>'C'!N42</f>
        <v>21.8</v>
      </c>
      <c r="P532" s="424">
        <f>'C'!O42</f>
        <v>44.7</v>
      </c>
      <c r="Q532" s="589">
        <f>SUM(E532:P532)</f>
        <v>263.8</v>
      </c>
    </row>
    <row r="533" spans="1:17" x14ac:dyDescent="0.2">
      <c r="A533" s="216">
        <f>A532+1</f>
        <v>6</v>
      </c>
      <c r="C533" s="216" t="s">
        <v>209</v>
      </c>
      <c r="D533" s="609">
        <f>Input!C22</f>
        <v>0.6</v>
      </c>
      <c r="E533" s="419">
        <f t="shared" ref="E533:P533" si="197">ROUND(E532*$D$533,2)</f>
        <v>31.56</v>
      </c>
      <c r="F533" s="419">
        <f t="shared" si="197"/>
        <v>28.02</v>
      </c>
      <c r="G533" s="419">
        <f t="shared" si="197"/>
        <v>25.92</v>
      </c>
      <c r="H533" s="419">
        <f t="shared" si="197"/>
        <v>16.8</v>
      </c>
      <c r="I533" s="419">
        <f t="shared" si="197"/>
        <v>6.72</v>
      </c>
      <c r="J533" s="419">
        <f t="shared" si="197"/>
        <v>1.74</v>
      </c>
      <c r="K533" s="419">
        <f t="shared" si="197"/>
        <v>1.44</v>
      </c>
      <c r="L533" s="419">
        <f t="shared" si="197"/>
        <v>1.62</v>
      </c>
      <c r="M533" s="419">
        <f t="shared" si="197"/>
        <v>1.74</v>
      </c>
      <c r="N533" s="419">
        <f t="shared" si="197"/>
        <v>2.82</v>
      </c>
      <c r="O533" s="419">
        <f t="shared" si="197"/>
        <v>13.08</v>
      </c>
      <c r="P533" s="419">
        <f t="shared" si="197"/>
        <v>26.82</v>
      </c>
      <c r="Q533" s="419">
        <f>SUM(E533:P533)</f>
        <v>158.27999999999997</v>
      </c>
    </row>
    <row r="534" spans="1:17" x14ac:dyDescent="0.2">
      <c r="A534" s="216">
        <f t="shared" ref="A534:A535" si="198">A533+1</f>
        <v>7</v>
      </c>
      <c r="C534" s="767" t="s">
        <v>140</v>
      </c>
      <c r="D534" s="609">
        <f>Input!N22</f>
        <v>1.44E-2</v>
      </c>
      <c r="E534" s="419">
        <f>ROUND(E532*$D$534,2)</f>
        <v>0.76</v>
      </c>
      <c r="F534" s="419">
        <f t="shared" ref="F534:P534" si="199">ROUND(F532*$D$534,2)</f>
        <v>0.67</v>
      </c>
      <c r="G534" s="419">
        <f t="shared" si="199"/>
        <v>0.62</v>
      </c>
      <c r="H534" s="419">
        <f t="shared" si="199"/>
        <v>0.4</v>
      </c>
      <c r="I534" s="419">
        <f t="shared" si="199"/>
        <v>0.16</v>
      </c>
      <c r="J534" s="419">
        <f t="shared" si="199"/>
        <v>0.04</v>
      </c>
      <c r="K534" s="419">
        <f t="shared" si="199"/>
        <v>0.03</v>
      </c>
      <c r="L534" s="419">
        <f t="shared" si="199"/>
        <v>0.04</v>
      </c>
      <c r="M534" s="419">
        <f t="shared" si="199"/>
        <v>0.04</v>
      </c>
      <c r="N534" s="419">
        <f t="shared" si="199"/>
        <v>7.0000000000000007E-2</v>
      </c>
      <c r="O534" s="419">
        <f t="shared" si="199"/>
        <v>0.31</v>
      </c>
      <c r="P534" s="419">
        <f t="shared" si="199"/>
        <v>0.64</v>
      </c>
      <c r="Q534" s="419">
        <f>SUM(E534:P534)</f>
        <v>3.7800000000000002</v>
      </c>
    </row>
    <row r="535" spans="1:17" x14ac:dyDescent="0.2">
      <c r="A535" s="216">
        <f t="shared" si="198"/>
        <v>8</v>
      </c>
      <c r="C535" s="216" t="s">
        <v>201</v>
      </c>
      <c r="E535" s="419">
        <f>E530+E533+E534</f>
        <v>32.32</v>
      </c>
      <c r="F535" s="419">
        <f t="shared" ref="F535:P535" si="200">F530+F533+F534</f>
        <v>28.69</v>
      </c>
      <c r="G535" s="419">
        <f t="shared" si="200"/>
        <v>26.540000000000003</v>
      </c>
      <c r="H535" s="419">
        <f t="shared" si="200"/>
        <v>17.2</v>
      </c>
      <c r="I535" s="419">
        <f t="shared" si="200"/>
        <v>6.88</v>
      </c>
      <c r="J535" s="419">
        <f t="shared" si="200"/>
        <v>1.78</v>
      </c>
      <c r="K535" s="419">
        <f t="shared" si="200"/>
        <v>1.47</v>
      </c>
      <c r="L535" s="419">
        <f t="shared" si="200"/>
        <v>1.6600000000000001</v>
      </c>
      <c r="M535" s="419">
        <f t="shared" si="200"/>
        <v>1.78</v>
      </c>
      <c r="N535" s="419">
        <f t="shared" si="200"/>
        <v>2.8899999999999997</v>
      </c>
      <c r="O535" s="419">
        <f t="shared" si="200"/>
        <v>13.39</v>
      </c>
      <c r="P535" s="419">
        <f t="shared" si="200"/>
        <v>27.46</v>
      </c>
      <c r="Q535" s="419">
        <f>SUM(E535:P535)</f>
        <v>162.06000000000003</v>
      </c>
    </row>
    <row r="536" spans="1:17" x14ac:dyDescent="0.2">
      <c r="E536" s="417"/>
      <c r="F536" s="417"/>
      <c r="G536" s="417"/>
      <c r="H536" s="417"/>
      <c r="I536" s="417"/>
      <c r="J536" s="417"/>
      <c r="K536" s="417"/>
      <c r="L536" s="417"/>
      <c r="M536" s="417"/>
      <c r="N536" s="417"/>
      <c r="O536" s="417"/>
      <c r="P536" s="417"/>
      <c r="Q536" s="417"/>
    </row>
    <row r="537" spans="1:17" x14ac:dyDescent="0.2">
      <c r="A537" s="216">
        <f>A535+1</f>
        <v>9</v>
      </c>
      <c r="C537" s="216" t="s">
        <v>148</v>
      </c>
      <c r="D537" s="609">
        <v>0</v>
      </c>
      <c r="E537" s="419">
        <v>0</v>
      </c>
      <c r="F537" s="419">
        <v>0</v>
      </c>
      <c r="G537" s="419">
        <v>0</v>
      </c>
      <c r="H537" s="419">
        <v>0</v>
      </c>
      <c r="I537" s="419">
        <v>0</v>
      </c>
      <c r="J537" s="419">
        <v>0</v>
      </c>
      <c r="K537" s="419">
        <v>0</v>
      </c>
      <c r="L537" s="419">
        <v>0</v>
      </c>
      <c r="M537" s="419">
        <v>0</v>
      </c>
      <c r="N537" s="419">
        <v>0</v>
      </c>
      <c r="O537" s="419">
        <v>0</v>
      </c>
      <c r="P537" s="419">
        <v>0</v>
      </c>
      <c r="Q537" s="419">
        <f>SUM(E537:P537)</f>
        <v>0</v>
      </c>
    </row>
    <row r="538" spans="1:17" x14ac:dyDescent="0.2">
      <c r="E538" s="417"/>
      <c r="F538" s="417"/>
      <c r="G538" s="417"/>
      <c r="H538" s="417"/>
      <c r="I538" s="417"/>
      <c r="J538" s="417"/>
      <c r="K538" s="417"/>
      <c r="L538" s="417"/>
      <c r="M538" s="417"/>
      <c r="N538" s="417"/>
      <c r="O538" s="417"/>
      <c r="P538" s="417"/>
      <c r="Q538" s="417"/>
    </row>
    <row r="539" spans="1:17" ht="10.5" thickBot="1" x14ac:dyDescent="0.25">
      <c r="A539" s="402">
        <f>A537+1</f>
        <v>10</v>
      </c>
      <c r="B539" s="402"/>
      <c r="C539" s="433" t="s">
        <v>202</v>
      </c>
      <c r="D539" s="770"/>
      <c r="E539" s="675">
        <f t="shared" ref="E539:O539" si="201">E535+E537</f>
        <v>32.32</v>
      </c>
      <c r="F539" s="675">
        <f t="shared" si="201"/>
        <v>28.69</v>
      </c>
      <c r="G539" s="675">
        <f t="shared" si="201"/>
        <v>26.540000000000003</v>
      </c>
      <c r="H539" s="675">
        <f t="shared" si="201"/>
        <v>17.2</v>
      </c>
      <c r="I539" s="675">
        <f t="shared" si="201"/>
        <v>6.88</v>
      </c>
      <c r="J539" s="675">
        <f t="shared" si="201"/>
        <v>1.78</v>
      </c>
      <c r="K539" s="675">
        <f t="shared" si="201"/>
        <v>1.47</v>
      </c>
      <c r="L539" s="675">
        <f t="shared" si="201"/>
        <v>1.6600000000000001</v>
      </c>
      <c r="M539" s="675">
        <f t="shared" si="201"/>
        <v>1.78</v>
      </c>
      <c r="N539" s="675">
        <f t="shared" si="201"/>
        <v>2.8899999999999997</v>
      </c>
      <c r="O539" s="675">
        <f t="shared" si="201"/>
        <v>13.39</v>
      </c>
      <c r="P539" s="675">
        <f>P535+P537</f>
        <v>27.46</v>
      </c>
      <c r="Q539" s="675">
        <f>SUM(E539:P539)</f>
        <v>162.06000000000003</v>
      </c>
    </row>
    <row r="540" spans="1:17" ht="10.5" thickTop="1" x14ac:dyDescent="0.2">
      <c r="A540" s="280"/>
      <c r="B540" s="280"/>
      <c r="C540" s="280"/>
      <c r="D540" s="282"/>
      <c r="E540" s="672"/>
      <c r="F540" s="672"/>
      <c r="G540" s="672"/>
      <c r="H540" s="672"/>
      <c r="I540" s="672"/>
      <c r="J540" s="672"/>
      <c r="K540" s="672"/>
      <c r="L540" s="672"/>
      <c r="M540" s="672"/>
      <c r="N540" s="672"/>
      <c r="O540" s="672"/>
      <c r="P540" s="672"/>
      <c r="Q540" s="672"/>
    </row>
    <row r="541" spans="1:17" x14ac:dyDescent="0.2">
      <c r="Q541" s="418"/>
    </row>
    <row r="542" spans="1:17" x14ac:dyDescent="0.2">
      <c r="A542" s="216">
        <f>A539+1</f>
        <v>11</v>
      </c>
      <c r="B542" s="216" t="str">
        <f>B129</f>
        <v>LG2</v>
      </c>
      <c r="C542" s="216" t="str">
        <f>C129</f>
        <v xml:space="preserve">LG&amp;E Residential </v>
      </c>
    </row>
    <row r="544" spans="1:17" ht="10.5" x14ac:dyDescent="0.25">
      <c r="A544" s="216">
        <f>A542+1</f>
        <v>12</v>
      </c>
      <c r="C544" s="245" t="s">
        <v>109</v>
      </c>
    </row>
    <row r="546" spans="1:17" x14ac:dyDescent="0.2">
      <c r="A546" s="216">
        <f>A544+1</f>
        <v>13</v>
      </c>
      <c r="C546" s="216" t="s">
        <v>199</v>
      </c>
      <c r="E546" s="421">
        <f>B!D47</f>
        <v>1</v>
      </c>
      <c r="F546" s="421">
        <f>B!E47</f>
        <v>1</v>
      </c>
      <c r="G546" s="421">
        <f>B!F47</f>
        <v>1</v>
      </c>
      <c r="H546" s="421">
        <f>B!G47</f>
        <v>1</v>
      </c>
      <c r="I546" s="421">
        <f>B!H47</f>
        <v>1</v>
      </c>
      <c r="J546" s="421">
        <f>B!I47</f>
        <v>1</v>
      </c>
      <c r="K546" s="421">
        <f>B!J47</f>
        <v>1</v>
      </c>
      <c r="L546" s="421">
        <f>B!K47</f>
        <v>1</v>
      </c>
      <c r="M546" s="421">
        <f>B!L47</f>
        <v>1</v>
      </c>
      <c r="N546" s="421">
        <f>B!M47</f>
        <v>1</v>
      </c>
      <c r="O546" s="421">
        <f>B!N47</f>
        <v>1</v>
      </c>
      <c r="P546" s="421">
        <f>B!O47</f>
        <v>1</v>
      </c>
      <c r="Q546" s="453">
        <f>SUM(E546:P546)</f>
        <v>12</v>
      </c>
    </row>
    <row r="547" spans="1:17" x14ac:dyDescent="0.2">
      <c r="A547" s="216">
        <f>A546+1</f>
        <v>14</v>
      </c>
      <c r="C547" s="216" t="s">
        <v>207</v>
      </c>
      <c r="D547" s="608">
        <f>Input!H23</f>
        <v>0</v>
      </c>
      <c r="E547" s="419">
        <f t="shared" ref="E547:P547" si="202">ROUND(E546*$D$496,2)</f>
        <v>0</v>
      </c>
      <c r="F547" s="419">
        <f t="shared" si="202"/>
        <v>0</v>
      </c>
      <c r="G547" s="419">
        <f t="shared" si="202"/>
        <v>0</v>
      </c>
      <c r="H547" s="419">
        <f t="shared" si="202"/>
        <v>0</v>
      </c>
      <c r="I547" s="419">
        <f t="shared" si="202"/>
        <v>0</v>
      </c>
      <c r="J547" s="419">
        <f t="shared" si="202"/>
        <v>0</v>
      </c>
      <c r="K547" s="419">
        <f t="shared" si="202"/>
        <v>0</v>
      </c>
      <c r="L547" s="419">
        <f t="shared" si="202"/>
        <v>0</v>
      </c>
      <c r="M547" s="419">
        <f t="shared" si="202"/>
        <v>0</v>
      </c>
      <c r="N547" s="419">
        <f t="shared" si="202"/>
        <v>0</v>
      </c>
      <c r="O547" s="419">
        <f t="shared" si="202"/>
        <v>0</v>
      </c>
      <c r="P547" s="419">
        <f t="shared" si="202"/>
        <v>0</v>
      </c>
      <c r="Q547" s="419">
        <f>SUM(E547:P547)</f>
        <v>0</v>
      </c>
    </row>
    <row r="549" spans="1:17" x14ac:dyDescent="0.2">
      <c r="A549" s="216">
        <f>A547+1</f>
        <v>15</v>
      </c>
      <c r="C549" s="267" t="s">
        <v>206</v>
      </c>
      <c r="E549" s="424">
        <f>'C'!D47</f>
        <v>138.19999999999999</v>
      </c>
      <c r="F549" s="424">
        <f>'C'!E47</f>
        <v>141.5</v>
      </c>
      <c r="G549" s="424">
        <f>'C'!F47</f>
        <v>113</v>
      </c>
      <c r="H549" s="424">
        <f>'C'!G47</f>
        <v>73.099999999999994</v>
      </c>
      <c r="I549" s="424">
        <f>'C'!H47</f>
        <v>18.100000000000001</v>
      </c>
      <c r="J549" s="272">
        <f>'C'!I47</f>
        <v>3.1</v>
      </c>
      <c r="K549" s="272">
        <f>'C'!J47</f>
        <v>2.9</v>
      </c>
      <c r="L549" s="424">
        <f>'C'!K47</f>
        <v>2.9</v>
      </c>
      <c r="M549" s="424">
        <f>'C'!L47</f>
        <v>3.9</v>
      </c>
      <c r="N549" s="424">
        <f>'C'!M47</f>
        <v>22.1</v>
      </c>
      <c r="O549" s="424">
        <f>'C'!N47</f>
        <v>57.2</v>
      </c>
      <c r="P549" s="424">
        <f>'C'!O47</f>
        <v>96.3</v>
      </c>
      <c r="Q549" s="589">
        <f>SUM(E549:P549)</f>
        <v>672.3</v>
      </c>
    </row>
    <row r="550" spans="1:17" x14ac:dyDescent="0.2">
      <c r="A550" s="216">
        <f>A549+1</f>
        <v>16</v>
      </c>
      <c r="C550" s="216" t="s">
        <v>209</v>
      </c>
      <c r="D550" s="609">
        <f>Input!C23</f>
        <v>0.35</v>
      </c>
      <c r="E550" s="419">
        <f t="shared" ref="E550:P550" si="203">ROUND(E549*$D$550,2)</f>
        <v>48.37</v>
      </c>
      <c r="F550" s="419">
        <f t="shared" si="203"/>
        <v>49.53</v>
      </c>
      <c r="G550" s="419">
        <f t="shared" si="203"/>
        <v>39.549999999999997</v>
      </c>
      <c r="H550" s="419">
        <f t="shared" si="203"/>
        <v>25.59</v>
      </c>
      <c r="I550" s="419">
        <f t="shared" si="203"/>
        <v>6.34</v>
      </c>
      <c r="J550" s="419">
        <f t="shared" si="203"/>
        <v>1.0900000000000001</v>
      </c>
      <c r="K550" s="419">
        <f t="shared" si="203"/>
        <v>1.02</v>
      </c>
      <c r="L550" s="419">
        <f t="shared" si="203"/>
        <v>1.02</v>
      </c>
      <c r="M550" s="419">
        <f t="shared" si="203"/>
        <v>1.37</v>
      </c>
      <c r="N550" s="419">
        <f t="shared" si="203"/>
        <v>7.74</v>
      </c>
      <c r="O550" s="419">
        <f t="shared" si="203"/>
        <v>20.02</v>
      </c>
      <c r="P550" s="419">
        <f t="shared" si="203"/>
        <v>33.71</v>
      </c>
      <c r="Q550" s="419">
        <f>SUM(E550:P550)</f>
        <v>235.35000000000005</v>
      </c>
    </row>
    <row r="551" spans="1:17" x14ac:dyDescent="0.2">
      <c r="E551" s="417"/>
      <c r="F551" s="417"/>
      <c r="G551" s="417"/>
      <c r="H551" s="417"/>
      <c r="I551" s="417"/>
      <c r="J551" s="417"/>
      <c r="K551" s="417"/>
      <c r="L551" s="417"/>
      <c r="M551" s="417"/>
      <c r="N551" s="417"/>
      <c r="O551" s="417"/>
      <c r="P551" s="417"/>
      <c r="Q551" s="457"/>
    </row>
    <row r="552" spans="1:17" x14ac:dyDescent="0.2">
      <c r="A552" s="216">
        <f>A550+1</f>
        <v>17</v>
      </c>
      <c r="C552" s="216" t="s">
        <v>201</v>
      </c>
      <c r="E552" s="419">
        <f t="shared" ref="E552:O552" si="204">E547+E550</f>
        <v>48.37</v>
      </c>
      <c r="F552" s="419">
        <f t="shared" si="204"/>
        <v>49.53</v>
      </c>
      <c r="G552" s="419">
        <f t="shared" si="204"/>
        <v>39.549999999999997</v>
      </c>
      <c r="H552" s="419">
        <f t="shared" si="204"/>
        <v>25.59</v>
      </c>
      <c r="I552" s="419">
        <f t="shared" si="204"/>
        <v>6.34</v>
      </c>
      <c r="J552" s="419">
        <f t="shared" si="204"/>
        <v>1.0900000000000001</v>
      </c>
      <c r="K552" s="419">
        <f t="shared" si="204"/>
        <v>1.02</v>
      </c>
      <c r="L552" s="419">
        <f t="shared" si="204"/>
        <v>1.02</v>
      </c>
      <c r="M552" s="419">
        <f t="shared" si="204"/>
        <v>1.37</v>
      </c>
      <c r="N552" s="419">
        <f t="shared" si="204"/>
        <v>7.74</v>
      </c>
      <c r="O552" s="419">
        <f t="shared" si="204"/>
        <v>20.02</v>
      </c>
      <c r="P552" s="419">
        <f>P547+P550</f>
        <v>33.71</v>
      </c>
      <c r="Q552" s="419">
        <f>SUM(E552:P552)</f>
        <v>235.35000000000005</v>
      </c>
    </row>
    <row r="553" spans="1:17" x14ac:dyDescent="0.2">
      <c r="E553" s="417"/>
      <c r="F553" s="417"/>
      <c r="G553" s="417"/>
      <c r="H553" s="417"/>
      <c r="I553" s="417"/>
      <c r="J553" s="417"/>
      <c r="K553" s="417"/>
      <c r="L553" s="417"/>
      <c r="M553" s="417"/>
      <c r="N553" s="417"/>
      <c r="O553" s="417"/>
      <c r="P553" s="417"/>
      <c r="Q553" s="417"/>
    </row>
    <row r="554" spans="1:17" x14ac:dyDescent="0.2">
      <c r="A554" s="216">
        <f>A552+1</f>
        <v>18</v>
      </c>
      <c r="C554" s="216" t="s">
        <v>148</v>
      </c>
      <c r="D554" s="609">
        <v>0</v>
      </c>
      <c r="E554" s="419">
        <v>0</v>
      </c>
      <c r="F554" s="419">
        <v>0</v>
      </c>
      <c r="G554" s="419">
        <v>0</v>
      </c>
      <c r="H554" s="419">
        <v>0</v>
      </c>
      <c r="I554" s="419">
        <v>0</v>
      </c>
      <c r="J554" s="419">
        <v>0</v>
      </c>
      <c r="K554" s="419">
        <v>0</v>
      </c>
      <c r="L554" s="419">
        <v>0</v>
      </c>
      <c r="M554" s="419">
        <v>0</v>
      </c>
      <c r="N554" s="419">
        <v>0</v>
      </c>
      <c r="O554" s="419">
        <v>0</v>
      </c>
      <c r="P554" s="419">
        <v>0</v>
      </c>
      <c r="Q554" s="419">
        <f>SUM(E554:P554)</f>
        <v>0</v>
      </c>
    </row>
    <row r="555" spans="1:17" x14ac:dyDescent="0.2">
      <c r="E555" s="417"/>
      <c r="F555" s="417"/>
      <c r="G555" s="417"/>
      <c r="H555" s="417"/>
      <c r="I555" s="417"/>
      <c r="J555" s="417"/>
      <c r="K555" s="417"/>
      <c r="L555" s="417"/>
      <c r="M555" s="417"/>
      <c r="N555" s="417"/>
      <c r="O555" s="417"/>
      <c r="P555" s="417"/>
      <c r="Q555" s="417"/>
    </row>
    <row r="556" spans="1:17" ht="10.5" thickBot="1" x14ac:dyDescent="0.25">
      <c r="A556" s="433">
        <f>A554+1</f>
        <v>19</v>
      </c>
      <c r="B556" s="433"/>
      <c r="C556" s="433" t="s">
        <v>202</v>
      </c>
      <c r="D556" s="770"/>
      <c r="E556" s="675">
        <f t="shared" ref="E556:O556" si="205">E552+E554</f>
        <v>48.37</v>
      </c>
      <c r="F556" s="675">
        <f t="shared" si="205"/>
        <v>49.53</v>
      </c>
      <c r="G556" s="675">
        <f t="shared" si="205"/>
        <v>39.549999999999997</v>
      </c>
      <c r="H556" s="675">
        <f t="shared" si="205"/>
        <v>25.59</v>
      </c>
      <c r="I556" s="675">
        <f t="shared" si="205"/>
        <v>6.34</v>
      </c>
      <c r="J556" s="675">
        <f t="shared" si="205"/>
        <v>1.0900000000000001</v>
      </c>
      <c r="K556" s="675">
        <f t="shared" si="205"/>
        <v>1.02</v>
      </c>
      <c r="L556" s="675">
        <f t="shared" si="205"/>
        <v>1.02</v>
      </c>
      <c r="M556" s="675">
        <f t="shared" si="205"/>
        <v>1.37</v>
      </c>
      <c r="N556" s="675">
        <f t="shared" si="205"/>
        <v>7.74</v>
      </c>
      <c r="O556" s="675">
        <f t="shared" si="205"/>
        <v>20.02</v>
      </c>
      <c r="P556" s="675">
        <f>P552+P554</f>
        <v>33.71</v>
      </c>
      <c r="Q556" s="675">
        <f>SUM(E556:P556)</f>
        <v>235.35000000000005</v>
      </c>
    </row>
    <row r="557" spans="1:17" ht="10.5" thickTop="1" x14ac:dyDescent="0.2"/>
    <row r="559" spans="1:17" x14ac:dyDescent="0.2">
      <c r="A559" s="216">
        <f>A556+1</f>
        <v>20</v>
      </c>
      <c r="B559" s="216" t="str">
        <f>B136</f>
        <v>LG2</v>
      </c>
      <c r="C559" s="216" t="str">
        <f>C136</f>
        <v>LG&amp;E Commercial</v>
      </c>
    </row>
    <row r="561" spans="1:17" ht="10.5" x14ac:dyDescent="0.25">
      <c r="A561" s="216">
        <f>A559+1</f>
        <v>21</v>
      </c>
      <c r="C561" s="245" t="s">
        <v>111</v>
      </c>
    </row>
    <row r="563" spans="1:17" x14ac:dyDescent="0.2">
      <c r="A563" s="216">
        <f>A561+1</f>
        <v>22</v>
      </c>
      <c r="C563" s="216" t="s">
        <v>199</v>
      </c>
      <c r="E563" s="421">
        <f>B!D52</f>
        <v>0</v>
      </c>
      <c r="F563" s="421">
        <f>B!E52</f>
        <v>0</v>
      </c>
      <c r="G563" s="421">
        <f>B!F52</f>
        <v>0</v>
      </c>
      <c r="H563" s="421">
        <f>B!G52</f>
        <v>0</v>
      </c>
      <c r="I563" s="421">
        <f>B!H52</f>
        <v>0</v>
      </c>
      <c r="J563" s="421">
        <f>B!I52</f>
        <v>0</v>
      </c>
      <c r="K563" s="421">
        <f>B!J52</f>
        <v>0</v>
      </c>
      <c r="L563" s="421">
        <f>B!K52</f>
        <v>0</v>
      </c>
      <c r="M563" s="421">
        <f>B!L52</f>
        <v>0</v>
      </c>
      <c r="N563" s="421">
        <f>B!M52</f>
        <v>0</v>
      </c>
      <c r="O563" s="421">
        <f>B!N52</f>
        <v>0</v>
      </c>
      <c r="P563" s="421">
        <f>B!O52</f>
        <v>0</v>
      </c>
      <c r="Q563" s="453">
        <f>SUM(E563:P563)</f>
        <v>0</v>
      </c>
    </row>
    <row r="564" spans="1:17" x14ac:dyDescent="0.2">
      <c r="A564" s="216">
        <f>A563+1</f>
        <v>23</v>
      </c>
      <c r="C564" s="216" t="s">
        <v>207</v>
      </c>
      <c r="D564" s="608">
        <f>Input!H24</f>
        <v>0</v>
      </c>
      <c r="E564" s="419">
        <f t="shared" ref="E564:P564" si="206">ROUND(E563*$D$496,2)</f>
        <v>0</v>
      </c>
      <c r="F564" s="419">
        <f t="shared" si="206"/>
        <v>0</v>
      </c>
      <c r="G564" s="419">
        <f t="shared" si="206"/>
        <v>0</v>
      </c>
      <c r="H564" s="419">
        <f t="shared" si="206"/>
        <v>0</v>
      </c>
      <c r="I564" s="419">
        <f t="shared" si="206"/>
        <v>0</v>
      </c>
      <c r="J564" s="419">
        <f t="shared" si="206"/>
        <v>0</v>
      </c>
      <c r="K564" s="419">
        <f t="shared" si="206"/>
        <v>0</v>
      </c>
      <c r="L564" s="419">
        <f t="shared" si="206"/>
        <v>0</v>
      </c>
      <c r="M564" s="419">
        <f t="shared" si="206"/>
        <v>0</v>
      </c>
      <c r="N564" s="419">
        <f t="shared" si="206"/>
        <v>0</v>
      </c>
      <c r="O564" s="419">
        <f t="shared" si="206"/>
        <v>0</v>
      </c>
      <c r="P564" s="419">
        <f t="shared" si="206"/>
        <v>0</v>
      </c>
      <c r="Q564" s="419">
        <f>SUM(E564:P564)</f>
        <v>0</v>
      </c>
    </row>
    <row r="566" spans="1:17" x14ac:dyDescent="0.2">
      <c r="A566" s="216">
        <f>A564+1</f>
        <v>24</v>
      </c>
      <c r="C566" s="267" t="s">
        <v>206</v>
      </c>
      <c r="E566" s="424">
        <f>'C'!D52</f>
        <v>0</v>
      </c>
      <c r="F566" s="424">
        <f>'C'!E52</f>
        <v>0</v>
      </c>
      <c r="G566" s="424">
        <f>'C'!F52</f>
        <v>0</v>
      </c>
      <c r="H566" s="424">
        <f>'C'!G52</f>
        <v>0</v>
      </c>
      <c r="I566" s="424">
        <f>'C'!H52</f>
        <v>0</v>
      </c>
      <c r="J566" s="424">
        <f>'C'!I52</f>
        <v>0</v>
      </c>
      <c r="K566" s="424">
        <f>'C'!J52</f>
        <v>0</v>
      </c>
      <c r="L566" s="424">
        <f>'C'!K52</f>
        <v>0</v>
      </c>
      <c r="M566" s="424">
        <f>'C'!L52</f>
        <v>0</v>
      </c>
      <c r="N566" s="424">
        <f>'C'!M52</f>
        <v>0</v>
      </c>
      <c r="O566" s="424">
        <f>'C'!N52</f>
        <v>0</v>
      </c>
      <c r="P566" s="424">
        <f>'C'!O52</f>
        <v>0</v>
      </c>
      <c r="Q566" s="589">
        <f>SUM(E566:P566)</f>
        <v>0</v>
      </c>
    </row>
    <row r="567" spans="1:17" x14ac:dyDescent="0.2">
      <c r="A567" s="216">
        <f>A566+1</f>
        <v>25</v>
      </c>
      <c r="C567" s="216" t="s">
        <v>209</v>
      </c>
      <c r="D567" s="609">
        <f>Input!C24</f>
        <v>0.35</v>
      </c>
      <c r="E567" s="419">
        <f t="shared" ref="E567:P567" si="207">ROUND(E566*$D$567,2)</f>
        <v>0</v>
      </c>
      <c r="F567" s="419">
        <f t="shared" si="207"/>
        <v>0</v>
      </c>
      <c r="G567" s="419">
        <f t="shared" si="207"/>
        <v>0</v>
      </c>
      <c r="H567" s="419">
        <f t="shared" si="207"/>
        <v>0</v>
      </c>
      <c r="I567" s="419">
        <f t="shared" si="207"/>
        <v>0</v>
      </c>
      <c r="J567" s="419">
        <f t="shared" si="207"/>
        <v>0</v>
      </c>
      <c r="K567" s="419">
        <f t="shared" si="207"/>
        <v>0</v>
      </c>
      <c r="L567" s="419">
        <f t="shared" si="207"/>
        <v>0</v>
      </c>
      <c r="M567" s="419">
        <f t="shared" si="207"/>
        <v>0</v>
      </c>
      <c r="N567" s="419">
        <f t="shared" si="207"/>
        <v>0</v>
      </c>
      <c r="O567" s="419">
        <f t="shared" si="207"/>
        <v>0</v>
      </c>
      <c r="P567" s="419">
        <f t="shared" si="207"/>
        <v>0</v>
      </c>
      <c r="Q567" s="419">
        <f>SUM(E567:P567)</f>
        <v>0</v>
      </c>
    </row>
    <row r="568" spans="1:17" x14ac:dyDescent="0.2">
      <c r="E568" s="417"/>
      <c r="F568" s="417"/>
      <c r="G568" s="417"/>
      <c r="H568" s="417"/>
      <c r="I568" s="417"/>
      <c r="J568" s="417"/>
      <c r="K568" s="417"/>
      <c r="L568" s="417"/>
      <c r="M568" s="417"/>
      <c r="N568" s="417"/>
      <c r="O568" s="417"/>
      <c r="P568" s="417"/>
      <c r="Q568" s="457"/>
    </row>
    <row r="569" spans="1:17" x14ac:dyDescent="0.2">
      <c r="A569" s="216">
        <f>A567+1</f>
        <v>26</v>
      </c>
      <c r="C569" s="216" t="s">
        <v>201</v>
      </c>
      <c r="E569" s="419">
        <f t="shared" ref="E569:O569" si="208">E564+E567</f>
        <v>0</v>
      </c>
      <c r="F569" s="419">
        <f t="shared" si="208"/>
        <v>0</v>
      </c>
      <c r="G569" s="419">
        <f t="shared" si="208"/>
        <v>0</v>
      </c>
      <c r="H569" s="419">
        <f t="shared" si="208"/>
        <v>0</v>
      </c>
      <c r="I569" s="419">
        <f t="shared" si="208"/>
        <v>0</v>
      </c>
      <c r="J569" s="419">
        <f t="shared" si="208"/>
        <v>0</v>
      </c>
      <c r="K569" s="419">
        <f t="shared" si="208"/>
        <v>0</v>
      </c>
      <c r="L569" s="419">
        <f t="shared" si="208"/>
        <v>0</v>
      </c>
      <c r="M569" s="419">
        <f t="shared" si="208"/>
        <v>0</v>
      </c>
      <c r="N569" s="419">
        <f t="shared" si="208"/>
        <v>0</v>
      </c>
      <c r="O569" s="419">
        <f t="shared" si="208"/>
        <v>0</v>
      </c>
      <c r="P569" s="419">
        <f>P564+P567</f>
        <v>0</v>
      </c>
      <c r="Q569" s="419">
        <f>SUM(E569:P569)</f>
        <v>0</v>
      </c>
    </row>
    <row r="570" spans="1:17" x14ac:dyDescent="0.2">
      <c r="E570" s="417"/>
      <c r="F570" s="417"/>
      <c r="G570" s="417"/>
      <c r="H570" s="417"/>
      <c r="I570" s="417"/>
      <c r="J570" s="417"/>
      <c r="K570" s="417"/>
      <c r="L570" s="417"/>
      <c r="M570" s="417"/>
      <c r="N570" s="417"/>
      <c r="O570" s="417"/>
      <c r="P570" s="417"/>
      <c r="Q570" s="417"/>
    </row>
    <row r="571" spans="1:17" x14ac:dyDescent="0.2">
      <c r="A571" s="216">
        <f>A569+1</f>
        <v>27</v>
      </c>
      <c r="C571" s="216" t="s">
        <v>148</v>
      </c>
      <c r="D571" s="609">
        <v>0</v>
      </c>
      <c r="E571" s="419">
        <v>0</v>
      </c>
      <c r="F571" s="419">
        <v>0</v>
      </c>
      <c r="G571" s="419">
        <v>0</v>
      </c>
      <c r="H571" s="419">
        <v>0</v>
      </c>
      <c r="I571" s="419">
        <v>0</v>
      </c>
      <c r="J571" s="419">
        <v>0</v>
      </c>
      <c r="K571" s="419">
        <v>0</v>
      </c>
      <c r="L571" s="419">
        <v>0</v>
      </c>
      <c r="M571" s="419">
        <v>0</v>
      </c>
      <c r="N571" s="419">
        <v>0</v>
      </c>
      <c r="O571" s="419">
        <v>0</v>
      </c>
      <c r="P571" s="419">
        <v>0</v>
      </c>
      <c r="Q571" s="419">
        <f>SUM(E571:P571)</f>
        <v>0</v>
      </c>
    </row>
    <row r="572" spans="1:17" x14ac:dyDescent="0.2">
      <c r="E572" s="417"/>
      <c r="F572" s="417"/>
      <c r="G572" s="417"/>
      <c r="H572" s="417"/>
      <c r="I572" s="417"/>
      <c r="J572" s="417"/>
      <c r="K572" s="417"/>
      <c r="L572" s="417"/>
      <c r="M572" s="417"/>
      <c r="N572" s="417"/>
      <c r="O572" s="417"/>
      <c r="P572" s="417"/>
      <c r="Q572" s="417"/>
    </row>
    <row r="573" spans="1:17" ht="10.5" thickBot="1" x14ac:dyDescent="0.25">
      <c r="A573" s="433">
        <f>A571+1</f>
        <v>28</v>
      </c>
      <c r="B573" s="433"/>
      <c r="C573" s="433" t="s">
        <v>202</v>
      </c>
      <c r="D573" s="770"/>
      <c r="E573" s="675">
        <f t="shared" ref="E573:O573" si="209">E569+E571</f>
        <v>0</v>
      </c>
      <c r="F573" s="675">
        <f t="shared" si="209"/>
        <v>0</v>
      </c>
      <c r="G573" s="675">
        <f t="shared" si="209"/>
        <v>0</v>
      </c>
      <c r="H573" s="675">
        <f t="shared" si="209"/>
        <v>0</v>
      </c>
      <c r="I573" s="675">
        <f t="shared" si="209"/>
        <v>0</v>
      </c>
      <c r="J573" s="675">
        <f t="shared" si="209"/>
        <v>0</v>
      </c>
      <c r="K573" s="675">
        <f t="shared" si="209"/>
        <v>0</v>
      </c>
      <c r="L573" s="675">
        <f t="shared" si="209"/>
        <v>0</v>
      </c>
      <c r="M573" s="675">
        <f t="shared" si="209"/>
        <v>0</v>
      </c>
      <c r="N573" s="675">
        <f t="shared" si="209"/>
        <v>0</v>
      </c>
      <c r="O573" s="675">
        <f t="shared" si="209"/>
        <v>0</v>
      </c>
      <c r="P573" s="675">
        <f>P569+P571</f>
        <v>0</v>
      </c>
      <c r="Q573" s="675">
        <f>SUM(E573:P573)</f>
        <v>0</v>
      </c>
    </row>
    <row r="574" spans="1:17" ht="10.5" thickTop="1" x14ac:dyDescent="0.2"/>
    <row r="576" spans="1:17" x14ac:dyDescent="0.2">
      <c r="A576" s="216" t="str">
        <f>$A$270</f>
        <v>[1] Reflects Normalized Volumes.</v>
      </c>
    </row>
    <row r="577" spans="1:17" ht="10.5" x14ac:dyDescent="0.25">
      <c r="A577" s="817" t="str">
        <f>CONAME</f>
        <v>Columbia Gas of Kentucky, Inc.</v>
      </c>
      <c r="B577" s="817"/>
      <c r="C577" s="817"/>
      <c r="D577" s="817"/>
      <c r="E577" s="817"/>
      <c r="F577" s="817"/>
      <c r="G577" s="817"/>
      <c r="H577" s="817"/>
      <c r="I577" s="817"/>
      <c r="J577" s="817"/>
      <c r="K577" s="817"/>
      <c r="L577" s="817"/>
      <c r="M577" s="817"/>
      <c r="N577" s="817"/>
      <c r="O577" s="817"/>
      <c r="P577" s="817"/>
      <c r="Q577" s="817"/>
    </row>
    <row r="578" spans="1:17" ht="10.5" x14ac:dyDescent="0.25">
      <c r="A578" s="800" t="str">
        <f>case</f>
        <v>Case No. 2021-00183</v>
      </c>
      <c r="B578" s="800"/>
      <c r="C578" s="800"/>
      <c r="D578" s="800"/>
      <c r="E578" s="800"/>
      <c r="F578" s="800"/>
      <c r="G578" s="800"/>
      <c r="H578" s="800"/>
      <c r="I578" s="800"/>
      <c r="J578" s="800"/>
      <c r="K578" s="800"/>
      <c r="L578" s="800"/>
      <c r="M578" s="800"/>
      <c r="N578" s="800"/>
      <c r="O578" s="800"/>
      <c r="P578" s="800"/>
      <c r="Q578" s="800"/>
    </row>
    <row r="579" spans="1:17" ht="10.5" x14ac:dyDescent="0.25">
      <c r="A579" s="815" t="s">
        <v>415</v>
      </c>
      <c r="B579" s="815"/>
      <c r="C579" s="815"/>
      <c r="D579" s="815"/>
      <c r="E579" s="815"/>
      <c r="F579" s="815"/>
      <c r="G579" s="815"/>
      <c r="H579" s="815"/>
      <c r="I579" s="815"/>
      <c r="J579" s="815"/>
      <c r="K579" s="815"/>
      <c r="L579" s="815"/>
      <c r="M579" s="815"/>
      <c r="N579" s="815"/>
      <c r="O579" s="815"/>
      <c r="P579" s="815"/>
      <c r="Q579" s="815"/>
    </row>
    <row r="580" spans="1:17" ht="10.5" x14ac:dyDescent="0.25">
      <c r="A580" s="817" t="str">
        <f>TYDESC</f>
        <v>For the 12 Months Ended December 31, 2022</v>
      </c>
      <c r="B580" s="817"/>
      <c r="C580" s="817"/>
      <c r="D580" s="817"/>
      <c r="E580" s="817"/>
      <c r="F580" s="817"/>
      <c r="G580" s="817"/>
      <c r="H580" s="817"/>
      <c r="I580" s="817"/>
      <c r="J580" s="817"/>
      <c r="K580" s="817"/>
      <c r="L580" s="817"/>
      <c r="M580" s="817"/>
      <c r="N580" s="817"/>
      <c r="O580" s="817"/>
      <c r="P580" s="817"/>
      <c r="Q580" s="817"/>
    </row>
    <row r="581" spans="1:17" ht="10.5" x14ac:dyDescent="0.25">
      <c r="A581" s="814" t="s">
        <v>39</v>
      </c>
      <c r="B581" s="814"/>
      <c r="C581" s="814"/>
      <c r="D581" s="814"/>
      <c r="E581" s="814"/>
      <c r="F581" s="814"/>
      <c r="G581" s="814"/>
      <c r="H581" s="814"/>
      <c r="I581" s="814"/>
      <c r="J581" s="814"/>
      <c r="K581" s="814"/>
      <c r="L581" s="814"/>
      <c r="M581" s="814"/>
      <c r="N581" s="814"/>
      <c r="O581" s="814"/>
      <c r="P581" s="814"/>
      <c r="Q581" s="814"/>
    </row>
    <row r="582" spans="1:17" ht="10.5" x14ac:dyDescent="0.25">
      <c r="A582" s="245" t="str">
        <f>$A$52</f>
        <v>Data: __ Base Period _X_ Forecasted Period</v>
      </c>
    </row>
    <row r="583" spans="1:17" ht="10.5" x14ac:dyDescent="0.25">
      <c r="A583" s="245" t="str">
        <f>$A$53</f>
        <v>Type of Filing: X Original _ Update _ Revised</v>
      </c>
      <c r="Q583" s="583" t="str">
        <f>$Q$53</f>
        <v>Schedule M-2.2</v>
      </c>
    </row>
    <row r="584" spans="1:17" ht="10.5" x14ac:dyDescent="0.25">
      <c r="A584" s="245" t="str">
        <f>$A$54</f>
        <v>Work Paper Reference No(s):</v>
      </c>
      <c r="Q584" s="583" t="s">
        <v>433</v>
      </c>
    </row>
    <row r="585" spans="1:17" ht="10.5" x14ac:dyDescent="0.25">
      <c r="A585" s="373" t="str">
        <f>$A$55</f>
        <v>12 Months Forecasted</v>
      </c>
      <c r="Q585" s="583" t="str">
        <f>Witness</f>
        <v>Witness:  Judith L. Siegler</v>
      </c>
    </row>
    <row r="586" spans="1:17" ht="10.5" x14ac:dyDescent="0.25">
      <c r="A586" s="816" t="s">
        <v>191</v>
      </c>
      <c r="B586" s="816"/>
      <c r="C586" s="816"/>
      <c r="D586" s="816"/>
      <c r="E586" s="816"/>
      <c r="F586" s="816"/>
      <c r="G586" s="816"/>
      <c r="H586" s="816"/>
      <c r="I586" s="816"/>
      <c r="J586" s="816"/>
      <c r="K586" s="816"/>
      <c r="L586" s="816"/>
      <c r="M586" s="816"/>
      <c r="N586" s="816"/>
      <c r="O586" s="816"/>
      <c r="P586" s="816"/>
      <c r="Q586" s="816"/>
    </row>
    <row r="587" spans="1:17" ht="10.5" x14ac:dyDescent="0.25">
      <c r="A587" s="392"/>
      <c r="B587" s="280"/>
      <c r="C587" s="280"/>
      <c r="D587" s="282"/>
      <c r="E587" s="280"/>
      <c r="F587" s="438"/>
      <c r="G587" s="439"/>
      <c r="H587" s="438"/>
      <c r="I587" s="440"/>
      <c r="J587" s="438"/>
      <c r="K587" s="438"/>
      <c r="L587" s="438"/>
      <c r="M587" s="438"/>
      <c r="N587" s="438"/>
      <c r="O587" s="438"/>
      <c r="P587" s="438"/>
      <c r="Q587" s="280"/>
    </row>
    <row r="588" spans="1:17" ht="10.5" x14ac:dyDescent="0.25">
      <c r="A588" s="727" t="s">
        <v>1</v>
      </c>
      <c r="B588" s="727" t="s">
        <v>0</v>
      </c>
      <c r="C588" s="727" t="s">
        <v>41</v>
      </c>
      <c r="D588" s="731" t="s">
        <v>47</v>
      </c>
      <c r="E588" s="727"/>
      <c r="F588" s="584"/>
      <c r="G588" s="587"/>
      <c r="H588" s="584"/>
      <c r="I588" s="730"/>
      <c r="J588" s="584"/>
      <c r="K588" s="584"/>
      <c r="L588" s="584"/>
      <c r="M588" s="584"/>
      <c r="N588" s="584"/>
      <c r="O588" s="584"/>
      <c r="P588" s="584"/>
      <c r="Q588" s="732"/>
    </row>
    <row r="589" spans="1:17" ht="10.5" x14ac:dyDescent="0.25">
      <c r="A589" s="263" t="s">
        <v>3</v>
      </c>
      <c r="B589" s="263" t="s">
        <v>40</v>
      </c>
      <c r="C589" s="263" t="s">
        <v>4</v>
      </c>
      <c r="D589" s="756" t="s">
        <v>48</v>
      </c>
      <c r="E589" s="380" t="str">
        <f>B!$D$11</f>
        <v>Jan-22</v>
      </c>
      <c r="F589" s="380" t="str">
        <f>B!$E$11</f>
        <v>Feb-22</v>
      </c>
      <c r="G589" s="380" t="str">
        <f>B!$F$11</f>
        <v>Mar-22</v>
      </c>
      <c r="H589" s="380" t="str">
        <f>B!$G$11</f>
        <v>Apr-22</v>
      </c>
      <c r="I589" s="380" t="str">
        <f>B!$H$11</f>
        <v>May-22</v>
      </c>
      <c r="J589" s="380" t="str">
        <f>B!$I$11</f>
        <v>Jun-22</v>
      </c>
      <c r="K589" s="380" t="str">
        <f>B!$J$11</f>
        <v>Jul-22</v>
      </c>
      <c r="L589" s="380" t="str">
        <f>B!$K$11</f>
        <v>Aug-22</v>
      </c>
      <c r="M589" s="380" t="str">
        <f>B!$L$11</f>
        <v>Sep-22</v>
      </c>
      <c r="N589" s="380" t="str">
        <f>B!$M$11</f>
        <v>Oct-22</v>
      </c>
      <c r="O589" s="380" t="str">
        <f>B!$N$11</f>
        <v>Nov-22</v>
      </c>
      <c r="P589" s="380" t="str">
        <f>B!$O$11</f>
        <v>Dec-22</v>
      </c>
      <c r="Q589" s="380" t="s">
        <v>9</v>
      </c>
    </row>
    <row r="590" spans="1:17" ht="10.5" x14ac:dyDescent="0.25">
      <c r="A590" s="727"/>
      <c r="B590" s="732" t="s">
        <v>42</v>
      </c>
      <c r="C590" s="732" t="s">
        <v>43</v>
      </c>
      <c r="D590" s="757" t="s">
        <v>45</v>
      </c>
      <c r="E590" s="586" t="s">
        <v>46</v>
      </c>
      <c r="F590" s="586" t="s">
        <v>49</v>
      </c>
      <c r="G590" s="586" t="s">
        <v>50</v>
      </c>
      <c r="H590" s="586" t="s">
        <v>51</v>
      </c>
      <c r="I590" s="586" t="s">
        <v>52</v>
      </c>
      <c r="J590" s="586" t="s">
        <v>53</v>
      </c>
      <c r="K590" s="588" t="s">
        <v>54</v>
      </c>
      <c r="L590" s="588" t="s">
        <v>55</v>
      </c>
      <c r="M590" s="588" t="s">
        <v>56</v>
      </c>
      <c r="N590" s="588" t="s">
        <v>57</v>
      </c>
      <c r="O590" s="588" t="s">
        <v>58</v>
      </c>
      <c r="P590" s="588" t="s">
        <v>59</v>
      </c>
      <c r="Q590" s="588" t="s">
        <v>200</v>
      </c>
    </row>
    <row r="591" spans="1:17" ht="10.5" x14ac:dyDescent="0.25">
      <c r="E591" s="732"/>
      <c r="F591" s="588"/>
      <c r="G591" s="585"/>
      <c r="H591" s="588"/>
      <c r="I591" s="586"/>
      <c r="J591" s="588"/>
      <c r="K591" s="588"/>
      <c r="L591" s="588"/>
      <c r="M591" s="588"/>
      <c r="N591" s="588"/>
      <c r="O591" s="588"/>
      <c r="P591" s="588"/>
      <c r="Q591" s="732"/>
    </row>
    <row r="592" spans="1:17" x14ac:dyDescent="0.2">
      <c r="A592" s="216">
        <v>1</v>
      </c>
      <c r="B592" s="216" t="str">
        <f>B143</f>
        <v>LG3</v>
      </c>
      <c r="C592" s="216" t="str">
        <f>C143</f>
        <v>LG&amp;E Residential</v>
      </c>
    </row>
    <row r="594" spans="1:17" ht="10.5" x14ac:dyDescent="0.25">
      <c r="A594" s="216">
        <f>A592+1</f>
        <v>2</v>
      </c>
      <c r="C594" s="245" t="s">
        <v>109</v>
      </c>
    </row>
    <row r="595" spans="1:17" x14ac:dyDescent="0.2">
      <c r="D595" s="216"/>
      <c r="F595" s="216"/>
      <c r="G595" s="216"/>
      <c r="H595" s="216"/>
      <c r="I595" s="216"/>
      <c r="J595" s="216"/>
      <c r="K595" s="216"/>
      <c r="L595" s="216"/>
      <c r="M595" s="216"/>
      <c r="N595" s="216"/>
      <c r="O595" s="216"/>
      <c r="P595" s="216"/>
    </row>
    <row r="596" spans="1:17" x14ac:dyDescent="0.2">
      <c r="A596" s="216">
        <f>A594+1</f>
        <v>3</v>
      </c>
      <c r="C596" s="216" t="s">
        <v>199</v>
      </c>
      <c r="E596" s="421">
        <f>B!D70</f>
        <v>1</v>
      </c>
      <c r="F596" s="421">
        <f>B!E70</f>
        <v>1</v>
      </c>
      <c r="G596" s="421">
        <f>B!F70</f>
        <v>1</v>
      </c>
      <c r="H596" s="421">
        <f>B!G70</f>
        <v>1</v>
      </c>
      <c r="I596" s="421">
        <f>B!H70</f>
        <v>1</v>
      </c>
      <c r="J596" s="421">
        <f>B!I70</f>
        <v>1</v>
      </c>
      <c r="K596" s="421">
        <f>B!J70</f>
        <v>1</v>
      </c>
      <c r="L596" s="421">
        <f>B!K70</f>
        <v>1</v>
      </c>
      <c r="M596" s="421">
        <f>B!L70</f>
        <v>1</v>
      </c>
      <c r="N596" s="421">
        <f>B!M70</f>
        <v>1</v>
      </c>
      <c r="O596" s="421">
        <f>B!N70</f>
        <v>1</v>
      </c>
      <c r="P596" s="421">
        <f>B!O70</f>
        <v>1</v>
      </c>
      <c r="Q596" s="421">
        <f>SUM(E596:P596)</f>
        <v>12</v>
      </c>
    </row>
    <row r="597" spans="1:17" x14ac:dyDescent="0.2">
      <c r="A597" s="216">
        <f>A596+1</f>
        <v>4</v>
      </c>
      <c r="C597" s="216" t="s">
        <v>207</v>
      </c>
      <c r="D597" s="608">
        <f>Input!H25</f>
        <v>1.2</v>
      </c>
      <c r="E597" s="419">
        <f t="shared" ref="E597:P597" si="210">ROUND(E596*$D$597,2)</f>
        <v>1.2</v>
      </c>
      <c r="F597" s="419">
        <f t="shared" si="210"/>
        <v>1.2</v>
      </c>
      <c r="G597" s="419">
        <f t="shared" si="210"/>
        <v>1.2</v>
      </c>
      <c r="H597" s="419">
        <f t="shared" si="210"/>
        <v>1.2</v>
      </c>
      <c r="I597" s="419">
        <f t="shared" si="210"/>
        <v>1.2</v>
      </c>
      <c r="J597" s="419">
        <f t="shared" si="210"/>
        <v>1.2</v>
      </c>
      <c r="K597" s="419">
        <f t="shared" si="210"/>
        <v>1.2</v>
      </c>
      <c r="L597" s="419">
        <f t="shared" si="210"/>
        <v>1.2</v>
      </c>
      <c r="M597" s="419">
        <f t="shared" si="210"/>
        <v>1.2</v>
      </c>
      <c r="N597" s="419">
        <f t="shared" si="210"/>
        <v>1.2</v>
      </c>
      <c r="O597" s="419">
        <f t="shared" si="210"/>
        <v>1.2</v>
      </c>
      <c r="P597" s="419">
        <f t="shared" si="210"/>
        <v>1.2</v>
      </c>
      <c r="Q597" s="419">
        <f>SUM(E597:P597)</f>
        <v>14.399999999999997</v>
      </c>
    </row>
    <row r="599" spans="1:17" x14ac:dyDescent="0.2">
      <c r="A599" s="216">
        <f>A597+1</f>
        <v>5</v>
      </c>
      <c r="C599" s="267" t="s">
        <v>206</v>
      </c>
    </row>
    <row r="600" spans="1:17" x14ac:dyDescent="0.2">
      <c r="A600" s="216">
        <f>A599+1</f>
        <v>6</v>
      </c>
      <c r="C600" s="216" t="str">
        <f>'C'!B69</f>
        <v xml:space="preserve">    First 2 Mcf</v>
      </c>
      <c r="D600" s="216"/>
      <c r="E600" s="272">
        <f>'C'!D69</f>
        <v>2</v>
      </c>
      <c r="F600" s="272">
        <f>'C'!E69</f>
        <v>2</v>
      </c>
      <c r="G600" s="272">
        <f>'C'!F69</f>
        <v>2</v>
      </c>
      <c r="H600" s="272">
        <f>'C'!G69</f>
        <v>2</v>
      </c>
      <c r="I600" s="272">
        <f>'C'!H69</f>
        <v>2</v>
      </c>
      <c r="J600" s="272">
        <f>'C'!I69</f>
        <v>2.4</v>
      </c>
      <c r="K600" s="272">
        <f>'C'!J69</f>
        <v>2</v>
      </c>
      <c r="L600" s="272">
        <f>'C'!K69</f>
        <v>2</v>
      </c>
      <c r="M600" s="272">
        <f>'C'!L69</f>
        <v>2</v>
      </c>
      <c r="N600" s="272">
        <f>'C'!M69</f>
        <v>2</v>
      </c>
      <c r="O600" s="272">
        <f>'C'!N69</f>
        <v>2</v>
      </c>
      <c r="P600" s="272">
        <f>'C'!O69</f>
        <v>2</v>
      </c>
      <c r="Q600" s="589">
        <f>SUM(E600:P600)</f>
        <v>24.4</v>
      </c>
    </row>
    <row r="601" spans="1:17" x14ac:dyDescent="0.2">
      <c r="A601" s="216">
        <f>A600+1</f>
        <v>7</v>
      </c>
      <c r="C601" s="216" t="str">
        <f>'C'!B70</f>
        <v xml:space="preserve">    Over 2 Mcf</v>
      </c>
      <c r="D601" s="216"/>
      <c r="E601" s="448">
        <f>'C'!D70</f>
        <v>80.400000000000006</v>
      </c>
      <c r="F601" s="448">
        <f>'C'!E70</f>
        <v>86.1</v>
      </c>
      <c r="G601" s="448">
        <f>'C'!F70</f>
        <v>73.599999999999994</v>
      </c>
      <c r="H601" s="448">
        <f>'C'!G70</f>
        <v>48</v>
      </c>
      <c r="I601" s="448">
        <f>'C'!H70</f>
        <v>18.100000000000001</v>
      </c>
      <c r="J601" s="448">
        <f>'C'!I70</f>
        <v>9.1</v>
      </c>
      <c r="K601" s="448">
        <f>'C'!J70</f>
        <v>8</v>
      </c>
      <c r="L601" s="448">
        <f>'C'!K70</f>
        <v>15.7</v>
      </c>
      <c r="M601" s="448">
        <f>'C'!L70</f>
        <v>36.799999999999997</v>
      </c>
      <c r="N601" s="448">
        <f>'C'!M70</f>
        <v>42.7</v>
      </c>
      <c r="O601" s="448">
        <f>'C'!N70</f>
        <v>50.1</v>
      </c>
      <c r="P601" s="448">
        <f>'C'!O70</f>
        <v>95.9</v>
      </c>
      <c r="Q601" s="448">
        <f>SUM(E601:P601)</f>
        <v>564.50000000000011</v>
      </c>
    </row>
    <row r="602" spans="1:17" x14ac:dyDescent="0.2">
      <c r="E602" s="272">
        <f t="shared" ref="E602:O602" si="211">SUM(E600:E601)</f>
        <v>82.4</v>
      </c>
      <c r="F602" s="272">
        <f t="shared" si="211"/>
        <v>88.1</v>
      </c>
      <c r="G602" s="272">
        <f t="shared" si="211"/>
        <v>75.599999999999994</v>
      </c>
      <c r="H602" s="272">
        <f t="shared" si="211"/>
        <v>50</v>
      </c>
      <c r="I602" s="272">
        <f t="shared" si="211"/>
        <v>20.100000000000001</v>
      </c>
      <c r="J602" s="272">
        <f t="shared" si="211"/>
        <v>11.5</v>
      </c>
      <c r="K602" s="272">
        <f t="shared" si="211"/>
        <v>10</v>
      </c>
      <c r="L602" s="272">
        <f t="shared" si="211"/>
        <v>17.7</v>
      </c>
      <c r="M602" s="272">
        <f t="shared" si="211"/>
        <v>38.799999999999997</v>
      </c>
      <c r="N602" s="272">
        <f t="shared" si="211"/>
        <v>44.7</v>
      </c>
      <c r="O602" s="272">
        <f t="shared" si="211"/>
        <v>52.1</v>
      </c>
      <c r="P602" s="272">
        <f>SUM(P600:P601)</f>
        <v>97.9</v>
      </c>
      <c r="Q602" s="424">
        <f>SUM(E602:P602)</f>
        <v>588.90000000000009</v>
      </c>
    </row>
    <row r="603" spans="1:17" x14ac:dyDescent="0.2">
      <c r="A603" s="216">
        <f>A601+1</f>
        <v>8</v>
      </c>
      <c r="C603" s="216" t="s">
        <v>204</v>
      </c>
    </row>
    <row r="604" spans="1:17" x14ac:dyDescent="0.2">
      <c r="A604" s="216">
        <f>A603+1</f>
        <v>9</v>
      </c>
      <c r="C604" s="216" t="str">
        <f>C600</f>
        <v xml:space="preserve">    First 2 Mcf</v>
      </c>
      <c r="D604" s="609">
        <f>Input!C25</f>
        <v>0</v>
      </c>
      <c r="E604" s="419">
        <f t="shared" ref="E604:P604" si="212">ROUND(E600*$D$604,2)</f>
        <v>0</v>
      </c>
      <c r="F604" s="419">
        <f t="shared" si="212"/>
        <v>0</v>
      </c>
      <c r="G604" s="419">
        <f t="shared" si="212"/>
        <v>0</v>
      </c>
      <c r="H604" s="419">
        <f t="shared" si="212"/>
        <v>0</v>
      </c>
      <c r="I604" s="419">
        <f t="shared" si="212"/>
        <v>0</v>
      </c>
      <c r="J604" s="419">
        <f t="shared" si="212"/>
        <v>0</v>
      </c>
      <c r="K604" s="419">
        <f t="shared" si="212"/>
        <v>0</v>
      </c>
      <c r="L604" s="419">
        <f t="shared" si="212"/>
        <v>0</v>
      </c>
      <c r="M604" s="419">
        <f t="shared" si="212"/>
        <v>0</v>
      </c>
      <c r="N604" s="419">
        <f t="shared" si="212"/>
        <v>0</v>
      </c>
      <c r="O604" s="419">
        <f t="shared" si="212"/>
        <v>0</v>
      </c>
      <c r="P604" s="419">
        <f t="shared" si="212"/>
        <v>0</v>
      </c>
      <c r="Q604" s="419">
        <f>SUM(E604:P604)</f>
        <v>0</v>
      </c>
    </row>
    <row r="605" spans="1:17" x14ac:dyDescent="0.2">
      <c r="A605" s="216">
        <f>A604+1</f>
        <v>10</v>
      </c>
      <c r="C605" s="216" t="str">
        <f>C601</f>
        <v xml:space="preserve">    Over 2 Mcf</v>
      </c>
      <c r="D605" s="609">
        <f>Input!D25</f>
        <v>0.35</v>
      </c>
      <c r="E605" s="255">
        <f t="shared" ref="E605:P605" si="213">ROUND(E601*$D$605,2)</f>
        <v>28.14</v>
      </c>
      <c r="F605" s="255">
        <f t="shared" si="213"/>
        <v>30.14</v>
      </c>
      <c r="G605" s="255">
        <f t="shared" si="213"/>
        <v>25.76</v>
      </c>
      <c r="H605" s="255">
        <f t="shared" si="213"/>
        <v>16.8</v>
      </c>
      <c r="I605" s="255">
        <f t="shared" si="213"/>
        <v>6.34</v>
      </c>
      <c r="J605" s="255">
        <f t="shared" si="213"/>
        <v>3.19</v>
      </c>
      <c r="K605" s="255">
        <f t="shared" si="213"/>
        <v>2.8</v>
      </c>
      <c r="L605" s="255">
        <f t="shared" si="213"/>
        <v>5.5</v>
      </c>
      <c r="M605" s="255">
        <f t="shared" si="213"/>
        <v>12.88</v>
      </c>
      <c r="N605" s="255">
        <f t="shared" si="213"/>
        <v>14.95</v>
      </c>
      <c r="O605" s="255">
        <f t="shared" si="213"/>
        <v>17.54</v>
      </c>
      <c r="P605" s="255">
        <f t="shared" si="213"/>
        <v>33.57</v>
      </c>
      <c r="Q605" s="255">
        <f>SUM(E605:P605)</f>
        <v>197.60999999999999</v>
      </c>
    </row>
    <row r="606" spans="1:17" x14ac:dyDescent="0.2">
      <c r="E606" s="419">
        <f t="shared" ref="E606:O606" si="214">SUM(E604:E605)</f>
        <v>28.14</v>
      </c>
      <c r="F606" s="419">
        <f t="shared" si="214"/>
        <v>30.14</v>
      </c>
      <c r="G606" s="419">
        <f t="shared" si="214"/>
        <v>25.76</v>
      </c>
      <c r="H606" s="419">
        <f t="shared" si="214"/>
        <v>16.8</v>
      </c>
      <c r="I606" s="419">
        <f t="shared" si="214"/>
        <v>6.34</v>
      </c>
      <c r="J606" s="419">
        <f t="shared" si="214"/>
        <v>3.19</v>
      </c>
      <c r="K606" s="419">
        <f t="shared" si="214"/>
        <v>2.8</v>
      </c>
      <c r="L606" s="419">
        <f t="shared" si="214"/>
        <v>5.5</v>
      </c>
      <c r="M606" s="419">
        <f t="shared" si="214"/>
        <v>12.88</v>
      </c>
      <c r="N606" s="419">
        <f t="shared" si="214"/>
        <v>14.95</v>
      </c>
      <c r="O606" s="419">
        <f t="shared" si="214"/>
        <v>17.54</v>
      </c>
      <c r="P606" s="419">
        <f>SUM(P604:P605)</f>
        <v>33.57</v>
      </c>
      <c r="Q606" s="419">
        <f>SUM(E606:P606)</f>
        <v>197.60999999999999</v>
      </c>
    </row>
    <row r="608" spans="1:17" x14ac:dyDescent="0.2">
      <c r="A608" s="216">
        <f>A605+1</f>
        <v>11</v>
      </c>
      <c r="C608" s="216" t="s">
        <v>201</v>
      </c>
      <c r="E608" s="419">
        <f t="shared" ref="E608:O608" si="215">E597+E606</f>
        <v>29.34</v>
      </c>
      <c r="F608" s="419">
        <f t="shared" si="215"/>
        <v>31.34</v>
      </c>
      <c r="G608" s="419">
        <f t="shared" si="215"/>
        <v>26.96</v>
      </c>
      <c r="H608" s="419">
        <f t="shared" si="215"/>
        <v>18</v>
      </c>
      <c r="I608" s="419">
        <f t="shared" si="215"/>
        <v>7.54</v>
      </c>
      <c r="J608" s="419">
        <f t="shared" si="215"/>
        <v>4.3899999999999997</v>
      </c>
      <c r="K608" s="419">
        <f t="shared" si="215"/>
        <v>4</v>
      </c>
      <c r="L608" s="419">
        <f t="shared" si="215"/>
        <v>6.7</v>
      </c>
      <c r="M608" s="419">
        <f t="shared" si="215"/>
        <v>14.08</v>
      </c>
      <c r="N608" s="419">
        <f t="shared" si="215"/>
        <v>16.149999999999999</v>
      </c>
      <c r="O608" s="419">
        <f t="shared" si="215"/>
        <v>18.739999999999998</v>
      </c>
      <c r="P608" s="419">
        <f>P597+P606</f>
        <v>34.770000000000003</v>
      </c>
      <c r="Q608" s="419">
        <f>SUM(E608:P608)</f>
        <v>212.01000000000005</v>
      </c>
    </row>
    <row r="609" spans="1:17" x14ac:dyDescent="0.2">
      <c r="E609" s="417"/>
      <c r="F609" s="417"/>
      <c r="G609" s="417"/>
      <c r="H609" s="417"/>
      <c r="I609" s="417"/>
      <c r="J609" s="417"/>
      <c r="K609" s="417"/>
      <c r="L609" s="417"/>
      <c r="M609" s="417"/>
      <c r="N609" s="417"/>
      <c r="O609" s="417"/>
      <c r="P609" s="417"/>
      <c r="Q609" s="417"/>
    </row>
    <row r="610" spans="1:17" x14ac:dyDescent="0.2">
      <c r="A610" s="216">
        <f>A608+1</f>
        <v>12</v>
      </c>
      <c r="C610" s="216" t="s">
        <v>148</v>
      </c>
      <c r="D610" s="609">
        <v>0</v>
      </c>
      <c r="E610" s="419">
        <v>0</v>
      </c>
      <c r="F610" s="419">
        <v>0</v>
      </c>
      <c r="G610" s="419">
        <v>0</v>
      </c>
      <c r="H610" s="419">
        <v>0</v>
      </c>
      <c r="I610" s="419">
        <v>0</v>
      </c>
      <c r="J610" s="419">
        <v>0</v>
      </c>
      <c r="K610" s="419">
        <v>0</v>
      </c>
      <c r="L610" s="419">
        <v>0</v>
      </c>
      <c r="M610" s="419">
        <v>0</v>
      </c>
      <c r="N610" s="419">
        <v>0</v>
      </c>
      <c r="O610" s="419">
        <v>0</v>
      </c>
      <c r="P610" s="419">
        <v>0</v>
      </c>
      <c r="Q610" s="419">
        <f>SUM(E610:P610)</f>
        <v>0</v>
      </c>
    </row>
    <row r="611" spans="1:17" x14ac:dyDescent="0.2">
      <c r="E611" s="417"/>
      <c r="F611" s="417"/>
      <c r="G611" s="417"/>
      <c r="H611" s="417"/>
      <c r="I611" s="417"/>
      <c r="J611" s="417"/>
      <c r="K611" s="417"/>
      <c r="L611" s="417"/>
      <c r="M611" s="417"/>
      <c r="N611" s="417"/>
      <c r="O611" s="417"/>
      <c r="P611" s="417"/>
      <c r="Q611" s="417"/>
    </row>
    <row r="612" spans="1:17" ht="10.5" thickBot="1" x14ac:dyDescent="0.25">
      <c r="A612" s="433">
        <f>A610+1</f>
        <v>13</v>
      </c>
      <c r="B612" s="433"/>
      <c r="C612" s="433" t="s">
        <v>202</v>
      </c>
      <c r="D612" s="770"/>
      <c r="E612" s="675">
        <f t="shared" ref="E612:O612" si="216">E608+E610</f>
        <v>29.34</v>
      </c>
      <c r="F612" s="675">
        <f t="shared" si="216"/>
        <v>31.34</v>
      </c>
      <c r="G612" s="675">
        <f t="shared" si="216"/>
        <v>26.96</v>
      </c>
      <c r="H612" s="675">
        <f t="shared" si="216"/>
        <v>18</v>
      </c>
      <c r="I612" s="675">
        <f t="shared" si="216"/>
        <v>7.54</v>
      </c>
      <c r="J612" s="675">
        <f t="shared" si="216"/>
        <v>4.3899999999999997</v>
      </c>
      <c r="K612" s="675">
        <f t="shared" si="216"/>
        <v>4</v>
      </c>
      <c r="L612" s="675">
        <f t="shared" si="216"/>
        <v>6.7</v>
      </c>
      <c r="M612" s="675">
        <f t="shared" si="216"/>
        <v>14.08</v>
      </c>
      <c r="N612" s="675">
        <f t="shared" si="216"/>
        <v>16.149999999999999</v>
      </c>
      <c r="O612" s="675">
        <f t="shared" si="216"/>
        <v>18.739999999999998</v>
      </c>
      <c r="P612" s="675">
        <f>P608+P610</f>
        <v>34.770000000000003</v>
      </c>
      <c r="Q612" s="675">
        <f>SUM(E612:P612)</f>
        <v>212.01000000000005</v>
      </c>
    </row>
    <row r="613" spans="1:17" ht="10.5" thickTop="1" x14ac:dyDescent="0.2"/>
    <row r="615" spans="1:17" x14ac:dyDescent="0.2">
      <c r="A615" s="216">
        <f>A612+1</f>
        <v>14</v>
      </c>
      <c r="B615" s="216" t="str">
        <f>B150</f>
        <v>LG4</v>
      </c>
      <c r="C615" s="216" t="str">
        <f>C150</f>
        <v>LG&amp;E Residential</v>
      </c>
    </row>
    <row r="617" spans="1:17" ht="10.5" x14ac:dyDescent="0.25">
      <c r="A617" s="216">
        <v>2</v>
      </c>
      <c r="C617" s="245" t="s">
        <v>109</v>
      </c>
    </row>
    <row r="619" spans="1:17" x14ac:dyDescent="0.2">
      <c r="A619" s="216">
        <v>3</v>
      </c>
      <c r="C619" s="216" t="s">
        <v>199</v>
      </c>
      <c r="E619" s="421">
        <f>B!D75</f>
        <v>1</v>
      </c>
      <c r="F619" s="421">
        <f>B!E75</f>
        <v>1</v>
      </c>
      <c r="G619" s="421">
        <f>B!F75</f>
        <v>1</v>
      </c>
      <c r="H619" s="421">
        <f>B!G75</f>
        <v>1</v>
      </c>
      <c r="I619" s="421">
        <f>B!H75</f>
        <v>1</v>
      </c>
      <c r="J619" s="421">
        <f>B!I75</f>
        <v>1</v>
      </c>
      <c r="K619" s="421">
        <f>B!J75</f>
        <v>1</v>
      </c>
      <c r="L619" s="421">
        <f>B!K75</f>
        <v>1</v>
      </c>
      <c r="M619" s="421">
        <f>B!L75</f>
        <v>1</v>
      </c>
      <c r="N619" s="421">
        <f>B!M75</f>
        <v>1</v>
      </c>
      <c r="O619" s="421">
        <f>B!N75</f>
        <v>1</v>
      </c>
      <c r="P619" s="421">
        <f>B!O75</f>
        <v>1</v>
      </c>
      <c r="Q619" s="453">
        <f>SUM(E619:P619)</f>
        <v>12</v>
      </c>
    </row>
    <row r="620" spans="1:17" x14ac:dyDescent="0.2">
      <c r="A620" s="216">
        <v>4</v>
      </c>
      <c r="C620" s="216" t="s">
        <v>207</v>
      </c>
      <c r="D620" s="608">
        <f>Input!H26</f>
        <v>0</v>
      </c>
      <c r="E620" s="419">
        <f t="shared" ref="E620:P620" si="217">ROUND(E619*$D$496,2)</f>
        <v>0</v>
      </c>
      <c r="F620" s="419">
        <f t="shared" si="217"/>
        <v>0</v>
      </c>
      <c r="G620" s="419">
        <f t="shared" si="217"/>
        <v>0</v>
      </c>
      <c r="H620" s="419">
        <f t="shared" si="217"/>
        <v>0</v>
      </c>
      <c r="I620" s="419">
        <f t="shared" si="217"/>
        <v>0</v>
      </c>
      <c r="J620" s="419">
        <f t="shared" si="217"/>
        <v>0</v>
      </c>
      <c r="K620" s="419">
        <f t="shared" si="217"/>
        <v>0</v>
      </c>
      <c r="L620" s="419">
        <f t="shared" si="217"/>
        <v>0</v>
      </c>
      <c r="M620" s="419">
        <f t="shared" si="217"/>
        <v>0</v>
      </c>
      <c r="N620" s="419">
        <f t="shared" si="217"/>
        <v>0</v>
      </c>
      <c r="O620" s="419">
        <f t="shared" si="217"/>
        <v>0</v>
      </c>
      <c r="P620" s="419">
        <f t="shared" si="217"/>
        <v>0</v>
      </c>
      <c r="Q620" s="419">
        <f>SUM(E620:P620)</f>
        <v>0</v>
      </c>
    </row>
    <row r="622" spans="1:17" x14ac:dyDescent="0.2">
      <c r="A622" s="216">
        <v>5</v>
      </c>
      <c r="C622" s="267" t="s">
        <v>206</v>
      </c>
      <c r="E622" s="424">
        <f>'C'!D76</f>
        <v>33</v>
      </c>
      <c r="F622" s="424">
        <f>'C'!E76</f>
        <v>31.8</v>
      </c>
      <c r="G622" s="424">
        <f>'C'!F76</f>
        <v>30.3</v>
      </c>
      <c r="H622" s="424">
        <f>'C'!G76</f>
        <v>15.7</v>
      </c>
      <c r="I622" s="424">
        <f>'C'!H76</f>
        <v>8.8000000000000007</v>
      </c>
      <c r="J622" s="424">
        <f>'C'!I76</f>
        <v>2.5</v>
      </c>
      <c r="K622" s="424">
        <f>'C'!J76</f>
        <v>2.4</v>
      </c>
      <c r="L622" s="424">
        <f>'C'!K76</f>
        <v>2.4</v>
      </c>
      <c r="M622" s="424">
        <f>'C'!L76</f>
        <v>2.8</v>
      </c>
      <c r="N622" s="424">
        <f>'C'!M76</f>
        <v>3.9</v>
      </c>
      <c r="O622" s="424">
        <f>'C'!N76</f>
        <v>10.3</v>
      </c>
      <c r="P622" s="424">
        <f>'C'!O76</f>
        <v>22.9</v>
      </c>
      <c r="Q622" s="589">
        <f>SUM(E622:P622)</f>
        <v>166.80000000000004</v>
      </c>
    </row>
    <row r="623" spans="1:17" x14ac:dyDescent="0.2">
      <c r="A623" s="216">
        <v>6</v>
      </c>
      <c r="C623" s="216" t="s">
        <v>209</v>
      </c>
      <c r="D623" s="609">
        <f>Input!C26</f>
        <v>0.4</v>
      </c>
      <c r="E623" s="419">
        <f t="shared" ref="E623:P623" si="218">ROUND(E622*$D$623,2)</f>
        <v>13.2</v>
      </c>
      <c r="F623" s="419">
        <f t="shared" si="218"/>
        <v>12.72</v>
      </c>
      <c r="G623" s="419">
        <f t="shared" si="218"/>
        <v>12.12</v>
      </c>
      <c r="H623" s="419">
        <f t="shared" si="218"/>
        <v>6.28</v>
      </c>
      <c r="I623" s="419">
        <f t="shared" si="218"/>
        <v>3.52</v>
      </c>
      <c r="J623" s="419">
        <f t="shared" si="218"/>
        <v>1</v>
      </c>
      <c r="K623" s="419">
        <f t="shared" si="218"/>
        <v>0.96</v>
      </c>
      <c r="L623" s="419">
        <f t="shared" si="218"/>
        <v>0.96</v>
      </c>
      <c r="M623" s="419">
        <f t="shared" si="218"/>
        <v>1.1200000000000001</v>
      </c>
      <c r="N623" s="419">
        <f t="shared" si="218"/>
        <v>1.56</v>
      </c>
      <c r="O623" s="419">
        <f t="shared" si="218"/>
        <v>4.12</v>
      </c>
      <c r="P623" s="419">
        <f t="shared" si="218"/>
        <v>9.16</v>
      </c>
      <c r="Q623" s="419">
        <f>SUM(E623:P623)</f>
        <v>66.72</v>
      </c>
    </row>
    <row r="624" spans="1:17" x14ac:dyDescent="0.2">
      <c r="E624" s="417"/>
      <c r="F624" s="417"/>
      <c r="G624" s="417"/>
      <c r="H624" s="417"/>
      <c r="I624" s="417"/>
      <c r="J624" s="417"/>
      <c r="K624" s="417"/>
      <c r="L624" s="417"/>
      <c r="M624" s="417"/>
      <c r="N624" s="417"/>
      <c r="O624" s="417"/>
      <c r="P624" s="417"/>
      <c r="Q624" s="457"/>
    </row>
    <row r="625" spans="1:17" x14ac:dyDescent="0.2">
      <c r="A625" s="216">
        <v>7</v>
      </c>
      <c r="C625" s="216" t="s">
        <v>201</v>
      </c>
      <c r="E625" s="419">
        <f t="shared" ref="E625:O625" si="219">E620+E623</f>
        <v>13.2</v>
      </c>
      <c r="F625" s="419">
        <f t="shared" si="219"/>
        <v>12.72</v>
      </c>
      <c r="G625" s="419">
        <f t="shared" si="219"/>
        <v>12.12</v>
      </c>
      <c r="H625" s="419">
        <f t="shared" si="219"/>
        <v>6.28</v>
      </c>
      <c r="I625" s="419">
        <f t="shared" si="219"/>
        <v>3.52</v>
      </c>
      <c r="J625" s="419">
        <f t="shared" si="219"/>
        <v>1</v>
      </c>
      <c r="K625" s="419">
        <f t="shared" si="219"/>
        <v>0.96</v>
      </c>
      <c r="L625" s="419">
        <f t="shared" si="219"/>
        <v>0.96</v>
      </c>
      <c r="M625" s="419">
        <f t="shared" si="219"/>
        <v>1.1200000000000001</v>
      </c>
      <c r="N625" s="419">
        <f t="shared" si="219"/>
        <v>1.56</v>
      </c>
      <c r="O625" s="419">
        <f t="shared" si="219"/>
        <v>4.12</v>
      </c>
      <c r="P625" s="419">
        <f>P620+P623</f>
        <v>9.16</v>
      </c>
      <c r="Q625" s="419">
        <f>SUM(E625:P625)</f>
        <v>66.72</v>
      </c>
    </row>
    <row r="626" spans="1:17" x14ac:dyDescent="0.2">
      <c r="E626" s="417"/>
      <c r="F626" s="417"/>
      <c r="G626" s="417"/>
      <c r="H626" s="417"/>
      <c r="I626" s="417"/>
      <c r="J626" s="417"/>
      <c r="K626" s="417"/>
      <c r="L626" s="417"/>
      <c r="M626" s="417"/>
      <c r="N626" s="417"/>
      <c r="O626" s="417"/>
      <c r="P626" s="417"/>
      <c r="Q626" s="417"/>
    </row>
    <row r="627" spans="1:17" x14ac:dyDescent="0.2">
      <c r="A627" s="216">
        <v>8</v>
      </c>
      <c r="C627" s="216" t="s">
        <v>148</v>
      </c>
      <c r="D627" s="609">
        <v>0</v>
      </c>
      <c r="E627" s="419">
        <v>0</v>
      </c>
      <c r="F627" s="419">
        <v>0</v>
      </c>
      <c r="G627" s="419">
        <v>0</v>
      </c>
      <c r="H627" s="419">
        <v>0</v>
      </c>
      <c r="I627" s="419">
        <v>0</v>
      </c>
      <c r="J627" s="419">
        <v>0</v>
      </c>
      <c r="K627" s="419">
        <v>0</v>
      </c>
      <c r="L627" s="419">
        <v>0</v>
      </c>
      <c r="M627" s="419">
        <v>0</v>
      </c>
      <c r="N627" s="419">
        <v>0</v>
      </c>
      <c r="O627" s="419">
        <v>0</v>
      </c>
      <c r="P627" s="419">
        <v>0</v>
      </c>
      <c r="Q627" s="419">
        <f>SUM(E627:P627)</f>
        <v>0</v>
      </c>
    </row>
    <row r="628" spans="1:17" x14ac:dyDescent="0.2">
      <c r="E628" s="417"/>
      <c r="F628" s="417"/>
      <c r="G628" s="417"/>
      <c r="H628" s="417"/>
      <c r="I628" s="417"/>
      <c r="J628" s="417"/>
      <c r="K628" s="417"/>
      <c r="L628" s="417"/>
      <c r="M628" s="417"/>
      <c r="N628" s="417"/>
      <c r="O628" s="417"/>
      <c r="P628" s="417"/>
      <c r="Q628" s="417"/>
    </row>
    <row r="629" spans="1:17" ht="10.5" thickBot="1" x14ac:dyDescent="0.25">
      <c r="A629" s="433">
        <v>9</v>
      </c>
      <c r="B629" s="433"/>
      <c r="C629" s="433" t="s">
        <v>202</v>
      </c>
      <c r="D629" s="770"/>
      <c r="E629" s="675">
        <f t="shared" ref="E629:O629" si="220">E625+E627</f>
        <v>13.2</v>
      </c>
      <c r="F629" s="675">
        <f t="shared" si="220"/>
        <v>12.72</v>
      </c>
      <c r="G629" s="675">
        <f t="shared" si="220"/>
        <v>12.12</v>
      </c>
      <c r="H629" s="675">
        <f t="shared" si="220"/>
        <v>6.28</v>
      </c>
      <c r="I629" s="675">
        <f t="shared" si="220"/>
        <v>3.52</v>
      </c>
      <c r="J629" s="675">
        <f t="shared" si="220"/>
        <v>1</v>
      </c>
      <c r="K629" s="675">
        <f t="shared" si="220"/>
        <v>0.96</v>
      </c>
      <c r="L629" s="675">
        <f t="shared" si="220"/>
        <v>0.96</v>
      </c>
      <c r="M629" s="675">
        <f t="shared" si="220"/>
        <v>1.1200000000000001</v>
      </c>
      <c r="N629" s="675">
        <f t="shared" si="220"/>
        <v>1.56</v>
      </c>
      <c r="O629" s="675">
        <f t="shared" si="220"/>
        <v>4.12</v>
      </c>
      <c r="P629" s="675">
        <f>P625+P627</f>
        <v>9.16</v>
      </c>
      <c r="Q629" s="675">
        <f>SUM(E629:P629)</f>
        <v>66.72</v>
      </c>
    </row>
    <row r="630" spans="1:17" ht="10.5" thickTop="1" x14ac:dyDescent="0.2"/>
    <row r="632" spans="1:17" x14ac:dyDescent="0.2">
      <c r="A632" s="216" t="str">
        <f>$A$270</f>
        <v>[1] Reflects Normalized Volumes.</v>
      </c>
    </row>
    <row r="633" spans="1:17" ht="10.5" x14ac:dyDescent="0.25">
      <c r="A633" s="817" t="str">
        <f>CONAME</f>
        <v>Columbia Gas of Kentucky, Inc.</v>
      </c>
      <c r="B633" s="817"/>
      <c r="C633" s="817"/>
      <c r="D633" s="817"/>
      <c r="E633" s="817"/>
      <c r="F633" s="817"/>
      <c r="G633" s="817"/>
      <c r="H633" s="817"/>
      <c r="I633" s="817"/>
      <c r="J633" s="817"/>
      <c r="K633" s="817"/>
      <c r="L633" s="817"/>
      <c r="M633" s="817"/>
      <c r="N633" s="817"/>
      <c r="O633" s="817"/>
      <c r="P633" s="817"/>
      <c r="Q633" s="817"/>
    </row>
    <row r="634" spans="1:17" ht="10.5" x14ac:dyDescent="0.25">
      <c r="A634" s="800" t="str">
        <f>case</f>
        <v>Case No. 2021-00183</v>
      </c>
      <c r="B634" s="800"/>
      <c r="C634" s="800"/>
      <c r="D634" s="800"/>
      <c r="E634" s="800"/>
      <c r="F634" s="800"/>
      <c r="G634" s="800"/>
      <c r="H634" s="800"/>
      <c r="I634" s="800"/>
      <c r="J634" s="800"/>
      <c r="K634" s="800"/>
      <c r="L634" s="800"/>
      <c r="M634" s="800"/>
      <c r="N634" s="800"/>
      <c r="O634" s="800"/>
      <c r="P634" s="800"/>
      <c r="Q634" s="800"/>
    </row>
    <row r="635" spans="1:17" ht="10.5" x14ac:dyDescent="0.25">
      <c r="A635" s="815" t="s">
        <v>414</v>
      </c>
      <c r="B635" s="815"/>
      <c r="C635" s="815"/>
      <c r="D635" s="815"/>
      <c r="E635" s="815"/>
      <c r="F635" s="815"/>
      <c r="G635" s="815"/>
      <c r="H635" s="815"/>
      <c r="I635" s="815"/>
      <c r="J635" s="815"/>
      <c r="K635" s="815"/>
      <c r="L635" s="815"/>
      <c r="M635" s="815"/>
      <c r="N635" s="815"/>
      <c r="O635" s="815"/>
      <c r="P635" s="815"/>
      <c r="Q635" s="815"/>
    </row>
    <row r="636" spans="1:17" ht="10.5" x14ac:dyDescent="0.25">
      <c r="A636" s="817" t="str">
        <f>TYDESC</f>
        <v>For the 12 Months Ended December 31, 2022</v>
      </c>
      <c r="B636" s="817"/>
      <c r="C636" s="817"/>
      <c r="D636" s="817"/>
      <c r="E636" s="817"/>
      <c r="F636" s="817"/>
      <c r="G636" s="817"/>
      <c r="H636" s="817"/>
      <c r="I636" s="817"/>
      <c r="J636" s="817"/>
      <c r="K636" s="817"/>
      <c r="L636" s="817"/>
      <c r="M636" s="817"/>
      <c r="N636" s="817"/>
      <c r="O636" s="817"/>
      <c r="P636" s="817"/>
      <c r="Q636" s="817"/>
    </row>
    <row r="637" spans="1:17" ht="10.5" x14ac:dyDescent="0.25">
      <c r="A637" s="814" t="s">
        <v>39</v>
      </c>
      <c r="B637" s="814"/>
      <c r="C637" s="814"/>
      <c r="D637" s="814"/>
      <c r="E637" s="814"/>
      <c r="F637" s="814"/>
      <c r="G637" s="814"/>
      <c r="H637" s="814"/>
      <c r="I637" s="814"/>
      <c r="J637" s="814"/>
      <c r="K637" s="814"/>
      <c r="L637" s="814"/>
      <c r="M637" s="814"/>
      <c r="N637" s="814"/>
      <c r="O637" s="814"/>
      <c r="P637" s="814"/>
      <c r="Q637" s="814"/>
    </row>
    <row r="638" spans="1:17" ht="10.5" x14ac:dyDescent="0.25">
      <c r="A638" s="245" t="str">
        <f>$A$52</f>
        <v>Data: __ Base Period _X_ Forecasted Period</v>
      </c>
    </row>
    <row r="639" spans="1:17" ht="10.5" x14ac:dyDescent="0.25">
      <c r="A639" s="245" t="str">
        <f>$A$53</f>
        <v>Type of Filing: X Original _ Update _ Revised</v>
      </c>
      <c r="Q639" s="583" t="str">
        <f>$Q$53</f>
        <v>Schedule M-2.2</v>
      </c>
    </row>
    <row r="640" spans="1:17" ht="10.5" x14ac:dyDescent="0.25">
      <c r="A640" s="245" t="str">
        <f>$A$54</f>
        <v>Work Paper Reference No(s):</v>
      </c>
      <c r="Q640" s="583" t="s">
        <v>423</v>
      </c>
    </row>
    <row r="641" spans="1:19" ht="10.5" x14ac:dyDescent="0.25">
      <c r="A641" s="373" t="str">
        <f>$A$55</f>
        <v>12 Months Forecasted</v>
      </c>
      <c r="Q641" s="583" t="str">
        <f>Witness</f>
        <v>Witness:  Judith L. Siegler</v>
      </c>
    </row>
    <row r="642" spans="1:19" ht="10.5" x14ac:dyDescent="0.25">
      <c r="A642" s="816" t="s">
        <v>191</v>
      </c>
      <c r="B642" s="816"/>
      <c r="C642" s="816"/>
      <c r="D642" s="816"/>
      <c r="E642" s="816"/>
      <c r="F642" s="816"/>
      <c r="G642" s="816"/>
      <c r="H642" s="816"/>
      <c r="I642" s="816"/>
      <c r="J642" s="816"/>
      <c r="K642" s="816"/>
      <c r="L642" s="816"/>
      <c r="M642" s="816"/>
      <c r="N642" s="816"/>
      <c r="O642" s="816"/>
      <c r="P642" s="816"/>
      <c r="Q642" s="816"/>
    </row>
    <row r="643" spans="1:19" ht="10.5" x14ac:dyDescent="0.25">
      <c r="A643" s="392"/>
      <c r="B643" s="280"/>
      <c r="C643" s="280"/>
      <c r="D643" s="282"/>
      <c r="E643" s="280"/>
      <c r="F643" s="438"/>
      <c r="G643" s="439"/>
      <c r="H643" s="438"/>
      <c r="I643" s="440"/>
      <c r="J643" s="438"/>
      <c r="K643" s="438"/>
      <c r="L643" s="438"/>
      <c r="M643" s="438"/>
      <c r="N643" s="438"/>
      <c r="O643" s="438"/>
      <c r="P643" s="438"/>
      <c r="Q643" s="280"/>
    </row>
    <row r="644" spans="1:19" ht="10.5" x14ac:dyDescent="0.25">
      <c r="A644" s="727" t="s">
        <v>1</v>
      </c>
      <c r="B644" s="727" t="s">
        <v>0</v>
      </c>
      <c r="C644" s="727" t="s">
        <v>41</v>
      </c>
      <c r="D644" s="731" t="s">
        <v>47</v>
      </c>
      <c r="E644" s="727"/>
      <c r="F644" s="584"/>
      <c r="G644" s="587"/>
      <c r="H644" s="584"/>
      <c r="I644" s="730"/>
      <c r="J644" s="584"/>
      <c r="K644" s="584"/>
      <c r="L644" s="584"/>
      <c r="M644" s="584"/>
      <c r="N644" s="584"/>
      <c r="O644" s="584"/>
      <c r="P644" s="584"/>
      <c r="Q644" s="732"/>
    </row>
    <row r="645" spans="1:19" ht="10.5" x14ac:dyDescent="0.25">
      <c r="A645" s="263" t="s">
        <v>3</v>
      </c>
      <c r="B645" s="263" t="s">
        <v>40</v>
      </c>
      <c r="C645" s="263" t="s">
        <v>4</v>
      </c>
      <c r="D645" s="756" t="s">
        <v>48</v>
      </c>
      <c r="E645" s="380" t="str">
        <f>B!$D$11</f>
        <v>Jan-22</v>
      </c>
      <c r="F645" s="380" t="str">
        <f>B!$E$11</f>
        <v>Feb-22</v>
      </c>
      <c r="G645" s="380" t="str">
        <f>B!$F$11</f>
        <v>Mar-22</v>
      </c>
      <c r="H645" s="380" t="str">
        <f>B!$G$11</f>
        <v>Apr-22</v>
      </c>
      <c r="I645" s="380" t="str">
        <f>B!$H$11</f>
        <v>May-22</v>
      </c>
      <c r="J645" s="380" t="str">
        <f>B!$I$11</f>
        <v>Jun-22</v>
      </c>
      <c r="K645" s="380" t="str">
        <f>B!$J$11</f>
        <v>Jul-22</v>
      </c>
      <c r="L645" s="380" t="str">
        <f>B!$K$11</f>
        <v>Aug-22</v>
      </c>
      <c r="M645" s="380" t="str">
        <f>B!$L$11</f>
        <v>Sep-22</v>
      </c>
      <c r="N645" s="380" t="str">
        <f>B!$M$11</f>
        <v>Oct-22</v>
      </c>
      <c r="O645" s="380" t="str">
        <f>B!$N$11</f>
        <v>Nov-22</v>
      </c>
      <c r="P645" s="380" t="str">
        <f>B!$O$11</f>
        <v>Dec-22</v>
      </c>
      <c r="Q645" s="380" t="s">
        <v>9</v>
      </c>
    </row>
    <row r="646" spans="1:19" ht="10.5" x14ac:dyDescent="0.25">
      <c r="A646" s="727"/>
      <c r="B646" s="732" t="s">
        <v>42</v>
      </c>
      <c r="C646" s="732" t="s">
        <v>43</v>
      </c>
      <c r="D646" s="757" t="s">
        <v>45</v>
      </c>
      <c r="E646" s="586" t="s">
        <v>46</v>
      </c>
      <c r="F646" s="586" t="s">
        <v>49</v>
      </c>
      <c r="G646" s="586" t="s">
        <v>50</v>
      </c>
      <c r="H646" s="586" t="s">
        <v>51</v>
      </c>
      <c r="I646" s="586" t="s">
        <v>52</v>
      </c>
      <c r="J646" s="586" t="s">
        <v>53</v>
      </c>
      <c r="K646" s="588" t="s">
        <v>54</v>
      </c>
      <c r="L646" s="588" t="s">
        <v>55</v>
      </c>
      <c r="M646" s="588" t="s">
        <v>56</v>
      </c>
      <c r="N646" s="588" t="s">
        <v>57</v>
      </c>
      <c r="O646" s="588" t="s">
        <v>58</v>
      </c>
      <c r="P646" s="588" t="s">
        <v>59</v>
      </c>
      <c r="Q646" s="588" t="s">
        <v>200</v>
      </c>
    </row>
    <row r="647" spans="1:19" ht="10.5" x14ac:dyDescent="0.25">
      <c r="E647" s="732"/>
      <c r="F647" s="588"/>
      <c r="G647" s="585"/>
      <c r="H647" s="588"/>
      <c r="I647" s="586"/>
      <c r="J647" s="588"/>
      <c r="K647" s="588"/>
      <c r="L647" s="588"/>
      <c r="M647" s="588"/>
      <c r="N647" s="588"/>
      <c r="O647" s="588"/>
      <c r="P647" s="588"/>
      <c r="Q647" s="732"/>
    </row>
    <row r="648" spans="1:19" x14ac:dyDescent="0.2">
      <c r="A648" s="216">
        <v>1</v>
      </c>
      <c r="B648" s="216" t="str">
        <f>B157</f>
        <v>GSO</v>
      </c>
      <c r="C648" s="216" t="str">
        <f>C157</f>
        <v>General Service - Commercial</v>
      </c>
    </row>
    <row r="650" spans="1:19" ht="10.5" x14ac:dyDescent="0.25">
      <c r="A650" s="216">
        <f>A648+1</f>
        <v>2</v>
      </c>
      <c r="C650" s="245" t="s">
        <v>111</v>
      </c>
    </row>
    <row r="651" spans="1:19" ht="10.5" x14ac:dyDescent="0.25">
      <c r="C651" s="245"/>
    </row>
    <row r="652" spans="1:19" x14ac:dyDescent="0.2">
      <c r="A652" s="216">
        <f>A650+1</f>
        <v>3</v>
      </c>
      <c r="C652" s="216" t="s">
        <v>199</v>
      </c>
      <c r="E652" s="421">
        <f>B!D81</f>
        <v>11642</v>
      </c>
      <c r="F652" s="421">
        <f>B!E81</f>
        <v>11663</v>
      </c>
      <c r="G652" s="421">
        <f>B!F81</f>
        <v>11728</v>
      </c>
      <c r="H652" s="421">
        <f>B!G81</f>
        <v>11667</v>
      </c>
      <c r="I652" s="421">
        <f>B!H81</f>
        <v>11584</v>
      </c>
      <c r="J652" s="421">
        <f>B!I81</f>
        <v>11516</v>
      </c>
      <c r="K652" s="421">
        <f>B!J81</f>
        <v>11467</v>
      </c>
      <c r="L652" s="421">
        <f>B!K81</f>
        <v>11414</v>
      </c>
      <c r="M652" s="421">
        <f>B!L81</f>
        <v>11412</v>
      </c>
      <c r="N652" s="421">
        <f>B!M81</f>
        <v>11433</v>
      </c>
      <c r="O652" s="421">
        <f>B!N81</f>
        <v>11622</v>
      </c>
      <c r="P652" s="421">
        <f>B!O81</f>
        <v>11778</v>
      </c>
      <c r="Q652" s="421">
        <f>SUM(E652:P652)</f>
        <v>138926</v>
      </c>
    </row>
    <row r="653" spans="1:19" x14ac:dyDescent="0.2">
      <c r="A653" s="216">
        <f>A652+1</f>
        <v>4</v>
      </c>
      <c r="C653" s="216" t="s">
        <v>207</v>
      </c>
      <c r="D653" s="608">
        <f>Input!H27</f>
        <v>44.69</v>
      </c>
      <c r="E653" s="419">
        <f t="shared" ref="E653:P653" si="221">ROUND(E652*$D$653,2)</f>
        <v>520280.98</v>
      </c>
      <c r="F653" s="419">
        <f t="shared" si="221"/>
        <v>521219.47</v>
      </c>
      <c r="G653" s="419">
        <f t="shared" si="221"/>
        <v>524124.32</v>
      </c>
      <c r="H653" s="419">
        <f t="shared" si="221"/>
        <v>521398.23</v>
      </c>
      <c r="I653" s="419">
        <f t="shared" si="221"/>
        <v>517688.96</v>
      </c>
      <c r="J653" s="419">
        <f t="shared" si="221"/>
        <v>514650.04</v>
      </c>
      <c r="K653" s="419">
        <f t="shared" si="221"/>
        <v>512460.23</v>
      </c>
      <c r="L653" s="419">
        <f t="shared" si="221"/>
        <v>510091.66</v>
      </c>
      <c r="M653" s="419">
        <f t="shared" si="221"/>
        <v>510002.28</v>
      </c>
      <c r="N653" s="419">
        <f t="shared" si="221"/>
        <v>510940.77</v>
      </c>
      <c r="O653" s="419">
        <f t="shared" si="221"/>
        <v>519387.18</v>
      </c>
      <c r="P653" s="419">
        <f t="shared" si="221"/>
        <v>526358.81999999995</v>
      </c>
      <c r="Q653" s="419">
        <f>SUM(E653:P653)</f>
        <v>6208602.9399999995</v>
      </c>
      <c r="S653" s="421"/>
    </row>
    <row r="654" spans="1:19" x14ac:dyDescent="0.2">
      <c r="A654" s="216">
        <f>A653+1</f>
        <v>5</v>
      </c>
      <c r="C654" s="216" t="s">
        <v>208</v>
      </c>
      <c r="D654" s="608">
        <f>Input!K27</f>
        <v>24.31</v>
      </c>
      <c r="E654" s="419">
        <f t="shared" ref="E654:P654" si="222">ROUND(E652*$D$654,2)</f>
        <v>283017.02</v>
      </c>
      <c r="F654" s="419">
        <f t="shared" si="222"/>
        <v>283527.53000000003</v>
      </c>
      <c r="G654" s="419">
        <f t="shared" si="222"/>
        <v>285107.68</v>
      </c>
      <c r="H654" s="419">
        <f t="shared" si="222"/>
        <v>283624.77</v>
      </c>
      <c r="I654" s="419">
        <f t="shared" si="222"/>
        <v>281607.03999999998</v>
      </c>
      <c r="J654" s="419">
        <f t="shared" si="222"/>
        <v>279953.96000000002</v>
      </c>
      <c r="K654" s="419">
        <f t="shared" si="222"/>
        <v>278762.77</v>
      </c>
      <c r="L654" s="419">
        <f t="shared" si="222"/>
        <v>277474.34000000003</v>
      </c>
      <c r="M654" s="419">
        <f t="shared" si="222"/>
        <v>277425.71999999997</v>
      </c>
      <c r="N654" s="419">
        <f t="shared" si="222"/>
        <v>277936.23</v>
      </c>
      <c r="O654" s="419">
        <f t="shared" si="222"/>
        <v>282530.82</v>
      </c>
      <c r="P654" s="419">
        <f t="shared" si="222"/>
        <v>286323.18</v>
      </c>
      <c r="Q654" s="419">
        <f>SUM(E654:P654)</f>
        <v>3377291.06</v>
      </c>
    </row>
    <row r="655" spans="1:19" x14ac:dyDescent="0.2">
      <c r="D655" s="592"/>
    </row>
    <row r="656" spans="1:19" x14ac:dyDescent="0.2">
      <c r="A656" s="216">
        <f>A654+1</f>
        <v>6</v>
      </c>
      <c r="C656" s="216" t="s">
        <v>206</v>
      </c>
      <c r="D656" s="592"/>
    </row>
    <row r="657" spans="1:19" x14ac:dyDescent="0.2">
      <c r="A657" s="216">
        <f>A656+1</f>
        <v>7</v>
      </c>
      <c r="C657" s="216" t="str">
        <f>'C'!B80</f>
        <v xml:space="preserve">    First 50 Mcf</v>
      </c>
      <c r="D657" s="592"/>
      <c r="E657" s="424">
        <f>'C'!D92</f>
        <v>301663.90000000002</v>
      </c>
      <c r="F657" s="424">
        <f>'C'!E92</f>
        <v>302959.2</v>
      </c>
      <c r="G657" s="424">
        <f>'C'!F92</f>
        <v>260556.9</v>
      </c>
      <c r="H657" s="424">
        <f>'C'!G92</f>
        <v>158803.79999999999</v>
      </c>
      <c r="I657" s="424">
        <f>'C'!H92</f>
        <v>111004.7</v>
      </c>
      <c r="J657" s="424">
        <f>'C'!I92</f>
        <v>72519</v>
      </c>
      <c r="K657" s="424">
        <f>'C'!J92</f>
        <v>57495.5</v>
      </c>
      <c r="L657" s="424">
        <f>'C'!K92</f>
        <v>53813.4</v>
      </c>
      <c r="M657" s="424">
        <f>'C'!L92</f>
        <v>55491.199999999997</v>
      </c>
      <c r="N657" s="424">
        <f>'C'!M92</f>
        <v>68357.600000000006</v>
      </c>
      <c r="O657" s="424">
        <f>'C'!N92</f>
        <v>127148.7</v>
      </c>
      <c r="P657" s="424">
        <f>'C'!O92</f>
        <v>237716.7</v>
      </c>
      <c r="Q657" s="424">
        <f>SUM(E657:P657)</f>
        <v>1807530.5999999999</v>
      </c>
    </row>
    <row r="658" spans="1:19" x14ac:dyDescent="0.2">
      <c r="A658" s="216">
        <f>A657+1</f>
        <v>8</v>
      </c>
      <c r="C658" s="216" t="str">
        <f>'C'!B81</f>
        <v xml:space="preserve">    Next 350 Mcf</v>
      </c>
      <c r="D658" s="592"/>
      <c r="E658" s="424">
        <f>'C'!D93</f>
        <v>297277.8</v>
      </c>
      <c r="F658" s="424">
        <f>'C'!E93</f>
        <v>286181.40000000002</v>
      </c>
      <c r="G658" s="424">
        <f>'C'!F93</f>
        <v>236024.2</v>
      </c>
      <c r="H658" s="424">
        <f>'C'!G93</f>
        <v>103688.7</v>
      </c>
      <c r="I658" s="424">
        <f>'C'!H93</f>
        <v>51445.7</v>
      </c>
      <c r="J658" s="424">
        <f>'C'!I93</f>
        <v>35643.300000000003</v>
      </c>
      <c r="K658" s="424">
        <f>'C'!J93</f>
        <v>30872.6</v>
      </c>
      <c r="L658" s="424">
        <f>'C'!K93</f>
        <v>25999.1</v>
      </c>
      <c r="M658" s="424">
        <f>'C'!L93</f>
        <v>28865.599999999999</v>
      </c>
      <c r="N658" s="424">
        <f>'C'!M93</f>
        <v>37399</v>
      </c>
      <c r="O658" s="424">
        <f>'C'!N93</f>
        <v>82862.899999999994</v>
      </c>
      <c r="P658" s="424">
        <f>'C'!O93</f>
        <v>199877</v>
      </c>
      <c r="Q658" s="424">
        <f>SUM(E658:P658)</f>
        <v>1416137.2999999998</v>
      </c>
    </row>
    <row r="659" spans="1:19" x14ac:dyDescent="0.2">
      <c r="A659" s="216">
        <f>A658+1</f>
        <v>9</v>
      </c>
      <c r="C659" s="216" t="str">
        <f>'C'!B82</f>
        <v xml:space="preserve">    Next 600 Mcf</v>
      </c>
      <c r="D659" s="592"/>
      <c r="E659" s="424">
        <f>'C'!D94</f>
        <v>79248.899999999994</v>
      </c>
      <c r="F659" s="424">
        <f>'C'!E94</f>
        <v>75073</v>
      </c>
      <c r="G659" s="424">
        <f>'C'!F94</f>
        <v>56078.400000000001</v>
      </c>
      <c r="H659" s="424">
        <f>'C'!G94</f>
        <v>19218.2</v>
      </c>
      <c r="I659" s="424">
        <f>'C'!H94</f>
        <v>7741.4</v>
      </c>
      <c r="J659" s="424">
        <f>'C'!I94</f>
        <v>7465.1</v>
      </c>
      <c r="K659" s="424">
        <f>'C'!J94</f>
        <v>7224.6</v>
      </c>
      <c r="L659" s="424">
        <f>'C'!K94</f>
        <v>7114.7</v>
      </c>
      <c r="M659" s="424">
        <f>'C'!L94</f>
        <v>6893.4</v>
      </c>
      <c r="N659" s="424">
        <f>'C'!M94</f>
        <v>8447.2000000000007</v>
      </c>
      <c r="O659" s="424">
        <f>'C'!N94</f>
        <v>16011.3</v>
      </c>
      <c r="P659" s="424">
        <f>'C'!O94</f>
        <v>47437.5</v>
      </c>
      <c r="Q659" s="424">
        <f>SUM(E659:P659)</f>
        <v>337953.7</v>
      </c>
    </row>
    <row r="660" spans="1:19" x14ac:dyDescent="0.2">
      <c r="A660" s="216">
        <f>A659+1</f>
        <v>10</v>
      </c>
      <c r="C660" s="216" t="str">
        <f>'C'!B83</f>
        <v xml:space="preserve">    Over 1,000 Mcf</v>
      </c>
      <c r="D660" s="592"/>
      <c r="E660" s="448">
        <f>'C'!D95</f>
        <v>54852.4</v>
      </c>
      <c r="F660" s="448">
        <f>'C'!E95</f>
        <v>36770.400000000001</v>
      </c>
      <c r="G660" s="448">
        <f>'C'!F95</f>
        <v>30077.3</v>
      </c>
      <c r="H660" s="448">
        <f>'C'!G95</f>
        <v>12432.3</v>
      </c>
      <c r="I660" s="448">
        <f>'C'!H95</f>
        <v>4105.1000000000004</v>
      </c>
      <c r="J660" s="448">
        <f>'C'!I95</f>
        <v>6103.1</v>
      </c>
      <c r="K660" s="448">
        <f>'C'!J95</f>
        <v>4433.6000000000004</v>
      </c>
      <c r="L660" s="448">
        <f>'C'!K95</f>
        <v>3454.3</v>
      </c>
      <c r="M660" s="448">
        <f>'C'!L95</f>
        <v>4143.6000000000004</v>
      </c>
      <c r="N660" s="448">
        <f>'C'!M95</f>
        <v>3921.9</v>
      </c>
      <c r="O660" s="448">
        <f>'C'!N95</f>
        <v>10445.799999999999</v>
      </c>
      <c r="P660" s="448">
        <f>'C'!O95</f>
        <v>31647.7</v>
      </c>
      <c r="Q660" s="448">
        <f>SUM(E660:P660)</f>
        <v>202387.5</v>
      </c>
    </row>
    <row r="661" spans="1:19" x14ac:dyDescent="0.2">
      <c r="D661" s="592"/>
      <c r="E661" s="424">
        <f t="shared" ref="E661:O661" si="223">SUM(E657:E660)</f>
        <v>733043</v>
      </c>
      <c r="F661" s="424">
        <f t="shared" si="223"/>
        <v>700984.00000000012</v>
      </c>
      <c r="G661" s="424">
        <f t="shared" si="223"/>
        <v>582736.80000000005</v>
      </c>
      <c r="H661" s="424">
        <f t="shared" si="223"/>
        <v>294143</v>
      </c>
      <c r="I661" s="424">
        <f t="shared" si="223"/>
        <v>174296.9</v>
      </c>
      <c r="J661" s="424">
        <f t="shared" si="223"/>
        <v>121730.50000000001</v>
      </c>
      <c r="K661" s="424">
        <f t="shared" si="223"/>
        <v>100026.30000000002</v>
      </c>
      <c r="L661" s="424">
        <f t="shared" si="223"/>
        <v>90381.5</v>
      </c>
      <c r="M661" s="424">
        <f t="shared" si="223"/>
        <v>95393.799999999988</v>
      </c>
      <c r="N661" s="424">
        <f t="shared" si="223"/>
        <v>118125.7</v>
      </c>
      <c r="O661" s="424">
        <f t="shared" si="223"/>
        <v>236468.69999999995</v>
      </c>
      <c r="P661" s="424">
        <f>SUM(P657:P660)</f>
        <v>516678.9</v>
      </c>
      <c r="Q661" s="424">
        <f>SUM(E661:P661)</f>
        <v>3764009.0999999992</v>
      </c>
    </row>
    <row r="662" spans="1:19" x14ac:dyDescent="0.2">
      <c r="A662" s="216">
        <f>A660+1</f>
        <v>11</v>
      </c>
      <c r="C662" s="216" t="s">
        <v>204</v>
      </c>
      <c r="D662" s="592"/>
      <c r="Q662" s="456"/>
      <c r="S662" s="424"/>
    </row>
    <row r="663" spans="1:19" x14ac:dyDescent="0.2">
      <c r="A663" s="216">
        <f>A662+1</f>
        <v>12</v>
      </c>
      <c r="C663" s="216" t="str">
        <f>C657</f>
        <v xml:space="preserve">    First 50 Mcf</v>
      </c>
      <c r="D663" s="609">
        <f>Input!C27</f>
        <v>3.0181</v>
      </c>
      <c r="E663" s="419">
        <f t="shared" ref="E663:P663" si="224">ROUND(E657*$D$663,2)</f>
        <v>910451.82</v>
      </c>
      <c r="F663" s="419">
        <f t="shared" si="224"/>
        <v>914361.16</v>
      </c>
      <c r="G663" s="419">
        <f t="shared" si="224"/>
        <v>786386.78</v>
      </c>
      <c r="H663" s="419">
        <f t="shared" si="224"/>
        <v>479285.75</v>
      </c>
      <c r="I663" s="419">
        <f t="shared" si="224"/>
        <v>335023.28999999998</v>
      </c>
      <c r="J663" s="419">
        <f t="shared" si="224"/>
        <v>218869.59</v>
      </c>
      <c r="K663" s="419">
        <f t="shared" si="224"/>
        <v>173527.17</v>
      </c>
      <c r="L663" s="419">
        <f t="shared" si="224"/>
        <v>162414.22</v>
      </c>
      <c r="M663" s="419">
        <f t="shared" si="224"/>
        <v>167477.99</v>
      </c>
      <c r="N663" s="419">
        <f t="shared" si="224"/>
        <v>206310.07</v>
      </c>
      <c r="O663" s="419">
        <f t="shared" si="224"/>
        <v>383747.49</v>
      </c>
      <c r="P663" s="419">
        <f t="shared" si="224"/>
        <v>717452.77</v>
      </c>
      <c r="Q663" s="419">
        <f t="shared" ref="Q663:Q668" si="225">SUM(E663:P663)</f>
        <v>5455308.0999999996</v>
      </c>
    </row>
    <row r="664" spans="1:19" x14ac:dyDescent="0.2">
      <c r="A664" s="216">
        <f>A663+1</f>
        <v>13</v>
      </c>
      <c r="C664" s="216" t="str">
        <f>C658</f>
        <v xml:space="preserve">    Next 350 Mcf</v>
      </c>
      <c r="D664" s="609">
        <f>Input!D27</f>
        <v>2.3294999999999999</v>
      </c>
      <c r="E664" s="421">
        <f t="shared" ref="E664:P664" si="226">ROUND(E658*$D$664,2)</f>
        <v>692508.64</v>
      </c>
      <c r="F664" s="421">
        <f t="shared" si="226"/>
        <v>666659.56999999995</v>
      </c>
      <c r="G664" s="421">
        <f t="shared" si="226"/>
        <v>549818.37</v>
      </c>
      <c r="H664" s="421">
        <f t="shared" si="226"/>
        <v>241542.83</v>
      </c>
      <c r="I664" s="421">
        <f t="shared" si="226"/>
        <v>119842.76</v>
      </c>
      <c r="J664" s="421">
        <f t="shared" si="226"/>
        <v>83031.070000000007</v>
      </c>
      <c r="K664" s="421">
        <f t="shared" si="226"/>
        <v>71917.72</v>
      </c>
      <c r="L664" s="421">
        <f t="shared" si="226"/>
        <v>60564.9</v>
      </c>
      <c r="M664" s="421">
        <f t="shared" si="226"/>
        <v>67242.42</v>
      </c>
      <c r="N664" s="421">
        <f t="shared" si="226"/>
        <v>87120.97</v>
      </c>
      <c r="O664" s="421">
        <f t="shared" si="226"/>
        <v>193029.13</v>
      </c>
      <c r="P664" s="421">
        <f t="shared" si="226"/>
        <v>465613.47</v>
      </c>
      <c r="Q664" s="421">
        <f t="shared" si="225"/>
        <v>3298891.8499999996</v>
      </c>
    </row>
    <row r="665" spans="1:19" x14ac:dyDescent="0.2">
      <c r="A665" s="216">
        <f>A664+1</f>
        <v>14</v>
      </c>
      <c r="C665" s="216" t="str">
        <f>C659</f>
        <v xml:space="preserve">    Next 600 Mcf</v>
      </c>
      <c r="D665" s="609">
        <f>Input!E27</f>
        <v>2.2143000000000002</v>
      </c>
      <c r="E665" s="421">
        <f t="shared" ref="E665:P665" si="227">ROUND(E659*$D$665,2)</f>
        <v>175480.84</v>
      </c>
      <c r="F665" s="421">
        <f t="shared" si="227"/>
        <v>166234.14000000001</v>
      </c>
      <c r="G665" s="421">
        <f t="shared" si="227"/>
        <v>124174.39999999999</v>
      </c>
      <c r="H665" s="421">
        <f t="shared" si="227"/>
        <v>42554.86</v>
      </c>
      <c r="I665" s="421">
        <f t="shared" si="227"/>
        <v>17141.78</v>
      </c>
      <c r="J665" s="421">
        <f t="shared" si="227"/>
        <v>16529.97</v>
      </c>
      <c r="K665" s="421">
        <f t="shared" si="227"/>
        <v>15997.43</v>
      </c>
      <c r="L665" s="421">
        <f t="shared" si="227"/>
        <v>15754.08</v>
      </c>
      <c r="M665" s="421">
        <f t="shared" si="227"/>
        <v>15264.06</v>
      </c>
      <c r="N665" s="421">
        <f t="shared" si="227"/>
        <v>18704.63</v>
      </c>
      <c r="O665" s="421">
        <f t="shared" si="227"/>
        <v>35453.82</v>
      </c>
      <c r="P665" s="421">
        <f t="shared" si="227"/>
        <v>105040.86</v>
      </c>
      <c r="Q665" s="421">
        <f t="shared" si="225"/>
        <v>748330.87</v>
      </c>
    </row>
    <row r="666" spans="1:19" x14ac:dyDescent="0.2">
      <c r="A666" s="216">
        <f>A665+1</f>
        <v>15</v>
      </c>
      <c r="C666" s="216" t="str">
        <f>C660</f>
        <v xml:space="preserve">    Over 1,000 Mcf</v>
      </c>
      <c r="D666" s="609">
        <f>Input!F27</f>
        <v>2.0143</v>
      </c>
      <c r="E666" s="680">
        <f t="shared" ref="E666:P666" si="228">ROUND(E660*$D$666,2)</f>
        <v>110489.19</v>
      </c>
      <c r="F666" s="680">
        <f t="shared" si="228"/>
        <v>74066.62</v>
      </c>
      <c r="G666" s="680">
        <f t="shared" si="228"/>
        <v>60584.71</v>
      </c>
      <c r="H666" s="680">
        <f t="shared" si="228"/>
        <v>25042.38</v>
      </c>
      <c r="I666" s="680">
        <f t="shared" si="228"/>
        <v>8268.9</v>
      </c>
      <c r="J666" s="680">
        <f t="shared" si="228"/>
        <v>12293.47</v>
      </c>
      <c r="K666" s="680">
        <f t="shared" si="228"/>
        <v>8930.6</v>
      </c>
      <c r="L666" s="680">
        <f t="shared" si="228"/>
        <v>6958</v>
      </c>
      <c r="M666" s="680">
        <f t="shared" si="228"/>
        <v>8346.4500000000007</v>
      </c>
      <c r="N666" s="680">
        <f t="shared" si="228"/>
        <v>7899.88</v>
      </c>
      <c r="O666" s="680">
        <f t="shared" si="228"/>
        <v>21040.97</v>
      </c>
      <c r="P666" s="680">
        <f t="shared" si="228"/>
        <v>63747.96</v>
      </c>
      <c r="Q666" s="680">
        <f t="shared" si="225"/>
        <v>407669.12999999995</v>
      </c>
    </row>
    <row r="667" spans="1:19" x14ac:dyDescent="0.2">
      <c r="D667" s="592"/>
      <c r="E667" s="419">
        <f t="shared" ref="E667:N667" si="229">SUM(E663:E666)</f>
        <v>1888930.49</v>
      </c>
      <c r="F667" s="419">
        <f t="shared" si="229"/>
        <v>1821321.4900000002</v>
      </c>
      <c r="G667" s="419">
        <f t="shared" si="229"/>
        <v>1520964.2599999998</v>
      </c>
      <c r="H667" s="419">
        <f t="shared" si="229"/>
        <v>788425.82</v>
      </c>
      <c r="I667" s="419">
        <f t="shared" si="229"/>
        <v>480276.73</v>
      </c>
      <c r="J667" s="419">
        <f t="shared" si="229"/>
        <v>330724.09999999998</v>
      </c>
      <c r="K667" s="419">
        <f t="shared" si="229"/>
        <v>270372.92</v>
      </c>
      <c r="L667" s="419">
        <f t="shared" si="229"/>
        <v>245691.19999999998</v>
      </c>
      <c r="M667" s="419">
        <f t="shared" si="229"/>
        <v>258330.91999999998</v>
      </c>
      <c r="N667" s="419">
        <f t="shared" si="229"/>
        <v>320035.55000000005</v>
      </c>
      <c r="O667" s="419">
        <f>SUM(O663:O666)</f>
        <v>633271.40999999992</v>
      </c>
      <c r="P667" s="419">
        <f>SUM(P663:P666)</f>
        <v>1351855.06</v>
      </c>
      <c r="Q667" s="419">
        <f t="shared" si="225"/>
        <v>9910199.9500000011</v>
      </c>
    </row>
    <row r="668" spans="1:19" x14ac:dyDescent="0.2">
      <c r="A668" s="216">
        <f>A666+1</f>
        <v>16</v>
      </c>
      <c r="C668" s="216" t="s">
        <v>529</v>
      </c>
      <c r="D668" s="665">
        <f>Input!J27</f>
        <v>-0.16800000000000001</v>
      </c>
      <c r="E668" s="255">
        <f t="shared" ref="E668:P668" si="230">ROUND($D$668*E661,2)</f>
        <v>-123151.22</v>
      </c>
      <c r="F668" s="255">
        <f t="shared" si="230"/>
        <v>-117765.31</v>
      </c>
      <c r="G668" s="255">
        <f t="shared" si="230"/>
        <v>-97899.78</v>
      </c>
      <c r="H668" s="255">
        <f t="shared" si="230"/>
        <v>-49416.02</v>
      </c>
      <c r="I668" s="255">
        <f t="shared" si="230"/>
        <v>-29281.88</v>
      </c>
      <c r="J668" s="255">
        <f t="shared" si="230"/>
        <v>-20450.72</v>
      </c>
      <c r="K668" s="255">
        <f t="shared" si="230"/>
        <v>-16804.419999999998</v>
      </c>
      <c r="L668" s="255">
        <f t="shared" si="230"/>
        <v>-15184.09</v>
      </c>
      <c r="M668" s="255">
        <f t="shared" si="230"/>
        <v>-16026.16</v>
      </c>
      <c r="N668" s="255">
        <f t="shared" si="230"/>
        <v>-19845.12</v>
      </c>
      <c r="O668" s="255">
        <f t="shared" si="230"/>
        <v>-39726.74</v>
      </c>
      <c r="P668" s="255">
        <f t="shared" si="230"/>
        <v>-86802.06</v>
      </c>
      <c r="Q668" s="255">
        <f t="shared" si="225"/>
        <v>-632353.52</v>
      </c>
    </row>
    <row r="669" spans="1:19" x14ac:dyDescent="0.2">
      <c r="A669" s="216">
        <f>A668+1</f>
        <v>17</v>
      </c>
      <c r="C669" s="216" t="s">
        <v>201</v>
      </c>
      <c r="D669" s="592"/>
      <c r="E669" s="419">
        <f t="shared" ref="E669:P669" si="231">E653+E654+E667+E668</f>
        <v>2569077.27</v>
      </c>
      <c r="F669" s="419">
        <f t="shared" si="231"/>
        <v>2508303.1800000002</v>
      </c>
      <c r="G669" s="419">
        <f t="shared" si="231"/>
        <v>2232296.48</v>
      </c>
      <c r="H669" s="419">
        <f t="shared" si="231"/>
        <v>1544032.7999999998</v>
      </c>
      <c r="I669" s="419">
        <f t="shared" si="231"/>
        <v>1250290.8500000001</v>
      </c>
      <c r="J669" s="419">
        <f t="shared" si="231"/>
        <v>1104877.3800000001</v>
      </c>
      <c r="K669" s="419">
        <f t="shared" si="231"/>
        <v>1044791.4999999999</v>
      </c>
      <c r="L669" s="419">
        <f t="shared" si="231"/>
        <v>1018073.11</v>
      </c>
      <c r="M669" s="419">
        <f t="shared" si="231"/>
        <v>1029732.7599999999</v>
      </c>
      <c r="N669" s="419">
        <f t="shared" si="231"/>
        <v>1089067.43</v>
      </c>
      <c r="O669" s="419">
        <f t="shared" si="231"/>
        <v>1395462.67</v>
      </c>
      <c r="P669" s="419">
        <f t="shared" si="231"/>
        <v>2077735</v>
      </c>
      <c r="Q669" s="419">
        <f>SUM(E669:P669)</f>
        <v>18863740.43</v>
      </c>
    </row>
    <row r="670" spans="1:19" x14ac:dyDescent="0.2">
      <c r="D670" s="592"/>
      <c r="E670" s="417"/>
      <c r="F670" s="417"/>
      <c r="G670" s="417"/>
      <c r="H670" s="417"/>
      <c r="I670" s="417"/>
      <c r="J670" s="417"/>
      <c r="K670" s="417"/>
      <c r="L670" s="417"/>
      <c r="M670" s="417"/>
      <c r="N670" s="417"/>
      <c r="O670" s="417"/>
      <c r="P670" s="417"/>
      <c r="Q670" s="417"/>
    </row>
    <row r="671" spans="1:19" x14ac:dyDescent="0.2">
      <c r="A671" s="216">
        <f>A669+1</f>
        <v>18</v>
      </c>
      <c r="C671" s="216" t="s">
        <v>205</v>
      </c>
      <c r="D671" s="609">
        <f>EGC</f>
        <v>4.3869999999999996</v>
      </c>
      <c r="E671" s="419">
        <f t="shared" ref="E671:P671" si="232">ROUND(E661*$D$671,2)</f>
        <v>3215859.64</v>
      </c>
      <c r="F671" s="419">
        <f t="shared" si="232"/>
        <v>3075216.81</v>
      </c>
      <c r="G671" s="419">
        <f t="shared" si="232"/>
        <v>2556466.34</v>
      </c>
      <c r="H671" s="419">
        <f t="shared" si="232"/>
        <v>1290405.3400000001</v>
      </c>
      <c r="I671" s="419">
        <f t="shared" si="232"/>
        <v>764640.5</v>
      </c>
      <c r="J671" s="419">
        <f t="shared" si="232"/>
        <v>534031.69999999995</v>
      </c>
      <c r="K671" s="419">
        <f t="shared" si="232"/>
        <v>438815.38</v>
      </c>
      <c r="L671" s="419">
        <f t="shared" si="232"/>
        <v>396503.64</v>
      </c>
      <c r="M671" s="419">
        <f t="shared" si="232"/>
        <v>418492.6</v>
      </c>
      <c r="N671" s="419">
        <f t="shared" si="232"/>
        <v>518217.45</v>
      </c>
      <c r="O671" s="419">
        <f t="shared" si="232"/>
        <v>1037388.19</v>
      </c>
      <c r="P671" s="419">
        <f t="shared" si="232"/>
        <v>2266670.33</v>
      </c>
      <c r="Q671" s="419">
        <f>SUM(E671:P671)</f>
        <v>16512707.919999998</v>
      </c>
    </row>
    <row r="672" spans="1:19" x14ac:dyDescent="0.2">
      <c r="D672" s="592"/>
      <c r="E672" s="417"/>
      <c r="F672" s="417"/>
      <c r="G672" s="417"/>
      <c r="H672" s="417"/>
      <c r="I672" s="417"/>
      <c r="J672" s="417"/>
      <c r="K672" s="417"/>
      <c r="L672" s="417"/>
      <c r="M672" s="417"/>
      <c r="N672" s="417"/>
      <c r="O672" s="417"/>
      <c r="P672" s="417"/>
      <c r="Q672" s="417"/>
    </row>
    <row r="673" spans="1:17" x14ac:dyDescent="0.2">
      <c r="A673" s="402">
        <f>A671+1</f>
        <v>19</v>
      </c>
      <c r="B673" s="402"/>
      <c r="C673" s="402" t="s">
        <v>203</v>
      </c>
      <c r="D673" s="593"/>
      <c r="E673" s="671">
        <f>E669+E671</f>
        <v>5784936.9100000001</v>
      </c>
      <c r="F673" s="671">
        <f t="shared" ref="F673:N673" si="233">F669+F671</f>
        <v>5583519.9900000002</v>
      </c>
      <c r="G673" s="671">
        <f t="shared" si="233"/>
        <v>4788762.82</v>
      </c>
      <c r="H673" s="671">
        <f t="shared" si="233"/>
        <v>2834438.1399999997</v>
      </c>
      <c r="I673" s="671">
        <f t="shared" si="233"/>
        <v>2014931.35</v>
      </c>
      <c r="J673" s="671">
        <f t="shared" si="233"/>
        <v>1638909.08</v>
      </c>
      <c r="K673" s="671">
        <f t="shared" si="233"/>
        <v>1483606.88</v>
      </c>
      <c r="L673" s="671">
        <f t="shared" si="233"/>
        <v>1414576.75</v>
      </c>
      <c r="M673" s="671">
        <f t="shared" si="233"/>
        <v>1448225.3599999999</v>
      </c>
      <c r="N673" s="671">
        <f t="shared" si="233"/>
        <v>1607284.88</v>
      </c>
      <c r="O673" s="671">
        <f>O669+O671</f>
        <v>2432850.86</v>
      </c>
      <c r="P673" s="671">
        <f>P669+P671</f>
        <v>4344405.33</v>
      </c>
      <c r="Q673" s="671">
        <f>SUM(E673:P673)</f>
        <v>35376448.349999994</v>
      </c>
    </row>
    <row r="674" spans="1:17" x14ac:dyDescent="0.2">
      <c r="D674" s="725"/>
      <c r="E674" s="417"/>
      <c r="F674" s="417"/>
      <c r="G674" s="417"/>
      <c r="H674" s="417"/>
      <c r="I674" s="417"/>
      <c r="J674" s="417"/>
      <c r="K674" s="417"/>
      <c r="L674" s="417"/>
      <c r="M674" s="417"/>
      <c r="N674" s="417"/>
      <c r="O674" s="417"/>
      <c r="P674" s="417"/>
      <c r="Q674" s="457"/>
    </row>
    <row r="675" spans="1:17" x14ac:dyDescent="0.2">
      <c r="A675" s="216">
        <f>A673+1</f>
        <v>20</v>
      </c>
      <c r="C675" s="216" t="s">
        <v>193</v>
      </c>
      <c r="D675" s="725"/>
      <c r="E675" s="417"/>
      <c r="F675" s="417"/>
      <c r="G675" s="417"/>
      <c r="H675" s="417"/>
      <c r="I675" s="417"/>
      <c r="J675" s="417"/>
      <c r="K675" s="417"/>
      <c r="L675" s="417"/>
      <c r="M675" s="417"/>
      <c r="N675" s="417"/>
      <c r="O675" s="417"/>
      <c r="P675" s="417"/>
      <c r="Q675" s="457"/>
    </row>
    <row r="676" spans="1:17" x14ac:dyDescent="0.2">
      <c r="A676" s="216">
        <f>A675+1</f>
        <v>21</v>
      </c>
      <c r="C676" s="267" t="s">
        <v>211</v>
      </c>
      <c r="D676" s="609">
        <f>Input!O27</f>
        <v>2.58E-2</v>
      </c>
      <c r="E676" s="419">
        <f t="shared" ref="E676:P676" si="234">ROUND(E661*$D$676,2)</f>
        <v>18912.509999999998</v>
      </c>
      <c r="F676" s="419">
        <f t="shared" si="234"/>
        <v>18085.39</v>
      </c>
      <c r="G676" s="419">
        <f t="shared" si="234"/>
        <v>15034.61</v>
      </c>
      <c r="H676" s="419">
        <f t="shared" si="234"/>
        <v>7588.89</v>
      </c>
      <c r="I676" s="419">
        <f t="shared" si="234"/>
        <v>4496.8599999999997</v>
      </c>
      <c r="J676" s="419">
        <f t="shared" si="234"/>
        <v>3140.65</v>
      </c>
      <c r="K676" s="419">
        <f t="shared" si="234"/>
        <v>2580.6799999999998</v>
      </c>
      <c r="L676" s="419">
        <f t="shared" si="234"/>
        <v>2331.84</v>
      </c>
      <c r="M676" s="419">
        <f t="shared" si="234"/>
        <v>2461.16</v>
      </c>
      <c r="N676" s="419">
        <f t="shared" si="234"/>
        <v>3047.64</v>
      </c>
      <c r="O676" s="419">
        <f t="shared" si="234"/>
        <v>6100.89</v>
      </c>
      <c r="P676" s="419">
        <f t="shared" si="234"/>
        <v>13330.32</v>
      </c>
      <c r="Q676" s="419">
        <f>SUM(E676:P676)</f>
        <v>97111.439999999973</v>
      </c>
    </row>
    <row r="677" spans="1:17" x14ac:dyDescent="0.2">
      <c r="A677" s="216">
        <f>A676+1</f>
        <v>22</v>
      </c>
      <c r="C677" s="267" t="s">
        <v>553</v>
      </c>
      <c r="D677" s="609">
        <f>Input!$N$27</f>
        <v>1.44E-2</v>
      </c>
      <c r="E677" s="674">
        <f>ROUND($D$677*E661,2)</f>
        <v>10555.82</v>
      </c>
      <c r="F677" s="674">
        <f>ROUND($D$677*F661,2)</f>
        <v>10094.17</v>
      </c>
      <c r="G677" s="674">
        <f t="shared" ref="G677:P677" si="235">ROUND($D$677*G661,2)</f>
        <v>8391.41</v>
      </c>
      <c r="H677" s="674">
        <f t="shared" si="235"/>
        <v>4235.66</v>
      </c>
      <c r="I677" s="674">
        <f>ROUND($D$677*I661,2)</f>
        <v>2509.88</v>
      </c>
      <c r="J677" s="674">
        <f t="shared" si="235"/>
        <v>1752.92</v>
      </c>
      <c r="K677" s="674">
        <f t="shared" si="235"/>
        <v>1440.38</v>
      </c>
      <c r="L677" s="674">
        <f t="shared" si="235"/>
        <v>1301.49</v>
      </c>
      <c r="M677" s="674">
        <f t="shared" si="235"/>
        <v>1373.67</v>
      </c>
      <c r="N677" s="674">
        <f t="shared" si="235"/>
        <v>1701.01</v>
      </c>
      <c r="O677" s="674">
        <f>ROUND($D$677*O661,2)</f>
        <v>3405.15</v>
      </c>
      <c r="P677" s="674">
        <f t="shared" si="235"/>
        <v>7440.18</v>
      </c>
      <c r="Q677" s="674">
        <f t="shared" ref="Q677:Q678" si="236">SUM(E677:P677)</f>
        <v>54201.739999999991</v>
      </c>
    </row>
    <row r="678" spans="1:17" x14ac:dyDescent="0.2">
      <c r="A678" s="216">
        <f>A677+1</f>
        <v>23</v>
      </c>
      <c r="C678" s="267" t="s">
        <v>558</v>
      </c>
      <c r="D678" s="609"/>
      <c r="E678" s="419">
        <f>SUM(E676:E677)</f>
        <v>29468.329999999998</v>
      </c>
      <c r="F678" s="419">
        <f t="shared" ref="F678:P678" si="237">SUM(F676:F677)</f>
        <v>28179.559999999998</v>
      </c>
      <c r="G678" s="419">
        <f t="shared" si="237"/>
        <v>23426.02</v>
      </c>
      <c r="H678" s="419">
        <f t="shared" si="237"/>
        <v>11824.55</v>
      </c>
      <c r="I678" s="419">
        <f t="shared" si="237"/>
        <v>7006.74</v>
      </c>
      <c r="J678" s="419">
        <f t="shared" si="237"/>
        <v>4893.57</v>
      </c>
      <c r="K678" s="419">
        <f t="shared" si="237"/>
        <v>4021.06</v>
      </c>
      <c r="L678" s="419">
        <f t="shared" si="237"/>
        <v>3633.33</v>
      </c>
      <c r="M678" s="419">
        <f t="shared" si="237"/>
        <v>3834.83</v>
      </c>
      <c r="N678" s="419">
        <f t="shared" si="237"/>
        <v>4748.6499999999996</v>
      </c>
      <c r="O678" s="419">
        <f>SUM(O676:O677)</f>
        <v>9506.0400000000009</v>
      </c>
      <c r="P678" s="419">
        <f t="shared" si="237"/>
        <v>20770.5</v>
      </c>
      <c r="Q678" s="419">
        <f t="shared" si="236"/>
        <v>151313.18000000002</v>
      </c>
    </row>
    <row r="679" spans="1:17" x14ac:dyDescent="0.2">
      <c r="E679" s="417"/>
      <c r="F679" s="417"/>
      <c r="G679" s="417"/>
      <c r="H679" s="417"/>
      <c r="I679" s="417"/>
      <c r="J679" s="417"/>
      <c r="K679" s="417"/>
      <c r="L679" s="417"/>
      <c r="M679" s="417"/>
      <c r="N679" s="417"/>
      <c r="O679" s="417"/>
      <c r="P679" s="417"/>
      <c r="Q679" s="417"/>
    </row>
    <row r="680" spans="1:17" ht="10.5" thickBot="1" x14ac:dyDescent="0.25">
      <c r="A680" s="433">
        <f>A678+1</f>
        <v>24</v>
      </c>
      <c r="B680" s="433"/>
      <c r="C680" s="770" t="s">
        <v>202</v>
      </c>
      <c r="D680" s="771"/>
      <c r="E680" s="675">
        <f t="shared" ref="E680:P680" si="238">E673+E678</f>
        <v>5814405.2400000002</v>
      </c>
      <c r="F680" s="675">
        <f t="shared" si="238"/>
        <v>5611699.5499999998</v>
      </c>
      <c r="G680" s="675">
        <f t="shared" si="238"/>
        <v>4812188.84</v>
      </c>
      <c r="H680" s="675">
        <f t="shared" si="238"/>
        <v>2846262.6899999995</v>
      </c>
      <c r="I680" s="675">
        <f t="shared" si="238"/>
        <v>2021938.09</v>
      </c>
      <c r="J680" s="675">
        <f t="shared" si="238"/>
        <v>1643802.6500000001</v>
      </c>
      <c r="K680" s="675">
        <f t="shared" si="238"/>
        <v>1487627.94</v>
      </c>
      <c r="L680" s="675">
        <f t="shared" si="238"/>
        <v>1418210.08</v>
      </c>
      <c r="M680" s="675">
        <f t="shared" si="238"/>
        <v>1452060.19</v>
      </c>
      <c r="N680" s="675">
        <f t="shared" si="238"/>
        <v>1612033.5299999998</v>
      </c>
      <c r="O680" s="675">
        <f t="shared" si="238"/>
        <v>2442356.9</v>
      </c>
      <c r="P680" s="675">
        <f t="shared" si="238"/>
        <v>4365175.83</v>
      </c>
      <c r="Q680" s="675">
        <f>SUM(E680:P680)</f>
        <v>35527761.530000001</v>
      </c>
    </row>
    <row r="681" spans="1:17" ht="10.5" thickTop="1" x14ac:dyDescent="0.2">
      <c r="Q681" s="418"/>
    </row>
    <row r="683" spans="1:17" x14ac:dyDescent="0.2">
      <c r="A683" s="216" t="str">
        <f>$A$270</f>
        <v>[1] Reflects Normalized Volumes.</v>
      </c>
    </row>
    <row r="684" spans="1:17" x14ac:dyDescent="0.2">
      <c r="A684" s="216" t="str">
        <f>"[2] Reflects Gas Cost Adjustment Rate"&amp;CONCATENATE(" as of ",EGCDATE)&amp;"."</f>
        <v>[2] Reflects Gas Cost Adjustment Rate as of March 1, 2021.</v>
      </c>
    </row>
    <row r="685" spans="1:17" ht="10.5" x14ac:dyDescent="0.25">
      <c r="A685" s="817" t="str">
        <f>CONAME</f>
        <v>Columbia Gas of Kentucky, Inc.</v>
      </c>
      <c r="B685" s="817"/>
      <c r="C685" s="817"/>
      <c r="D685" s="817"/>
      <c r="E685" s="817"/>
      <c r="F685" s="817"/>
      <c r="G685" s="817"/>
      <c r="H685" s="817"/>
      <c r="I685" s="817"/>
      <c r="J685" s="817"/>
      <c r="K685" s="817"/>
      <c r="L685" s="817"/>
      <c r="M685" s="817"/>
      <c r="N685" s="817"/>
      <c r="O685" s="817"/>
      <c r="P685" s="817"/>
      <c r="Q685" s="817"/>
    </row>
    <row r="686" spans="1:17" ht="10.5" x14ac:dyDescent="0.25">
      <c r="A686" s="800" t="str">
        <f>case</f>
        <v>Case No. 2021-00183</v>
      </c>
      <c r="B686" s="800"/>
      <c r="C686" s="800"/>
      <c r="D686" s="800"/>
      <c r="E686" s="800"/>
      <c r="F686" s="800"/>
      <c r="G686" s="800"/>
      <c r="H686" s="800"/>
      <c r="I686" s="800"/>
      <c r="J686" s="800"/>
      <c r="K686" s="800"/>
      <c r="L686" s="800"/>
      <c r="M686" s="800"/>
      <c r="N686" s="800"/>
      <c r="O686" s="800"/>
      <c r="P686" s="800"/>
      <c r="Q686" s="800"/>
    </row>
    <row r="687" spans="1:17" ht="10.5" x14ac:dyDescent="0.25">
      <c r="A687" s="815" t="s">
        <v>414</v>
      </c>
      <c r="B687" s="815"/>
      <c r="C687" s="815"/>
      <c r="D687" s="815"/>
      <c r="E687" s="815"/>
      <c r="F687" s="815"/>
      <c r="G687" s="815"/>
      <c r="H687" s="815"/>
      <c r="I687" s="815"/>
      <c r="J687" s="815"/>
      <c r="K687" s="815"/>
      <c r="L687" s="815"/>
      <c r="M687" s="815"/>
      <c r="N687" s="815"/>
      <c r="O687" s="815"/>
      <c r="P687" s="815"/>
      <c r="Q687" s="815"/>
    </row>
    <row r="688" spans="1:17" ht="10.5" x14ac:dyDescent="0.25">
      <c r="A688" s="817" t="str">
        <f>TYDESC</f>
        <v>For the 12 Months Ended December 31, 2022</v>
      </c>
      <c r="B688" s="817"/>
      <c r="C688" s="817"/>
      <c r="D688" s="817"/>
      <c r="E688" s="817"/>
      <c r="F688" s="817"/>
      <c r="G688" s="817"/>
      <c r="H688" s="817"/>
      <c r="I688" s="817"/>
      <c r="J688" s="817"/>
      <c r="K688" s="817"/>
      <c r="L688" s="817"/>
      <c r="M688" s="817"/>
      <c r="N688" s="817"/>
      <c r="O688" s="817"/>
      <c r="P688" s="817"/>
      <c r="Q688" s="817"/>
    </row>
    <row r="689" spans="1:17" ht="10.5" x14ac:dyDescent="0.25">
      <c r="A689" s="814" t="s">
        <v>39</v>
      </c>
      <c r="B689" s="814"/>
      <c r="C689" s="814"/>
      <c r="D689" s="814"/>
      <c r="E689" s="814"/>
      <c r="F689" s="814"/>
      <c r="G689" s="814"/>
      <c r="H689" s="814"/>
      <c r="I689" s="814"/>
      <c r="J689" s="814"/>
      <c r="K689" s="814"/>
      <c r="L689" s="814"/>
      <c r="M689" s="814"/>
      <c r="N689" s="814"/>
      <c r="O689" s="814"/>
      <c r="P689" s="814"/>
      <c r="Q689" s="814"/>
    </row>
    <row r="690" spans="1:17" ht="10.5" x14ac:dyDescent="0.25">
      <c r="A690" s="245" t="str">
        <f>$A$52</f>
        <v>Data: __ Base Period _X_ Forecasted Period</v>
      </c>
    </row>
    <row r="691" spans="1:17" ht="10.5" x14ac:dyDescent="0.25">
      <c r="A691" s="245" t="str">
        <f>$A$53</f>
        <v>Type of Filing: X Original _ Update _ Revised</v>
      </c>
      <c r="Q691" s="583" t="str">
        <f>$Q$53</f>
        <v>Schedule M-2.2</v>
      </c>
    </row>
    <row r="692" spans="1:17" ht="10.5" x14ac:dyDescent="0.25">
      <c r="A692" s="245" t="str">
        <f>$A$54</f>
        <v>Work Paper Reference No(s):</v>
      </c>
      <c r="Q692" s="583" t="s">
        <v>432</v>
      </c>
    </row>
    <row r="693" spans="1:17" ht="10.5" x14ac:dyDescent="0.25">
      <c r="A693" s="373" t="str">
        <f>$A$55</f>
        <v>12 Months Forecasted</v>
      </c>
      <c r="Q693" s="583" t="str">
        <f>Witness</f>
        <v>Witness:  Judith L. Siegler</v>
      </c>
    </row>
    <row r="694" spans="1:17" ht="10.5" x14ac:dyDescent="0.25">
      <c r="A694" s="816" t="s">
        <v>191</v>
      </c>
      <c r="B694" s="816"/>
      <c r="C694" s="816"/>
      <c r="D694" s="816"/>
      <c r="E694" s="816"/>
      <c r="F694" s="816"/>
      <c r="G694" s="816"/>
      <c r="H694" s="816"/>
      <c r="I694" s="816"/>
      <c r="J694" s="816"/>
      <c r="K694" s="816"/>
      <c r="L694" s="816"/>
      <c r="M694" s="816"/>
      <c r="N694" s="816"/>
      <c r="O694" s="816"/>
      <c r="P694" s="816"/>
      <c r="Q694" s="816"/>
    </row>
    <row r="695" spans="1:17" ht="10.5" x14ac:dyDescent="0.25">
      <c r="A695" s="392"/>
      <c r="B695" s="280"/>
      <c r="C695" s="280"/>
      <c r="D695" s="282"/>
      <c r="E695" s="280"/>
      <c r="F695" s="438"/>
      <c r="G695" s="439"/>
      <c r="H695" s="438"/>
      <c r="I695" s="440"/>
      <c r="J695" s="438"/>
      <c r="K695" s="438"/>
      <c r="L695" s="438"/>
      <c r="M695" s="438"/>
      <c r="N695" s="438"/>
      <c r="O695" s="438"/>
      <c r="P695" s="438"/>
      <c r="Q695" s="280"/>
    </row>
    <row r="696" spans="1:17" ht="10.5" x14ac:dyDescent="0.25">
      <c r="A696" s="727" t="s">
        <v>1</v>
      </c>
      <c r="B696" s="727" t="s">
        <v>0</v>
      </c>
      <c r="C696" s="727" t="s">
        <v>41</v>
      </c>
      <c r="D696" s="731" t="s">
        <v>47</v>
      </c>
      <c r="E696" s="727"/>
      <c r="F696" s="584"/>
      <c r="G696" s="587"/>
      <c r="H696" s="584"/>
      <c r="I696" s="730"/>
      <c r="J696" s="584"/>
      <c r="K696" s="584"/>
      <c r="L696" s="584"/>
      <c r="M696" s="584"/>
      <c r="N696" s="584"/>
      <c r="O696" s="584"/>
      <c r="P696" s="584"/>
      <c r="Q696" s="732"/>
    </row>
    <row r="697" spans="1:17" ht="10.5" x14ac:dyDescent="0.25">
      <c r="A697" s="263" t="s">
        <v>3</v>
      </c>
      <c r="B697" s="263" t="s">
        <v>40</v>
      </c>
      <c r="C697" s="263" t="s">
        <v>4</v>
      </c>
      <c r="D697" s="756" t="s">
        <v>48</v>
      </c>
      <c r="E697" s="380" t="str">
        <f>B!$D$11</f>
        <v>Jan-22</v>
      </c>
      <c r="F697" s="380" t="str">
        <f>B!$E$11</f>
        <v>Feb-22</v>
      </c>
      <c r="G697" s="380" t="str">
        <f>B!$F$11</f>
        <v>Mar-22</v>
      </c>
      <c r="H697" s="380" t="str">
        <f>B!$G$11</f>
        <v>Apr-22</v>
      </c>
      <c r="I697" s="380" t="str">
        <f>B!$H$11</f>
        <v>May-22</v>
      </c>
      <c r="J697" s="380" t="str">
        <f>B!$I$11</f>
        <v>Jun-22</v>
      </c>
      <c r="K697" s="380" t="str">
        <f>B!$J$11</f>
        <v>Jul-22</v>
      </c>
      <c r="L697" s="380" t="str">
        <f>B!$K$11</f>
        <v>Aug-22</v>
      </c>
      <c r="M697" s="380" t="str">
        <f>B!$L$11</f>
        <v>Sep-22</v>
      </c>
      <c r="N697" s="380" t="str">
        <f>B!$M$11</f>
        <v>Oct-22</v>
      </c>
      <c r="O697" s="380" t="str">
        <f>B!$N$11</f>
        <v>Nov-22</v>
      </c>
      <c r="P697" s="380" t="str">
        <f>B!$O$11</f>
        <v>Dec-22</v>
      </c>
      <c r="Q697" s="380" t="s">
        <v>9</v>
      </c>
    </row>
    <row r="698" spans="1:17" ht="10.5" x14ac:dyDescent="0.25">
      <c r="A698" s="727"/>
      <c r="B698" s="732" t="s">
        <v>42</v>
      </c>
      <c r="C698" s="732" t="s">
        <v>43</v>
      </c>
      <c r="D698" s="757" t="s">
        <v>45</v>
      </c>
      <c r="E698" s="586" t="s">
        <v>46</v>
      </c>
      <c r="F698" s="586" t="s">
        <v>49</v>
      </c>
      <c r="G698" s="586" t="s">
        <v>50</v>
      </c>
      <c r="H698" s="586" t="s">
        <v>51</v>
      </c>
      <c r="I698" s="586" t="s">
        <v>52</v>
      </c>
      <c r="J698" s="586" t="s">
        <v>53</v>
      </c>
      <c r="K698" s="588" t="s">
        <v>54</v>
      </c>
      <c r="L698" s="588" t="s">
        <v>55</v>
      </c>
      <c r="M698" s="588" t="s">
        <v>56</v>
      </c>
      <c r="N698" s="588" t="s">
        <v>57</v>
      </c>
      <c r="O698" s="588" t="s">
        <v>58</v>
      </c>
      <c r="P698" s="588" t="s">
        <v>59</v>
      </c>
      <c r="Q698" s="588" t="s">
        <v>200</v>
      </c>
    </row>
    <row r="699" spans="1:17" ht="10.5" x14ac:dyDescent="0.25">
      <c r="E699" s="732"/>
      <c r="F699" s="588"/>
      <c r="G699" s="585"/>
      <c r="H699" s="588"/>
      <c r="I699" s="586"/>
      <c r="J699" s="588"/>
      <c r="K699" s="588"/>
      <c r="L699" s="588"/>
      <c r="M699" s="588"/>
      <c r="N699" s="588"/>
      <c r="O699" s="588"/>
      <c r="P699" s="588"/>
      <c r="Q699" s="732"/>
    </row>
    <row r="700" spans="1:17" x14ac:dyDescent="0.2">
      <c r="A700" s="216">
        <v>1</v>
      </c>
      <c r="B700" s="216" t="str">
        <f>B185</f>
        <v>GSO</v>
      </c>
      <c r="C700" s="216" t="str">
        <f>C185</f>
        <v>General Service - Industrial</v>
      </c>
    </row>
    <row r="702" spans="1:17" ht="10.5" x14ac:dyDescent="0.25">
      <c r="A702" s="216">
        <f>A700+1</f>
        <v>2</v>
      </c>
      <c r="C702" s="245" t="s">
        <v>112</v>
      </c>
    </row>
    <row r="703" spans="1:17" ht="10.5" x14ac:dyDescent="0.25">
      <c r="C703" s="245"/>
    </row>
    <row r="704" spans="1:17" x14ac:dyDescent="0.2">
      <c r="A704" s="216">
        <f>A702+1</f>
        <v>3</v>
      </c>
      <c r="C704" s="216" t="s">
        <v>199</v>
      </c>
      <c r="E704" s="421">
        <f>B!D87</f>
        <v>52</v>
      </c>
      <c r="F704" s="421">
        <f>B!E87</f>
        <v>52</v>
      </c>
      <c r="G704" s="421">
        <f>B!F87</f>
        <v>51</v>
      </c>
      <c r="H704" s="421">
        <f>B!G87</f>
        <v>51</v>
      </c>
      <c r="I704" s="421">
        <f>B!H87</f>
        <v>50</v>
      </c>
      <c r="J704" s="421">
        <f>B!I87</f>
        <v>51</v>
      </c>
      <c r="K704" s="421">
        <f>B!J87</f>
        <v>51</v>
      </c>
      <c r="L704" s="421">
        <f>B!K87</f>
        <v>51</v>
      </c>
      <c r="M704" s="421">
        <f>B!L87</f>
        <v>51</v>
      </c>
      <c r="N704" s="421">
        <f>B!M87</f>
        <v>52</v>
      </c>
      <c r="O704" s="421">
        <f>B!N87</f>
        <v>53</v>
      </c>
      <c r="P704" s="421">
        <f>B!O87</f>
        <v>53</v>
      </c>
      <c r="Q704" s="421">
        <f>SUM(E704:P704)</f>
        <v>618</v>
      </c>
    </row>
    <row r="705" spans="1:19" x14ac:dyDescent="0.2">
      <c r="A705" s="216">
        <f>A704+1</f>
        <v>4</v>
      </c>
      <c r="C705" s="216" t="s">
        <v>207</v>
      </c>
      <c r="D705" s="608">
        <f>Input!H28</f>
        <v>44.69</v>
      </c>
      <c r="E705" s="419">
        <f t="shared" ref="E705:P705" si="239">ROUND(E704*$D$705,2)</f>
        <v>2323.88</v>
      </c>
      <c r="F705" s="419">
        <f t="shared" si="239"/>
        <v>2323.88</v>
      </c>
      <c r="G705" s="419">
        <f t="shared" si="239"/>
        <v>2279.19</v>
      </c>
      <c r="H705" s="419">
        <f t="shared" si="239"/>
        <v>2279.19</v>
      </c>
      <c r="I705" s="419">
        <f t="shared" si="239"/>
        <v>2234.5</v>
      </c>
      <c r="J705" s="419">
        <f t="shared" si="239"/>
        <v>2279.19</v>
      </c>
      <c r="K705" s="419">
        <f t="shared" si="239"/>
        <v>2279.19</v>
      </c>
      <c r="L705" s="419">
        <f t="shared" si="239"/>
        <v>2279.19</v>
      </c>
      <c r="M705" s="419">
        <f t="shared" si="239"/>
        <v>2279.19</v>
      </c>
      <c r="N705" s="419">
        <f t="shared" si="239"/>
        <v>2323.88</v>
      </c>
      <c r="O705" s="419">
        <f t="shared" si="239"/>
        <v>2368.5700000000002</v>
      </c>
      <c r="P705" s="419">
        <f t="shared" si="239"/>
        <v>2368.5700000000002</v>
      </c>
      <c r="Q705" s="419">
        <f>SUM(E705:P705)</f>
        <v>27618.420000000002</v>
      </c>
    </row>
    <row r="706" spans="1:19" x14ac:dyDescent="0.2">
      <c r="A706" s="216">
        <f>A705+1</f>
        <v>5</v>
      </c>
      <c r="C706" s="216" t="s">
        <v>208</v>
      </c>
      <c r="D706" s="608">
        <f>Input!K28</f>
        <v>24.31</v>
      </c>
      <c r="E706" s="419">
        <f t="shared" ref="E706:P706" si="240">ROUND(E704*$D$706,2)</f>
        <v>1264.1199999999999</v>
      </c>
      <c r="F706" s="419">
        <f t="shared" si="240"/>
        <v>1264.1199999999999</v>
      </c>
      <c r="G706" s="419">
        <f t="shared" si="240"/>
        <v>1239.81</v>
      </c>
      <c r="H706" s="419">
        <f t="shared" si="240"/>
        <v>1239.81</v>
      </c>
      <c r="I706" s="419">
        <f t="shared" si="240"/>
        <v>1215.5</v>
      </c>
      <c r="J706" s="419">
        <f t="shared" si="240"/>
        <v>1239.81</v>
      </c>
      <c r="K706" s="419">
        <f t="shared" si="240"/>
        <v>1239.81</v>
      </c>
      <c r="L706" s="419">
        <f t="shared" si="240"/>
        <v>1239.81</v>
      </c>
      <c r="M706" s="419">
        <f t="shared" si="240"/>
        <v>1239.81</v>
      </c>
      <c r="N706" s="419">
        <f t="shared" si="240"/>
        <v>1264.1199999999999</v>
      </c>
      <c r="O706" s="419">
        <f t="shared" si="240"/>
        <v>1288.43</v>
      </c>
      <c r="P706" s="419">
        <f t="shared" si="240"/>
        <v>1288.43</v>
      </c>
      <c r="Q706" s="419">
        <f>SUM(E706:P706)</f>
        <v>15023.579999999998</v>
      </c>
    </row>
    <row r="707" spans="1:19" x14ac:dyDescent="0.2">
      <c r="D707" s="592"/>
    </row>
    <row r="708" spans="1:19" x14ac:dyDescent="0.2">
      <c r="A708" s="216">
        <f>A706+1</f>
        <v>6</v>
      </c>
      <c r="C708" s="216" t="s">
        <v>206</v>
      </c>
      <c r="D708" s="592"/>
    </row>
    <row r="709" spans="1:19" x14ac:dyDescent="0.2">
      <c r="A709" s="216">
        <f>A708+1</f>
        <v>7</v>
      </c>
      <c r="C709" s="216" t="str">
        <f>'C'!B113</f>
        <v xml:space="preserve">    First 50 Mcf</v>
      </c>
      <c r="D709" s="592"/>
      <c r="E709" s="424">
        <f>'C'!D125</f>
        <v>2145.3000000000002</v>
      </c>
      <c r="F709" s="424">
        <f>'C'!E125</f>
        <v>2115.6</v>
      </c>
      <c r="G709" s="424">
        <f>'C'!F125</f>
        <v>2045.5</v>
      </c>
      <c r="H709" s="424">
        <f>'C'!G125</f>
        <v>1652.2</v>
      </c>
      <c r="I709" s="424">
        <f>'C'!H125</f>
        <v>1582.2</v>
      </c>
      <c r="J709" s="424">
        <f>'C'!I125</f>
        <v>1098.7</v>
      </c>
      <c r="K709" s="424">
        <f>'C'!J125</f>
        <v>747.9</v>
      </c>
      <c r="L709" s="424">
        <f>'C'!K125</f>
        <v>837.7</v>
      </c>
      <c r="M709" s="424">
        <f>'C'!L125</f>
        <v>975.90000000000009</v>
      </c>
      <c r="N709" s="424">
        <f>'C'!M125</f>
        <v>1208.8</v>
      </c>
      <c r="O709" s="424">
        <f>'C'!N125</f>
        <v>1668.8</v>
      </c>
      <c r="P709" s="424">
        <f>'C'!O125</f>
        <v>2030.3</v>
      </c>
      <c r="Q709" s="424">
        <f>SUM(E709:P709)</f>
        <v>18108.899999999998</v>
      </c>
    </row>
    <row r="710" spans="1:19" x14ac:dyDescent="0.2">
      <c r="A710" s="216">
        <f>A709+1</f>
        <v>8</v>
      </c>
      <c r="C710" s="216" t="str">
        <f>'C'!B114</f>
        <v xml:space="preserve">    Next 350 Mcf</v>
      </c>
      <c r="D710" s="592"/>
      <c r="E710" s="424">
        <f>'C'!D126</f>
        <v>9954.7000000000007</v>
      </c>
      <c r="F710" s="424">
        <f>'C'!E126</f>
        <v>9961.7000000000007</v>
      </c>
      <c r="G710" s="424">
        <f>'C'!F126</f>
        <v>9287</v>
      </c>
      <c r="H710" s="424">
        <f>'C'!G126</f>
        <v>5626</v>
      </c>
      <c r="I710" s="424">
        <f>'C'!H126</f>
        <v>5225.6000000000004</v>
      </c>
      <c r="J710" s="424">
        <f>'C'!I126</f>
        <v>3671.8</v>
      </c>
      <c r="K710" s="424">
        <f>'C'!J126</f>
        <v>3224.1</v>
      </c>
      <c r="L710" s="424">
        <f>'C'!K126</f>
        <v>3915.9</v>
      </c>
      <c r="M710" s="424">
        <f>'C'!L126</f>
        <v>4195.5</v>
      </c>
      <c r="N710" s="424">
        <f>'C'!M126</f>
        <v>5273.7</v>
      </c>
      <c r="O710" s="424">
        <f>'C'!N126</f>
        <v>7257.1</v>
      </c>
      <c r="P710" s="424">
        <f>'C'!O126</f>
        <v>9459.2999999999993</v>
      </c>
      <c r="Q710" s="424">
        <f>SUM(E710:P710)</f>
        <v>77052.400000000009</v>
      </c>
    </row>
    <row r="711" spans="1:19" x14ac:dyDescent="0.2">
      <c r="A711" s="216">
        <f>A710+1</f>
        <v>9</v>
      </c>
      <c r="C711" s="216" t="str">
        <f>'C'!B115</f>
        <v xml:space="preserve">    Next 600 Mcf</v>
      </c>
      <c r="D711" s="592"/>
      <c r="E711" s="424">
        <f>'C'!D127</f>
        <v>11094.6</v>
      </c>
      <c r="F711" s="424">
        <f>'C'!E127</f>
        <v>11265.1</v>
      </c>
      <c r="G711" s="424">
        <f>'C'!F127</f>
        <v>10457.6</v>
      </c>
      <c r="H711" s="424">
        <f>'C'!G127</f>
        <v>1393.4</v>
      </c>
      <c r="I711" s="424">
        <f>'C'!H127</f>
        <v>1689.1</v>
      </c>
      <c r="J711" s="424">
        <f>'C'!I127</f>
        <v>1178.9000000000001</v>
      </c>
      <c r="K711" s="424">
        <f>'C'!J127</f>
        <v>1053.0999999999999</v>
      </c>
      <c r="L711" s="424">
        <f>'C'!K127</f>
        <v>2126.5</v>
      </c>
      <c r="M711" s="424">
        <f>'C'!L127</f>
        <v>2718.9</v>
      </c>
      <c r="N711" s="424">
        <f>'C'!M127</f>
        <v>4845.1000000000004</v>
      </c>
      <c r="O711" s="424">
        <f>'C'!N127</f>
        <v>8364.9</v>
      </c>
      <c r="P711" s="424">
        <f>'C'!O127</f>
        <v>9666.7999999999993</v>
      </c>
      <c r="Q711" s="424">
        <f>SUM(E711:P711)</f>
        <v>65854</v>
      </c>
    </row>
    <row r="712" spans="1:19" x14ac:dyDescent="0.2">
      <c r="A712" s="216">
        <f>A711+1</f>
        <v>10</v>
      </c>
      <c r="C712" s="216" t="str">
        <f>'C'!B116</f>
        <v xml:space="preserve">    Over 1,000 Mcf</v>
      </c>
      <c r="D712" s="592"/>
      <c r="E712" s="448">
        <f>'C'!D128</f>
        <v>25264.2</v>
      </c>
      <c r="F712" s="448">
        <f>'C'!E128</f>
        <v>22844</v>
      </c>
      <c r="G712" s="448">
        <f>'C'!F128</f>
        <v>8698.1</v>
      </c>
      <c r="H712" s="448">
        <f>'C'!G128</f>
        <v>1200</v>
      </c>
      <c r="I712" s="448">
        <f>'C'!H128</f>
        <v>1275</v>
      </c>
      <c r="J712" s="448">
        <f>'C'!I128</f>
        <v>1000</v>
      </c>
      <c r="K712" s="448">
        <f>'C'!J128</f>
        <v>1000</v>
      </c>
      <c r="L712" s="448">
        <f>'C'!K128</f>
        <v>1000</v>
      </c>
      <c r="M712" s="448">
        <f>'C'!L128</f>
        <v>1000</v>
      </c>
      <c r="N712" s="448">
        <f>'C'!M128</f>
        <v>1815.8</v>
      </c>
      <c r="O712" s="448">
        <f>'C'!N128</f>
        <v>10234.9</v>
      </c>
      <c r="P712" s="448">
        <f>'C'!O128</f>
        <v>19622.099999999999</v>
      </c>
      <c r="Q712" s="448">
        <f>SUM(E712:P712)</f>
        <v>94954.1</v>
      </c>
    </row>
    <row r="713" spans="1:19" x14ac:dyDescent="0.2">
      <c r="D713" s="592"/>
      <c r="E713" s="424">
        <f t="shared" ref="E713:O713" si="241">SUM(E709:E712)</f>
        <v>48458.8</v>
      </c>
      <c r="F713" s="424">
        <f t="shared" si="241"/>
        <v>46186.400000000001</v>
      </c>
      <c r="G713" s="424">
        <f t="shared" si="241"/>
        <v>30488.199999999997</v>
      </c>
      <c r="H713" s="424">
        <f t="shared" si="241"/>
        <v>9871.6</v>
      </c>
      <c r="I713" s="424">
        <f t="shared" si="241"/>
        <v>9771.9</v>
      </c>
      <c r="J713" s="424">
        <f t="shared" si="241"/>
        <v>6949.4</v>
      </c>
      <c r="K713" s="424">
        <f t="shared" si="241"/>
        <v>6025.1</v>
      </c>
      <c r="L713" s="424">
        <f t="shared" si="241"/>
        <v>7880.1</v>
      </c>
      <c r="M713" s="424">
        <f t="shared" si="241"/>
        <v>8890.2999999999993</v>
      </c>
      <c r="N713" s="424">
        <f t="shared" si="241"/>
        <v>13143.4</v>
      </c>
      <c r="O713" s="424">
        <f t="shared" si="241"/>
        <v>27525.699999999997</v>
      </c>
      <c r="P713" s="424">
        <f>SUM(P709:P712)</f>
        <v>40778.5</v>
      </c>
      <c r="Q713" s="424">
        <f>SUM(E713:P713)</f>
        <v>255969.39999999997</v>
      </c>
    </row>
    <row r="714" spans="1:19" x14ac:dyDescent="0.2">
      <c r="A714" s="216">
        <f>A712+1</f>
        <v>11</v>
      </c>
      <c r="C714" s="216" t="s">
        <v>204</v>
      </c>
      <c r="D714" s="592"/>
      <c r="Q714" s="456"/>
      <c r="S714" s="424"/>
    </row>
    <row r="715" spans="1:19" x14ac:dyDescent="0.2">
      <c r="A715" s="216">
        <f>A714+1</f>
        <v>12</v>
      </c>
      <c r="C715" s="216" t="str">
        <f>C709</f>
        <v xml:space="preserve">    First 50 Mcf</v>
      </c>
      <c r="D715" s="609">
        <f>Input!C28</f>
        <v>3.0181</v>
      </c>
      <c r="E715" s="419">
        <f t="shared" ref="E715:P715" si="242">ROUND(E709*$D$715,2)</f>
        <v>6474.73</v>
      </c>
      <c r="F715" s="419">
        <f t="shared" si="242"/>
        <v>6385.09</v>
      </c>
      <c r="G715" s="419">
        <f t="shared" si="242"/>
        <v>6173.52</v>
      </c>
      <c r="H715" s="419">
        <f t="shared" si="242"/>
        <v>4986.5</v>
      </c>
      <c r="I715" s="419">
        <f t="shared" si="242"/>
        <v>4775.24</v>
      </c>
      <c r="J715" s="419">
        <f t="shared" si="242"/>
        <v>3315.99</v>
      </c>
      <c r="K715" s="419">
        <f t="shared" si="242"/>
        <v>2257.2399999999998</v>
      </c>
      <c r="L715" s="419">
        <f t="shared" si="242"/>
        <v>2528.2600000000002</v>
      </c>
      <c r="M715" s="419">
        <f t="shared" si="242"/>
        <v>2945.36</v>
      </c>
      <c r="N715" s="419">
        <f t="shared" si="242"/>
        <v>3648.28</v>
      </c>
      <c r="O715" s="419">
        <f t="shared" si="242"/>
        <v>5036.6099999999997</v>
      </c>
      <c r="P715" s="419">
        <f t="shared" si="242"/>
        <v>6127.65</v>
      </c>
      <c r="Q715" s="419">
        <f t="shared" ref="Q715:Q721" si="243">SUM(E715:P715)</f>
        <v>54654.47</v>
      </c>
    </row>
    <row r="716" spans="1:19" x14ac:dyDescent="0.2">
      <c r="A716" s="216">
        <f>A715+1</f>
        <v>13</v>
      </c>
      <c r="C716" s="216" t="str">
        <f>C710</f>
        <v xml:space="preserve">    Next 350 Mcf</v>
      </c>
      <c r="D716" s="609">
        <f>Input!D28</f>
        <v>2.3294999999999999</v>
      </c>
      <c r="E716" s="421">
        <f t="shared" ref="E716:P716" si="244">ROUND(E710*$D$716,2)</f>
        <v>23189.47</v>
      </c>
      <c r="F716" s="421">
        <f t="shared" si="244"/>
        <v>23205.78</v>
      </c>
      <c r="G716" s="421">
        <f t="shared" si="244"/>
        <v>21634.07</v>
      </c>
      <c r="H716" s="421">
        <f t="shared" si="244"/>
        <v>13105.77</v>
      </c>
      <c r="I716" s="421">
        <f t="shared" si="244"/>
        <v>12173.04</v>
      </c>
      <c r="J716" s="421">
        <f t="shared" si="244"/>
        <v>8553.4599999999991</v>
      </c>
      <c r="K716" s="421">
        <f t="shared" si="244"/>
        <v>7510.54</v>
      </c>
      <c r="L716" s="421">
        <f t="shared" si="244"/>
        <v>9122.09</v>
      </c>
      <c r="M716" s="421">
        <f t="shared" si="244"/>
        <v>9773.42</v>
      </c>
      <c r="N716" s="421">
        <f t="shared" si="244"/>
        <v>12285.08</v>
      </c>
      <c r="O716" s="421">
        <f t="shared" si="244"/>
        <v>16905.41</v>
      </c>
      <c r="P716" s="421">
        <f t="shared" si="244"/>
        <v>22035.439999999999</v>
      </c>
      <c r="Q716" s="421">
        <f t="shared" si="243"/>
        <v>179493.56999999998</v>
      </c>
    </row>
    <row r="717" spans="1:19" x14ac:dyDescent="0.2">
      <c r="A717" s="216">
        <f>A716+1</f>
        <v>14</v>
      </c>
      <c r="C717" s="216" t="str">
        <f>C711</f>
        <v xml:space="preserve">    Next 600 Mcf</v>
      </c>
      <c r="D717" s="609">
        <f>Input!E28</f>
        <v>2.2143000000000002</v>
      </c>
      <c r="E717" s="421">
        <f t="shared" ref="E717:P717" si="245">ROUND(E711*$D$717,2)</f>
        <v>24566.77</v>
      </c>
      <c r="F717" s="421">
        <f t="shared" si="245"/>
        <v>24944.31</v>
      </c>
      <c r="G717" s="421">
        <f t="shared" si="245"/>
        <v>23156.26</v>
      </c>
      <c r="H717" s="421">
        <f t="shared" si="245"/>
        <v>3085.41</v>
      </c>
      <c r="I717" s="421">
        <f t="shared" si="245"/>
        <v>3740.17</v>
      </c>
      <c r="J717" s="421">
        <f t="shared" si="245"/>
        <v>2610.44</v>
      </c>
      <c r="K717" s="421">
        <f t="shared" si="245"/>
        <v>2331.88</v>
      </c>
      <c r="L717" s="421">
        <f t="shared" si="245"/>
        <v>4708.71</v>
      </c>
      <c r="M717" s="421">
        <f t="shared" si="245"/>
        <v>6020.46</v>
      </c>
      <c r="N717" s="421">
        <f t="shared" si="245"/>
        <v>10728.5</v>
      </c>
      <c r="O717" s="421">
        <f t="shared" si="245"/>
        <v>18522.400000000001</v>
      </c>
      <c r="P717" s="421">
        <f t="shared" si="245"/>
        <v>21405.200000000001</v>
      </c>
      <c r="Q717" s="421">
        <f t="shared" si="243"/>
        <v>145820.51000000004</v>
      </c>
    </row>
    <row r="718" spans="1:19" x14ac:dyDescent="0.2">
      <c r="A718" s="216">
        <f>A717+1</f>
        <v>15</v>
      </c>
      <c r="C718" s="216" t="str">
        <f>C712</f>
        <v xml:space="preserve">    Over 1,000 Mcf</v>
      </c>
      <c r="D718" s="609">
        <f>Input!F28</f>
        <v>2.0143</v>
      </c>
      <c r="E718" s="450">
        <f t="shared" ref="E718:P718" si="246">ROUND(E712*$D$718,2)</f>
        <v>50889.68</v>
      </c>
      <c r="F718" s="450">
        <f t="shared" si="246"/>
        <v>46014.67</v>
      </c>
      <c r="G718" s="450">
        <f t="shared" si="246"/>
        <v>17520.580000000002</v>
      </c>
      <c r="H718" s="450">
        <f t="shared" si="246"/>
        <v>2417.16</v>
      </c>
      <c r="I718" s="450">
        <f t="shared" si="246"/>
        <v>2568.23</v>
      </c>
      <c r="J718" s="450">
        <f t="shared" si="246"/>
        <v>2014.3</v>
      </c>
      <c r="K718" s="450">
        <f t="shared" si="246"/>
        <v>2014.3</v>
      </c>
      <c r="L718" s="450">
        <f t="shared" si="246"/>
        <v>2014.3</v>
      </c>
      <c r="M718" s="450">
        <f t="shared" si="246"/>
        <v>2014.3</v>
      </c>
      <c r="N718" s="450">
        <f t="shared" si="246"/>
        <v>3657.57</v>
      </c>
      <c r="O718" s="450">
        <f t="shared" si="246"/>
        <v>20616.16</v>
      </c>
      <c r="P718" s="450">
        <f t="shared" si="246"/>
        <v>39524.800000000003</v>
      </c>
      <c r="Q718" s="450">
        <f t="shared" si="243"/>
        <v>191266.05000000005</v>
      </c>
    </row>
    <row r="719" spans="1:19" x14ac:dyDescent="0.2">
      <c r="D719" s="592"/>
      <c r="E719" s="419">
        <f t="shared" ref="E719:O719" si="247">SUM(E715:E718)</f>
        <v>105120.65</v>
      </c>
      <c r="F719" s="419">
        <f t="shared" si="247"/>
        <v>100549.85</v>
      </c>
      <c r="G719" s="419">
        <f t="shared" si="247"/>
        <v>68484.429999999993</v>
      </c>
      <c r="H719" s="419">
        <f t="shared" si="247"/>
        <v>23594.84</v>
      </c>
      <c r="I719" s="419">
        <f t="shared" si="247"/>
        <v>23256.679999999997</v>
      </c>
      <c r="J719" s="419">
        <f t="shared" si="247"/>
        <v>16494.189999999999</v>
      </c>
      <c r="K719" s="419">
        <f t="shared" si="247"/>
        <v>14113.96</v>
      </c>
      <c r="L719" s="419">
        <f t="shared" si="247"/>
        <v>18373.36</v>
      </c>
      <c r="M719" s="419">
        <f t="shared" si="247"/>
        <v>20753.54</v>
      </c>
      <c r="N719" s="419">
        <f t="shared" si="247"/>
        <v>30319.43</v>
      </c>
      <c r="O719" s="419">
        <f t="shared" si="247"/>
        <v>61080.58</v>
      </c>
      <c r="P719" s="419">
        <f>SUM(P715:P718)</f>
        <v>89093.09</v>
      </c>
      <c r="Q719" s="419">
        <f t="shared" si="243"/>
        <v>571234.6</v>
      </c>
    </row>
    <row r="720" spans="1:19" ht="11.5" x14ac:dyDescent="0.35">
      <c r="A720" s="216">
        <f>A718+1</f>
        <v>16</v>
      </c>
      <c r="C720" s="216" t="s">
        <v>529</v>
      </c>
      <c r="D720" s="665">
        <f>Input!J28</f>
        <v>-0.16800000000000001</v>
      </c>
      <c r="E720" s="596">
        <f t="shared" ref="E720:P720" si="248">ROUND($D$720*E713,2)</f>
        <v>-8141.08</v>
      </c>
      <c r="F720" s="596">
        <f t="shared" si="248"/>
        <v>-7759.32</v>
      </c>
      <c r="G720" s="596">
        <f t="shared" si="248"/>
        <v>-5122.0200000000004</v>
      </c>
      <c r="H720" s="596">
        <f t="shared" si="248"/>
        <v>-1658.43</v>
      </c>
      <c r="I720" s="596">
        <f t="shared" si="248"/>
        <v>-1641.68</v>
      </c>
      <c r="J720" s="596">
        <f t="shared" si="248"/>
        <v>-1167.5</v>
      </c>
      <c r="K720" s="596">
        <f t="shared" si="248"/>
        <v>-1012.22</v>
      </c>
      <c r="L720" s="596">
        <f t="shared" si="248"/>
        <v>-1323.86</v>
      </c>
      <c r="M720" s="596">
        <f t="shared" si="248"/>
        <v>-1493.57</v>
      </c>
      <c r="N720" s="596">
        <f t="shared" si="248"/>
        <v>-2208.09</v>
      </c>
      <c r="O720" s="596">
        <f t="shared" si="248"/>
        <v>-4624.32</v>
      </c>
      <c r="P720" s="596">
        <f t="shared" si="248"/>
        <v>-6850.79</v>
      </c>
      <c r="Q720" s="666">
        <f t="shared" si="243"/>
        <v>-43002.879999999997</v>
      </c>
    </row>
    <row r="721" spans="1:17" x14ac:dyDescent="0.2">
      <c r="A721" s="216">
        <f>A720+1</f>
        <v>17</v>
      </c>
      <c r="C721" s="216" t="s">
        <v>201</v>
      </c>
      <c r="D721" s="592"/>
      <c r="E721" s="419">
        <f t="shared" ref="E721:P721" si="249">E705+E706+E719+E720</f>
        <v>100567.56999999999</v>
      </c>
      <c r="F721" s="419">
        <f t="shared" si="249"/>
        <v>96378.53</v>
      </c>
      <c r="G721" s="419">
        <f t="shared" si="249"/>
        <v>66881.409999999989</v>
      </c>
      <c r="H721" s="419">
        <f t="shared" si="249"/>
        <v>25455.41</v>
      </c>
      <c r="I721" s="419">
        <f t="shared" si="249"/>
        <v>25064.999999999996</v>
      </c>
      <c r="J721" s="419">
        <f t="shared" si="249"/>
        <v>18845.689999999999</v>
      </c>
      <c r="K721" s="419">
        <f t="shared" si="249"/>
        <v>16620.739999999998</v>
      </c>
      <c r="L721" s="419">
        <f t="shared" si="249"/>
        <v>20568.5</v>
      </c>
      <c r="M721" s="419">
        <f t="shared" si="249"/>
        <v>22778.97</v>
      </c>
      <c r="N721" s="419">
        <f t="shared" si="249"/>
        <v>31699.34</v>
      </c>
      <c r="O721" s="419">
        <f t="shared" si="249"/>
        <v>60113.26</v>
      </c>
      <c r="P721" s="419">
        <f t="shared" si="249"/>
        <v>85899.3</v>
      </c>
      <c r="Q721" s="419">
        <f t="shared" si="243"/>
        <v>570873.72</v>
      </c>
    </row>
    <row r="722" spans="1:17" x14ac:dyDescent="0.2">
      <c r="D722" s="592"/>
      <c r="E722" s="417"/>
      <c r="F722" s="417"/>
      <c r="G722" s="417"/>
      <c r="H722" s="417"/>
      <c r="I722" s="417"/>
      <c r="J722" s="417"/>
      <c r="K722" s="417"/>
      <c r="L722" s="417"/>
      <c r="M722" s="417"/>
      <c r="N722" s="417"/>
      <c r="O722" s="417"/>
      <c r="P722" s="417"/>
      <c r="Q722" s="417"/>
    </row>
    <row r="723" spans="1:17" x14ac:dyDescent="0.2">
      <c r="A723" s="216">
        <f>A721+1</f>
        <v>18</v>
      </c>
      <c r="C723" s="216" t="s">
        <v>205</v>
      </c>
      <c r="D723" s="609">
        <f>EGC</f>
        <v>4.3869999999999996</v>
      </c>
      <c r="E723" s="419">
        <f t="shared" ref="E723:P723" si="250">ROUND(E713*$D$723,2)</f>
        <v>212588.76</v>
      </c>
      <c r="F723" s="419">
        <f t="shared" si="250"/>
        <v>202619.74</v>
      </c>
      <c r="G723" s="419">
        <f t="shared" si="250"/>
        <v>133751.73000000001</v>
      </c>
      <c r="H723" s="419">
        <f t="shared" si="250"/>
        <v>43306.71</v>
      </c>
      <c r="I723" s="419">
        <f t="shared" si="250"/>
        <v>42869.33</v>
      </c>
      <c r="J723" s="419">
        <f t="shared" si="250"/>
        <v>30487.02</v>
      </c>
      <c r="K723" s="419">
        <f t="shared" si="250"/>
        <v>26432.11</v>
      </c>
      <c r="L723" s="419">
        <f t="shared" si="250"/>
        <v>34570</v>
      </c>
      <c r="M723" s="419">
        <f t="shared" si="250"/>
        <v>39001.75</v>
      </c>
      <c r="N723" s="419">
        <f t="shared" si="250"/>
        <v>57660.1</v>
      </c>
      <c r="O723" s="419">
        <f t="shared" si="250"/>
        <v>120755.25</v>
      </c>
      <c r="P723" s="419">
        <f t="shared" si="250"/>
        <v>178895.28</v>
      </c>
      <c r="Q723" s="419">
        <f>SUM(E723:P723)</f>
        <v>1122937.7799999998</v>
      </c>
    </row>
    <row r="724" spans="1:17" x14ac:dyDescent="0.2">
      <c r="D724" s="592"/>
      <c r="E724" s="417"/>
      <c r="F724" s="417"/>
      <c r="G724" s="417"/>
      <c r="H724" s="417"/>
      <c r="I724" s="417"/>
      <c r="J724" s="417"/>
      <c r="K724" s="417"/>
      <c r="L724" s="417"/>
      <c r="M724" s="417"/>
      <c r="N724" s="417"/>
      <c r="O724" s="417"/>
      <c r="P724" s="417"/>
      <c r="Q724" s="417"/>
    </row>
    <row r="725" spans="1:17" x14ac:dyDescent="0.2">
      <c r="A725" s="402">
        <f>A723+1</f>
        <v>19</v>
      </c>
      <c r="B725" s="402"/>
      <c r="C725" s="402" t="s">
        <v>203</v>
      </c>
      <c r="D725" s="593"/>
      <c r="E725" s="671">
        <f t="shared" ref="E725:O725" si="251">E721+E723</f>
        <v>313156.33</v>
      </c>
      <c r="F725" s="671">
        <f t="shared" si="251"/>
        <v>298998.27</v>
      </c>
      <c r="G725" s="671">
        <f t="shared" si="251"/>
        <v>200633.14</v>
      </c>
      <c r="H725" s="671">
        <f>H721+H723</f>
        <v>68762.12</v>
      </c>
      <c r="I725" s="671">
        <f t="shared" si="251"/>
        <v>67934.33</v>
      </c>
      <c r="J725" s="671">
        <f t="shared" si="251"/>
        <v>49332.71</v>
      </c>
      <c r="K725" s="671">
        <f t="shared" si="251"/>
        <v>43052.85</v>
      </c>
      <c r="L725" s="671">
        <f t="shared" si="251"/>
        <v>55138.5</v>
      </c>
      <c r="M725" s="671">
        <f t="shared" si="251"/>
        <v>61780.72</v>
      </c>
      <c r="N725" s="671">
        <f t="shared" si="251"/>
        <v>89359.44</v>
      </c>
      <c r="O725" s="671">
        <f t="shared" si="251"/>
        <v>180868.51</v>
      </c>
      <c r="P725" s="671">
        <f>P721+P723</f>
        <v>264794.58</v>
      </c>
      <c r="Q725" s="671">
        <f>SUM(E725:P725)</f>
        <v>1693811.5</v>
      </c>
    </row>
    <row r="726" spans="1:17" x14ac:dyDescent="0.2">
      <c r="D726" s="725"/>
      <c r="E726" s="417"/>
      <c r="F726" s="417"/>
      <c r="G726" s="417"/>
      <c r="H726" s="417"/>
      <c r="I726" s="417"/>
      <c r="J726" s="417"/>
      <c r="K726" s="417"/>
      <c r="L726" s="417"/>
      <c r="M726" s="417"/>
      <c r="N726" s="417"/>
      <c r="O726" s="417"/>
      <c r="P726" s="417"/>
      <c r="Q726" s="457"/>
    </row>
    <row r="727" spans="1:17" x14ac:dyDescent="0.2">
      <c r="A727" s="216">
        <f>A725+1</f>
        <v>20</v>
      </c>
      <c r="C727" s="216" t="s">
        <v>193</v>
      </c>
      <c r="D727" s="725"/>
      <c r="E727" s="417"/>
      <c r="F727" s="417"/>
      <c r="G727" s="417"/>
      <c r="H727" s="417"/>
      <c r="I727" s="417"/>
      <c r="J727" s="417"/>
      <c r="K727" s="417"/>
      <c r="L727" s="417"/>
      <c r="M727" s="417"/>
      <c r="N727" s="417"/>
      <c r="O727" s="417"/>
      <c r="P727" s="417"/>
      <c r="Q727" s="457"/>
    </row>
    <row r="728" spans="1:17" x14ac:dyDescent="0.2">
      <c r="A728" s="216">
        <f>A727+1</f>
        <v>21</v>
      </c>
      <c r="C728" s="267" t="s">
        <v>211</v>
      </c>
      <c r="D728" s="609">
        <f>Input!O28</f>
        <v>2.58E-2</v>
      </c>
      <c r="E728" s="419">
        <f t="shared" ref="E728:P728" si="252">ROUND(E713*$D$728,2)</f>
        <v>1250.24</v>
      </c>
      <c r="F728" s="419">
        <f t="shared" si="252"/>
        <v>1191.6099999999999</v>
      </c>
      <c r="G728" s="419">
        <f t="shared" si="252"/>
        <v>786.6</v>
      </c>
      <c r="H728" s="419">
        <f t="shared" si="252"/>
        <v>254.69</v>
      </c>
      <c r="I728" s="419">
        <f t="shared" si="252"/>
        <v>252.12</v>
      </c>
      <c r="J728" s="419">
        <f t="shared" si="252"/>
        <v>179.29</v>
      </c>
      <c r="K728" s="419">
        <f t="shared" si="252"/>
        <v>155.44999999999999</v>
      </c>
      <c r="L728" s="419">
        <f t="shared" si="252"/>
        <v>203.31</v>
      </c>
      <c r="M728" s="419">
        <f t="shared" si="252"/>
        <v>229.37</v>
      </c>
      <c r="N728" s="419">
        <f t="shared" si="252"/>
        <v>339.1</v>
      </c>
      <c r="O728" s="419">
        <f t="shared" si="252"/>
        <v>710.16</v>
      </c>
      <c r="P728" s="419">
        <f t="shared" si="252"/>
        <v>1052.0899999999999</v>
      </c>
      <c r="Q728" s="419">
        <f>SUM(E728:P728)</f>
        <v>6604.03</v>
      </c>
    </row>
    <row r="729" spans="1:17" ht="11.5" x14ac:dyDescent="0.35">
      <c r="A729" s="216">
        <f t="shared" ref="A729:A730" si="253">A728+1</f>
        <v>22</v>
      </c>
      <c r="C729" s="267" t="s">
        <v>553</v>
      </c>
      <c r="D729" s="609">
        <f>Input!$N$28</f>
        <v>1.44E-2</v>
      </c>
      <c r="E729" s="596">
        <f t="shared" ref="E729:P729" si="254">ROUND(E713*$D$729,2)</f>
        <v>697.81</v>
      </c>
      <c r="F729" s="596">
        <f t="shared" si="254"/>
        <v>665.08</v>
      </c>
      <c r="G729" s="596">
        <f t="shared" si="254"/>
        <v>439.03</v>
      </c>
      <c r="H729" s="596">
        <f t="shared" si="254"/>
        <v>142.15</v>
      </c>
      <c r="I729" s="596">
        <f t="shared" si="254"/>
        <v>140.72</v>
      </c>
      <c r="J729" s="596">
        <f t="shared" si="254"/>
        <v>100.07</v>
      </c>
      <c r="K729" s="596">
        <f t="shared" si="254"/>
        <v>86.76</v>
      </c>
      <c r="L729" s="596">
        <f t="shared" si="254"/>
        <v>113.47</v>
      </c>
      <c r="M729" s="596">
        <f t="shared" si="254"/>
        <v>128.02000000000001</v>
      </c>
      <c r="N729" s="596">
        <f t="shared" si="254"/>
        <v>189.26</v>
      </c>
      <c r="O729" s="596">
        <f t="shared" si="254"/>
        <v>396.37</v>
      </c>
      <c r="P729" s="596">
        <f t="shared" si="254"/>
        <v>587.21</v>
      </c>
      <c r="Q729" s="596">
        <f>SUM(E729:P729)</f>
        <v>3685.95</v>
      </c>
    </row>
    <row r="730" spans="1:17" x14ac:dyDescent="0.2">
      <c r="A730" s="216">
        <f t="shared" si="253"/>
        <v>23</v>
      </c>
      <c r="C730" s="267" t="s">
        <v>558</v>
      </c>
      <c r="D730" s="609"/>
      <c r="E730" s="419">
        <f>SUM(E728:E729)</f>
        <v>1948.05</v>
      </c>
      <c r="F730" s="419">
        <f t="shared" ref="F730:Q730" si="255">SUM(F728:F729)</f>
        <v>1856.69</v>
      </c>
      <c r="G730" s="419">
        <f t="shared" si="255"/>
        <v>1225.6300000000001</v>
      </c>
      <c r="H730" s="419">
        <f>SUM(H728:H729)</f>
        <v>396.84000000000003</v>
      </c>
      <c r="I730" s="419">
        <f t="shared" si="255"/>
        <v>392.84000000000003</v>
      </c>
      <c r="J730" s="419">
        <f t="shared" si="255"/>
        <v>279.36</v>
      </c>
      <c r="K730" s="419">
        <f t="shared" si="255"/>
        <v>242.20999999999998</v>
      </c>
      <c r="L730" s="419">
        <f t="shared" si="255"/>
        <v>316.77999999999997</v>
      </c>
      <c r="M730" s="419">
        <f t="shared" si="255"/>
        <v>357.39</v>
      </c>
      <c r="N730" s="419">
        <f t="shared" si="255"/>
        <v>528.36</v>
      </c>
      <c r="O730" s="419">
        <f t="shared" si="255"/>
        <v>1106.53</v>
      </c>
      <c r="P730" s="419">
        <f t="shared" si="255"/>
        <v>1639.3</v>
      </c>
      <c r="Q730" s="419">
        <f t="shared" si="255"/>
        <v>10289.98</v>
      </c>
    </row>
    <row r="731" spans="1:17" x14ac:dyDescent="0.2">
      <c r="E731" s="417"/>
      <c r="F731" s="417"/>
      <c r="G731" s="417"/>
      <c r="H731" s="417"/>
      <c r="I731" s="417"/>
      <c r="J731" s="417"/>
      <c r="K731" s="417"/>
      <c r="L731" s="417"/>
      <c r="M731" s="417"/>
      <c r="N731" s="417"/>
      <c r="O731" s="417"/>
      <c r="P731" s="417"/>
      <c r="Q731" s="417"/>
    </row>
    <row r="732" spans="1:17" ht="10.5" thickBot="1" x14ac:dyDescent="0.25">
      <c r="A732" s="433">
        <f>A730+1</f>
        <v>24</v>
      </c>
      <c r="B732" s="433"/>
      <c r="C732" s="433" t="s">
        <v>202</v>
      </c>
      <c r="D732" s="770"/>
      <c r="E732" s="675">
        <f>E725+E730</f>
        <v>315104.38</v>
      </c>
      <c r="F732" s="675">
        <f>F725+F730</f>
        <v>300854.96000000002</v>
      </c>
      <c r="G732" s="675">
        <f t="shared" ref="G732:O732" si="256">G725+G730</f>
        <v>201858.77000000002</v>
      </c>
      <c r="H732" s="675">
        <f>H725+H730</f>
        <v>69158.959999999992</v>
      </c>
      <c r="I732" s="675">
        <f t="shared" si="256"/>
        <v>68327.17</v>
      </c>
      <c r="J732" s="675">
        <f t="shared" si="256"/>
        <v>49612.07</v>
      </c>
      <c r="K732" s="675">
        <f t="shared" si="256"/>
        <v>43295.06</v>
      </c>
      <c r="L732" s="675">
        <f t="shared" si="256"/>
        <v>55455.28</v>
      </c>
      <c r="M732" s="675">
        <f t="shared" si="256"/>
        <v>62138.11</v>
      </c>
      <c r="N732" s="675">
        <f t="shared" si="256"/>
        <v>89887.8</v>
      </c>
      <c r="O732" s="675">
        <f t="shared" si="256"/>
        <v>181975.04000000001</v>
      </c>
      <c r="P732" s="675">
        <f>P725+P730</f>
        <v>266433.88</v>
      </c>
      <c r="Q732" s="675">
        <f>SUM(E732:P732)</f>
        <v>1704101.4800000004</v>
      </c>
    </row>
    <row r="733" spans="1:17" ht="10.5" thickTop="1" x14ac:dyDescent="0.2"/>
    <row r="735" spans="1:17" x14ac:dyDescent="0.2">
      <c r="A735" s="216" t="str">
        <f>$A$270</f>
        <v>[1] Reflects Normalized Volumes.</v>
      </c>
    </row>
    <row r="736" spans="1:17" x14ac:dyDescent="0.2">
      <c r="A736" s="216" t="str">
        <f>"[2] Reflects Gas Cost Adjustment Rate"&amp;CONCATENATE(" as of ",EGCDATE)&amp;"."</f>
        <v>[2] Reflects Gas Cost Adjustment Rate as of March 1, 2021.</v>
      </c>
    </row>
    <row r="738" spans="1:17" ht="10.5" x14ac:dyDescent="0.25">
      <c r="A738" s="817" t="str">
        <f>CONAME</f>
        <v>Columbia Gas of Kentucky, Inc.</v>
      </c>
      <c r="B738" s="817"/>
      <c r="C738" s="817"/>
      <c r="D738" s="817"/>
      <c r="E738" s="817"/>
      <c r="F738" s="817"/>
      <c r="G738" s="817"/>
      <c r="H738" s="817"/>
      <c r="I738" s="817"/>
      <c r="J738" s="817"/>
      <c r="K738" s="817"/>
      <c r="L738" s="817"/>
      <c r="M738" s="817"/>
      <c r="N738" s="817"/>
      <c r="O738" s="817"/>
      <c r="P738" s="817"/>
      <c r="Q738" s="817"/>
    </row>
    <row r="739" spans="1:17" ht="10.5" x14ac:dyDescent="0.25">
      <c r="A739" s="800" t="str">
        <f>case</f>
        <v>Case No. 2021-00183</v>
      </c>
      <c r="B739" s="800"/>
      <c r="C739" s="800"/>
      <c r="D739" s="800"/>
      <c r="E739" s="800"/>
      <c r="F739" s="800"/>
      <c r="G739" s="800"/>
      <c r="H739" s="800"/>
      <c r="I739" s="800"/>
      <c r="J739" s="800"/>
      <c r="K739" s="800"/>
      <c r="L739" s="800"/>
      <c r="M739" s="800"/>
      <c r="N739" s="800"/>
      <c r="O739" s="800"/>
      <c r="P739" s="800"/>
      <c r="Q739" s="800"/>
    </row>
    <row r="740" spans="1:17" ht="10.5" x14ac:dyDescent="0.25">
      <c r="A740" s="815" t="s">
        <v>414</v>
      </c>
      <c r="B740" s="815"/>
      <c r="C740" s="815"/>
      <c r="D740" s="815"/>
      <c r="E740" s="815"/>
      <c r="F740" s="815"/>
      <c r="G740" s="815"/>
      <c r="H740" s="815"/>
      <c r="I740" s="815"/>
      <c r="J740" s="815"/>
      <c r="K740" s="815"/>
      <c r="L740" s="815"/>
      <c r="M740" s="815"/>
      <c r="N740" s="815"/>
      <c r="O740" s="815"/>
      <c r="P740" s="815"/>
      <c r="Q740" s="815"/>
    </row>
    <row r="741" spans="1:17" ht="10.5" x14ac:dyDescent="0.25">
      <c r="A741" s="817" t="str">
        <f>TYDESC</f>
        <v>For the 12 Months Ended December 31, 2022</v>
      </c>
      <c r="B741" s="817"/>
      <c r="C741" s="817"/>
      <c r="D741" s="817"/>
      <c r="E741" s="817"/>
      <c r="F741" s="817"/>
      <c r="G741" s="817"/>
      <c r="H741" s="817"/>
      <c r="I741" s="817"/>
      <c r="J741" s="817"/>
      <c r="K741" s="817"/>
      <c r="L741" s="817"/>
      <c r="M741" s="817"/>
      <c r="N741" s="817"/>
      <c r="O741" s="817"/>
      <c r="P741" s="817"/>
      <c r="Q741" s="817"/>
    </row>
    <row r="742" spans="1:17" ht="10.5" x14ac:dyDescent="0.25">
      <c r="A742" s="814" t="s">
        <v>39</v>
      </c>
      <c r="B742" s="814"/>
      <c r="C742" s="814"/>
      <c r="D742" s="814"/>
      <c r="E742" s="814"/>
      <c r="F742" s="814"/>
      <c r="G742" s="814"/>
      <c r="H742" s="814"/>
      <c r="I742" s="814"/>
      <c r="J742" s="814"/>
      <c r="K742" s="814"/>
      <c r="L742" s="814"/>
      <c r="M742" s="814"/>
      <c r="N742" s="814"/>
      <c r="O742" s="814"/>
      <c r="P742" s="814"/>
      <c r="Q742" s="814"/>
    </row>
    <row r="743" spans="1:17" ht="10.5" x14ac:dyDescent="0.25">
      <c r="A743" s="245" t="str">
        <f>$A$52</f>
        <v>Data: __ Base Period _X_ Forecasted Period</v>
      </c>
    </row>
    <row r="744" spans="1:17" ht="10.5" x14ac:dyDescent="0.25">
      <c r="A744" s="245" t="str">
        <f>$A$53</f>
        <v>Type of Filing: X Original _ Update _ Revised</v>
      </c>
      <c r="Q744" s="583" t="str">
        <f>$Q$53</f>
        <v>Schedule M-2.2</v>
      </c>
    </row>
    <row r="745" spans="1:17" ht="10.5" x14ac:dyDescent="0.25">
      <c r="A745" s="245" t="str">
        <f>$A$54</f>
        <v>Work Paper Reference No(s):</v>
      </c>
      <c r="Q745" s="583" t="s">
        <v>424</v>
      </c>
    </row>
    <row r="746" spans="1:17" ht="10.5" x14ac:dyDescent="0.25">
      <c r="A746" s="373" t="str">
        <f>$A$55</f>
        <v>12 Months Forecasted</v>
      </c>
      <c r="Q746" s="583" t="str">
        <f>Witness</f>
        <v>Witness:  Judith L. Siegler</v>
      </c>
    </row>
    <row r="747" spans="1:17" ht="10.5" x14ac:dyDescent="0.25">
      <c r="A747" s="816" t="s">
        <v>191</v>
      </c>
      <c r="B747" s="816"/>
      <c r="C747" s="816"/>
      <c r="D747" s="816"/>
      <c r="E747" s="816"/>
      <c r="F747" s="816"/>
      <c r="G747" s="816"/>
      <c r="H747" s="816"/>
      <c r="I747" s="816"/>
      <c r="J747" s="816"/>
      <c r="K747" s="816"/>
      <c r="L747" s="816"/>
      <c r="M747" s="816"/>
      <c r="N747" s="816"/>
      <c r="O747" s="816"/>
      <c r="P747" s="816"/>
      <c r="Q747" s="816"/>
    </row>
    <row r="748" spans="1:17" ht="10.5" x14ac:dyDescent="0.25">
      <c r="A748" s="392"/>
      <c r="B748" s="280"/>
      <c r="C748" s="280"/>
      <c r="D748" s="282"/>
      <c r="E748" s="280"/>
      <c r="F748" s="438"/>
      <c r="G748" s="439"/>
      <c r="H748" s="438"/>
      <c r="I748" s="440"/>
      <c r="J748" s="438"/>
      <c r="K748" s="438"/>
      <c r="L748" s="438"/>
      <c r="M748" s="438"/>
      <c r="N748" s="438"/>
      <c r="O748" s="438"/>
      <c r="P748" s="438"/>
      <c r="Q748" s="280"/>
    </row>
    <row r="749" spans="1:17" ht="10.5" x14ac:dyDescent="0.25">
      <c r="A749" s="727" t="s">
        <v>1</v>
      </c>
      <c r="B749" s="727" t="s">
        <v>0</v>
      </c>
      <c r="C749" s="727" t="s">
        <v>41</v>
      </c>
      <c r="D749" s="731" t="s">
        <v>47</v>
      </c>
      <c r="E749" s="727"/>
      <c r="F749" s="584"/>
      <c r="G749" s="587"/>
      <c r="H749" s="584"/>
      <c r="I749" s="730"/>
      <c r="J749" s="584"/>
      <c r="K749" s="584"/>
      <c r="L749" s="584"/>
      <c r="M749" s="584"/>
      <c r="N749" s="584"/>
      <c r="O749" s="584"/>
      <c r="P749" s="584"/>
      <c r="Q749" s="732"/>
    </row>
    <row r="750" spans="1:17" ht="10.5" x14ac:dyDescent="0.25">
      <c r="A750" s="263" t="s">
        <v>3</v>
      </c>
      <c r="B750" s="263" t="s">
        <v>40</v>
      </c>
      <c r="C750" s="263" t="s">
        <v>4</v>
      </c>
      <c r="D750" s="756" t="s">
        <v>48</v>
      </c>
      <c r="E750" s="380" t="str">
        <f>B!$D$11</f>
        <v>Jan-22</v>
      </c>
      <c r="F750" s="380" t="str">
        <f>B!$E$11</f>
        <v>Feb-22</v>
      </c>
      <c r="G750" s="380" t="str">
        <f>B!$F$11</f>
        <v>Mar-22</v>
      </c>
      <c r="H750" s="380" t="str">
        <f>B!$G$11</f>
        <v>Apr-22</v>
      </c>
      <c r="I750" s="380" t="str">
        <f>B!$H$11</f>
        <v>May-22</v>
      </c>
      <c r="J750" s="380" t="str">
        <f>B!$I$11</f>
        <v>Jun-22</v>
      </c>
      <c r="K750" s="380" t="str">
        <f>B!$J$11</f>
        <v>Jul-22</v>
      </c>
      <c r="L750" s="380" t="str">
        <f>B!$K$11</f>
        <v>Aug-22</v>
      </c>
      <c r="M750" s="380" t="str">
        <f>B!$L$11</f>
        <v>Sep-22</v>
      </c>
      <c r="N750" s="380" t="str">
        <f>B!$M$11</f>
        <v>Oct-22</v>
      </c>
      <c r="O750" s="380" t="str">
        <f>B!$N$11</f>
        <v>Nov-22</v>
      </c>
      <c r="P750" s="380" t="str">
        <f>B!$O$11</f>
        <v>Dec-22</v>
      </c>
      <c r="Q750" s="380" t="s">
        <v>9</v>
      </c>
    </row>
    <row r="751" spans="1:17" ht="10.5" x14ac:dyDescent="0.25">
      <c r="A751" s="727"/>
      <c r="B751" s="732" t="s">
        <v>42</v>
      </c>
      <c r="C751" s="732" t="s">
        <v>43</v>
      </c>
      <c r="D751" s="757" t="s">
        <v>45</v>
      </c>
      <c r="E751" s="586" t="s">
        <v>46</v>
      </c>
      <c r="F751" s="586" t="s">
        <v>49</v>
      </c>
      <c r="G751" s="586" t="s">
        <v>50</v>
      </c>
      <c r="H751" s="586" t="s">
        <v>51</v>
      </c>
      <c r="I751" s="586" t="s">
        <v>52</v>
      </c>
      <c r="J751" s="586" t="s">
        <v>53</v>
      </c>
      <c r="K751" s="588" t="s">
        <v>54</v>
      </c>
      <c r="L751" s="588" t="s">
        <v>55</v>
      </c>
      <c r="M751" s="588" t="s">
        <v>56</v>
      </c>
      <c r="N751" s="588" t="s">
        <v>57</v>
      </c>
      <c r="O751" s="588" t="s">
        <v>58</v>
      </c>
      <c r="P751" s="588" t="s">
        <v>59</v>
      </c>
      <c r="Q751" s="588" t="s">
        <v>200</v>
      </c>
    </row>
    <row r="752" spans="1:17" ht="10.5" x14ac:dyDescent="0.25">
      <c r="E752" s="732"/>
      <c r="F752" s="588"/>
      <c r="G752" s="585"/>
      <c r="H752" s="588"/>
      <c r="I752" s="586"/>
      <c r="J752" s="588"/>
      <c r="K752" s="588"/>
      <c r="L752" s="588"/>
      <c r="M752" s="588"/>
      <c r="N752" s="588"/>
      <c r="O752" s="588"/>
      <c r="P752" s="588"/>
      <c r="Q752" s="732"/>
    </row>
    <row r="753" spans="1:17" x14ac:dyDescent="0.2">
      <c r="A753" s="216">
        <v>1</v>
      </c>
      <c r="B753" s="216" t="str">
        <f>B192</f>
        <v xml:space="preserve">IS </v>
      </c>
      <c r="C753" s="216" t="str">
        <f>C192</f>
        <v>Interruptible Service - Industrial</v>
      </c>
    </row>
    <row r="755" spans="1:17" ht="10.5" x14ac:dyDescent="0.25">
      <c r="A755" s="216">
        <v>2</v>
      </c>
      <c r="C755" s="245" t="s">
        <v>112</v>
      </c>
    </row>
    <row r="757" spans="1:17" x14ac:dyDescent="0.2">
      <c r="A757" s="216">
        <v>3</v>
      </c>
      <c r="C757" s="216" t="s">
        <v>199</v>
      </c>
      <c r="E757" s="267">
        <f>B!D93</f>
        <v>0</v>
      </c>
      <c r="F757" s="267">
        <f>B!E93</f>
        <v>0</v>
      </c>
      <c r="G757" s="267">
        <f>B!F93</f>
        <v>0</v>
      </c>
      <c r="H757" s="267">
        <f>B!G93</f>
        <v>0</v>
      </c>
      <c r="I757" s="267">
        <f>B!H93</f>
        <v>0</v>
      </c>
      <c r="J757" s="267">
        <f>B!I93</f>
        <v>0</v>
      </c>
      <c r="K757" s="267">
        <f>B!J93</f>
        <v>0</v>
      </c>
      <c r="L757" s="267">
        <f>B!K93</f>
        <v>0</v>
      </c>
      <c r="M757" s="267">
        <f>B!L93</f>
        <v>0</v>
      </c>
      <c r="N757" s="267">
        <f>B!M93</f>
        <v>0</v>
      </c>
      <c r="O757" s="267">
        <f>B!N93</f>
        <v>0</v>
      </c>
      <c r="P757" s="267">
        <f>B!O93</f>
        <v>0</v>
      </c>
      <c r="Q757" s="267">
        <f>SUM(E757:P757)</f>
        <v>0</v>
      </c>
    </row>
    <row r="758" spans="1:17" x14ac:dyDescent="0.2">
      <c r="A758" s="216">
        <v>4</v>
      </c>
      <c r="C758" s="216" t="s">
        <v>207</v>
      </c>
      <c r="D758" s="608">
        <f>Input!H33</f>
        <v>2007</v>
      </c>
      <c r="E758" s="419">
        <f t="shared" ref="E758:P758" si="257">ROUND(E757*$D$758,2)</f>
        <v>0</v>
      </c>
      <c r="F758" s="419">
        <f t="shared" si="257"/>
        <v>0</v>
      </c>
      <c r="G758" s="419">
        <f t="shared" si="257"/>
        <v>0</v>
      </c>
      <c r="H758" s="419">
        <f t="shared" si="257"/>
        <v>0</v>
      </c>
      <c r="I758" s="419">
        <f t="shared" si="257"/>
        <v>0</v>
      </c>
      <c r="J758" s="419">
        <f t="shared" si="257"/>
        <v>0</v>
      </c>
      <c r="K758" s="419">
        <f t="shared" si="257"/>
        <v>0</v>
      </c>
      <c r="L758" s="419">
        <f t="shared" si="257"/>
        <v>0</v>
      </c>
      <c r="M758" s="419">
        <f t="shared" si="257"/>
        <v>0</v>
      </c>
      <c r="N758" s="419">
        <f t="shared" si="257"/>
        <v>0</v>
      </c>
      <c r="O758" s="419">
        <f t="shared" si="257"/>
        <v>0</v>
      </c>
      <c r="P758" s="419">
        <f t="shared" si="257"/>
        <v>0</v>
      </c>
      <c r="Q758" s="419">
        <f>SUM(E758:P758)</f>
        <v>0</v>
      </c>
    </row>
    <row r="759" spans="1:17" x14ac:dyDescent="0.2">
      <c r="A759" s="216">
        <f>A758+1</f>
        <v>5</v>
      </c>
      <c r="C759" s="216" t="s">
        <v>208</v>
      </c>
      <c r="D759" s="608">
        <f>Input!K33</f>
        <v>1221.21</v>
      </c>
      <c r="E759" s="419">
        <f t="shared" ref="E759:P759" si="258">ROUND(E757*$D$759,2)</f>
        <v>0</v>
      </c>
      <c r="F759" s="419">
        <f t="shared" si="258"/>
        <v>0</v>
      </c>
      <c r="G759" s="419">
        <f t="shared" si="258"/>
        <v>0</v>
      </c>
      <c r="H759" s="419">
        <f t="shared" si="258"/>
        <v>0</v>
      </c>
      <c r="I759" s="419">
        <f t="shared" si="258"/>
        <v>0</v>
      </c>
      <c r="J759" s="419">
        <f t="shared" si="258"/>
        <v>0</v>
      </c>
      <c r="K759" s="419">
        <f t="shared" si="258"/>
        <v>0</v>
      </c>
      <c r="L759" s="419">
        <f t="shared" si="258"/>
        <v>0</v>
      </c>
      <c r="M759" s="419">
        <f t="shared" si="258"/>
        <v>0</v>
      </c>
      <c r="N759" s="419">
        <f t="shared" si="258"/>
        <v>0</v>
      </c>
      <c r="O759" s="419">
        <f t="shared" si="258"/>
        <v>0</v>
      </c>
      <c r="P759" s="419">
        <f t="shared" si="258"/>
        <v>0</v>
      </c>
      <c r="Q759" s="419">
        <f>SUM(E759:P759)</f>
        <v>0</v>
      </c>
    </row>
    <row r="760" spans="1:17" x14ac:dyDescent="0.2">
      <c r="D760" s="447"/>
      <c r="E760" s="269"/>
      <c r="G760" s="269"/>
      <c r="I760" s="269"/>
      <c r="Q760" s="269"/>
    </row>
    <row r="761" spans="1:17" x14ac:dyDescent="0.2">
      <c r="A761" s="216">
        <f>A759+1</f>
        <v>6</v>
      </c>
      <c r="C761" s="267" t="s">
        <v>206</v>
      </c>
      <c r="E761" s="272"/>
      <c r="F761" s="272"/>
      <c r="G761" s="272"/>
      <c r="H761" s="272"/>
      <c r="J761" s="272"/>
      <c r="K761" s="272"/>
      <c r="L761" s="272"/>
      <c r="M761" s="272"/>
      <c r="N761" s="272"/>
      <c r="O761" s="272"/>
      <c r="P761" s="272"/>
      <c r="Q761" s="272"/>
    </row>
    <row r="762" spans="1:17" x14ac:dyDescent="0.2">
      <c r="A762" s="216">
        <f>A761+1</f>
        <v>7</v>
      </c>
      <c r="C762" s="267" t="str">
        <f>'C'!B133</f>
        <v xml:space="preserve">    First 30,000 Mcf</v>
      </c>
      <c r="E762" s="272">
        <f>'C'!D133</f>
        <v>0</v>
      </c>
      <c r="F762" s="272">
        <f>'C'!E133</f>
        <v>0</v>
      </c>
      <c r="G762" s="272">
        <f>'C'!F133</f>
        <v>0</v>
      </c>
      <c r="H762" s="272">
        <f>'C'!G133</f>
        <v>0</v>
      </c>
      <c r="I762" s="272">
        <f>'C'!H133</f>
        <v>0</v>
      </c>
      <c r="J762" s="272">
        <f>'C'!I133</f>
        <v>0</v>
      </c>
      <c r="K762" s="272">
        <f>'C'!J133</f>
        <v>0</v>
      </c>
      <c r="L762" s="272">
        <f>'C'!K133</f>
        <v>0</v>
      </c>
      <c r="M762" s="272">
        <f>'C'!L133</f>
        <v>0</v>
      </c>
      <c r="N762" s="272">
        <f>'C'!M133</f>
        <v>0</v>
      </c>
      <c r="O762" s="272">
        <f>'C'!N133</f>
        <v>0</v>
      </c>
      <c r="P762" s="272">
        <f>'C'!O133</f>
        <v>0</v>
      </c>
      <c r="Q762" s="272">
        <f>SUM(E762:P762)</f>
        <v>0</v>
      </c>
    </row>
    <row r="763" spans="1:17" x14ac:dyDescent="0.2">
      <c r="A763" s="216">
        <f>A762+1</f>
        <v>8</v>
      </c>
      <c r="C763" s="267" t="str">
        <f>'C'!B135</f>
        <v xml:space="preserve">    Over 100,000 Mcf</v>
      </c>
      <c r="E763" s="448">
        <f>'C'!D135</f>
        <v>0</v>
      </c>
      <c r="F763" s="448">
        <f>'C'!E135</f>
        <v>0</v>
      </c>
      <c r="G763" s="448">
        <f>'C'!F135</f>
        <v>0</v>
      </c>
      <c r="H763" s="448">
        <f>'C'!G135</f>
        <v>0</v>
      </c>
      <c r="I763" s="448">
        <f>'C'!H135</f>
        <v>0</v>
      </c>
      <c r="J763" s="448">
        <f>'C'!I135</f>
        <v>0</v>
      </c>
      <c r="K763" s="448">
        <f>'C'!J135</f>
        <v>0</v>
      </c>
      <c r="L763" s="448">
        <f>'C'!K135</f>
        <v>0</v>
      </c>
      <c r="M763" s="448">
        <f>'C'!L135</f>
        <v>0</v>
      </c>
      <c r="N763" s="448">
        <f>'C'!M135</f>
        <v>0</v>
      </c>
      <c r="O763" s="448">
        <f>'C'!N135</f>
        <v>0</v>
      </c>
      <c r="P763" s="448">
        <f>'C'!O135</f>
        <v>0</v>
      </c>
      <c r="Q763" s="448">
        <f>SUM(E763:P763)</f>
        <v>0</v>
      </c>
    </row>
    <row r="764" spans="1:17" x14ac:dyDescent="0.2">
      <c r="C764" s="267"/>
      <c r="E764" s="272">
        <f t="shared" ref="E764:O764" si="259">SUM(E762:E763)</f>
        <v>0</v>
      </c>
      <c r="F764" s="272">
        <f t="shared" si="259"/>
        <v>0</v>
      </c>
      <c r="G764" s="272">
        <f t="shared" si="259"/>
        <v>0</v>
      </c>
      <c r="H764" s="272">
        <f t="shared" si="259"/>
        <v>0</v>
      </c>
      <c r="I764" s="272">
        <f t="shared" si="259"/>
        <v>0</v>
      </c>
      <c r="J764" s="272">
        <f t="shared" si="259"/>
        <v>0</v>
      </c>
      <c r="K764" s="272">
        <f t="shared" si="259"/>
        <v>0</v>
      </c>
      <c r="L764" s="272">
        <f t="shared" si="259"/>
        <v>0</v>
      </c>
      <c r="M764" s="272">
        <f t="shared" si="259"/>
        <v>0</v>
      </c>
      <c r="N764" s="272">
        <f t="shared" si="259"/>
        <v>0</v>
      </c>
      <c r="O764" s="272">
        <f t="shared" si="259"/>
        <v>0</v>
      </c>
      <c r="P764" s="272">
        <f>SUM(P762:P763)</f>
        <v>0</v>
      </c>
      <c r="Q764" s="272">
        <f>SUM(E764:P764)</f>
        <v>0</v>
      </c>
    </row>
    <row r="765" spans="1:17" x14ac:dyDescent="0.2">
      <c r="A765" s="216">
        <f>A763+1</f>
        <v>9</v>
      </c>
      <c r="C765" s="216" t="s">
        <v>204</v>
      </c>
      <c r="D765" s="591"/>
      <c r="E765" s="269"/>
      <c r="G765" s="269"/>
      <c r="I765" s="269"/>
      <c r="Q765" s="269"/>
    </row>
    <row r="766" spans="1:17" x14ac:dyDescent="0.2">
      <c r="A766" s="216">
        <f>A765+1</f>
        <v>10</v>
      </c>
      <c r="C766" s="267" t="str">
        <f>C762</f>
        <v xml:space="preserve">    First 30,000 Mcf</v>
      </c>
      <c r="D766" s="609">
        <f>Input!C33</f>
        <v>0.62849999999999995</v>
      </c>
      <c r="E766" s="419">
        <f t="shared" ref="E766:P766" si="260">ROUND(E762*$D$766,2)</f>
        <v>0</v>
      </c>
      <c r="F766" s="419">
        <f t="shared" si="260"/>
        <v>0</v>
      </c>
      <c r="G766" s="419">
        <f t="shared" si="260"/>
        <v>0</v>
      </c>
      <c r="H766" s="419">
        <f t="shared" si="260"/>
        <v>0</v>
      </c>
      <c r="I766" s="419">
        <f t="shared" si="260"/>
        <v>0</v>
      </c>
      <c r="J766" s="419">
        <f t="shared" si="260"/>
        <v>0</v>
      </c>
      <c r="K766" s="419">
        <f t="shared" si="260"/>
        <v>0</v>
      </c>
      <c r="L766" s="419">
        <f t="shared" si="260"/>
        <v>0</v>
      </c>
      <c r="M766" s="419">
        <f t="shared" si="260"/>
        <v>0</v>
      </c>
      <c r="N766" s="419">
        <f t="shared" si="260"/>
        <v>0</v>
      </c>
      <c r="O766" s="419">
        <f t="shared" si="260"/>
        <v>0</v>
      </c>
      <c r="P766" s="419">
        <f t="shared" si="260"/>
        <v>0</v>
      </c>
      <c r="Q766" s="419">
        <f t="shared" ref="Q766:Q770" si="261">SUM(E766:P766)</f>
        <v>0</v>
      </c>
    </row>
    <row r="767" spans="1:17" x14ac:dyDescent="0.2">
      <c r="A767" s="216">
        <f>A766+1</f>
        <v>11</v>
      </c>
      <c r="C767" s="267" t="str">
        <f>C763</f>
        <v xml:space="preserve">    Over 100,000 Mcf</v>
      </c>
      <c r="D767" s="609">
        <f>Input!D33</f>
        <v>0.37369999999999998</v>
      </c>
      <c r="E767" s="255">
        <f t="shared" ref="E767:P767" si="262">ROUND(E763*$D$767,2)</f>
        <v>0</v>
      </c>
      <c r="F767" s="255">
        <f t="shared" si="262"/>
        <v>0</v>
      </c>
      <c r="G767" s="255">
        <f t="shared" si="262"/>
        <v>0</v>
      </c>
      <c r="H767" s="255">
        <f t="shared" si="262"/>
        <v>0</v>
      </c>
      <c r="I767" s="255">
        <f t="shared" si="262"/>
        <v>0</v>
      </c>
      <c r="J767" s="255">
        <f t="shared" si="262"/>
        <v>0</v>
      </c>
      <c r="K767" s="255">
        <f t="shared" si="262"/>
        <v>0</v>
      </c>
      <c r="L767" s="255">
        <f t="shared" si="262"/>
        <v>0</v>
      </c>
      <c r="M767" s="255">
        <f t="shared" si="262"/>
        <v>0</v>
      </c>
      <c r="N767" s="255">
        <f t="shared" si="262"/>
        <v>0</v>
      </c>
      <c r="O767" s="255">
        <f t="shared" si="262"/>
        <v>0</v>
      </c>
      <c r="P767" s="255">
        <f t="shared" si="262"/>
        <v>0</v>
      </c>
      <c r="Q767" s="255">
        <f t="shared" si="261"/>
        <v>0</v>
      </c>
    </row>
    <row r="768" spans="1:17" x14ac:dyDescent="0.2">
      <c r="C768" s="267"/>
      <c r="D768" s="609"/>
      <c r="E768" s="419">
        <f t="shared" ref="E768:O768" si="263">SUM(E766:E767)</f>
        <v>0</v>
      </c>
      <c r="F768" s="419">
        <f t="shared" si="263"/>
        <v>0</v>
      </c>
      <c r="G768" s="419">
        <f t="shared" si="263"/>
        <v>0</v>
      </c>
      <c r="H768" s="419">
        <f t="shared" si="263"/>
        <v>0</v>
      </c>
      <c r="I768" s="419">
        <f t="shared" si="263"/>
        <v>0</v>
      </c>
      <c r="J768" s="419">
        <f t="shared" si="263"/>
        <v>0</v>
      </c>
      <c r="K768" s="419">
        <f t="shared" si="263"/>
        <v>0</v>
      </c>
      <c r="L768" s="419">
        <f t="shared" si="263"/>
        <v>0</v>
      </c>
      <c r="M768" s="419">
        <f t="shared" si="263"/>
        <v>0</v>
      </c>
      <c r="N768" s="419">
        <f t="shared" si="263"/>
        <v>0</v>
      </c>
      <c r="O768" s="419">
        <f t="shared" si="263"/>
        <v>0</v>
      </c>
      <c r="P768" s="419">
        <f>SUM(P766:P767)</f>
        <v>0</v>
      </c>
      <c r="Q768" s="419">
        <f t="shared" si="261"/>
        <v>0</v>
      </c>
    </row>
    <row r="769" spans="1:17" x14ac:dyDescent="0.2">
      <c r="A769" s="216">
        <f>A767+1</f>
        <v>12</v>
      </c>
      <c r="C769" s="216" t="s">
        <v>529</v>
      </c>
      <c r="D769" s="609">
        <f>Input!$J$33</f>
        <v>-2.5999999999999999E-2</v>
      </c>
      <c r="E769" s="255">
        <f t="shared" ref="E769:P769" si="264">ROUND($D$769*E764,2)</f>
        <v>0</v>
      </c>
      <c r="F769" s="255">
        <f t="shared" si="264"/>
        <v>0</v>
      </c>
      <c r="G769" s="255">
        <f t="shared" si="264"/>
        <v>0</v>
      </c>
      <c r="H769" s="255">
        <f t="shared" si="264"/>
        <v>0</v>
      </c>
      <c r="I769" s="255">
        <f t="shared" si="264"/>
        <v>0</v>
      </c>
      <c r="J769" s="255">
        <f t="shared" si="264"/>
        <v>0</v>
      </c>
      <c r="K769" s="255">
        <f t="shared" si="264"/>
        <v>0</v>
      </c>
      <c r="L769" s="255">
        <f t="shared" si="264"/>
        <v>0</v>
      </c>
      <c r="M769" s="255">
        <f t="shared" si="264"/>
        <v>0</v>
      </c>
      <c r="N769" s="255">
        <f t="shared" si="264"/>
        <v>0</v>
      </c>
      <c r="O769" s="255">
        <f t="shared" si="264"/>
        <v>0</v>
      </c>
      <c r="P769" s="255">
        <f t="shared" si="264"/>
        <v>0</v>
      </c>
      <c r="Q769" s="255">
        <f t="shared" si="261"/>
        <v>0</v>
      </c>
    </row>
    <row r="770" spans="1:17" x14ac:dyDescent="0.2">
      <c r="A770" s="216">
        <f>A769+1</f>
        <v>13</v>
      </c>
      <c r="C770" s="216" t="s">
        <v>201</v>
      </c>
      <c r="E770" s="419">
        <f t="shared" ref="E770:P770" si="265">E758+E759+E768+E769</f>
        <v>0</v>
      </c>
      <c r="F770" s="419">
        <f t="shared" si="265"/>
        <v>0</v>
      </c>
      <c r="G770" s="419">
        <f t="shared" si="265"/>
        <v>0</v>
      </c>
      <c r="H770" s="419">
        <f t="shared" si="265"/>
        <v>0</v>
      </c>
      <c r="I770" s="419">
        <f t="shared" si="265"/>
        <v>0</v>
      </c>
      <c r="J770" s="419">
        <f t="shared" si="265"/>
        <v>0</v>
      </c>
      <c r="K770" s="419">
        <f t="shared" si="265"/>
        <v>0</v>
      </c>
      <c r="L770" s="419">
        <f t="shared" si="265"/>
        <v>0</v>
      </c>
      <c r="M770" s="419">
        <f t="shared" si="265"/>
        <v>0</v>
      </c>
      <c r="N770" s="419">
        <f t="shared" si="265"/>
        <v>0</v>
      </c>
      <c r="O770" s="419">
        <f t="shared" si="265"/>
        <v>0</v>
      </c>
      <c r="P770" s="419">
        <f t="shared" si="265"/>
        <v>0</v>
      </c>
      <c r="Q770" s="419">
        <f t="shared" si="261"/>
        <v>0</v>
      </c>
    </row>
    <row r="771" spans="1:17" x14ac:dyDescent="0.2">
      <c r="E771" s="417"/>
      <c r="F771" s="417"/>
      <c r="G771" s="417"/>
      <c r="H771" s="417"/>
      <c r="I771" s="417"/>
      <c r="J771" s="417"/>
      <c r="K771" s="417"/>
      <c r="L771" s="417"/>
      <c r="M771" s="417"/>
      <c r="N771" s="417"/>
      <c r="O771" s="417"/>
      <c r="P771" s="417"/>
      <c r="Q771" s="417"/>
    </row>
    <row r="772" spans="1:17" x14ac:dyDescent="0.2">
      <c r="A772" s="216">
        <f>A770+1</f>
        <v>14</v>
      </c>
      <c r="C772" s="216" t="s">
        <v>205</v>
      </c>
      <c r="D772" s="609">
        <f>EGC</f>
        <v>4.3869999999999996</v>
      </c>
      <c r="E772" s="419">
        <f t="shared" ref="E772:P772" si="266">ROUND(E762*$D$772,2)</f>
        <v>0</v>
      </c>
      <c r="F772" s="419">
        <f t="shared" si="266"/>
        <v>0</v>
      </c>
      <c r="G772" s="419">
        <f t="shared" si="266"/>
        <v>0</v>
      </c>
      <c r="H772" s="419">
        <f t="shared" si="266"/>
        <v>0</v>
      </c>
      <c r="I772" s="419">
        <f t="shared" si="266"/>
        <v>0</v>
      </c>
      <c r="J772" s="419">
        <f t="shared" si="266"/>
        <v>0</v>
      </c>
      <c r="K772" s="419">
        <f t="shared" si="266"/>
        <v>0</v>
      </c>
      <c r="L772" s="419">
        <f t="shared" si="266"/>
        <v>0</v>
      </c>
      <c r="M772" s="419">
        <f t="shared" si="266"/>
        <v>0</v>
      </c>
      <c r="N772" s="419">
        <f t="shared" si="266"/>
        <v>0</v>
      </c>
      <c r="O772" s="419">
        <f t="shared" si="266"/>
        <v>0</v>
      </c>
      <c r="P772" s="419">
        <f t="shared" si="266"/>
        <v>0</v>
      </c>
      <c r="Q772" s="419">
        <f>SUM(E772:P772)</f>
        <v>0</v>
      </c>
    </row>
    <row r="773" spans="1:17" x14ac:dyDescent="0.2">
      <c r="E773" s="417"/>
      <c r="F773" s="417"/>
      <c r="G773" s="417"/>
      <c r="H773" s="417"/>
      <c r="I773" s="417"/>
      <c r="J773" s="417"/>
      <c r="K773" s="417"/>
      <c r="L773" s="417"/>
      <c r="M773" s="417"/>
      <c r="N773" s="417"/>
      <c r="O773" s="417"/>
      <c r="P773" s="417"/>
      <c r="Q773" s="417"/>
    </row>
    <row r="774" spans="1:17" x14ac:dyDescent="0.2">
      <c r="A774" s="402">
        <f>A772+1</f>
        <v>15</v>
      </c>
      <c r="B774" s="402"/>
      <c r="C774" s="412" t="s">
        <v>203</v>
      </c>
      <c r="D774" s="412"/>
      <c r="E774" s="671">
        <f t="shared" ref="E774:O774" si="267">E770+E772</f>
        <v>0</v>
      </c>
      <c r="F774" s="671">
        <f t="shared" si="267"/>
        <v>0</v>
      </c>
      <c r="G774" s="671">
        <f t="shared" si="267"/>
        <v>0</v>
      </c>
      <c r="H774" s="671">
        <f t="shared" si="267"/>
        <v>0</v>
      </c>
      <c r="I774" s="671">
        <f t="shared" si="267"/>
        <v>0</v>
      </c>
      <c r="J774" s="671">
        <f t="shared" si="267"/>
        <v>0</v>
      </c>
      <c r="K774" s="671">
        <f t="shared" si="267"/>
        <v>0</v>
      </c>
      <c r="L774" s="671">
        <f t="shared" si="267"/>
        <v>0</v>
      </c>
      <c r="M774" s="671">
        <f t="shared" si="267"/>
        <v>0</v>
      </c>
      <c r="N774" s="671">
        <f t="shared" si="267"/>
        <v>0</v>
      </c>
      <c r="O774" s="671">
        <f t="shared" si="267"/>
        <v>0</v>
      </c>
      <c r="P774" s="671">
        <f>P770+P772</f>
        <v>0</v>
      </c>
      <c r="Q774" s="671">
        <f>SUM(E774:P774)</f>
        <v>0</v>
      </c>
    </row>
    <row r="775" spans="1:17" x14ac:dyDescent="0.2">
      <c r="E775" s="417"/>
      <c r="F775" s="417"/>
      <c r="G775" s="417"/>
      <c r="H775" s="417"/>
      <c r="I775" s="417"/>
      <c r="J775" s="417"/>
      <c r="K775" s="417"/>
      <c r="L775" s="417"/>
      <c r="M775" s="417"/>
      <c r="N775" s="417"/>
      <c r="O775" s="417"/>
      <c r="P775" s="417"/>
      <c r="Q775" s="417"/>
    </row>
    <row r="776" spans="1:17" x14ac:dyDescent="0.2">
      <c r="A776" s="216">
        <f>A774+1</f>
        <v>16</v>
      </c>
      <c r="C776" s="267" t="s">
        <v>193</v>
      </c>
      <c r="E776" s="417"/>
      <c r="F776" s="417"/>
      <c r="G776" s="417"/>
      <c r="H776" s="417"/>
      <c r="I776" s="417"/>
      <c r="J776" s="417"/>
      <c r="K776" s="417"/>
      <c r="L776" s="417"/>
      <c r="M776" s="417"/>
      <c r="N776" s="417"/>
      <c r="O776" s="417"/>
      <c r="P776" s="417"/>
      <c r="Q776" s="417"/>
    </row>
    <row r="777" spans="1:17" x14ac:dyDescent="0.2">
      <c r="A777" s="216">
        <f>A776+1</f>
        <v>17</v>
      </c>
      <c r="C777" s="267" t="s">
        <v>211</v>
      </c>
      <c r="D777" s="609">
        <f>Input!O33</f>
        <v>2.58E-2</v>
      </c>
      <c r="E777" s="419">
        <f t="shared" ref="E777:P777" si="268">ROUND(E764*$D$777,2)</f>
        <v>0</v>
      </c>
      <c r="F777" s="419">
        <f t="shared" si="268"/>
        <v>0</v>
      </c>
      <c r="G777" s="419">
        <f t="shared" si="268"/>
        <v>0</v>
      </c>
      <c r="H777" s="419">
        <f t="shared" si="268"/>
        <v>0</v>
      </c>
      <c r="I777" s="419">
        <f t="shared" si="268"/>
        <v>0</v>
      </c>
      <c r="J777" s="419">
        <f t="shared" si="268"/>
        <v>0</v>
      </c>
      <c r="K777" s="419">
        <f t="shared" si="268"/>
        <v>0</v>
      </c>
      <c r="L777" s="419">
        <f t="shared" si="268"/>
        <v>0</v>
      </c>
      <c r="M777" s="419">
        <f t="shared" si="268"/>
        <v>0</v>
      </c>
      <c r="N777" s="419">
        <f t="shared" si="268"/>
        <v>0</v>
      </c>
      <c r="O777" s="419">
        <f t="shared" si="268"/>
        <v>0</v>
      </c>
      <c r="P777" s="419">
        <f t="shared" si="268"/>
        <v>0</v>
      </c>
      <c r="Q777" s="419">
        <f>SUM(E777:P777)</f>
        <v>0</v>
      </c>
    </row>
    <row r="778" spans="1:17" x14ac:dyDescent="0.2">
      <c r="A778" s="216">
        <f t="shared" ref="A778:A779" si="269">A777+1</f>
        <v>18</v>
      </c>
      <c r="C778" s="267" t="s">
        <v>553</v>
      </c>
      <c r="D778" s="609">
        <f>Input!$N$33</f>
        <v>1.44E-2</v>
      </c>
      <c r="E778" s="255">
        <f t="shared" ref="E778:P778" si="270">ROUND(E764*$D$778,2)</f>
        <v>0</v>
      </c>
      <c r="F778" s="255">
        <f t="shared" si="270"/>
        <v>0</v>
      </c>
      <c r="G778" s="255">
        <f t="shared" si="270"/>
        <v>0</v>
      </c>
      <c r="H778" s="255">
        <f t="shared" si="270"/>
        <v>0</v>
      </c>
      <c r="I778" s="255">
        <f t="shared" si="270"/>
        <v>0</v>
      </c>
      <c r="J778" s="255">
        <f t="shared" si="270"/>
        <v>0</v>
      </c>
      <c r="K778" s="255">
        <f t="shared" si="270"/>
        <v>0</v>
      </c>
      <c r="L778" s="255">
        <f t="shared" si="270"/>
        <v>0</v>
      </c>
      <c r="M778" s="255">
        <f t="shared" si="270"/>
        <v>0</v>
      </c>
      <c r="N778" s="255">
        <f t="shared" si="270"/>
        <v>0</v>
      </c>
      <c r="O778" s="255">
        <f t="shared" si="270"/>
        <v>0</v>
      </c>
      <c r="P778" s="255">
        <f t="shared" si="270"/>
        <v>0</v>
      </c>
      <c r="Q778" s="255">
        <f ca="1">SUM(E778:Q778)</f>
        <v>0</v>
      </c>
    </row>
    <row r="779" spans="1:17" x14ac:dyDescent="0.2">
      <c r="A779" s="216">
        <f t="shared" si="269"/>
        <v>19</v>
      </c>
      <c r="C779" s="267" t="s">
        <v>558</v>
      </c>
      <c r="D779" s="609"/>
      <c r="E779" s="419">
        <f>SUM(E777:E778)</f>
        <v>0</v>
      </c>
      <c r="F779" s="419">
        <f t="shared" ref="F779:P779" si="271">SUM(F777:F778)</f>
        <v>0</v>
      </c>
      <c r="G779" s="419">
        <f t="shared" si="271"/>
        <v>0</v>
      </c>
      <c r="H779" s="419">
        <f t="shared" si="271"/>
        <v>0</v>
      </c>
      <c r="I779" s="419">
        <f t="shared" si="271"/>
        <v>0</v>
      </c>
      <c r="J779" s="419">
        <f t="shared" si="271"/>
        <v>0</v>
      </c>
      <c r="K779" s="419">
        <f t="shared" si="271"/>
        <v>0</v>
      </c>
      <c r="L779" s="419">
        <f t="shared" si="271"/>
        <v>0</v>
      </c>
      <c r="M779" s="419">
        <f t="shared" si="271"/>
        <v>0</v>
      </c>
      <c r="N779" s="419">
        <f t="shared" si="271"/>
        <v>0</v>
      </c>
      <c r="O779" s="419">
        <f t="shared" si="271"/>
        <v>0</v>
      </c>
      <c r="P779" s="419">
        <f t="shared" si="271"/>
        <v>0</v>
      </c>
      <c r="Q779" s="419">
        <f ca="1">SUM(Q777:Q778)</f>
        <v>0</v>
      </c>
    </row>
    <row r="780" spans="1:17" x14ac:dyDescent="0.2">
      <c r="E780" s="417"/>
      <c r="F780" s="417"/>
      <c r="G780" s="417"/>
      <c r="H780" s="417"/>
      <c r="I780" s="417"/>
      <c r="J780" s="417"/>
      <c r="K780" s="417"/>
      <c r="L780" s="417"/>
      <c r="M780" s="417"/>
      <c r="N780" s="417"/>
      <c r="O780" s="417"/>
      <c r="P780" s="417"/>
      <c r="Q780" s="417"/>
    </row>
    <row r="781" spans="1:17" ht="10.5" thickBot="1" x14ac:dyDescent="0.25">
      <c r="A781" s="433">
        <f>A779+1</f>
        <v>20</v>
      </c>
      <c r="B781" s="433"/>
      <c r="C781" s="770" t="s">
        <v>202</v>
      </c>
      <c r="D781" s="770"/>
      <c r="E781" s="675">
        <f>E774+E779</f>
        <v>0</v>
      </c>
      <c r="F781" s="675">
        <f t="shared" ref="F781:P781" si="272">F774+F779</f>
        <v>0</v>
      </c>
      <c r="G781" s="675">
        <f t="shared" si="272"/>
        <v>0</v>
      </c>
      <c r="H781" s="675">
        <f t="shared" si="272"/>
        <v>0</v>
      </c>
      <c r="I781" s="675">
        <f t="shared" si="272"/>
        <v>0</v>
      </c>
      <c r="J781" s="675">
        <f t="shared" si="272"/>
        <v>0</v>
      </c>
      <c r="K781" s="675">
        <f t="shared" si="272"/>
        <v>0</v>
      </c>
      <c r="L781" s="675">
        <f t="shared" si="272"/>
        <v>0</v>
      </c>
      <c r="M781" s="675">
        <f t="shared" si="272"/>
        <v>0</v>
      </c>
      <c r="N781" s="675">
        <f t="shared" si="272"/>
        <v>0</v>
      </c>
      <c r="O781" s="675">
        <f t="shared" si="272"/>
        <v>0</v>
      </c>
      <c r="P781" s="675">
        <f t="shared" si="272"/>
        <v>0</v>
      </c>
      <c r="Q781" s="675">
        <f>SUM(E781:P781)</f>
        <v>0</v>
      </c>
    </row>
    <row r="782" spans="1:17" ht="10.5" thickTop="1" x14ac:dyDescent="0.2">
      <c r="E782" s="269"/>
      <c r="G782" s="269"/>
      <c r="I782" s="269"/>
      <c r="Q782" s="269"/>
    </row>
    <row r="784" spans="1:17" x14ac:dyDescent="0.2">
      <c r="A784" s="216">
        <f>A781+1</f>
        <v>21</v>
      </c>
      <c r="B784" s="216" t="str">
        <f>B199</f>
        <v>IUS</v>
      </c>
      <c r="C784" s="216" t="str">
        <f>C199</f>
        <v>Intrastate Utility Service - Wholesale</v>
      </c>
    </row>
    <row r="786" spans="1:19" ht="10.5" x14ac:dyDescent="0.25">
      <c r="A786" s="216">
        <f>A784+1</f>
        <v>22</v>
      </c>
      <c r="C786" s="245" t="s">
        <v>115</v>
      </c>
    </row>
    <row r="788" spans="1:19" x14ac:dyDescent="0.2">
      <c r="A788" s="216">
        <f>A786+1</f>
        <v>23</v>
      </c>
      <c r="C788" s="216" t="s">
        <v>199</v>
      </c>
      <c r="E788" s="421">
        <f>B!D99</f>
        <v>2</v>
      </c>
      <c r="F788" s="421">
        <f>B!E99</f>
        <v>2</v>
      </c>
      <c r="G788" s="421">
        <f>B!F99</f>
        <v>2</v>
      </c>
      <c r="H788" s="421">
        <f>B!G99</f>
        <v>2</v>
      </c>
      <c r="I788" s="421">
        <f>B!H99</f>
        <v>2</v>
      </c>
      <c r="J788" s="421">
        <f>B!I99</f>
        <v>2</v>
      </c>
      <c r="K788" s="421">
        <f>B!J99</f>
        <v>2</v>
      </c>
      <c r="L788" s="421">
        <f>B!K99</f>
        <v>2</v>
      </c>
      <c r="M788" s="421">
        <f>B!L99</f>
        <v>2</v>
      </c>
      <c r="N788" s="421">
        <f>B!M99</f>
        <v>2</v>
      </c>
      <c r="O788" s="421">
        <f>B!N99</f>
        <v>2</v>
      </c>
      <c r="P788" s="421">
        <f>B!O99</f>
        <v>2</v>
      </c>
      <c r="Q788" s="421">
        <f>SUM(E788:P788)</f>
        <v>24</v>
      </c>
      <c r="S788" s="267"/>
    </row>
    <row r="789" spans="1:19" x14ac:dyDescent="0.2">
      <c r="A789" s="216">
        <f>A788+1</f>
        <v>24</v>
      </c>
      <c r="C789" s="216" t="s">
        <v>207</v>
      </c>
      <c r="D789" s="608">
        <f>Input!H34</f>
        <v>567.4</v>
      </c>
      <c r="E789" s="419">
        <f t="shared" ref="E789:P789" si="273">ROUND(E788*$D$789,2)</f>
        <v>1134.8</v>
      </c>
      <c r="F789" s="419">
        <f t="shared" si="273"/>
        <v>1134.8</v>
      </c>
      <c r="G789" s="419">
        <f t="shared" si="273"/>
        <v>1134.8</v>
      </c>
      <c r="H789" s="419">
        <f t="shared" si="273"/>
        <v>1134.8</v>
      </c>
      <c r="I789" s="419">
        <f t="shared" si="273"/>
        <v>1134.8</v>
      </c>
      <c r="J789" s="419">
        <f t="shared" si="273"/>
        <v>1134.8</v>
      </c>
      <c r="K789" s="419">
        <f t="shared" si="273"/>
        <v>1134.8</v>
      </c>
      <c r="L789" s="419">
        <f t="shared" si="273"/>
        <v>1134.8</v>
      </c>
      <c r="M789" s="419">
        <f t="shared" si="273"/>
        <v>1134.8</v>
      </c>
      <c r="N789" s="419">
        <f t="shared" si="273"/>
        <v>1134.8</v>
      </c>
      <c r="O789" s="419">
        <f t="shared" si="273"/>
        <v>1134.8</v>
      </c>
      <c r="P789" s="419">
        <f t="shared" si="273"/>
        <v>1134.8</v>
      </c>
      <c r="Q789" s="419">
        <f>SUM(E789:P789)</f>
        <v>13617.599999999997</v>
      </c>
    </row>
    <row r="790" spans="1:19" x14ac:dyDescent="0.2">
      <c r="A790" s="216">
        <f>A789+1</f>
        <v>25</v>
      </c>
      <c r="C790" s="216" t="s">
        <v>208</v>
      </c>
      <c r="D790" s="608">
        <f>Input!K34</f>
        <v>207.8</v>
      </c>
      <c r="E790" s="419">
        <f t="shared" ref="E790:P790" si="274">ROUND(E788*$D$790,2)</f>
        <v>415.6</v>
      </c>
      <c r="F790" s="419">
        <f t="shared" si="274"/>
        <v>415.6</v>
      </c>
      <c r="G790" s="419">
        <f t="shared" si="274"/>
        <v>415.6</v>
      </c>
      <c r="H790" s="419">
        <f t="shared" si="274"/>
        <v>415.6</v>
      </c>
      <c r="I790" s="419">
        <f t="shared" si="274"/>
        <v>415.6</v>
      </c>
      <c r="J790" s="419">
        <f t="shared" si="274"/>
        <v>415.6</v>
      </c>
      <c r="K790" s="419">
        <f t="shared" si="274"/>
        <v>415.6</v>
      </c>
      <c r="L790" s="419">
        <f t="shared" si="274"/>
        <v>415.6</v>
      </c>
      <c r="M790" s="419">
        <f t="shared" si="274"/>
        <v>415.6</v>
      </c>
      <c r="N790" s="419">
        <f t="shared" si="274"/>
        <v>415.6</v>
      </c>
      <c r="O790" s="419">
        <f t="shared" si="274"/>
        <v>415.6</v>
      </c>
      <c r="P790" s="419">
        <f t="shared" si="274"/>
        <v>415.6</v>
      </c>
      <c r="Q790" s="419">
        <f>SUM(E790:P790)</f>
        <v>4987.2000000000007</v>
      </c>
    </row>
    <row r="792" spans="1:19" x14ac:dyDescent="0.2">
      <c r="A792" s="216">
        <f>A790+1</f>
        <v>26</v>
      </c>
      <c r="C792" s="267" t="s">
        <v>206</v>
      </c>
      <c r="E792" s="451">
        <f>'C'!D141</f>
        <v>1938.9</v>
      </c>
      <c r="F792" s="451">
        <f>'C'!E141</f>
        <v>1673.4</v>
      </c>
      <c r="G792" s="451">
        <f>'C'!F141</f>
        <v>1850.8</v>
      </c>
      <c r="H792" s="451">
        <f>'C'!G141</f>
        <v>714.5</v>
      </c>
      <c r="I792" s="451">
        <f>'C'!H141</f>
        <v>576.5</v>
      </c>
      <c r="J792" s="451">
        <f>'C'!I141</f>
        <v>489.9</v>
      </c>
      <c r="K792" s="451">
        <f>'C'!J141</f>
        <v>341.7</v>
      </c>
      <c r="L792" s="451">
        <f>'C'!K141</f>
        <v>376.6</v>
      </c>
      <c r="M792" s="451">
        <f>'C'!L141</f>
        <v>306.3</v>
      </c>
      <c r="N792" s="451">
        <f>'C'!M141</f>
        <v>562.5</v>
      </c>
      <c r="O792" s="451">
        <f>'C'!N141</f>
        <v>936.2</v>
      </c>
      <c r="P792" s="451">
        <f>'C'!O141</f>
        <v>1483.9</v>
      </c>
      <c r="Q792" s="451">
        <f>SUM(E792:P792)</f>
        <v>11251.2</v>
      </c>
      <c r="S792" s="451"/>
    </row>
    <row r="793" spans="1:19" x14ac:dyDescent="0.2">
      <c r="A793" s="216">
        <f>A792+1</f>
        <v>27</v>
      </c>
      <c r="C793" s="280" t="s">
        <v>209</v>
      </c>
      <c r="D793" s="609">
        <f>Input!C34</f>
        <v>1.1544000000000001</v>
      </c>
      <c r="E793" s="419">
        <f>ROUND(E792*$D$793,2)</f>
        <v>2238.27</v>
      </c>
      <c r="F793" s="419">
        <f t="shared" ref="F793:P793" si="275">ROUND(F792*$D$793,2)</f>
        <v>1931.77</v>
      </c>
      <c r="G793" s="419">
        <f t="shared" si="275"/>
        <v>2136.56</v>
      </c>
      <c r="H793" s="419">
        <f t="shared" si="275"/>
        <v>824.82</v>
      </c>
      <c r="I793" s="419">
        <f t="shared" si="275"/>
        <v>665.51</v>
      </c>
      <c r="J793" s="419">
        <f t="shared" si="275"/>
        <v>565.54</v>
      </c>
      <c r="K793" s="419">
        <f t="shared" si="275"/>
        <v>394.46</v>
      </c>
      <c r="L793" s="419">
        <f t="shared" si="275"/>
        <v>434.75</v>
      </c>
      <c r="M793" s="419">
        <f t="shared" si="275"/>
        <v>353.59</v>
      </c>
      <c r="N793" s="419">
        <f t="shared" si="275"/>
        <v>649.35</v>
      </c>
      <c r="O793" s="419">
        <f t="shared" si="275"/>
        <v>1080.75</v>
      </c>
      <c r="P793" s="419">
        <f t="shared" si="275"/>
        <v>1713.01</v>
      </c>
      <c r="Q793" s="419">
        <f>SUM(E793:P793)</f>
        <v>12988.380000000001</v>
      </c>
    </row>
    <row r="794" spans="1:19" x14ac:dyDescent="0.2">
      <c r="A794" s="216">
        <f>A793+1</f>
        <v>28</v>
      </c>
      <c r="C794" s="772" t="s">
        <v>529</v>
      </c>
      <c r="D794" s="609">
        <f>Input!J34</f>
        <v>-0.11600000000000001</v>
      </c>
      <c r="E794" s="281">
        <f t="shared" ref="E794:P794" si="276">ROUND($D$794*E792,2)</f>
        <v>-224.91</v>
      </c>
      <c r="F794" s="281">
        <f t="shared" si="276"/>
        <v>-194.11</v>
      </c>
      <c r="G794" s="281">
        <f t="shared" si="276"/>
        <v>-214.69</v>
      </c>
      <c r="H794" s="281">
        <f t="shared" si="276"/>
        <v>-82.88</v>
      </c>
      <c r="I794" s="281">
        <f t="shared" si="276"/>
        <v>-66.87</v>
      </c>
      <c r="J794" s="281">
        <f t="shared" si="276"/>
        <v>-56.83</v>
      </c>
      <c r="K794" s="281">
        <f t="shared" si="276"/>
        <v>-39.64</v>
      </c>
      <c r="L794" s="281">
        <f t="shared" si="276"/>
        <v>-43.69</v>
      </c>
      <c r="M794" s="281">
        <f t="shared" si="276"/>
        <v>-35.53</v>
      </c>
      <c r="N794" s="281">
        <f t="shared" si="276"/>
        <v>-65.25</v>
      </c>
      <c r="O794" s="281">
        <f t="shared" si="276"/>
        <v>-108.6</v>
      </c>
      <c r="P794" s="281">
        <f t="shared" si="276"/>
        <v>-172.13</v>
      </c>
      <c r="Q794" s="682">
        <f>SUM(E794:P794)</f>
        <v>-1305.1300000000001</v>
      </c>
    </row>
    <row r="795" spans="1:19" x14ac:dyDescent="0.2">
      <c r="A795" s="216">
        <f>A794+1</f>
        <v>29</v>
      </c>
      <c r="C795" s="216" t="s">
        <v>201</v>
      </c>
      <c r="E795" s="419">
        <f t="shared" ref="E795:P795" si="277">E789+E790+E793+E794</f>
        <v>3563.76</v>
      </c>
      <c r="F795" s="419">
        <f t="shared" si="277"/>
        <v>3288.06</v>
      </c>
      <c r="G795" s="419">
        <f t="shared" si="277"/>
        <v>3472.27</v>
      </c>
      <c r="H795" s="419">
        <f t="shared" si="277"/>
        <v>2292.34</v>
      </c>
      <c r="I795" s="419">
        <f t="shared" si="277"/>
        <v>2149.04</v>
      </c>
      <c r="J795" s="419">
        <f t="shared" si="277"/>
        <v>2059.11</v>
      </c>
      <c r="K795" s="419">
        <f t="shared" si="277"/>
        <v>1905.22</v>
      </c>
      <c r="L795" s="419">
        <f t="shared" si="277"/>
        <v>1941.46</v>
      </c>
      <c r="M795" s="419">
        <f t="shared" si="277"/>
        <v>1868.46</v>
      </c>
      <c r="N795" s="419">
        <f t="shared" si="277"/>
        <v>2134.5</v>
      </c>
      <c r="O795" s="419">
        <f t="shared" si="277"/>
        <v>2522.5500000000002</v>
      </c>
      <c r="P795" s="419">
        <f t="shared" si="277"/>
        <v>3091.2799999999997</v>
      </c>
      <c r="Q795" s="419">
        <f>SUM(E795:P795)</f>
        <v>30288.05</v>
      </c>
    </row>
    <row r="796" spans="1:19" x14ac:dyDescent="0.2">
      <c r="C796" s="267"/>
      <c r="E796" s="417"/>
      <c r="F796" s="417"/>
      <c r="G796" s="417"/>
      <c r="H796" s="417"/>
      <c r="I796" s="417"/>
      <c r="J796" s="417"/>
      <c r="K796" s="417"/>
      <c r="L796" s="417"/>
      <c r="M796" s="417"/>
      <c r="N796" s="417"/>
      <c r="O796" s="417"/>
      <c r="P796" s="417"/>
      <c r="Q796" s="417"/>
    </row>
    <row r="797" spans="1:19" x14ac:dyDescent="0.2">
      <c r="A797" s="216">
        <f>A795+1</f>
        <v>30</v>
      </c>
      <c r="C797" s="267" t="s">
        <v>205</v>
      </c>
      <c r="D797" s="609">
        <f>EGC</f>
        <v>4.3869999999999996</v>
      </c>
      <c r="E797" s="419">
        <f t="shared" ref="E797:P797" si="278">ROUND(E792*$D$797,2)</f>
        <v>8505.9500000000007</v>
      </c>
      <c r="F797" s="419">
        <f t="shared" si="278"/>
        <v>7341.21</v>
      </c>
      <c r="G797" s="419">
        <f t="shared" si="278"/>
        <v>8119.46</v>
      </c>
      <c r="H797" s="419">
        <f t="shared" si="278"/>
        <v>3134.51</v>
      </c>
      <c r="I797" s="419">
        <f t="shared" si="278"/>
        <v>2529.11</v>
      </c>
      <c r="J797" s="419">
        <f t="shared" si="278"/>
        <v>2149.19</v>
      </c>
      <c r="K797" s="419">
        <f t="shared" si="278"/>
        <v>1499.04</v>
      </c>
      <c r="L797" s="419">
        <f t="shared" si="278"/>
        <v>1652.14</v>
      </c>
      <c r="M797" s="419">
        <f t="shared" si="278"/>
        <v>1343.74</v>
      </c>
      <c r="N797" s="419">
        <f t="shared" si="278"/>
        <v>2467.69</v>
      </c>
      <c r="O797" s="419">
        <f t="shared" si="278"/>
        <v>4107.1099999999997</v>
      </c>
      <c r="P797" s="419">
        <f t="shared" si="278"/>
        <v>6509.87</v>
      </c>
      <c r="Q797" s="419">
        <f>SUM(E797:P797)</f>
        <v>49359.02</v>
      </c>
    </row>
    <row r="798" spans="1:19" x14ac:dyDescent="0.2">
      <c r="C798" s="255"/>
      <c r="E798" s="457"/>
      <c r="F798" s="457"/>
      <c r="G798" s="457"/>
      <c r="H798" s="457"/>
      <c r="I798" s="457"/>
      <c r="J798" s="457"/>
      <c r="K798" s="457"/>
      <c r="L798" s="457"/>
      <c r="M798" s="457"/>
      <c r="N798" s="457"/>
      <c r="O798" s="457"/>
      <c r="P798" s="457"/>
      <c r="Q798" s="457"/>
    </row>
    <row r="799" spans="1:19" x14ac:dyDescent="0.2">
      <c r="A799" s="402">
        <f>A797+1</f>
        <v>31</v>
      </c>
      <c r="B799" s="402"/>
      <c r="C799" s="412" t="s">
        <v>203</v>
      </c>
      <c r="D799" s="412"/>
      <c r="E799" s="671">
        <f>E795+E797</f>
        <v>12069.710000000001</v>
      </c>
      <c r="F799" s="671">
        <f t="shared" ref="F799:O799" si="279">F795+F797</f>
        <v>10629.27</v>
      </c>
      <c r="G799" s="671">
        <f t="shared" si="279"/>
        <v>11591.73</v>
      </c>
      <c r="H799" s="671">
        <f t="shared" si="279"/>
        <v>5426.85</v>
      </c>
      <c r="I799" s="671">
        <f t="shared" si="279"/>
        <v>4678.1499999999996</v>
      </c>
      <c r="J799" s="671">
        <f t="shared" si="279"/>
        <v>4208.3</v>
      </c>
      <c r="K799" s="671">
        <f t="shared" si="279"/>
        <v>3404.26</v>
      </c>
      <c r="L799" s="671">
        <f t="shared" si="279"/>
        <v>3593.6000000000004</v>
      </c>
      <c r="M799" s="671">
        <f>M795+M797</f>
        <v>3212.2</v>
      </c>
      <c r="N799" s="671">
        <f t="shared" si="279"/>
        <v>4602.1900000000005</v>
      </c>
      <c r="O799" s="671">
        <f t="shared" si="279"/>
        <v>6629.66</v>
      </c>
      <c r="P799" s="671">
        <f>P795+P797</f>
        <v>9601.15</v>
      </c>
      <c r="Q799" s="671">
        <f>SUM(E799:P799)</f>
        <v>79647.070000000007</v>
      </c>
    </row>
    <row r="800" spans="1:19" x14ac:dyDescent="0.2">
      <c r="C800" s="267"/>
      <c r="E800" s="417"/>
      <c r="F800" s="417"/>
      <c r="G800" s="417"/>
      <c r="H800" s="417"/>
      <c r="I800" s="417"/>
      <c r="J800" s="417"/>
      <c r="K800" s="417"/>
      <c r="L800" s="417"/>
      <c r="M800" s="417"/>
      <c r="N800" s="417"/>
      <c r="O800" s="417"/>
      <c r="P800" s="417"/>
      <c r="Q800" s="417"/>
      <c r="R800" s="430"/>
    </row>
    <row r="801" spans="1:17" x14ac:dyDescent="0.2">
      <c r="A801" s="216">
        <f>A799+1</f>
        <v>32</v>
      </c>
      <c r="C801" s="267" t="s">
        <v>193</v>
      </c>
      <c r="E801" s="417"/>
      <c r="F801" s="417"/>
      <c r="G801" s="417"/>
      <c r="H801" s="417"/>
      <c r="I801" s="417"/>
      <c r="J801" s="417"/>
      <c r="K801" s="417"/>
      <c r="L801" s="417"/>
      <c r="M801" s="417"/>
      <c r="N801" s="417"/>
      <c r="O801" s="417"/>
      <c r="P801" s="417"/>
      <c r="Q801" s="417"/>
    </row>
    <row r="802" spans="1:17" x14ac:dyDescent="0.2">
      <c r="A802" s="216">
        <f>A801+1</f>
        <v>33</v>
      </c>
      <c r="C802" s="267" t="s">
        <v>211</v>
      </c>
      <c r="D802" s="609">
        <f>Input!O34</f>
        <v>2.58E-2</v>
      </c>
      <c r="E802" s="419">
        <f t="shared" ref="E802:P802" si="280">ROUND(E792*$D$802,2)</f>
        <v>50.02</v>
      </c>
      <c r="F802" s="419">
        <f t="shared" si="280"/>
        <v>43.17</v>
      </c>
      <c r="G802" s="419">
        <f t="shared" si="280"/>
        <v>47.75</v>
      </c>
      <c r="H802" s="419">
        <f t="shared" si="280"/>
        <v>18.43</v>
      </c>
      <c r="I802" s="419">
        <f t="shared" si="280"/>
        <v>14.87</v>
      </c>
      <c r="J802" s="419">
        <f t="shared" si="280"/>
        <v>12.64</v>
      </c>
      <c r="K802" s="419">
        <f t="shared" si="280"/>
        <v>8.82</v>
      </c>
      <c r="L802" s="419">
        <f t="shared" si="280"/>
        <v>9.7200000000000006</v>
      </c>
      <c r="M802" s="419">
        <f t="shared" si="280"/>
        <v>7.9</v>
      </c>
      <c r="N802" s="419">
        <f t="shared" si="280"/>
        <v>14.51</v>
      </c>
      <c r="O802" s="419">
        <f t="shared" si="280"/>
        <v>24.15</v>
      </c>
      <c r="P802" s="419">
        <f t="shared" si="280"/>
        <v>38.28</v>
      </c>
      <c r="Q802" s="419">
        <f>SUM(E802:P802)</f>
        <v>290.26</v>
      </c>
    </row>
    <row r="803" spans="1:17" x14ac:dyDescent="0.2">
      <c r="A803" s="216">
        <f t="shared" ref="A803:A804" si="281">A802+1</f>
        <v>34</v>
      </c>
      <c r="C803" s="267" t="s">
        <v>553</v>
      </c>
      <c r="D803" s="609">
        <f>Input!$N$34</f>
        <v>1.44E-2</v>
      </c>
      <c r="E803" s="281">
        <f t="shared" ref="E803:P803" si="282">ROUND(E792*$D$803,2)</f>
        <v>27.92</v>
      </c>
      <c r="F803" s="281">
        <f t="shared" si="282"/>
        <v>24.1</v>
      </c>
      <c r="G803" s="281">
        <f t="shared" si="282"/>
        <v>26.65</v>
      </c>
      <c r="H803" s="281">
        <f t="shared" si="282"/>
        <v>10.29</v>
      </c>
      <c r="I803" s="281">
        <f t="shared" si="282"/>
        <v>8.3000000000000007</v>
      </c>
      <c r="J803" s="281">
        <f t="shared" si="282"/>
        <v>7.05</v>
      </c>
      <c r="K803" s="281">
        <f t="shared" si="282"/>
        <v>4.92</v>
      </c>
      <c r="L803" s="281">
        <f t="shared" si="282"/>
        <v>5.42</v>
      </c>
      <c r="M803" s="281">
        <f t="shared" si="282"/>
        <v>4.41</v>
      </c>
      <c r="N803" s="281">
        <f t="shared" si="282"/>
        <v>8.1</v>
      </c>
      <c r="O803" s="281">
        <f t="shared" si="282"/>
        <v>13.48</v>
      </c>
      <c r="P803" s="281">
        <f t="shared" si="282"/>
        <v>21.37</v>
      </c>
      <c r="Q803" s="281">
        <f>SUM(E803:P803)</f>
        <v>162.01</v>
      </c>
    </row>
    <row r="804" spans="1:17" x14ac:dyDescent="0.2">
      <c r="A804" s="216">
        <f t="shared" si="281"/>
        <v>35</v>
      </c>
      <c r="C804" s="267" t="s">
        <v>558</v>
      </c>
      <c r="D804" s="609"/>
      <c r="E804" s="419">
        <f>SUM(E802:E803)</f>
        <v>77.94</v>
      </c>
      <c r="F804" s="419">
        <f t="shared" ref="F804:Q804" si="283">SUM(F802:F803)</f>
        <v>67.27000000000001</v>
      </c>
      <c r="G804" s="419">
        <f t="shared" si="283"/>
        <v>74.400000000000006</v>
      </c>
      <c r="H804" s="419">
        <f t="shared" si="283"/>
        <v>28.72</v>
      </c>
      <c r="I804" s="419">
        <f t="shared" si="283"/>
        <v>23.17</v>
      </c>
      <c r="J804" s="419">
        <f t="shared" si="283"/>
        <v>19.690000000000001</v>
      </c>
      <c r="K804" s="419">
        <f t="shared" si="283"/>
        <v>13.74</v>
      </c>
      <c r="L804" s="419">
        <f t="shared" si="283"/>
        <v>15.14</v>
      </c>
      <c r="M804" s="419">
        <f t="shared" si="283"/>
        <v>12.31</v>
      </c>
      <c r="N804" s="419">
        <f t="shared" si="283"/>
        <v>22.61</v>
      </c>
      <c r="O804" s="419">
        <f t="shared" si="283"/>
        <v>37.629999999999995</v>
      </c>
      <c r="P804" s="419">
        <f t="shared" si="283"/>
        <v>59.650000000000006</v>
      </c>
      <c r="Q804" s="419">
        <f t="shared" si="283"/>
        <v>452.27</v>
      </c>
    </row>
    <row r="805" spans="1:17" x14ac:dyDescent="0.2">
      <c r="E805" s="417"/>
      <c r="F805" s="417"/>
      <c r="G805" s="417"/>
      <c r="H805" s="417"/>
      <c r="I805" s="417"/>
      <c r="J805" s="417"/>
      <c r="K805" s="417"/>
      <c r="L805" s="417"/>
      <c r="M805" s="417"/>
      <c r="N805" s="417"/>
      <c r="O805" s="417"/>
      <c r="P805" s="417"/>
      <c r="Q805" s="417"/>
    </row>
    <row r="806" spans="1:17" ht="10.5" thickBot="1" x14ac:dyDescent="0.25">
      <c r="A806" s="433">
        <f>A804+1</f>
        <v>36</v>
      </c>
      <c r="B806" s="433"/>
      <c r="C806" s="770" t="s">
        <v>202</v>
      </c>
      <c r="D806" s="770"/>
      <c r="E806" s="675">
        <f>E799+E804</f>
        <v>12147.650000000001</v>
      </c>
      <c r="F806" s="675">
        <f t="shared" ref="F806:O806" si="284">F799+F804</f>
        <v>10696.54</v>
      </c>
      <c r="G806" s="675">
        <f t="shared" si="284"/>
        <v>11666.13</v>
      </c>
      <c r="H806" s="675">
        <f t="shared" si="284"/>
        <v>5455.5700000000006</v>
      </c>
      <c r="I806" s="675">
        <f t="shared" si="284"/>
        <v>4701.32</v>
      </c>
      <c r="J806" s="675">
        <f t="shared" si="284"/>
        <v>4227.99</v>
      </c>
      <c r="K806" s="675">
        <f t="shared" si="284"/>
        <v>3418</v>
      </c>
      <c r="L806" s="675">
        <f t="shared" si="284"/>
        <v>3608.7400000000002</v>
      </c>
      <c r="M806" s="675">
        <f t="shared" si="284"/>
        <v>3224.5099999999998</v>
      </c>
      <c r="N806" s="675">
        <f t="shared" si="284"/>
        <v>4624.8</v>
      </c>
      <c r="O806" s="675">
        <f t="shared" si="284"/>
        <v>6667.29</v>
      </c>
      <c r="P806" s="675">
        <f>P799+P804</f>
        <v>9660.7999999999993</v>
      </c>
      <c r="Q806" s="675">
        <f>SUM(E806:P806)</f>
        <v>80099.34</v>
      </c>
    </row>
    <row r="807" spans="1:17" ht="10.5" thickTop="1" x14ac:dyDescent="0.2">
      <c r="E807" s="430"/>
      <c r="F807" s="430"/>
      <c r="G807" s="430"/>
      <c r="H807" s="430"/>
      <c r="I807" s="430"/>
      <c r="J807" s="430"/>
      <c r="K807" s="430"/>
      <c r="L807" s="430"/>
      <c r="M807" s="430"/>
      <c r="N807" s="430"/>
      <c r="O807" s="430"/>
      <c r="P807" s="430"/>
      <c r="Q807" s="681"/>
    </row>
    <row r="809" spans="1:17" x14ac:dyDescent="0.2">
      <c r="A809" s="216" t="str">
        <f>$A$270</f>
        <v>[1] Reflects Normalized Volumes.</v>
      </c>
    </row>
    <row r="810" spans="1:17" x14ac:dyDescent="0.2">
      <c r="A810" s="216" t="str">
        <f>"[2] Reflects Gas Cost Adjustment Rate"&amp;CONCATENATE(" as of ",EGCDATE)&amp;"."</f>
        <v>[2] Reflects Gas Cost Adjustment Rate as of March 1, 2021.</v>
      </c>
    </row>
    <row r="811" spans="1:17" ht="10.5" x14ac:dyDescent="0.25">
      <c r="A811" s="817" t="str">
        <f>CONAME</f>
        <v>Columbia Gas of Kentucky, Inc.</v>
      </c>
      <c r="B811" s="817"/>
      <c r="C811" s="817"/>
      <c r="D811" s="817"/>
      <c r="E811" s="817"/>
      <c r="F811" s="817"/>
      <c r="G811" s="817"/>
      <c r="H811" s="817"/>
      <c r="I811" s="817"/>
      <c r="J811" s="817"/>
      <c r="K811" s="817"/>
      <c r="L811" s="817"/>
      <c r="M811" s="817"/>
      <c r="N811" s="817"/>
      <c r="O811" s="817"/>
      <c r="P811" s="817"/>
      <c r="Q811" s="817"/>
    </row>
    <row r="812" spans="1:17" ht="10.5" x14ac:dyDescent="0.25">
      <c r="A812" s="800" t="str">
        <f>case</f>
        <v>Case No. 2021-00183</v>
      </c>
      <c r="B812" s="800"/>
      <c r="C812" s="800"/>
      <c r="D812" s="800"/>
      <c r="E812" s="800"/>
      <c r="F812" s="800"/>
      <c r="G812" s="800"/>
      <c r="H812" s="800"/>
      <c r="I812" s="800"/>
      <c r="J812" s="800"/>
      <c r="K812" s="800"/>
      <c r="L812" s="800"/>
      <c r="M812" s="800"/>
      <c r="N812" s="800"/>
      <c r="O812" s="800"/>
      <c r="P812" s="800"/>
      <c r="Q812" s="800"/>
    </row>
    <row r="813" spans="1:17" ht="10.5" x14ac:dyDescent="0.25">
      <c r="A813" s="815" t="s">
        <v>414</v>
      </c>
      <c r="B813" s="815"/>
      <c r="C813" s="815"/>
      <c r="D813" s="815"/>
      <c r="E813" s="815"/>
      <c r="F813" s="815"/>
      <c r="G813" s="815"/>
      <c r="H813" s="815"/>
      <c r="I813" s="815"/>
      <c r="J813" s="815"/>
      <c r="K813" s="815"/>
      <c r="L813" s="815"/>
      <c r="M813" s="815"/>
      <c r="N813" s="815"/>
      <c r="O813" s="815"/>
      <c r="P813" s="815"/>
      <c r="Q813" s="815"/>
    </row>
    <row r="814" spans="1:17" ht="10.5" x14ac:dyDescent="0.25">
      <c r="A814" s="817" t="str">
        <f>TYDESC</f>
        <v>For the 12 Months Ended December 31, 2022</v>
      </c>
      <c r="B814" s="817"/>
      <c r="C814" s="817"/>
      <c r="D814" s="817"/>
      <c r="E814" s="817"/>
      <c r="F814" s="817"/>
      <c r="G814" s="817"/>
      <c r="H814" s="817"/>
      <c r="I814" s="817"/>
      <c r="J814" s="817"/>
      <c r="K814" s="817"/>
      <c r="L814" s="817"/>
      <c r="M814" s="817"/>
      <c r="N814" s="817"/>
      <c r="O814" s="817"/>
      <c r="P814" s="817"/>
      <c r="Q814" s="817"/>
    </row>
    <row r="815" spans="1:17" ht="10.5" x14ac:dyDescent="0.25">
      <c r="A815" s="814" t="s">
        <v>39</v>
      </c>
      <c r="B815" s="814"/>
      <c r="C815" s="814"/>
      <c r="D815" s="814"/>
      <c r="E815" s="814"/>
      <c r="F815" s="814"/>
      <c r="G815" s="814"/>
      <c r="H815" s="814"/>
      <c r="I815" s="814"/>
      <c r="J815" s="814"/>
      <c r="K815" s="814"/>
      <c r="L815" s="814"/>
      <c r="M815" s="814"/>
      <c r="N815" s="814"/>
      <c r="O815" s="814"/>
      <c r="P815" s="814"/>
      <c r="Q815" s="814"/>
    </row>
    <row r="816" spans="1:17" ht="10.5" x14ac:dyDescent="0.25">
      <c r="A816" s="245" t="str">
        <f>$A$52</f>
        <v>Data: __ Base Period _X_ Forecasted Period</v>
      </c>
    </row>
    <row r="817" spans="1:19" ht="10.5" x14ac:dyDescent="0.25">
      <c r="A817" s="245" t="str">
        <f>$A$53</f>
        <v>Type of Filing: X Original _ Update _ Revised</v>
      </c>
      <c r="Q817" s="583" t="str">
        <f>$Q$53</f>
        <v>Schedule M-2.2</v>
      </c>
    </row>
    <row r="818" spans="1:19" ht="10.5" x14ac:dyDescent="0.25">
      <c r="A818" s="245" t="str">
        <f>$A$54</f>
        <v>Work Paper Reference No(s):</v>
      </c>
      <c r="Q818" s="583" t="s">
        <v>431</v>
      </c>
    </row>
    <row r="819" spans="1:19" ht="10.5" x14ac:dyDescent="0.25">
      <c r="A819" s="373" t="str">
        <f>$A$55</f>
        <v>12 Months Forecasted</v>
      </c>
      <c r="Q819" s="583" t="str">
        <f>Witness</f>
        <v>Witness:  Judith L. Siegler</v>
      </c>
    </row>
    <row r="820" spans="1:19" ht="10.5" x14ac:dyDescent="0.25">
      <c r="A820" s="816" t="s">
        <v>191</v>
      </c>
      <c r="B820" s="816"/>
      <c r="C820" s="816"/>
      <c r="D820" s="816"/>
      <c r="E820" s="816"/>
      <c r="F820" s="816"/>
      <c r="G820" s="816"/>
      <c r="H820" s="816"/>
      <c r="I820" s="816"/>
      <c r="J820" s="816"/>
      <c r="K820" s="816"/>
      <c r="L820" s="816"/>
      <c r="M820" s="816"/>
      <c r="N820" s="816"/>
      <c r="O820" s="816"/>
      <c r="P820" s="816"/>
      <c r="Q820" s="816"/>
    </row>
    <row r="821" spans="1:19" ht="10.5" x14ac:dyDescent="0.25">
      <c r="A821" s="392"/>
      <c r="B821" s="280"/>
      <c r="C821" s="280"/>
      <c r="D821" s="282"/>
      <c r="E821" s="280"/>
      <c r="F821" s="438"/>
      <c r="G821" s="439"/>
      <c r="H821" s="438"/>
      <c r="I821" s="440"/>
      <c r="J821" s="438"/>
      <c r="K821" s="438"/>
      <c r="L821" s="438"/>
      <c r="M821" s="438"/>
      <c r="N821" s="438"/>
      <c r="O821" s="438"/>
      <c r="P821" s="438"/>
      <c r="Q821" s="280"/>
    </row>
    <row r="822" spans="1:19" ht="10.5" x14ac:dyDescent="0.25">
      <c r="A822" s="727" t="s">
        <v>1</v>
      </c>
      <c r="B822" s="727" t="s">
        <v>0</v>
      </c>
      <c r="C822" s="727" t="s">
        <v>41</v>
      </c>
      <c r="D822" s="731" t="s">
        <v>47</v>
      </c>
      <c r="E822" s="727"/>
      <c r="F822" s="584"/>
      <c r="G822" s="587"/>
      <c r="H822" s="584"/>
      <c r="I822" s="730"/>
      <c r="J822" s="584"/>
      <c r="K822" s="584"/>
      <c r="L822" s="584"/>
      <c r="M822" s="584"/>
      <c r="N822" s="584"/>
      <c r="O822" s="584"/>
      <c r="P822" s="584"/>
      <c r="Q822" s="732"/>
    </row>
    <row r="823" spans="1:19" ht="10.5" x14ac:dyDescent="0.25">
      <c r="A823" s="263" t="s">
        <v>3</v>
      </c>
      <c r="B823" s="263" t="s">
        <v>40</v>
      </c>
      <c r="C823" s="263" t="s">
        <v>4</v>
      </c>
      <c r="D823" s="756" t="s">
        <v>48</v>
      </c>
      <c r="E823" s="380" t="str">
        <f>B!$D$11</f>
        <v>Jan-22</v>
      </c>
      <c r="F823" s="380" t="str">
        <f>B!$E$11</f>
        <v>Feb-22</v>
      </c>
      <c r="G823" s="380" t="str">
        <f>B!$F$11</f>
        <v>Mar-22</v>
      </c>
      <c r="H823" s="380" t="str">
        <f>B!$G$11</f>
        <v>Apr-22</v>
      </c>
      <c r="I823" s="380" t="str">
        <f>B!$H$11</f>
        <v>May-22</v>
      </c>
      <c r="J823" s="380" t="str">
        <f>B!$I$11</f>
        <v>Jun-22</v>
      </c>
      <c r="K823" s="380" t="str">
        <f>B!$J$11</f>
        <v>Jul-22</v>
      </c>
      <c r="L823" s="380" t="str">
        <f>B!$K$11</f>
        <v>Aug-22</v>
      </c>
      <c r="M823" s="380" t="str">
        <f>B!$L$11</f>
        <v>Sep-22</v>
      </c>
      <c r="N823" s="380" t="str">
        <f>B!$M$11</f>
        <v>Oct-22</v>
      </c>
      <c r="O823" s="380" t="str">
        <f>B!$N$11</f>
        <v>Nov-22</v>
      </c>
      <c r="P823" s="380" t="str">
        <f>B!$O$11</f>
        <v>Dec-22</v>
      </c>
      <c r="Q823" s="380" t="s">
        <v>9</v>
      </c>
    </row>
    <row r="824" spans="1:19" ht="10.5" x14ac:dyDescent="0.25">
      <c r="A824" s="727"/>
      <c r="B824" s="732" t="s">
        <v>42</v>
      </c>
      <c r="C824" s="732" t="s">
        <v>43</v>
      </c>
      <c r="D824" s="757" t="s">
        <v>45</v>
      </c>
      <c r="E824" s="586" t="s">
        <v>46</v>
      </c>
      <c r="F824" s="586" t="s">
        <v>49</v>
      </c>
      <c r="G824" s="586" t="s">
        <v>50</v>
      </c>
      <c r="H824" s="586" t="s">
        <v>51</v>
      </c>
      <c r="I824" s="586" t="s">
        <v>52</v>
      </c>
      <c r="J824" s="586" t="s">
        <v>53</v>
      </c>
      <c r="K824" s="588" t="s">
        <v>54</v>
      </c>
      <c r="L824" s="588" t="s">
        <v>55</v>
      </c>
      <c r="M824" s="588" t="s">
        <v>56</v>
      </c>
      <c r="N824" s="588" t="s">
        <v>57</v>
      </c>
      <c r="O824" s="588" t="s">
        <v>58</v>
      </c>
      <c r="P824" s="588" t="s">
        <v>59</v>
      </c>
      <c r="Q824" s="588" t="s">
        <v>200</v>
      </c>
    </row>
    <row r="825" spans="1:19" ht="10.5" x14ac:dyDescent="0.25">
      <c r="E825" s="732"/>
      <c r="F825" s="588"/>
      <c r="G825" s="585"/>
      <c r="H825" s="588"/>
      <c r="I825" s="586"/>
      <c r="J825" s="588"/>
      <c r="K825" s="588"/>
      <c r="L825" s="588"/>
      <c r="M825" s="588"/>
      <c r="N825" s="588"/>
      <c r="O825" s="588"/>
      <c r="P825" s="588"/>
      <c r="Q825" s="732"/>
    </row>
    <row r="826" spans="1:19" x14ac:dyDescent="0.2">
      <c r="A826" s="216">
        <v>1</v>
      </c>
      <c r="B826" s="216" t="str">
        <f>B227</f>
        <v>GTR</v>
      </c>
      <c r="C826" s="216" t="str">
        <f>C227</f>
        <v xml:space="preserve">GTS Choice - Residential </v>
      </c>
    </row>
    <row r="828" spans="1:19" ht="10.5" x14ac:dyDescent="0.25">
      <c r="A828" s="216">
        <f>A826+1</f>
        <v>2</v>
      </c>
      <c r="C828" s="245" t="s">
        <v>109</v>
      </c>
    </row>
    <row r="829" spans="1:19" ht="10.5" x14ac:dyDescent="0.25">
      <c r="C829" s="245"/>
    </row>
    <row r="830" spans="1:19" x14ac:dyDescent="0.2">
      <c r="A830" s="216">
        <f>A828+1</f>
        <v>3</v>
      </c>
      <c r="C830" s="216" t="s">
        <v>199</v>
      </c>
      <c r="E830" s="421">
        <f>B!D164</f>
        <v>14412</v>
      </c>
      <c r="F830" s="421">
        <f>B!E164</f>
        <v>14308</v>
      </c>
      <c r="G830" s="421">
        <f>B!F164</f>
        <v>14237</v>
      </c>
      <c r="H830" s="421">
        <f>B!G164</f>
        <v>14116</v>
      </c>
      <c r="I830" s="421">
        <f>B!H164</f>
        <v>14041</v>
      </c>
      <c r="J830" s="421">
        <f>B!I164</f>
        <v>13964</v>
      </c>
      <c r="K830" s="421">
        <f>B!J164</f>
        <v>13875</v>
      </c>
      <c r="L830" s="421">
        <f>B!K164</f>
        <v>13809</v>
      </c>
      <c r="M830" s="421">
        <f>B!L164</f>
        <v>13699</v>
      </c>
      <c r="N830" s="421">
        <f>B!M164</f>
        <v>13597</v>
      </c>
      <c r="O830" s="421">
        <f>B!N164</f>
        <v>13511</v>
      </c>
      <c r="P830" s="421">
        <f>B!O164</f>
        <v>13424</v>
      </c>
      <c r="Q830" s="421">
        <f>SUM(E830:P830)</f>
        <v>166993</v>
      </c>
      <c r="S830" s="421"/>
    </row>
    <row r="831" spans="1:19" x14ac:dyDescent="0.2">
      <c r="A831" s="216">
        <f>A830+1</f>
        <v>4</v>
      </c>
      <c r="C831" s="216" t="s">
        <v>207</v>
      </c>
      <c r="D831" s="608">
        <f>Input!H38</f>
        <v>16</v>
      </c>
      <c r="E831" s="419">
        <f t="shared" ref="E831:P831" si="285">ROUND(E830*$D$831,2)</f>
        <v>230592</v>
      </c>
      <c r="F831" s="419">
        <f t="shared" si="285"/>
        <v>228928</v>
      </c>
      <c r="G831" s="419">
        <f t="shared" si="285"/>
        <v>227792</v>
      </c>
      <c r="H831" s="419">
        <f t="shared" si="285"/>
        <v>225856</v>
      </c>
      <c r="I831" s="419">
        <f t="shared" si="285"/>
        <v>224656</v>
      </c>
      <c r="J831" s="419">
        <f t="shared" si="285"/>
        <v>223424</v>
      </c>
      <c r="K831" s="419">
        <f t="shared" si="285"/>
        <v>222000</v>
      </c>
      <c r="L831" s="419">
        <f t="shared" si="285"/>
        <v>220944</v>
      </c>
      <c r="M831" s="419">
        <f t="shared" si="285"/>
        <v>219184</v>
      </c>
      <c r="N831" s="419">
        <f t="shared" si="285"/>
        <v>217552</v>
      </c>
      <c r="O831" s="419">
        <f t="shared" si="285"/>
        <v>216176</v>
      </c>
      <c r="P831" s="419">
        <f t="shared" si="285"/>
        <v>214784</v>
      </c>
      <c r="Q831" s="419">
        <f>SUM(E831:P831)</f>
        <v>2671888</v>
      </c>
    </row>
    <row r="832" spans="1:19" x14ac:dyDescent="0.2">
      <c r="A832" s="216">
        <f>A831+1</f>
        <v>5</v>
      </c>
      <c r="C832" s="216" t="s">
        <v>208</v>
      </c>
      <c r="D832" s="608">
        <f>Input!K38</f>
        <v>6.63</v>
      </c>
      <c r="E832" s="419">
        <f t="shared" ref="E832:P832" si="286">ROUND(E830*$D$832,2)</f>
        <v>95551.56</v>
      </c>
      <c r="F832" s="419">
        <f t="shared" si="286"/>
        <v>94862.04</v>
      </c>
      <c r="G832" s="419">
        <f t="shared" si="286"/>
        <v>94391.31</v>
      </c>
      <c r="H832" s="419">
        <f t="shared" si="286"/>
        <v>93589.08</v>
      </c>
      <c r="I832" s="419">
        <f t="shared" si="286"/>
        <v>93091.83</v>
      </c>
      <c r="J832" s="419">
        <f t="shared" si="286"/>
        <v>92581.32</v>
      </c>
      <c r="K832" s="419">
        <f t="shared" si="286"/>
        <v>91991.25</v>
      </c>
      <c r="L832" s="419">
        <f t="shared" si="286"/>
        <v>91553.67</v>
      </c>
      <c r="M832" s="419">
        <f t="shared" si="286"/>
        <v>90824.37</v>
      </c>
      <c r="N832" s="419">
        <f t="shared" si="286"/>
        <v>90148.11</v>
      </c>
      <c r="O832" s="419">
        <f t="shared" si="286"/>
        <v>89577.93</v>
      </c>
      <c r="P832" s="419">
        <f t="shared" si="286"/>
        <v>89001.12</v>
      </c>
      <c r="Q832" s="419">
        <f>SUM(E832:P832)</f>
        <v>1107163.5899999999</v>
      </c>
    </row>
    <row r="834" spans="1:19" x14ac:dyDescent="0.2">
      <c r="A834" s="216">
        <f>A832+1</f>
        <v>6</v>
      </c>
      <c r="C834" s="216" t="s">
        <v>206</v>
      </c>
      <c r="E834" s="424">
        <f>'C'!D187</f>
        <v>212675.3</v>
      </c>
      <c r="F834" s="424">
        <f>'C'!E187</f>
        <v>214378.7</v>
      </c>
      <c r="G834" s="424">
        <f>'C'!F187</f>
        <v>164319.6</v>
      </c>
      <c r="H834" s="424">
        <f>'C'!G187</f>
        <v>95714.2</v>
      </c>
      <c r="I834" s="424">
        <f>'C'!H187</f>
        <v>41538.6</v>
      </c>
      <c r="J834" s="424">
        <f>'C'!I187</f>
        <v>20296.2</v>
      </c>
      <c r="K834" s="424">
        <f>'C'!J187</f>
        <v>10992.1</v>
      </c>
      <c r="L834" s="424">
        <f>'C'!K187</f>
        <v>11810.7</v>
      </c>
      <c r="M834" s="424">
        <f>'C'!L187</f>
        <v>13181.9</v>
      </c>
      <c r="N834" s="424">
        <f>'C'!M187</f>
        <v>24764.3</v>
      </c>
      <c r="O834" s="424">
        <f>'C'!N187</f>
        <v>64840.6</v>
      </c>
      <c r="P834" s="424">
        <f>'C'!O187</f>
        <v>148097.5</v>
      </c>
      <c r="Q834" s="424">
        <f>SUM(E834:P834)</f>
        <v>1022609.6999999998</v>
      </c>
      <c r="S834" s="424"/>
    </row>
    <row r="835" spans="1:19" x14ac:dyDescent="0.2">
      <c r="A835" s="216">
        <f>A834+1</f>
        <v>7</v>
      </c>
      <c r="C835" s="216" t="s">
        <v>209</v>
      </c>
      <c r="D835" s="609">
        <f>Input!C38</f>
        <v>3.5665</v>
      </c>
      <c r="E835" s="419">
        <f t="shared" ref="E835:P835" si="287">ROUND(E834*$D$835,2)</f>
        <v>758506.46</v>
      </c>
      <c r="F835" s="419">
        <f t="shared" si="287"/>
        <v>764581.63</v>
      </c>
      <c r="G835" s="419">
        <f t="shared" si="287"/>
        <v>586045.85</v>
      </c>
      <c r="H835" s="419">
        <f t="shared" si="287"/>
        <v>341364.69</v>
      </c>
      <c r="I835" s="419">
        <f t="shared" si="287"/>
        <v>148147.42000000001</v>
      </c>
      <c r="J835" s="419">
        <f t="shared" si="287"/>
        <v>72386.399999999994</v>
      </c>
      <c r="K835" s="419">
        <f t="shared" si="287"/>
        <v>39203.32</v>
      </c>
      <c r="L835" s="419">
        <f t="shared" si="287"/>
        <v>42122.86</v>
      </c>
      <c r="M835" s="419">
        <f t="shared" si="287"/>
        <v>47013.25</v>
      </c>
      <c r="N835" s="419">
        <f t="shared" si="287"/>
        <v>88321.88</v>
      </c>
      <c r="O835" s="419">
        <f t="shared" si="287"/>
        <v>231254</v>
      </c>
      <c r="P835" s="419">
        <f t="shared" si="287"/>
        <v>528189.73</v>
      </c>
      <c r="Q835" s="419">
        <f>SUM(E835:P835)</f>
        <v>3647137.4899999993</v>
      </c>
    </row>
    <row r="836" spans="1:19" x14ac:dyDescent="0.2">
      <c r="A836" s="216">
        <f>A835+1</f>
        <v>8</v>
      </c>
      <c r="C836" s="772" t="s">
        <v>529</v>
      </c>
      <c r="D836" s="609">
        <f>Input!J38</f>
        <v>-0.28249999999999997</v>
      </c>
      <c r="E836" s="281">
        <f t="shared" ref="E836:P836" si="288">ROUND($D$836*E834,2)</f>
        <v>-60080.77</v>
      </c>
      <c r="F836" s="281">
        <f t="shared" si="288"/>
        <v>-60561.98</v>
      </c>
      <c r="G836" s="281">
        <f t="shared" si="288"/>
        <v>-46420.29</v>
      </c>
      <c r="H836" s="281">
        <f t="shared" si="288"/>
        <v>-27039.26</v>
      </c>
      <c r="I836" s="281">
        <f t="shared" si="288"/>
        <v>-11734.65</v>
      </c>
      <c r="J836" s="281">
        <f t="shared" si="288"/>
        <v>-5733.68</v>
      </c>
      <c r="K836" s="281">
        <f t="shared" si="288"/>
        <v>-3105.27</v>
      </c>
      <c r="L836" s="281">
        <f t="shared" si="288"/>
        <v>-3336.52</v>
      </c>
      <c r="M836" s="281">
        <f t="shared" si="288"/>
        <v>-3723.89</v>
      </c>
      <c r="N836" s="281">
        <f t="shared" si="288"/>
        <v>-6995.91</v>
      </c>
      <c r="O836" s="281">
        <f t="shared" si="288"/>
        <v>-18317.47</v>
      </c>
      <c r="P836" s="281">
        <f t="shared" si="288"/>
        <v>-41837.54</v>
      </c>
      <c r="Q836" s="682">
        <f>SUM(E836:P836)</f>
        <v>-288887.23</v>
      </c>
    </row>
    <row r="837" spans="1:19" x14ac:dyDescent="0.2">
      <c r="A837" s="216">
        <f>A836+1</f>
        <v>9</v>
      </c>
      <c r="C837" s="216" t="s">
        <v>201</v>
      </c>
      <c r="E837" s="419">
        <f t="shared" ref="E837:P837" si="289">E831+E832+E835+E836</f>
        <v>1024569.25</v>
      </c>
      <c r="F837" s="419">
        <f t="shared" si="289"/>
        <v>1027809.69</v>
      </c>
      <c r="G837" s="419">
        <f t="shared" si="289"/>
        <v>861808.86999999988</v>
      </c>
      <c r="H837" s="419">
        <f t="shared" si="289"/>
        <v>633770.51</v>
      </c>
      <c r="I837" s="419">
        <f t="shared" si="289"/>
        <v>454160.6</v>
      </c>
      <c r="J837" s="419">
        <f t="shared" si="289"/>
        <v>382658.04</v>
      </c>
      <c r="K837" s="419">
        <f t="shared" si="289"/>
        <v>350089.3</v>
      </c>
      <c r="L837" s="419">
        <f t="shared" si="289"/>
        <v>351284.00999999995</v>
      </c>
      <c r="M837" s="419">
        <f t="shared" si="289"/>
        <v>353297.73</v>
      </c>
      <c r="N837" s="419">
        <f t="shared" si="289"/>
        <v>389026.08</v>
      </c>
      <c r="O837" s="419">
        <f t="shared" si="289"/>
        <v>518690.45999999996</v>
      </c>
      <c r="P837" s="419">
        <f t="shared" si="289"/>
        <v>790137.30999999994</v>
      </c>
      <c r="Q837" s="419">
        <f>SUM(E837:P837)</f>
        <v>7137301.8499999978</v>
      </c>
    </row>
    <row r="838" spans="1:19" x14ac:dyDescent="0.2">
      <c r="E838" s="417"/>
      <c r="F838" s="417"/>
      <c r="G838" s="417"/>
      <c r="H838" s="417"/>
      <c r="I838" s="417"/>
      <c r="J838" s="417"/>
      <c r="K838" s="417"/>
      <c r="L838" s="417"/>
      <c r="M838" s="417"/>
      <c r="N838" s="417"/>
      <c r="O838" s="417"/>
      <c r="P838" s="417"/>
      <c r="Q838" s="417"/>
    </row>
    <row r="839" spans="1:19" x14ac:dyDescent="0.2">
      <c r="A839" s="216">
        <f>A837+1</f>
        <v>10</v>
      </c>
      <c r="C839" s="216" t="s">
        <v>148</v>
      </c>
      <c r="D839" s="609">
        <v>0</v>
      </c>
      <c r="E839" s="419">
        <v>0</v>
      </c>
      <c r="F839" s="419">
        <v>0</v>
      </c>
      <c r="G839" s="419">
        <v>0</v>
      </c>
      <c r="H839" s="419">
        <v>0</v>
      </c>
      <c r="I839" s="419">
        <v>0</v>
      </c>
      <c r="J839" s="419">
        <v>0</v>
      </c>
      <c r="K839" s="419">
        <v>0</v>
      </c>
      <c r="L839" s="419">
        <v>0</v>
      </c>
      <c r="M839" s="419">
        <v>0</v>
      </c>
      <c r="N839" s="419">
        <v>0</v>
      </c>
      <c r="O839" s="419">
        <v>0</v>
      </c>
      <c r="P839" s="419">
        <v>0</v>
      </c>
      <c r="Q839" s="419">
        <f>SUM(E839:P839)</f>
        <v>0</v>
      </c>
    </row>
    <row r="840" spans="1:19" x14ac:dyDescent="0.2">
      <c r="E840" s="457"/>
      <c r="F840" s="457"/>
      <c r="G840" s="457"/>
      <c r="H840" s="457"/>
      <c r="I840" s="457"/>
      <c r="J840" s="457"/>
      <c r="K840" s="457"/>
      <c r="L840" s="457"/>
      <c r="M840" s="457"/>
      <c r="N840" s="457"/>
      <c r="O840" s="457"/>
      <c r="P840" s="457"/>
      <c r="Q840" s="457"/>
    </row>
    <row r="841" spans="1:19" x14ac:dyDescent="0.2">
      <c r="A841" s="402">
        <f>A839+1</f>
        <v>11</v>
      </c>
      <c r="B841" s="402"/>
      <c r="C841" s="402" t="s">
        <v>203</v>
      </c>
      <c r="D841" s="412"/>
      <c r="E841" s="671">
        <f>E837+E839</f>
        <v>1024569.25</v>
      </c>
      <c r="F841" s="671">
        <f t="shared" ref="F841:N841" si="290">F837+F839</f>
        <v>1027809.69</v>
      </c>
      <c r="G841" s="671">
        <f t="shared" si="290"/>
        <v>861808.86999999988</v>
      </c>
      <c r="H841" s="671">
        <f t="shared" si="290"/>
        <v>633770.51</v>
      </c>
      <c r="I841" s="671">
        <f t="shared" si="290"/>
        <v>454160.6</v>
      </c>
      <c r="J841" s="671">
        <f t="shared" si="290"/>
        <v>382658.04</v>
      </c>
      <c r="K841" s="671">
        <f t="shared" si="290"/>
        <v>350089.3</v>
      </c>
      <c r="L841" s="671">
        <f t="shared" si="290"/>
        <v>351284.00999999995</v>
      </c>
      <c r="M841" s="671">
        <f t="shared" si="290"/>
        <v>353297.73</v>
      </c>
      <c r="N841" s="671">
        <f t="shared" si="290"/>
        <v>389026.08</v>
      </c>
      <c r="O841" s="671">
        <f>O837+O839</f>
        <v>518690.45999999996</v>
      </c>
      <c r="P841" s="671">
        <f>P837+P839</f>
        <v>790137.30999999994</v>
      </c>
      <c r="Q841" s="671">
        <f>SUM(E841:P841)</f>
        <v>7137301.8499999978</v>
      </c>
    </row>
    <row r="842" spans="1:19" x14ac:dyDescent="0.2">
      <c r="E842" s="417"/>
      <c r="F842" s="417"/>
      <c r="G842" s="417"/>
      <c r="H842" s="417"/>
      <c r="I842" s="417"/>
      <c r="J842" s="417"/>
      <c r="K842" s="417"/>
      <c r="L842" s="417"/>
      <c r="M842" s="417"/>
      <c r="N842" s="417"/>
      <c r="O842" s="417"/>
      <c r="P842" s="417"/>
      <c r="Q842" s="417"/>
    </row>
    <row r="843" spans="1:19" x14ac:dyDescent="0.2">
      <c r="A843" s="216">
        <f>A841+1</f>
        <v>12</v>
      </c>
      <c r="C843" s="216" t="s">
        <v>193</v>
      </c>
      <c r="E843" s="430"/>
      <c r="F843" s="430"/>
      <c r="G843" s="430"/>
      <c r="H843" s="430"/>
      <c r="I843" s="430"/>
      <c r="J843" s="430"/>
      <c r="K843" s="430"/>
      <c r="L843" s="430"/>
      <c r="M843" s="430"/>
      <c r="N843" s="430"/>
      <c r="O843" s="430"/>
      <c r="P843" s="430"/>
      <c r="Q843" s="430"/>
    </row>
    <row r="844" spans="1:19" x14ac:dyDescent="0.2">
      <c r="A844" s="216">
        <f>A843+1</f>
        <v>13</v>
      </c>
      <c r="C844" s="216" t="s">
        <v>210</v>
      </c>
      <c r="D844" s="609">
        <f>Input!L38</f>
        <v>0.28999999999999998</v>
      </c>
      <c r="E844" s="419">
        <f t="shared" ref="E844:P844" si="291">ROUND(E830*$D$844,2)</f>
        <v>4179.4799999999996</v>
      </c>
      <c r="F844" s="419">
        <f t="shared" si="291"/>
        <v>4149.32</v>
      </c>
      <c r="G844" s="419">
        <f t="shared" si="291"/>
        <v>4128.7299999999996</v>
      </c>
      <c r="H844" s="419">
        <f t="shared" si="291"/>
        <v>4093.64</v>
      </c>
      <c r="I844" s="419">
        <f t="shared" si="291"/>
        <v>4071.89</v>
      </c>
      <c r="J844" s="419">
        <f t="shared" si="291"/>
        <v>4049.56</v>
      </c>
      <c r="K844" s="419">
        <f t="shared" si="291"/>
        <v>4023.75</v>
      </c>
      <c r="L844" s="419">
        <f t="shared" si="291"/>
        <v>4004.61</v>
      </c>
      <c r="M844" s="419">
        <f t="shared" si="291"/>
        <v>3972.71</v>
      </c>
      <c r="N844" s="419">
        <f t="shared" si="291"/>
        <v>3943.13</v>
      </c>
      <c r="O844" s="419">
        <f t="shared" si="291"/>
        <v>3918.19</v>
      </c>
      <c r="P844" s="419">
        <f t="shared" si="291"/>
        <v>3892.96</v>
      </c>
      <c r="Q844" s="419">
        <f>SUM(E844:P844)</f>
        <v>48427.97</v>
      </c>
    </row>
    <row r="845" spans="1:19" x14ac:dyDescent="0.2">
      <c r="A845" s="216">
        <f>A844+1</f>
        <v>14</v>
      </c>
      <c r="C845" s="216" t="s">
        <v>553</v>
      </c>
      <c r="D845" s="609">
        <f>Input!$N$38</f>
        <v>1.44E-2</v>
      </c>
      <c r="E845" s="419">
        <f t="shared" ref="E845:P845" si="292">ROUND(E834*$D$845,2)</f>
        <v>3062.52</v>
      </c>
      <c r="F845" s="419">
        <f t="shared" si="292"/>
        <v>3087.05</v>
      </c>
      <c r="G845" s="419">
        <f t="shared" si="292"/>
        <v>2366.1999999999998</v>
      </c>
      <c r="H845" s="419">
        <f t="shared" si="292"/>
        <v>1378.28</v>
      </c>
      <c r="I845" s="419">
        <f t="shared" si="292"/>
        <v>598.16</v>
      </c>
      <c r="J845" s="419">
        <f t="shared" si="292"/>
        <v>292.27</v>
      </c>
      <c r="K845" s="419">
        <f t="shared" si="292"/>
        <v>158.29</v>
      </c>
      <c r="L845" s="419">
        <f t="shared" si="292"/>
        <v>170.07</v>
      </c>
      <c r="M845" s="419">
        <f t="shared" si="292"/>
        <v>189.82</v>
      </c>
      <c r="N845" s="419">
        <f t="shared" si="292"/>
        <v>356.61</v>
      </c>
      <c r="O845" s="419">
        <f t="shared" si="292"/>
        <v>933.7</v>
      </c>
      <c r="P845" s="419">
        <f t="shared" si="292"/>
        <v>2132.6</v>
      </c>
      <c r="Q845" s="419">
        <f>SUM(E845:P845)</f>
        <v>14725.570000000003</v>
      </c>
    </row>
    <row r="846" spans="1:19" x14ac:dyDescent="0.2">
      <c r="A846" s="216">
        <f>A844+1</f>
        <v>14</v>
      </c>
      <c r="C846" s="216" t="s">
        <v>212</v>
      </c>
      <c r="D846" s="609">
        <f>Input!M38</f>
        <v>0.3</v>
      </c>
      <c r="E846" s="255">
        <f t="shared" ref="E846:P846" si="293">ROUND(E830*$D$846,2)</f>
        <v>4323.6000000000004</v>
      </c>
      <c r="F846" s="255">
        <f t="shared" si="293"/>
        <v>4292.3999999999996</v>
      </c>
      <c r="G846" s="255">
        <f t="shared" si="293"/>
        <v>4271.1000000000004</v>
      </c>
      <c r="H846" s="255">
        <f t="shared" si="293"/>
        <v>4234.8</v>
      </c>
      <c r="I846" s="255">
        <f t="shared" si="293"/>
        <v>4212.3</v>
      </c>
      <c r="J846" s="255">
        <f t="shared" si="293"/>
        <v>4189.2</v>
      </c>
      <c r="K846" s="255">
        <f t="shared" si="293"/>
        <v>4162.5</v>
      </c>
      <c r="L846" s="255">
        <f t="shared" si="293"/>
        <v>4142.7</v>
      </c>
      <c r="M846" s="255">
        <f t="shared" si="293"/>
        <v>4109.7</v>
      </c>
      <c r="N846" s="255">
        <f t="shared" si="293"/>
        <v>4079.1</v>
      </c>
      <c r="O846" s="255">
        <f t="shared" si="293"/>
        <v>4053.3</v>
      </c>
      <c r="P846" s="255">
        <f t="shared" si="293"/>
        <v>4027.2</v>
      </c>
      <c r="Q846" s="255">
        <f>SUM(E846:P846)</f>
        <v>50097.899999999994</v>
      </c>
    </row>
    <row r="847" spans="1:19" x14ac:dyDescent="0.2">
      <c r="A847" s="216">
        <f>A846+1</f>
        <v>15</v>
      </c>
      <c r="C847" s="216" t="s">
        <v>213</v>
      </c>
      <c r="E847" s="419">
        <f>SUM(E844:E846)</f>
        <v>11565.6</v>
      </c>
      <c r="F847" s="419">
        <f>SUM(F844:F846)</f>
        <v>11528.77</v>
      </c>
      <c r="G847" s="419">
        <f t="shared" ref="G847:N847" si="294">SUM(G844:G846)</f>
        <v>10766.029999999999</v>
      </c>
      <c r="H847" s="419">
        <f t="shared" si="294"/>
        <v>9706.7200000000012</v>
      </c>
      <c r="I847" s="419">
        <f t="shared" si="294"/>
        <v>8882.35</v>
      </c>
      <c r="J847" s="419">
        <f t="shared" si="294"/>
        <v>8531.0299999999988</v>
      </c>
      <c r="K847" s="419">
        <f>SUM(K844:K846)</f>
        <v>8344.5400000000009</v>
      </c>
      <c r="L847" s="419">
        <f t="shared" si="294"/>
        <v>8317.380000000001</v>
      </c>
      <c r="M847" s="419">
        <f t="shared" si="294"/>
        <v>8272.23</v>
      </c>
      <c r="N847" s="419">
        <f t="shared" si="294"/>
        <v>8378.84</v>
      </c>
      <c r="O847" s="419">
        <f>SUM(O844:O846)</f>
        <v>8905.19</v>
      </c>
      <c r="P847" s="419">
        <f>SUM(P844:P846)</f>
        <v>10052.759999999998</v>
      </c>
      <c r="Q847" s="419">
        <f>SUM(E847:P847)</f>
        <v>113251.44</v>
      </c>
    </row>
    <row r="849" spans="1:23" s="280" customFormat="1" ht="10.5" thickBot="1" x14ac:dyDescent="0.25">
      <c r="A849" s="433">
        <f>A847+1</f>
        <v>16</v>
      </c>
      <c r="B849" s="433"/>
      <c r="C849" s="433" t="s">
        <v>202</v>
      </c>
      <c r="D849" s="770"/>
      <c r="E849" s="675">
        <f>E841+E847</f>
        <v>1036134.85</v>
      </c>
      <c r="F849" s="675">
        <f>F841+F847</f>
        <v>1039338.46</v>
      </c>
      <c r="G849" s="675">
        <f t="shared" ref="G849:N849" si="295">G841+G847</f>
        <v>872574.89999999991</v>
      </c>
      <c r="H849" s="675">
        <f t="shared" si="295"/>
        <v>643477.23</v>
      </c>
      <c r="I849" s="675">
        <f t="shared" si="295"/>
        <v>463042.94999999995</v>
      </c>
      <c r="J849" s="675">
        <f t="shared" si="295"/>
        <v>391189.06999999995</v>
      </c>
      <c r="K849" s="675">
        <f t="shared" si="295"/>
        <v>358433.83999999997</v>
      </c>
      <c r="L849" s="675">
        <f t="shared" si="295"/>
        <v>359601.38999999996</v>
      </c>
      <c r="M849" s="675">
        <f t="shared" si="295"/>
        <v>361569.95999999996</v>
      </c>
      <c r="N849" s="675">
        <f t="shared" si="295"/>
        <v>397404.92000000004</v>
      </c>
      <c r="O849" s="675">
        <f>O841+O847</f>
        <v>527595.64999999991</v>
      </c>
      <c r="P849" s="675">
        <f>P841+P847</f>
        <v>800190.07</v>
      </c>
      <c r="Q849" s="675">
        <f>SUM(E849:P849)</f>
        <v>7250553.2899999991</v>
      </c>
      <c r="S849" s="216"/>
      <c r="T849" s="216"/>
      <c r="U849" s="216"/>
      <c r="V849" s="216"/>
      <c r="W849" s="216"/>
    </row>
    <row r="850" spans="1:23" ht="10.5" thickTop="1" x14ac:dyDescent="0.2"/>
    <row r="852" spans="1:23" x14ac:dyDescent="0.2">
      <c r="A852" s="216">
        <f>A849+1</f>
        <v>17</v>
      </c>
      <c r="B852" s="216" t="str">
        <f>B234</f>
        <v>GTO</v>
      </c>
      <c r="C852" s="216" t="str">
        <f>C234</f>
        <v>GTS Choice - Commercial</v>
      </c>
    </row>
    <row r="854" spans="1:23" ht="10.5" x14ac:dyDescent="0.25">
      <c r="A854" s="216">
        <f>A852+1</f>
        <v>18</v>
      </c>
      <c r="C854" s="245" t="s">
        <v>111</v>
      </c>
    </row>
    <row r="855" spans="1:23" ht="10.5" x14ac:dyDescent="0.25">
      <c r="C855" s="245"/>
    </row>
    <row r="856" spans="1:23" x14ac:dyDescent="0.2">
      <c r="A856" s="216">
        <f>A854+1</f>
        <v>19</v>
      </c>
      <c r="C856" s="216" t="s">
        <v>199</v>
      </c>
      <c r="E856" s="421">
        <f>B!D170</f>
        <v>2990</v>
      </c>
      <c r="F856" s="421">
        <f>B!E170</f>
        <v>2989</v>
      </c>
      <c r="G856" s="421">
        <f>B!F170</f>
        <v>3221</v>
      </c>
      <c r="H856" s="421">
        <f>B!G170</f>
        <v>3224</v>
      </c>
      <c r="I856" s="421">
        <f>B!H170</f>
        <v>3231</v>
      </c>
      <c r="J856" s="421">
        <f>B!I170</f>
        <v>3234</v>
      </c>
      <c r="K856" s="421">
        <f>B!J170</f>
        <v>3237</v>
      </c>
      <c r="L856" s="421">
        <f>B!K170</f>
        <v>3238</v>
      </c>
      <c r="M856" s="421">
        <f>B!L170</f>
        <v>3227</v>
      </c>
      <c r="N856" s="421">
        <f>B!M170</f>
        <v>3233</v>
      </c>
      <c r="O856" s="421">
        <f>B!N170</f>
        <v>3232</v>
      </c>
      <c r="P856" s="421">
        <f>B!O170</f>
        <v>3230</v>
      </c>
      <c r="Q856" s="421">
        <f>SUM(E856:P856)</f>
        <v>38286</v>
      </c>
      <c r="S856" s="421"/>
    </row>
    <row r="857" spans="1:23" x14ac:dyDescent="0.2">
      <c r="A857" s="216">
        <f>A856+1</f>
        <v>20</v>
      </c>
      <c r="C857" s="216" t="s">
        <v>207</v>
      </c>
      <c r="D857" s="608">
        <f>Input!H39</f>
        <v>44.69</v>
      </c>
      <c r="E857" s="419">
        <f t="shared" ref="E857:P857" si="296">ROUND(E856*$D$857,2)</f>
        <v>133623.1</v>
      </c>
      <c r="F857" s="419">
        <f t="shared" si="296"/>
        <v>133578.41</v>
      </c>
      <c r="G857" s="419">
        <f t="shared" si="296"/>
        <v>143946.49</v>
      </c>
      <c r="H857" s="419">
        <f t="shared" si="296"/>
        <v>144080.56</v>
      </c>
      <c r="I857" s="419">
        <f t="shared" si="296"/>
        <v>144393.39000000001</v>
      </c>
      <c r="J857" s="419">
        <f t="shared" si="296"/>
        <v>144527.46</v>
      </c>
      <c r="K857" s="419">
        <f t="shared" si="296"/>
        <v>144661.53</v>
      </c>
      <c r="L857" s="419">
        <f t="shared" si="296"/>
        <v>144706.22</v>
      </c>
      <c r="M857" s="419">
        <f t="shared" si="296"/>
        <v>144214.63</v>
      </c>
      <c r="N857" s="419">
        <f t="shared" si="296"/>
        <v>144482.76999999999</v>
      </c>
      <c r="O857" s="419">
        <f t="shared" si="296"/>
        <v>144438.07999999999</v>
      </c>
      <c r="P857" s="419">
        <f t="shared" si="296"/>
        <v>144348.70000000001</v>
      </c>
      <c r="Q857" s="419">
        <f>SUM(E857:P857)</f>
        <v>1711001.34</v>
      </c>
    </row>
    <row r="858" spans="1:23" x14ac:dyDescent="0.2">
      <c r="A858" s="216">
        <f>A857+1</f>
        <v>21</v>
      </c>
      <c r="C858" s="216" t="s">
        <v>208</v>
      </c>
      <c r="D858" s="608">
        <f>Input!K39</f>
        <v>24.31</v>
      </c>
      <c r="E858" s="419">
        <f t="shared" ref="E858:P858" si="297">ROUND(E856*$D$858,2)</f>
        <v>72686.899999999994</v>
      </c>
      <c r="F858" s="419">
        <f t="shared" si="297"/>
        <v>72662.59</v>
      </c>
      <c r="G858" s="419">
        <f t="shared" si="297"/>
        <v>78302.509999999995</v>
      </c>
      <c r="H858" s="419">
        <f t="shared" si="297"/>
        <v>78375.44</v>
      </c>
      <c r="I858" s="419">
        <f t="shared" si="297"/>
        <v>78545.61</v>
      </c>
      <c r="J858" s="419">
        <f t="shared" si="297"/>
        <v>78618.539999999994</v>
      </c>
      <c r="K858" s="419">
        <f t="shared" si="297"/>
        <v>78691.47</v>
      </c>
      <c r="L858" s="419">
        <f t="shared" si="297"/>
        <v>78715.78</v>
      </c>
      <c r="M858" s="419">
        <f t="shared" si="297"/>
        <v>78448.37</v>
      </c>
      <c r="N858" s="419">
        <f t="shared" si="297"/>
        <v>78594.23</v>
      </c>
      <c r="O858" s="419">
        <f t="shared" si="297"/>
        <v>78569.919999999998</v>
      </c>
      <c r="P858" s="419">
        <f t="shared" si="297"/>
        <v>78521.3</v>
      </c>
      <c r="Q858" s="419">
        <f>SUM(E858:P858)</f>
        <v>930732.66</v>
      </c>
    </row>
    <row r="860" spans="1:23" x14ac:dyDescent="0.2">
      <c r="A860" s="216">
        <f>A858+1</f>
        <v>22</v>
      </c>
      <c r="C860" s="216" t="s">
        <v>206</v>
      </c>
    </row>
    <row r="861" spans="1:23" x14ac:dyDescent="0.2">
      <c r="A861" s="216">
        <f>A860+1</f>
        <v>23</v>
      </c>
      <c r="C861" s="216" t="str">
        <f>'C'!B191</f>
        <v xml:space="preserve">    First 50 Mcf</v>
      </c>
      <c r="E861" s="424">
        <f>'C'!D203</f>
        <v>89918.2</v>
      </c>
      <c r="F861" s="424">
        <f>'C'!E203</f>
        <v>90045.7</v>
      </c>
      <c r="G861" s="424">
        <f>'C'!F203</f>
        <v>81475</v>
      </c>
      <c r="H861" s="424">
        <f>'C'!G203</f>
        <v>55183.9</v>
      </c>
      <c r="I861" s="424">
        <f>'C'!H203</f>
        <v>42704.6</v>
      </c>
      <c r="J861" s="424">
        <f>'C'!I203</f>
        <v>27100.2</v>
      </c>
      <c r="K861" s="424">
        <f>'C'!J203</f>
        <v>20573</v>
      </c>
      <c r="L861" s="424">
        <f>'C'!K203</f>
        <v>19647.099999999999</v>
      </c>
      <c r="M861" s="424">
        <f>'C'!L203</f>
        <v>20361.400000000001</v>
      </c>
      <c r="N861" s="424">
        <f>'C'!M203</f>
        <v>25159</v>
      </c>
      <c r="O861" s="424">
        <f>'C'!N203</f>
        <v>45291.199999999997</v>
      </c>
      <c r="P861" s="424">
        <f>'C'!O203</f>
        <v>73567</v>
      </c>
      <c r="Q861" s="424">
        <f>SUM(E861:P861)</f>
        <v>591026.30000000005</v>
      </c>
    </row>
    <row r="862" spans="1:23" x14ac:dyDescent="0.2">
      <c r="A862" s="216">
        <f>A861+1</f>
        <v>24</v>
      </c>
      <c r="C862" s="216" t="str">
        <f>'C'!B192</f>
        <v xml:space="preserve">    Next 350 Mcf</v>
      </c>
      <c r="E862" s="424">
        <f>'C'!D204</f>
        <v>132725.29999999999</v>
      </c>
      <c r="F862" s="424">
        <f>'C'!E204</f>
        <v>126451.3</v>
      </c>
      <c r="G862" s="424">
        <f>'C'!F204</f>
        <v>104252.8</v>
      </c>
      <c r="H862" s="424">
        <f>'C'!G204</f>
        <v>50775.8</v>
      </c>
      <c r="I862" s="424">
        <f>'C'!H204</f>
        <v>32530.3</v>
      </c>
      <c r="J862" s="424">
        <f>'C'!I204</f>
        <v>23049.4</v>
      </c>
      <c r="K862" s="424">
        <f>'C'!J204</f>
        <v>16342.5</v>
      </c>
      <c r="L862" s="424">
        <f>'C'!K204</f>
        <v>15042.4</v>
      </c>
      <c r="M862" s="424">
        <f>'C'!L204</f>
        <v>16572</v>
      </c>
      <c r="N862" s="424">
        <f>'C'!M204</f>
        <v>21101.200000000001</v>
      </c>
      <c r="O862" s="424">
        <f>'C'!N204</f>
        <v>42393.8</v>
      </c>
      <c r="P862" s="424">
        <f>'C'!O204</f>
        <v>87220.1</v>
      </c>
      <c r="Q862" s="424">
        <f>SUM(E862:P862)</f>
        <v>668456.9</v>
      </c>
    </row>
    <row r="863" spans="1:23" x14ac:dyDescent="0.2">
      <c r="A863" s="216">
        <f>A862+1</f>
        <v>25</v>
      </c>
      <c r="C863" s="216" t="str">
        <f>'C'!B193</f>
        <v xml:space="preserve">    Next 600 Mcf</v>
      </c>
      <c r="E863" s="424">
        <f>'C'!D205</f>
        <v>38854.6</v>
      </c>
      <c r="F863" s="424">
        <f>'C'!E205</f>
        <v>35384.400000000001</v>
      </c>
      <c r="G863" s="424">
        <f>'C'!F205</f>
        <v>28835.4</v>
      </c>
      <c r="H863" s="424">
        <f>'C'!G205</f>
        <v>9699.6</v>
      </c>
      <c r="I863" s="424">
        <f>'C'!H205</f>
        <v>3903.4</v>
      </c>
      <c r="J863" s="424">
        <f>'C'!I205</f>
        <v>3727.8</v>
      </c>
      <c r="K863" s="424">
        <f>'C'!J205</f>
        <v>3354</v>
      </c>
      <c r="L863" s="424">
        <f>'C'!K205</f>
        <v>3243.8</v>
      </c>
      <c r="M863" s="424">
        <f>'C'!L205</f>
        <v>4678.6000000000004</v>
      </c>
      <c r="N863" s="424">
        <f>'C'!M205</f>
        <v>5004.7</v>
      </c>
      <c r="O863" s="424">
        <f>'C'!N205</f>
        <v>9489.5</v>
      </c>
      <c r="P863" s="424">
        <f>'C'!O205</f>
        <v>19791.400000000001</v>
      </c>
      <c r="Q863" s="424">
        <f>SUM(E863:P863)</f>
        <v>165967.20000000001</v>
      </c>
    </row>
    <row r="864" spans="1:23" x14ac:dyDescent="0.2">
      <c r="A864" s="216">
        <f>A863+1</f>
        <v>26</v>
      </c>
      <c r="C864" s="216" t="str">
        <f>'C'!B194</f>
        <v xml:space="preserve">    Over 1,000 Mcf</v>
      </c>
      <c r="D864" s="255"/>
      <c r="E864" s="448">
        <f>'C'!D206</f>
        <v>14396.1</v>
      </c>
      <c r="F864" s="448">
        <f>'C'!E206</f>
        <v>12237.7</v>
      </c>
      <c r="G864" s="448">
        <f>'C'!F206</f>
        <v>8399.2999999999993</v>
      </c>
      <c r="H864" s="448">
        <f>'C'!G206</f>
        <v>2143.3000000000002</v>
      </c>
      <c r="I864" s="448">
        <f>'C'!H206</f>
        <v>494.6</v>
      </c>
      <c r="J864" s="448">
        <f>'C'!I206</f>
        <v>316.5</v>
      </c>
      <c r="K864" s="448">
        <f>'C'!J206</f>
        <v>331.7</v>
      </c>
      <c r="L864" s="448">
        <f>'C'!K206</f>
        <v>630</v>
      </c>
      <c r="M864" s="448">
        <f>'C'!L206</f>
        <v>1176.4000000000001</v>
      </c>
      <c r="N864" s="448">
        <f>'C'!M206</f>
        <v>1193.0999999999999</v>
      </c>
      <c r="O864" s="448">
        <f>'C'!N206</f>
        <v>2542.8000000000002</v>
      </c>
      <c r="P864" s="448">
        <f>'C'!O206</f>
        <v>6955.7</v>
      </c>
      <c r="Q864" s="448">
        <f>SUM(E864:P864)</f>
        <v>50817.200000000004</v>
      </c>
    </row>
    <row r="865" spans="1:19" x14ac:dyDescent="0.2">
      <c r="D865" s="255"/>
      <c r="E865" s="424">
        <f t="shared" ref="E865:O865" si="298">SUM(E861:E864)</f>
        <v>275894.2</v>
      </c>
      <c r="F865" s="424">
        <f t="shared" si="298"/>
        <v>264119.09999999998</v>
      </c>
      <c r="G865" s="424">
        <f t="shared" si="298"/>
        <v>222962.49999999997</v>
      </c>
      <c r="H865" s="424">
        <f t="shared" si="298"/>
        <v>117802.60000000002</v>
      </c>
      <c r="I865" s="424">
        <f t="shared" si="298"/>
        <v>79632.899999999994</v>
      </c>
      <c r="J865" s="424">
        <f t="shared" si="298"/>
        <v>54193.900000000009</v>
      </c>
      <c r="K865" s="424">
        <f t="shared" si="298"/>
        <v>40601.199999999997</v>
      </c>
      <c r="L865" s="424">
        <f t="shared" si="298"/>
        <v>38563.300000000003</v>
      </c>
      <c r="M865" s="424">
        <f t="shared" si="298"/>
        <v>42788.4</v>
      </c>
      <c r="N865" s="424">
        <f t="shared" si="298"/>
        <v>52457.999999999993</v>
      </c>
      <c r="O865" s="424">
        <f t="shared" si="298"/>
        <v>99717.3</v>
      </c>
      <c r="P865" s="424">
        <f>SUM(P861:P864)</f>
        <v>187534.2</v>
      </c>
      <c r="Q865" s="424">
        <f>SUM(E865:P865)</f>
        <v>1476267.6</v>
      </c>
      <c r="S865" s="424"/>
    </row>
    <row r="866" spans="1:19" x14ac:dyDescent="0.2">
      <c r="A866" s="216">
        <f>A864+1</f>
        <v>27</v>
      </c>
      <c r="C866" s="216" t="s">
        <v>204</v>
      </c>
      <c r="D866" s="255"/>
      <c r="Q866" s="456"/>
    </row>
    <row r="867" spans="1:19" x14ac:dyDescent="0.2">
      <c r="A867" s="216">
        <f>A866+1</f>
        <v>28</v>
      </c>
      <c r="C867" s="216" t="str">
        <f>C861</f>
        <v xml:space="preserve">    First 50 Mcf</v>
      </c>
      <c r="D867" s="609">
        <f>Input!C39</f>
        <v>3.0181</v>
      </c>
      <c r="E867" s="419">
        <f t="shared" ref="E867:P867" si="299">ROUND(E861*$D$867,2)</f>
        <v>271382.12</v>
      </c>
      <c r="F867" s="419">
        <f t="shared" si="299"/>
        <v>271766.93</v>
      </c>
      <c r="G867" s="419">
        <f t="shared" si="299"/>
        <v>245899.7</v>
      </c>
      <c r="H867" s="419">
        <f t="shared" si="299"/>
        <v>166550.53</v>
      </c>
      <c r="I867" s="419">
        <f t="shared" si="299"/>
        <v>128886.75</v>
      </c>
      <c r="J867" s="419">
        <f t="shared" si="299"/>
        <v>81791.11</v>
      </c>
      <c r="K867" s="419">
        <f t="shared" si="299"/>
        <v>62091.37</v>
      </c>
      <c r="L867" s="419">
        <f t="shared" si="299"/>
        <v>59296.91</v>
      </c>
      <c r="M867" s="419">
        <f t="shared" si="299"/>
        <v>61452.74</v>
      </c>
      <c r="N867" s="419">
        <f t="shared" si="299"/>
        <v>75932.38</v>
      </c>
      <c r="O867" s="419">
        <f t="shared" si="299"/>
        <v>136693.37</v>
      </c>
      <c r="P867" s="419">
        <f t="shared" si="299"/>
        <v>222032.56</v>
      </c>
      <c r="Q867" s="419">
        <f t="shared" ref="Q867:Q874" si="300">SUM(E867:P867)</f>
        <v>1783776.4700000002</v>
      </c>
    </row>
    <row r="868" spans="1:19" x14ac:dyDescent="0.2">
      <c r="A868" s="216">
        <f>A867+1</f>
        <v>29</v>
      </c>
      <c r="C868" s="216" t="str">
        <f>C862</f>
        <v xml:space="preserve">    Next 350 Mcf</v>
      </c>
      <c r="D868" s="609">
        <f>Input!D39</f>
        <v>2.3294999999999999</v>
      </c>
      <c r="E868" s="421">
        <f t="shared" ref="E868:P868" si="301">ROUND(E862*$D$868,2)</f>
        <v>309183.59000000003</v>
      </c>
      <c r="F868" s="421">
        <f t="shared" si="301"/>
        <v>294568.3</v>
      </c>
      <c r="G868" s="421">
        <f t="shared" si="301"/>
        <v>242856.9</v>
      </c>
      <c r="H868" s="421">
        <f t="shared" si="301"/>
        <v>118282.23</v>
      </c>
      <c r="I868" s="421">
        <f t="shared" si="301"/>
        <v>75779.33</v>
      </c>
      <c r="J868" s="421">
        <f t="shared" si="301"/>
        <v>53693.58</v>
      </c>
      <c r="K868" s="421">
        <f t="shared" si="301"/>
        <v>38069.85</v>
      </c>
      <c r="L868" s="421">
        <f t="shared" si="301"/>
        <v>35041.269999999997</v>
      </c>
      <c r="M868" s="421">
        <f t="shared" si="301"/>
        <v>38604.47</v>
      </c>
      <c r="N868" s="421">
        <f t="shared" si="301"/>
        <v>49155.25</v>
      </c>
      <c r="O868" s="421">
        <f t="shared" si="301"/>
        <v>98756.36</v>
      </c>
      <c r="P868" s="421">
        <f t="shared" si="301"/>
        <v>203179.22</v>
      </c>
      <c r="Q868" s="421">
        <f t="shared" si="300"/>
        <v>1557170.35</v>
      </c>
    </row>
    <row r="869" spans="1:19" x14ac:dyDescent="0.2">
      <c r="A869" s="216">
        <f>A868+1</f>
        <v>30</v>
      </c>
      <c r="C869" s="216" t="str">
        <f>C863</f>
        <v xml:space="preserve">    Next 600 Mcf</v>
      </c>
      <c r="D869" s="609">
        <f>Input!E39</f>
        <v>2.2143000000000002</v>
      </c>
      <c r="E869" s="421">
        <f t="shared" ref="E869:P869" si="302">ROUND(E863*$D$869,2)</f>
        <v>86035.74</v>
      </c>
      <c r="F869" s="421">
        <f t="shared" si="302"/>
        <v>78351.679999999993</v>
      </c>
      <c r="G869" s="421">
        <f t="shared" si="302"/>
        <v>63850.23</v>
      </c>
      <c r="H869" s="421">
        <f t="shared" si="302"/>
        <v>21477.82</v>
      </c>
      <c r="I869" s="421">
        <f t="shared" si="302"/>
        <v>8643.2999999999993</v>
      </c>
      <c r="J869" s="421">
        <f t="shared" si="302"/>
        <v>8254.4699999999993</v>
      </c>
      <c r="K869" s="421">
        <f t="shared" si="302"/>
        <v>7426.76</v>
      </c>
      <c r="L869" s="421">
        <f t="shared" si="302"/>
        <v>7182.75</v>
      </c>
      <c r="M869" s="421">
        <f t="shared" si="302"/>
        <v>10359.82</v>
      </c>
      <c r="N869" s="421">
        <f t="shared" si="302"/>
        <v>11081.91</v>
      </c>
      <c r="O869" s="421">
        <f t="shared" si="302"/>
        <v>21012.6</v>
      </c>
      <c r="P869" s="421">
        <f t="shared" si="302"/>
        <v>43824.1</v>
      </c>
      <c r="Q869" s="421">
        <f t="shared" si="300"/>
        <v>367501.17999999993</v>
      </c>
    </row>
    <row r="870" spans="1:19" x14ac:dyDescent="0.2">
      <c r="A870" s="216">
        <f>A869+1</f>
        <v>31</v>
      </c>
      <c r="C870" s="216" t="str">
        <f>C864</f>
        <v xml:space="preserve">    Over 1,000 Mcf</v>
      </c>
      <c r="D870" s="609">
        <f>Input!F39</f>
        <v>2.0143</v>
      </c>
      <c r="E870" s="450">
        <f t="shared" ref="E870:P870" si="303">ROUND(E864*$D$870,2)</f>
        <v>28998.06</v>
      </c>
      <c r="F870" s="450">
        <f t="shared" si="303"/>
        <v>24650.400000000001</v>
      </c>
      <c r="G870" s="450">
        <f t="shared" si="303"/>
        <v>16918.71</v>
      </c>
      <c r="H870" s="450">
        <f t="shared" si="303"/>
        <v>4317.25</v>
      </c>
      <c r="I870" s="450">
        <f t="shared" si="303"/>
        <v>996.27</v>
      </c>
      <c r="J870" s="450">
        <f t="shared" si="303"/>
        <v>637.53</v>
      </c>
      <c r="K870" s="450">
        <f t="shared" si="303"/>
        <v>668.14</v>
      </c>
      <c r="L870" s="450">
        <f t="shared" si="303"/>
        <v>1269.01</v>
      </c>
      <c r="M870" s="450">
        <f t="shared" si="303"/>
        <v>2369.62</v>
      </c>
      <c r="N870" s="450">
        <f t="shared" si="303"/>
        <v>2403.2600000000002</v>
      </c>
      <c r="O870" s="450">
        <f t="shared" si="303"/>
        <v>5121.96</v>
      </c>
      <c r="P870" s="450">
        <f t="shared" si="303"/>
        <v>14010.87</v>
      </c>
      <c r="Q870" s="450">
        <f t="shared" si="300"/>
        <v>102361.08</v>
      </c>
    </row>
    <row r="871" spans="1:19" x14ac:dyDescent="0.2">
      <c r="E871" s="419">
        <f t="shared" ref="E871:O871" si="304">SUM(E867:E870)</f>
        <v>695599.51</v>
      </c>
      <c r="F871" s="419">
        <f t="shared" si="304"/>
        <v>669337.30999999994</v>
      </c>
      <c r="G871" s="419">
        <f t="shared" si="304"/>
        <v>569525.53999999992</v>
      </c>
      <c r="H871" s="419">
        <f t="shared" si="304"/>
        <v>310627.83</v>
      </c>
      <c r="I871" s="419">
        <f t="shared" si="304"/>
        <v>214305.65</v>
      </c>
      <c r="J871" s="419">
        <f t="shared" si="304"/>
        <v>144376.69</v>
      </c>
      <c r="K871" s="419">
        <f t="shared" si="304"/>
        <v>108256.12</v>
      </c>
      <c r="L871" s="419">
        <f t="shared" si="304"/>
        <v>102789.93999999999</v>
      </c>
      <c r="M871" s="419">
        <f t="shared" si="304"/>
        <v>112786.65</v>
      </c>
      <c r="N871" s="419">
        <f t="shared" si="304"/>
        <v>138572.80000000002</v>
      </c>
      <c r="O871" s="419">
        <f t="shared" si="304"/>
        <v>261584.28999999998</v>
      </c>
      <c r="P871" s="419">
        <f>SUM(P867:P870)</f>
        <v>483046.75</v>
      </c>
      <c r="Q871" s="419">
        <f t="shared" si="300"/>
        <v>3810809.0799999996</v>
      </c>
    </row>
    <row r="872" spans="1:19" x14ac:dyDescent="0.2">
      <c r="A872" s="216">
        <f>A870+1</f>
        <v>32</v>
      </c>
      <c r="C872" s="772" t="s">
        <v>140</v>
      </c>
      <c r="D872" s="609">
        <f>Input!N39</f>
        <v>1.44E-2</v>
      </c>
      <c r="E872" s="419">
        <f>ROUND($D$872*E865,2)</f>
        <v>3972.88</v>
      </c>
      <c r="F872" s="419">
        <f>ROUND($D$872*F865,2)</f>
        <v>3803.32</v>
      </c>
      <c r="G872" s="419">
        <f t="shared" ref="G872:P872" si="305">ROUND($D$872*G865,2)</f>
        <v>3210.66</v>
      </c>
      <c r="H872" s="419">
        <f>ROUND($D$872*H865,2)</f>
        <v>1696.36</v>
      </c>
      <c r="I872" s="419">
        <f t="shared" si="305"/>
        <v>1146.71</v>
      </c>
      <c r="J872" s="419">
        <f t="shared" si="305"/>
        <v>780.39</v>
      </c>
      <c r="K872" s="419">
        <f t="shared" si="305"/>
        <v>584.66</v>
      </c>
      <c r="L872" s="419">
        <f>ROUND($D$872*L865,2)</f>
        <v>555.30999999999995</v>
      </c>
      <c r="M872" s="419">
        <f t="shared" si="305"/>
        <v>616.15</v>
      </c>
      <c r="N872" s="419">
        <f t="shared" si="305"/>
        <v>755.4</v>
      </c>
      <c r="O872" s="419">
        <f t="shared" si="305"/>
        <v>1435.93</v>
      </c>
      <c r="P872" s="419">
        <f t="shared" si="305"/>
        <v>2700.49</v>
      </c>
      <c r="Q872" s="419">
        <f>SUM(E872:P872)</f>
        <v>21258.260000000002</v>
      </c>
    </row>
    <row r="873" spans="1:19" x14ac:dyDescent="0.2">
      <c r="A873" s="216">
        <f>A872+1</f>
        <v>33</v>
      </c>
      <c r="C873" s="772" t="s">
        <v>529</v>
      </c>
      <c r="D873" s="609">
        <f>Input!J39</f>
        <v>-0.16800000000000001</v>
      </c>
      <c r="E873" s="255">
        <f>ROUND($D$873*E865,2)</f>
        <v>-46350.23</v>
      </c>
      <c r="F873" s="255">
        <f t="shared" ref="F873:P873" si="306">ROUND($D$873*F865,2)</f>
        <v>-44372.01</v>
      </c>
      <c r="G873" s="255">
        <f t="shared" si="306"/>
        <v>-37457.699999999997</v>
      </c>
      <c r="H873" s="255">
        <f t="shared" si="306"/>
        <v>-19790.84</v>
      </c>
      <c r="I873" s="255">
        <f t="shared" si="306"/>
        <v>-13378.33</v>
      </c>
      <c r="J873" s="255">
        <f t="shared" si="306"/>
        <v>-9104.58</v>
      </c>
      <c r="K873" s="255">
        <f t="shared" si="306"/>
        <v>-6821</v>
      </c>
      <c r="L873" s="255">
        <f t="shared" si="306"/>
        <v>-6478.63</v>
      </c>
      <c r="M873" s="255">
        <f t="shared" si="306"/>
        <v>-7188.45</v>
      </c>
      <c r="N873" s="255">
        <f t="shared" si="306"/>
        <v>-8812.94</v>
      </c>
      <c r="O873" s="255">
        <f t="shared" si="306"/>
        <v>-16752.509999999998</v>
      </c>
      <c r="P873" s="255">
        <f t="shared" si="306"/>
        <v>-31505.75</v>
      </c>
      <c r="Q873" s="255">
        <f t="shared" si="300"/>
        <v>-248012.97</v>
      </c>
    </row>
    <row r="874" spans="1:19" x14ac:dyDescent="0.2">
      <c r="A874" s="216">
        <f>A873+1</f>
        <v>34</v>
      </c>
      <c r="C874" s="216" t="s">
        <v>201</v>
      </c>
      <c r="E874" s="419">
        <f>E857+E858+E871+E873+E872</f>
        <v>859532.16</v>
      </c>
      <c r="F874" s="419">
        <f t="shared" ref="F874:P874" si="307">F857+F858+F871+F873+F872</f>
        <v>835009.61999999988</v>
      </c>
      <c r="G874" s="419">
        <f t="shared" si="307"/>
        <v>757527.5</v>
      </c>
      <c r="H874" s="419">
        <f>H857+H858+H871+H873+H872</f>
        <v>514989.35000000003</v>
      </c>
      <c r="I874" s="419">
        <f t="shared" si="307"/>
        <v>425013.03</v>
      </c>
      <c r="J874" s="419">
        <f t="shared" si="307"/>
        <v>359198.5</v>
      </c>
      <c r="K874" s="419">
        <f t="shared" si="307"/>
        <v>325372.77999999997</v>
      </c>
      <c r="L874" s="419">
        <f t="shared" si="307"/>
        <v>320288.62</v>
      </c>
      <c r="M874" s="419">
        <f t="shared" si="307"/>
        <v>328877.35000000003</v>
      </c>
      <c r="N874" s="419">
        <f t="shared" si="307"/>
        <v>353592.26000000007</v>
      </c>
      <c r="O874" s="419">
        <f t="shared" si="307"/>
        <v>469275.70999999996</v>
      </c>
      <c r="P874" s="419">
        <f t="shared" si="307"/>
        <v>677111.49</v>
      </c>
      <c r="Q874" s="419">
        <f t="shared" si="300"/>
        <v>6225788.3699999992</v>
      </c>
    </row>
    <row r="875" spans="1:19" x14ac:dyDescent="0.2">
      <c r="D875" s="216"/>
      <c r="E875" s="417"/>
      <c r="F875" s="417"/>
      <c r="G875" s="417"/>
      <c r="H875" s="417"/>
      <c r="I875" s="417"/>
      <c r="J875" s="417"/>
      <c r="K875" s="417"/>
      <c r="L875" s="417"/>
      <c r="M875" s="417"/>
      <c r="N875" s="417"/>
      <c r="O875" s="417"/>
      <c r="P875" s="417"/>
      <c r="Q875" s="417"/>
    </row>
    <row r="876" spans="1:19" x14ac:dyDescent="0.2">
      <c r="A876" s="216">
        <f>A874+1</f>
        <v>35</v>
      </c>
      <c r="C876" s="216" t="s">
        <v>148</v>
      </c>
      <c r="D876" s="609">
        <v>0</v>
      </c>
      <c r="E876" s="419">
        <v>0</v>
      </c>
      <c r="F876" s="419">
        <v>0</v>
      </c>
      <c r="G876" s="419">
        <v>0</v>
      </c>
      <c r="H876" s="419">
        <v>0</v>
      </c>
      <c r="I876" s="419">
        <v>0</v>
      </c>
      <c r="J876" s="419">
        <v>0</v>
      </c>
      <c r="K876" s="419">
        <v>0</v>
      </c>
      <c r="L876" s="419">
        <v>0</v>
      </c>
      <c r="M876" s="419">
        <v>0</v>
      </c>
      <c r="N876" s="419">
        <v>0</v>
      </c>
      <c r="O876" s="419">
        <v>0</v>
      </c>
      <c r="P876" s="419">
        <v>0</v>
      </c>
      <c r="Q876" s="419">
        <f>SUM(E876:P876)</f>
        <v>0</v>
      </c>
    </row>
    <row r="877" spans="1:19" x14ac:dyDescent="0.2">
      <c r="E877" s="417"/>
      <c r="F877" s="417"/>
      <c r="G877" s="417"/>
      <c r="H877" s="417"/>
      <c r="I877" s="417"/>
      <c r="J877" s="417"/>
      <c r="K877" s="417"/>
      <c r="L877" s="417"/>
      <c r="M877" s="417"/>
      <c r="N877" s="417"/>
      <c r="O877" s="417"/>
      <c r="P877" s="417"/>
      <c r="Q877" s="417"/>
    </row>
    <row r="878" spans="1:19" ht="10.5" thickBot="1" x14ac:dyDescent="0.25">
      <c r="A878" s="433">
        <f>A876+1</f>
        <v>36</v>
      </c>
      <c r="B878" s="433"/>
      <c r="C878" s="433" t="s">
        <v>202</v>
      </c>
      <c r="D878" s="770"/>
      <c r="E878" s="675">
        <f>E874+E876</f>
        <v>859532.16</v>
      </c>
      <c r="F878" s="675">
        <f t="shared" ref="F878:O878" si="308">F874+F876</f>
        <v>835009.61999999988</v>
      </c>
      <c r="G878" s="675">
        <f t="shared" si="308"/>
        <v>757527.5</v>
      </c>
      <c r="H878" s="675">
        <f t="shared" si="308"/>
        <v>514989.35000000003</v>
      </c>
      <c r="I878" s="675">
        <f t="shared" si="308"/>
        <v>425013.03</v>
      </c>
      <c r="J878" s="675">
        <f t="shared" si="308"/>
        <v>359198.5</v>
      </c>
      <c r="K878" s="675">
        <f t="shared" si="308"/>
        <v>325372.77999999997</v>
      </c>
      <c r="L878" s="675">
        <f t="shared" si="308"/>
        <v>320288.62</v>
      </c>
      <c r="M878" s="675">
        <f t="shared" si="308"/>
        <v>328877.35000000003</v>
      </c>
      <c r="N878" s="675">
        <f t="shared" si="308"/>
        <v>353592.26000000007</v>
      </c>
      <c r="O878" s="675">
        <f t="shared" si="308"/>
        <v>469275.70999999996</v>
      </c>
      <c r="P878" s="675">
        <f>P874+P876</f>
        <v>677111.49</v>
      </c>
      <c r="Q878" s="675">
        <f>SUM(E878:P878)</f>
        <v>6225788.3699999992</v>
      </c>
    </row>
    <row r="879" spans="1:19" ht="10.5" thickTop="1" x14ac:dyDescent="0.2">
      <c r="Q879" s="418"/>
    </row>
    <row r="880" spans="1:19" x14ac:dyDescent="0.2">
      <c r="Q880" s="418"/>
    </row>
    <row r="881" spans="1:17" x14ac:dyDescent="0.2">
      <c r="A881" s="216" t="str">
        <f>$A$270</f>
        <v>[1] Reflects Normalized Volumes.</v>
      </c>
      <c r="Q881" s="418"/>
    </row>
    <row r="883" spans="1:17" ht="10.5" x14ac:dyDescent="0.25">
      <c r="A883" s="817" t="str">
        <f>CONAME</f>
        <v>Columbia Gas of Kentucky, Inc.</v>
      </c>
      <c r="B883" s="817"/>
      <c r="C883" s="817"/>
      <c r="D883" s="817"/>
      <c r="E883" s="817"/>
      <c r="F883" s="817"/>
      <c r="G883" s="817"/>
      <c r="H883" s="817"/>
      <c r="I883" s="817"/>
      <c r="J883" s="817"/>
      <c r="K883" s="817"/>
      <c r="L883" s="817"/>
      <c r="M883" s="817"/>
      <c r="N883" s="817"/>
      <c r="O883" s="817"/>
      <c r="P883" s="817"/>
      <c r="Q883" s="817"/>
    </row>
    <row r="884" spans="1:17" ht="10.5" x14ac:dyDescent="0.25">
      <c r="A884" s="800" t="str">
        <f>case</f>
        <v>Case No. 2021-00183</v>
      </c>
      <c r="B884" s="800"/>
      <c r="C884" s="800"/>
      <c r="D884" s="800"/>
      <c r="E884" s="800"/>
      <c r="F884" s="800"/>
      <c r="G884" s="800"/>
      <c r="H884" s="800"/>
      <c r="I884" s="800"/>
      <c r="J884" s="800"/>
      <c r="K884" s="800"/>
      <c r="L884" s="800"/>
      <c r="M884" s="800"/>
      <c r="N884" s="800"/>
      <c r="O884" s="800"/>
      <c r="P884" s="800"/>
      <c r="Q884" s="800"/>
    </row>
    <row r="885" spans="1:17" ht="10.5" x14ac:dyDescent="0.25">
      <c r="A885" s="815" t="s">
        <v>414</v>
      </c>
      <c r="B885" s="815"/>
      <c r="C885" s="815"/>
      <c r="D885" s="815"/>
      <c r="E885" s="815"/>
      <c r="F885" s="815"/>
      <c r="G885" s="815"/>
      <c r="H885" s="815"/>
      <c r="I885" s="815"/>
      <c r="J885" s="815"/>
      <c r="K885" s="815"/>
      <c r="L885" s="815"/>
      <c r="M885" s="815"/>
      <c r="N885" s="815"/>
      <c r="O885" s="815"/>
      <c r="P885" s="815"/>
      <c r="Q885" s="815"/>
    </row>
    <row r="886" spans="1:17" ht="10.5" x14ac:dyDescent="0.25">
      <c r="A886" s="817" t="str">
        <f>TYDESC</f>
        <v>For the 12 Months Ended December 31, 2022</v>
      </c>
      <c r="B886" s="817"/>
      <c r="C886" s="817"/>
      <c r="D886" s="817"/>
      <c r="E886" s="817"/>
      <c r="F886" s="817"/>
      <c r="G886" s="817"/>
      <c r="H886" s="817"/>
      <c r="I886" s="817"/>
      <c r="J886" s="817"/>
      <c r="K886" s="817"/>
      <c r="L886" s="817"/>
      <c r="M886" s="817"/>
      <c r="N886" s="817"/>
      <c r="O886" s="817"/>
      <c r="P886" s="817"/>
      <c r="Q886" s="817"/>
    </row>
    <row r="887" spans="1:17" ht="10.5" x14ac:dyDescent="0.25">
      <c r="A887" s="814" t="s">
        <v>39</v>
      </c>
      <c r="B887" s="814"/>
      <c r="C887" s="814"/>
      <c r="D887" s="814"/>
      <c r="E887" s="814"/>
      <c r="F887" s="814"/>
      <c r="G887" s="814"/>
      <c r="H887" s="814"/>
      <c r="I887" s="814"/>
      <c r="J887" s="814"/>
      <c r="K887" s="814"/>
      <c r="L887" s="814"/>
      <c r="M887" s="814"/>
      <c r="N887" s="814"/>
      <c r="O887" s="814"/>
      <c r="P887" s="814"/>
      <c r="Q887" s="814"/>
    </row>
    <row r="888" spans="1:17" ht="10.5" x14ac:dyDescent="0.25">
      <c r="A888" s="245" t="str">
        <f>$A$52</f>
        <v>Data: __ Base Period _X_ Forecasted Period</v>
      </c>
    </row>
    <row r="889" spans="1:17" ht="10.5" x14ac:dyDescent="0.25">
      <c r="A889" s="245" t="str">
        <f>$A$53</f>
        <v>Type of Filing: X Original _ Update _ Revised</v>
      </c>
      <c r="Q889" s="583" t="str">
        <f>$Q$53</f>
        <v>Schedule M-2.2</v>
      </c>
    </row>
    <row r="890" spans="1:17" ht="10.5" x14ac:dyDescent="0.25">
      <c r="A890" s="245" t="str">
        <f>$A$54</f>
        <v>Work Paper Reference No(s):</v>
      </c>
      <c r="Q890" s="583" t="s">
        <v>425</v>
      </c>
    </row>
    <row r="891" spans="1:17" ht="10.5" x14ac:dyDescent="0.25">
      <c r="A891" s="373" t="str">
        <f>$A$55</f>
        <v>12 Months Forecasted</v>
      </c>
      <c r="Q891" s="583" t="str">
        <f>Witness</f>
        <v>Witness:  Judith L. Siegler</v>
      </c>
    </row>
    <row r="892" spans="1:17" ht="10.5" x14ac:dyDescent="0.25">
      <c r="A892" s="816" t="s">
        <v>191</v>
      </c>
      <c r="B892" s="816"/>
      <c r="C892" s="816"/>
      <c r="D892" s="816"/>
      <c r="E892" s="816"/>
      <c r="F892" s="816"/>
      <c r="G892" s="816"/>
      <c r="H892" s="816"/>
      <c r="I892" s="816"/>
      <c r="J892" s="816"/>
      <c r="K892" s="816"/>
      <c r="L892" s="816"/>
      <c r="M892" s="816"/>
      <c r="N892" s="816"/>
      <c r="O892" s="816"/>
      <c r="P892" s="816"/>
      <c r="Q892" s="816"/>
    </row>
    <row r="893" spans="1:17" ht="10.5" x14ac:dyDescent="0.25">
      <c r="A893" s="392"/>
      <c r="B893" s="280"/>
      <c r="C893" s="280"/>
      <c r="D893" s="282"/>
      <c r="E893" s="280"/>
      <c r="F893" s="438"/>
      <c r="G893" s="439"/>
      <c r="H893" s="438"/>
      <c r="I893" s="440"/>
      <c r="J893" s="438"/>
      <c r="K893" s="438"/>
      <c r="L893" s="438"/>
      <c r="M893" s="438"/>
      <c r="N893" s="438"/>
      <c r="O893" s="438"/>
      <c r="P893" s="438"/>
      <c r="Q893" s="280"/>
    </row>
    <row r="894" spans="1:17" ht="10.5" x14ac:dyDescent="0.25">
      <c r="A894" s="727" t="s">
        <v>1</v>
      </c>
      <c r="B894" s="727" t="s">
        <v>0</v>
      </c>
      <c r="C894" s="727" t="s">
        <v>41</v>
      </c>
      <c r="D894" s="731" t="s">
        <v>47</v>
      </c>
      <c r="E894" s="727"/>
      <c r="F894" s="584"/>
      <c r="G894" s="587"/>
      <c r="H894" s="584"/>
      <c r="I894" s="730"/>
      <c r="J894" s="584"/>
      <c r="K894" s="584"/>
      <c r="L894" s="584"/>
      <c r="M894" s="584"/>
      <c r="N894" s="584"/>
      <c r="O894" s="584"/>
      <c r="P894" s="584"/>
      <c r="Q894" s="732"/>
    </row>
    <row r="895" spans="1:17" ht="10.5" x14ac:dyDescent="0.25">
      <c r="A895" s="263" t="s">
        <v>3</v>
      </c>
      <c r="B895" s="263" t="s">
        <v>40</v>
      </c>
      <c r="C895" s="263" t="s">
        <v>4</v>
      </c>
      <c r="D895" s="756" t="s">
        <v>48</v>
      </c>
      <c r="E895" s="380" t="str">
        <f>B!$D$11</f>
        <v>Jan-22</v>
      </c>
      <c r="F895" s="380" t="str">
        <f>B!$E$11</f>
        <v>Feb-22</v>
      </c>
      <c r="G895" s="380" t="str">
        <f>B!$F$11</f>
        <v>Mar-22</v>
      </c>
      <c r="H895" s="380" t="str">
        <f>B!$G$11</f>
        <v>Apr-22</v>
      </c>
      <c r="I895" s="380" t="str">
        <f>B!$H$11</f>
        <v>May-22</v>
      </c>
      <c r="J895" s="380" t="str">
        <f>B!$I$11</f>
        <v>Jun-22</v>
      </c>
      <c r="K895" s="380" t="str">
        <f>B!$J$11</f>
        <v>Jul-22</v>
      </c>
      <c r="L895" s="380" t="str">
        <f>B!$K$11</f>
        <v>Aug-22</v>
      </c>
      <c r="M895" s="380" t="str">
        <f>B!$L$11</f>
        <v>Sep-22</v>
      </c>
      <c r="N895" s="380" t="str">
        <f>B!$M$11</f>
        <v>Oct-22</v>
      </c>
      <c r="O895" s="380" t="str">
        <f>B!$N$11</f>
        <v>Nov-22</v>
      </c>
      <c r="P895" s="380" t="str">
        <f>B!$O$11</f>
        <v>Dec-22</v>
      </c>
      <c r="Q895" s="380" t="s">
        <v>9</v>
      </c>
    </row>
    <row r="896" spans="1:17" ht="10.5" x14ac:dyDescent="0.25">
      <c r="A896" s="727"/>
      <c r="B896" s="732" t="s">
        <v>42</v>
      </c>
      <c r="C896" s="732" t="s">
        <v>43</v>
      </c>
      <c r="D896" s="757" t="s">
        <v>45</v>
      </c>
      <c r="E896" s="586" t="s">
        <v>46</v>
      </c>
      <c r="F896" s="586" t="s">
        <v>49</v>
      </c>
      <c r="G896" s="586" t="s">
        <v>50</v>
      </c>
      <c r="H896" s="586" t="s">
        <v>51</v>
      </c>
      <c r="I896" s="586" t="s">
        <v>52</v>
      </c>
      <c r="J896" s="586" t="s">
        <v>53</v>
      </c>
      <c r="K896" s="588" t="s">
        <v>54</v>
      </c>
      <c r="L896" s="588" t="s">
        <v>55</v>
      </c>
      <c r="M896" s="588" t="s">
        <v>56</v>
      </c>
      <c r="N896" s="588" t="s">
        <v>57</v>
      </c>
      <c r="O896" s="588" t="s">
        <v>58</v>
      </c>
      <c r="P896" s="588" t="s">
        <v>59</v>
      </c>
      <c r="Q896" s="588" t="s">
        <v>200</v>
      </c>
    </row>
    <row r="898" spans="1:19" x14ac:dyDescent="0.2">
      <c r="A898" s="216">
        <v>1</v>
      </c>
      <c r="B898" s="216" t="str">
        <f>B241</f>
        <v>GTO</v>
      </c>
      <c r="C898" s="216" t="str">
        <f>C241</f>
        <v>GTS Choice - Industrial</v>
      </c>
    </row>
    <row r="900" spans="1:19" ht="10.5" x14ac:dyDescent="0.25">
      <c r="A900" s="216">
        <f>A898+1</f>
        <v>2</v>
      </c>
      <c r="C900" s="245" t="s">
        <v>112</v>
      </c>
    </row>
    <row r="901" spans="1:19" ht="10.5" x14ac:dyDescent="0.25">
      <c r="C901" s="245"/>
    </row>
    <row r="902" spans="1:19" x14ac:dyDescent="0.2">
      <c r="A902" s="216">
        <f>A900+1</f>
        <v>3</v>
      </c>
      <c r="C902" s="216" t="s">
        <v>199</v>
      </c>
      <c r="E902" s="421">
        <f>B!D176</f>
        <v>12</v>
      </c>
      <c r="F902" s="421">
        <f>B!E176</f>
        <v>12</v>
      </c>
      <c r="G902" s="421">
        <f>B!F176</f>
        <v>12</v>
      </c>
      <c r="H902" s="421">
        <f>B!G176</f>
        <v>12</v>
      </c>
      <c r="I902" s="421">
        <f>B!H176</f>
        <v>12</v>
      </c>
      <c r="J902" s="421">
        <f>B!I176</f>
        <v>12</v>
      </c>
      <c r="K902" s="421">
        <f>B!J176</f>
        <v>12</v>
      </c>
      <c r="L902" s="421">
        <f>B!K176</f>
        <v>12</v>
      </c>
      <c r="M902" s="421">
        <f>B!L176</f>
        <v>12</v>
      </c>
      <c r="N902" s="421">
        <f>B!M176</f>
        <v>12</v>
      </c>
      <c r="O902" s="421">
        <f>B!N176</f>
        <v>12</v>
      </c>
      <c r="P902" s="421">
        <f>B!O176</f>
        <v>12</v>
      </c>
      <c r="Q902" s="421">
        <f>SUM(E902:P902)</f>
        <v>144</v>
      </c>
    </row>
    <row r="903" spans="1:19" x14ac:dyDescent="0.2">
      <c r="A903" s="216">
        <f>A902+1</f>
        <v>4</v>
      </c>
      <c r="C903" s="216" t="s">
        <v>207</v>
      </c>
      <c r="D903" s="608">
        <f>Input!H40</f>
        <v>44.69</v>
      </c>
      <c r="E903" s="419">
        <f t="shared" ref="E903:P903" si="309">ROUND(E902*$D$903,2)</f>
        <v>536.28</v>
      </c>
      <c r="F903" s="419">
        <f t="shared" si="309"/>
        <v>536.28</v>
      </c>
      <c r="G903" s="419">
        <f t="shared" si="309"/>
        <v>536.28</v>
      </c>
      <c r="H903" s="419">
        <f t="shared" si="309"/>
        <v>536.28</v>
      </c>
      <c r="I903" s="419">
        <f t="shared" si="309"/>
        <v>536.28</v>
      </c>
      <c r="J903" s="419">
        <f t="shared" si="309"/>
        <v>536.28</v>
      </c>
      <c r="K903" s="419">
        <f t="shared" si="309"/>
        <v>536.28</v>
      </c>
      <c r="L903" s="419">
        <f t="shared" si="309"/>
        <v>536.28</v>
      </c>
      <c r="M903" s="419">
        <f t="shared" si="309"/>
        <v>536.28</v>
      </c>
      <c r="N903" s="419">
        <f t="shared" si="309"/>
        <v>536.28</v>
      </c>
      <c r="O903" s="419">
        <f t="shared" si="309"/>
        <v>536.28</v>
      </c>
      <c r="P903" s="419">
        <f t="shared" si="309"/>
        <v>536.28</v>
      </c>
      <c r="Q903" s="419">
        <f>SUM(E903:P903)</f>
        <v>6435.3599999999979</v>
      </c>
    </row>
    <row r="904" spans="1:19" x14ac:dyDescent="0.2">
      <c r="A904" s="216">
        <f>A903+1</f>
        <v>5</v>
      </c>
      <c r="C904" s="216" t="s">
        <v>208</v>
      </c>
      <c r="D904" s="608">
        <f>Input!K40</f>
        <v>24.31</v>
      </c>
      <c r="E904" s="419">
        <f t="shared" ref="E904:P904" si="310">ROUND(E902*$D$904,2)</f>
        <v>291.72000000000003</v>
      </c>
      <c r="F904" s="419">
        <f t="shared" si="310"/>
        <v>291.72000000000003</v>
      </c>
      <c r="G904" s="419">
        <f t="shared" si="310"/>
        <v>291.72000000000003</v>
      </c>
      <c r="H904" s="419">
        <f t="shared" si="310"/>
        <v>291.72000000000003</v>
      </c>
      <c r="I904" s="419">
        <f t="shared" si="310"/>
        <v>291.72000000000003</v>
      </c>
      <c r="J904" s="419">
        <f t="shared" si="310"/>
        <v>291.72000000000003</v>
      </c>
      <c r="K904" s="419">
        <f t="shared" si="310"/>
        <v>291.72000000000003</v>
      </c>
      <c r="L904" s="419">
        <f t="shared" si="310"/>
        <v>291.72000000000003</v>
      </c>
      <c r="M904" s="419">
        <f t="shared" si="310"/>
        <v>291.72000000000003</v>
      </c>
      <c r="N904" s="419">
        <f t="shared" si="310"/>
        <v>291.72000000000003</v>
      </c>
      <c r="O904" s="419">
        <f t="shared" si="310"/>
        <v>291.72000000000003</v>
      </c>
      <c r="P904" s="419">
        <f t="shared" si="310"/>
        <v>291.72000000000003</v>
      </c>
      <c r="Q904" s="419">
        <f>SUM(E904:P904)</f>
        <v>3500.6400000000012</v>
      </c>
    </row>
    <row r="906" spans="1:19" x14ac:dyDescent="0.2">
      <c r="A906" s="216">
        <f>A904+1</f>
        <v>6</v>
      </c>
      <c r="C906" s="216" t="s">
        <v>206</v>
      </c>
    </row>
    <row r="907" spans="1:19" x14ac:dyDescent="0.2">
      <c r="A907" s="216">
        <f>A906+1</f>
        <v>7</v>
      </c>
      <c r="C907" s="216" t="str">
        <f>'C'!B224</f>
        <v xml:space="preserve">    First 50 Mcf</v>
      </c>
      <c r="E907" s="424">
        <f>'C'!D236</f>
        <v>489.2</v>
      </c>
      <c r="F907" s="424">
        <f>'C'!E236</f>
        <v>480.4</v>
      </c>
      <c r="G907" s="424">
        <f>'C'!F236</f>
        <v>500.9</v>
      </c>
      <c r="H907" s="424">
        <f>'C'!G236</f>
        <v>404.6</v>
      </c>
      <c r="I907" s="424">
        <f>'C'!H236</f>
        <v>401.7</v>
      </c>
      <c r="J907" s="424">
        <f>'C'!I236</f>
        <v>357</v>
      </c>
      <c r="K907" s="424">
        <f>'C'!J236</f>
        <v>329</v>
      </c>
      <c r="L907" s="424">
        <f>'C'!K236</f>
        <v>300.5</v>
      </c>
      <c r="M907" s="424">
        <f>'C'!L236</f>
        <v>286.89999999999998</v>
      </c>
      <c r="N907" s="424">
        <f>'C'!M236</f>
        <v>353.4</v>
      </c>
      <c r="O907" s="424">
        <f>'C'!N236</f>
        <v>434.5</v>
      </c>
      <c r="P907" s="424">
        <f>'C'!O236</f>
        <v>474</v>
      </c>
      <c r="Q907" s="424">
        <f>SUM(E907:P907)</f>
        <v>4812.1000000000004</v>
      </c>
    </row>
    <row r="908" spans="1:19" x14ac:dyDescent="0.2">
      <c r="A908" s="216">
        <f>A907+1</f>
        <v>8</v>
      </c>
      <c r="C908" s="216" t="str">
        <f>'C'!B225</f>
        <v xml:space="preserve">    Next 350 Mcf</v>
      </c>
      <c r="E908" s="424">
        <f>'C'!D237</f>
        <v>2267</v>
      </c>
      <c r="F908" s="424">
        <f>'C'!E237</f>
        <v>2251.6999999999998</v>
      </c>
      <c r="G908" s="424">
        <f>'C'!F237</f>
        <v>2233.1999999999998</v>
      </c>
      <c r="H908" s="424">
        <f>'C'!G237</f>
        <v>1371.5</v>
      </c>
      <c r="I908" s="424">
        <f>'C'!H237</f>
        <v>1147.4000000000001</v>
      </c>
      <c r="J908" s="424">
        <f>'C'!I237</f>
        <v>938.6</v>
      </c>
      <c r="K908" s="424">
        <f>'C'!J237</f>
        <v>877.8</v>
      </c>
      <c r="L908" s="424">
        <f>'C'!K237</f>
        <v>1342.2</v>
      </c>
      <c r="M908" s="424">
        <f>'C'!L237</f>
        <v>1279.5</v>
      </c>
      <c r="N908" s="424">
        <f>'C'!M237</f>
        <v>1297.5999999999999</v>
      </c>
      <c r="O908" s="424">
        <f>'C'!N237</f>
        <v>1561.5</v>
      </c>
      <c r="P908" s="424">
        <f>'C'!O237</f>
        <v>2271.3000000000002</v>
      </c>
      <c r="Q908" s="424">
        <f>SUM(E908:P908)</f>
        <v>18839.3</v>
      </c>
    </row>
    <row r="909" spans="1:19" x14ac:dyDescent="0.2">
      <c r="A909" s="216">
        <f>A908+1</f>
        <v>9</v>
      </c>
      <c r="C909" s="216" t="str">
        <f>'C'!B226</f>
        <v xml:space="preserve">    Next 600 Mcf</v>
      </c>
      <c r="E909" s="424">
        <f>'C'!D238</f>
        <v>1915.4</v>
      </c>
      <c r="F909" s="424">
        <f>'C'!E238</f>
        <v>1905.2</v>
      </c>
      <c r="G909" s="424">
        <f>'C'!F238</f>
        <v>2141.3000000000002</v>
      </c>
      <c r="H909" s="424">
        <f>'C'!G238</f>
        <v>644</v>
      </c>
      <c r="I909" s="272">
        <f>'C'!H238</f>
        <v>758.5</v>
      </c>
      <c r="J909" s="272">
        <f>'C'!I238</f>
        <v>600</v>
      </c>
      <c r="K909" s="272">
        <f>'C'!J238</f>
        <v>600</v>
      </c>
      <c r="L909" s="272">
        <f>'C'!K238</f>
        <v>648.9</v>
      </c>
      <c r="M909" s="272">
        <f>'C'!L238</f>
        <v>1247.9000000000001</v>
      </c>
      <c r="N909" s="424">
        <f>'C'!M238</f>
        <v>787.6</v>
      </c>
      <c r="O909" s="424">
        <f>'C'!N238</f>
        <v>1253.4000000000001</v>
      </c>
      <c r="P909" s="424">
        <f>'C'!O238</f>
        <v>1790.6</v>
      </c>
      <c r="Q909" s="424">
        <f>SUM(E909:P909)</f>
        <v>14292.800000000001</v>
      </c>
    </row>
    <row r="910" spans="1:19" x14ac:dyDescent="0.2">
      <c r="A910" s="216">
        <f>A909+1</f>
        <v>10</v>
      </c>
      <c r="C910" s="216" t="str">
        <f>'C'!B227</f>
        <v xml:space="preserve">    Over 1,000 Mcf</v>
      </c>
      <c r="D910" s="255"/>
      <c r="E910" s="448">
        <f>'C'!D239</f>
        <v>468.4</v>
      </c>
      <c r="F910" s="448">
        <f>'C'!E239</f>
        <v>404.5</v>
      </c>
      <c r="G910" s="448">
        <f>'C'!F239</f>
        <v>814.6</v>
      </c>
      <c r="H910" s="448">
        <f>'C'!G239</f>
        <v>0</v>
      </c>
      <c r="I910" s="448">
        <f>'C'!H239</f>
        <v>180.8</v>
      </c>
      <c r="J910" s="448">
        <f>'C'!I239</f>
        <v>460.2</v>
      </c>
      <c r="K910" s="448">
        <f>'C'!J239</f>
        <v>573</v>
      </c>
      <c r="L910" s="448">
        <f>'C'!K239</f>
        <v>624.70000000000005</v>
      </c>
      <c r="M910" s="448">
        <f>'C'!L239</f>
        <v>35.200000000000003</v>
      </c>
      <c r="N910" s="448">
        <f>'C'!M239</f>
        <v>856.1</v>
      </c>
      <c r="O910" s="448">
        <f>'C'!N239</f>
        <v>724.1</v>
      </c>
      <c r="P910" s="448">
        <f>'C'!O239</f>
        <v>2001</v>
      </c>
      <c r="Q910" s="448">
        <f>SUM(E910:P910)</f>
        <v>7142.6</v>
      </c>
    </row>
    <row r="911" spans="1:19" x14ac:dyDescent="0.2">
      <c r="D911" s="255"/>
      <c r="E911" s="424">
        <f t="shared" ref="E911:O911" si="311">SUM(E907:E910)</f>
        <v>5140</v>
      </c>
      <c r="F911" s="424">
        <f t="shared" si="311"/>
        <v>5041.8</v>
      </c>
      <c r="G911" s="424">
        <f t="shared" si="311"/>
        <v>5690</v>
      </c>
      <c r="H911" s="424">
        <f t="shared" si="311"/>
        <v>2420.1</v>
      </c>
      <c r="I911" s="424">
        <f t="shared" si="311"/>
        <v>2488.4000000000005</v>
      </c>
      <c r="J911" s="424">
        <f t="shared" si="311"/>
        <v>2355.7999999999997</v>
      </c>
      <c r="K911" s="424">
        <f t="shared" si="311"/>
        <v>2379.8000000000002</v>
      </c>
      <c r="L911" s="424">
        <f t="shared" si="311"/>
        <v>2916.3</v>
      </c>
      <c r="M911" s="424">
        <f t="shared" si="311"/>
        <v>2849.5</v>
      </c>
      <c r="N911" s="424">
        <f t="shared" si="311"/>
        <v>3294.7</v>
      </c>
      <c r="O911" s="424">
        <f t="shared" si="311"/>
        <v>3973.5</v>
      </c>
      <c r="P911" s="424">
        <f>SUM(P907:P910)</f>
        <v>6536.9</v>
      </c>
      <c r="Q911" s="424">
        <f>SUM(E911:P911)</f>
        <v>45086.799999999996</v>
      </c>
      <c r="S911" s="424"/>
    </row>
    <row r="912" spans="1:19" x14ac:dyDescent="0.2">
      <c r="A912" s="216">
        <f>A910+1</f>
        <v>11</v>
      </c>
      <c r="C912" s="216" t="s">
        <v>204</v>
      </c>
      <c r="D912" s="255"/>
      <c r="Q912" s="456"/>
    </row>
    <row r="913" spans="1:17" x14ac:dyDescent="0.2">
      <c r="A913" s="216">
        <f>A912+1</f>
        <v>12</v>
      </c>
      <c r="C913" s="216" t="str">
        <f>C907</f>
        <v xml:space="preserve">    First 50 Mcf</v>
      </c>
      <c r="D913" s="609">
        <f>Input!C40</f>
        <v>3.0181</v>
      </c>
      <c r="E913" s="419">
        <f t="shared" ref="E913:P913" si="312">ROUND(E907*$D$913,2)</f>
        <v>1476.45</v>
      </c>
      <c r="F913" s="419">
        <f t="shared" si="312"/>
        <v>1449.9</v>
      </c>
      <c r="G913" s="419">
        <f t="shared" si="312"/>
        <v>1511.77</v>
      </c>
      <c r="H913" s="419">
        <f t="shared" si="312"/>
        <v>1221.1199999999999</v>
      </c>
      <c r="I913" s="419">
        <f t="shared" si="312"/>
        <v>1212.3699999999999</v>
      </c>
      <c r="J913" s="419">
        <f t="shared" si="312"/>
        <v>1077.46</v>
      </c>
      <c r="K913" s="419">
        <f t="shared" si="312"/>
        <v>992.95</v>
      </c>
      <c r="L913" s="419">
        <f t="shared" si="312"/>
        <v>906.94</v>
      </c>
      <c r="M913" s="419">
        <f t="shared" si="312"/>
        <v>865.89</v>
      </c>
      <c r="N913" s="419">
        <f t="shared" si="312"/>
        <v>1066.5999999999999</v>
      </c>
      <c r="O913" s="419">
        <f t="shared" si="312"/>
        <v>1311.36</v>
      </c>
      <c r="P913" s="419">
        <f t="shared" si="312"/>
        <v>1430.58</v>
      </c>
      <c r="Q913" s="419">
        <f t="shared" ref="Q913:Q919" si="313">SUM(E913:P913)</f>
        <v>14523.390000000001</v>
      </c>
    </row>
    <row r="914" spans="1:17" x14ac:dyDescent="0.2">
      <c r="A914" s="216">
        <f>A913+1</f>
        <v>13</v>
      </c>
      <c r="C914" s="216" t="str">
        <f>C908</f>
        <v xml:space="preserve">    Next 350 Mcf</v>
      </c>
      <c r="D914" s="609">
        <f>Input!D40</f>
        <v>2.3294999999999999</v>
      </c>
      <c r="E914" s="421">
        <f t="shared" ref="E914:P914" si="314">ROUND(E908*$D$914,2)</f>
        <v>5280.98</v>
      </c>
      <c r="F914" s="421">
        <f t="shared" si="314"/>
        <v>5245.34</v>
      </c>
      <c r="G914" s="421">
        <f t="shared" si="314"/>
        <v>5202.24</v>
      </c>
      <c r="H914" s="421">
        <f t="shared" si="314"/>
        <v>3194.91</v>
      </c>
      <c r="I914" s="421">
        <f t="shared" si="314"/>
        <v>2672.87</v>
      </c>
      <c r="J914" s="421">
        <f t="shared" si="314"/>
        <v>2186.4699999999998</v>
      </c>
      <c r="K914" s="421">
        <f t="shared" si="314"/>
        <v>2044.84</v>
      </c>
      <c r="L914" s="421">
        <f t="shared" si="314"/>
        <v>3126.65</v>
      </c>
      <c r="M914" s="421">
        <f t="shared" si="314"/>
        <v>2980.6</v>
      </c>
      <c r="N914" s="421">
        <f t="shared" si="314"/>
        <v>3022.76</v>
      </c>
      <c r="O914" s="421">
        <f t="shared" si="314"/>
        <v>3637.51</v>
      </c>
      <c r="P914" s="421">
        <f t="shared" si="314"/>
        <v>5290.99</v>
      </c>
      <c r="Q914" s="421">
        <f t="shared" si="313"/>
        <v>43886.16</v>
      </c>
    </row>
    <row r="915" spans="1:17" x14ac:dyDescent="0.2">
      <c r="A915" s="216">
        <f>A914+1</f>
        <v>14</v>
      </c>
      <c r="C915" s="216" t="str">
        <f>C909</f>
        <v xml:space="preserve">    Next 600 Mcf</v>
      </c>
      <c r="D915" s="609">
        <f>Input!E40</f>
        <v>2.2143000000000002</v>
      </c>
      <c r="E915" s="421">
        <f t="shared" ref="E915:P915" si="315">ROUND(E909*$D$915,2)</f>
        <v>4241.2700000000004</v>
      </c>
      <c r="F915" s="421">
        <f t="shared" si="315"/>
        <v>4218.68</v>
      </c>
      <c r="G915" s="421">
        <f t="shared" si="315"/>
        <v>4741.4799999999996</v>
      </c>
      <c r="H915" s="421">
        <f t="shared" si="315"/>
        <v>1426.01</v>
      </c>
      <c r="I915" s="453">
        <f t="shared" si="315"/>
        <v>1679.55</v>
      </c>
      <c r="J915" s="453">
        <f t="shared" si="315"/>
        <v>1328.58</v>
      </c>
      <c r="K915" s="453">
        <f t="shared" si="315"/>
        <v>1328.58</v>
      </c>
      <c r="L915" s="453">
        <f t="shared" si="315"/>
        <v>1436.86</v>
      </c>
      <c r="M915" s="453">
        <f t="shared" si="315"/>
        <v>2763.22</v>
      </c>
      <c r="N915" s="421">
        <f t="shared" si="315"/>
        <v>1743.98</v>
      </c>
      <c r="O915" s="421">
        <f t="shared" si="315"/>
        <v>2775.4</v>
      </c>
      <c r="P915" s="421">
        <f t="shared" si="315"/>
        <v>3964.93</v>
      </c>
      <c r="Q915" s="421">
        <f t="shared" si="313"/>
        <v>31648.540000000005</v>
      </c>
    </row>
    <row r="916" spans="1:17" x14ac:dyDescent="0.2">
      <c r="A916" s="216">
        <f>A915+1</f>
        <v>15</v>
      </c>
      <c r="C916" s="216" t="str">
        <f>C910</f>
        <v xml:space="preserve">    Over 1,000 Mcf</v>
      </c>
      <c r="D916" s="609">
        <f>Input!F40</f>
        <v>2.0143</v>
      </c>
      <c r="E916" s="450">
        <f t="shared" ref="E916:P916" si="316">ROUND(E910*$D$916,2)</f>
        <v>943.5</v>
      </c>
      <c r="F916" s="450">
        <f t="shared" si="316"/>
        <v>814.78</v>
      </c>
      <c r="G916" s="450">
        <f t="shared" si="316"/>
        <v>1640.85</v>
      </c>
      <c r="H916" s="450">
        <f t="shared" si="316"/>
        <v>0</v>
      </c>
      <c r="I916" s="450">
        <f t="shared" si="316"/>
        <v>364.19</v>
      </c>
      <c r="J916" s="450">
        <f t="shared" si="316"/>
        <v>926.98</v>
      </c>
      <c r="K916" s="450">
        <f t="shared" si="316"/>
        <v>1154.19</v>
      </c>
      <c r="L916" s="450">
        <f t="shared" si="316"/>
        <v>1258.33</v>
      </c>
      <c r="M916" s="450">
        <f t="shared" si="316"/>
        <v>70.900000000000006</v>
      </c>
      <c r="N916" s="450">
        <f t="shared" si="316"/>
        <v>1724.44</v>
      </c>
      <c r="O916" s="450">
        <f t="shared" si="316"/>
        <v>1458.55</v>
      </c>
      <c r="P916" s="450">
        <f t="shared" si="316"/>
        <v>4030.61</v>
      </c>
      <c r="Q916" s="450">
        <f t="shared" si="313"/>
        <v>14387.32</v>
      </c>
    </row>
    <row r="917" spans="1:17" x14ac:dyDescent="0.2">
      <c r="E917" s="419">
        <f t="shared" ref="E917:O917" si="317">SUM(E913:E916)</f>
        <v>11942.2</v>
      </c>
      <c r="F917" s="419">
        <f t="shared" si="317"/>
        <v>11728.7</v>
      </c>
      <c r="G917" s="419">
        <f t="shared" si="317"/>
        <v>13096.34</v>
      </c>
      <c r="H917" s="419">
        <f t="shared" si="317"/>
        <v>5842.04</v>
      </c>
      <c r="I917" s="419">
        <f t="shared" si="317"/>
        <v>5928.98</v>
      </c>
      <c r="J917" s="419">
        <f t="shared" si="317"/>
        <v>5519.49</v>
      </c>
      <c r="K917" s="419">
        <f t="shared" si="317"/>
        <v>5520.5599999999995</v>
      </c>
      <c r="L917" s="419">
        <f t="shared" si="317"/>
        <v>6728.78</v>
      </c>
      <c r="M917" s="419">
        <f t="shared" si="317"/>
        <v>6680.6099999999988</v>
      </c>
      <c r="N917" s="419">
        <f t="shared" si="317"/>
        <v>7557.7800000000007</v>
      </c>
      <c r="O917" s="419">
        <f t="shared" si="317"/>
        <v>9182.82</v>
      </c>
      <c r="P917" s="419">
        <f>SUM(P913:P916)</f>
        <v>14717.11</v>
      </c>
      <c r="Q917" s="419">
        <f t="shared" si="313"/>
        <v>104445.41000000002</v>
      </c>
    </row>
    <row r="918" spans="1:17" x14ac:dyDescent="0.2">
      <c r="A918" s="216">
        <f>A916+1</f>
        <v>16</v>
      </c>
      <c r="C918" s="772" t="s">
        <v>140</v>
      </c>
      <c r="D918" s="609">
        <f>Input!N40</f>
        <v>1.44E-2</v>
      </c>
      <c r="E918" s="419">
        <f>ROUND($D$918*E911,2)</f>
        <v>74.02</v>
      </c>
      <c r="F918" s="419">
        <f t="shared" ref="F918:O918" si="318">ROUND($D$918*F911,2)</f>
        <v>72.599999999999994</v>
      </c>
      <c r="G918" s="419">
        <f t="shared" si="318"/>
        <v>81.94</v>
      </c>
      <c r="H918" s="419">
        <f t="shared" si="318"/>
        <v>34.85</v>
      </c>
      <c r="I918" s="419">
        <f t="shared" si="318"/>
        <v>35.83</v>
      </c>
      <c r="J918" s="419">
        <f t="shared" si="318"/>
        <v>33.92</v>
      </c>
      <c r="K918" s="419">
        <f t="shared" si="318"/>
        <v>34.270000000000003</v>
      </c>
      <c r="L918" s="419">
        <f t="shared" si="318"/>
        <v>41.99</v>
      </c>
      <c r="M918" s="419">
        <f t="shared" si="318"/>
        <v>41.03</v>
      </c>
      <c r="N918" s="419">
        <f t="shared" si="318"/>
        <v>47.44</v>
      </c>
      <c r="O918" s="419">
        <f t="shared" si="318"/>
        <v>57.22</v>
      </c>
      <c r="P918" s="419">
        <f>ROUND($D$918*P911,2)</f>
        <v>94.13</v>
      </c>
      <c r="Q918" s="419">
        <f>SUM(E918:P918)</f>
        <v>649.24</v>
      </c>
    </row>
    <row r="919" spans="1:17" x14ac:dyDescent="0.2">
      <c r="A919" s="216">
        <f>A918+1</f>
        <v>17</v>
      </c>
      <c r="C919" s="772" t="s">
        <v>529</v>
      </c>
      <c r="D919" s="609">
        <f>Input!J40</f>
        <v>-0.16800000000000001</v>
      </c>
      <c r="E919" s="255">
        <f>ROUND($D$919*E911,2)</f>
        <v>-863.52</v>
      </c>
      <c r="F919" s="255">
        <f t="shared" ref="F919:P919" si="319">ROUND($D$919*F911,2)</f>
        <v>-847.02</v>
      </c>
      <c r="G919" s="255">
        <f t="shared" si="319"/>
        <v>-955.92</v>
      </c>
      <c r="H919" s="255">
        <f t="shared" si="319"/>
        <v>-406.58</v>
      </c>
      <c r="I919" s="255">
        <f t="shared" si="319"/>
        <v>-418.05</v>
      </c>
      <c r="J919" s="255">
        <f t="shared" si="319"/>
        <v>-395.77</v>
      </c>
      <c r="K919" s="255">
        <f t="shared" si="319"/>
        <v>-399.81</v>
      </c>
      <c r="L919" s="255">
        <f t="shared" si="319"/>
        <v>-489.94</v>
      </c>
      <c r="M919" s="255">
        <f t="shared" si="319"/>
        <v>-478.72</v>
      </c>
      <c r="N919" s="255">
        <f t="shared" si="319"/>
        <v>-553.51</v>
      </c>
      <c r="O919" s="255">
        <f t="shared" si="319"/>
        <v>-667.55</v>
      </c>
      <c r="P919" s="255">
        <f t="shared" si="319"/>
        <v>-1098.2</v>
      </c>
      <c r="Q919" s="255">
        <f t="shared" si="313"/>
        <v>-7574.59</v>
      </c>
    </row>
    <row r="920" spans="1:17" x14ac:dyDescent="0.2">
      <c r="A920" s="216">
        <f>A919+1</f>
        <v>18</v>
      </c>
      <c r="C920" s="216" t="s">
        <v>201</v>
      </c>
      <c r="E920" s="419">
        <f>E903+E904+E917+E919+E918</f>
        <v>11980.7</v>
      </c>
      <c r="F920" s="419">
        <f t="shared" ref="F920:P920" si="320">F903+F904+F917+F919+F918</f>
        <v>11782.28</v>
      </c>
      <c r="G920" s="419">
        <f t="shared" si="320"/>
        <v>13050.36</v>
      </c>
      <c r="H920" s="419">
        <f t="shared" si="320"/>
        <v>6298.31</v>
      </c>
      <c r="I920" s="419">
        <f t="shared" si="320"/>
        <v>6374.7599999999993</v>
      </c>
      <c r="J920" s="419">
        <f t="shared" si="320"/>
        <v>5985.6399999999994</v>
      </c>
      <c r="K920" s="419">
        <f t="shared" si="320"/>
        <v>5983.0199999999995</v>
      </c>
      <c r="L920" s="419">
        <f t="shared" si="320"/>
        <v>7108.83</v>
      </c>
      <c r="M920" s="419">
        <f t="shared" si="320"/>
        <v>7070.9199999999983</v>
      </c>
      <c r="N920" s="419">
        <f t="shared" si="320"/>
        <v>7879.71</v>
      </c>
      <c r="O920" s="419">
        <f t="shared" si="320"/>
        <v>9400.49</v>
      </c>
      <c r="P920" s="419">
        <f t="shared" si="320"/>
        <v>14541.039999999999</v>
      </c>
      <c r="Q920" s="419">
        <f>SUM(E920:P920)</f>
        <v>107456.06</v>
      </c>
    </row>
    <row r="921" spans="1:17" x14ac:dyDescent="0.2">
      <c r="D921" s="216"/>
      <c r="E921" s="417"/>
      <c r="F921" s="417"/>
      <c r="G921" s="417"/>
      <c r="H921" s="417"/>
      <c r="I921" s="417"/>
      <c r="J921" s="417"/>
      <c r="K921" s="417"/>
      <c r="L921" s="417"/>
      <c r="M921" s="417"/>
      <c r="N921" s="417"/>
      <c r="O921" s="417"/>
      <c r="P921" s="417"/>
      <c r="Q921" s="417"/>
    </row>
    <row r="922" spans="1:17" x14ac:dyDescent="0.2">
      <c r="A922" s="216">
        <f>A920+1</f>
        <v>19</v>
      </c>
      <c r="C922" s="216" t="s">
        <v>148</v>
      </c>
      <c r="D922" s="609">
        <v>0</v>
      </c>
      <c r="E922" s="419">
        <v>0</v>
      </c>
      <c r="F922" s="419">
        <v>0</v>
      </c>
      <c r="G922" s="419">
        <v>0</v>
      </c>
      <c r="H922" s="419">
        <v>0</v>
      </c>
      <c r="I922" s="419">
        <v>0</v>
      </c>
      <c r="J922" s="419">
        <v>0</v>
      </c>
      <c r="K922" s="419">
        <v>0</v>
      </c>
      <c r="L922" s="419">
        <v>0</v>
      </c>
      <c r="M922" s="419">
        <v>0</v>
      </c>
      <c r="N922" s="419">
        <v>0</v>
      </c>
      <c r="O922" s="419">
        <v>0</v>
      </c>
      <c r="P922" s="419">
        <v>0</v>
      </c>
      <c r="Q922" s="419">
        <f>SUM(E922:P922)</f>
        <v>0</v>
      </c>
    </row>
    <row r="923" spans="1:17" x14ac:dyDescent="0.2">
      <c r="E923" s="419"/>
      <c r="F923" s="419"/>
      <c r="G923" s="419"/>
      <c r="H923" s="419"/>
      <c r="I923" s="419"/>
      <c r="J923" s="419"/>
      <c r="K923" s="419"/>
      <c r="L923" s="419"/>
      <c r="M923" s="419"/>
      <c r="N923" s="419"/>
      <c r="O923" s="419"/>
      <c r="P923" s="419"/>
      <c r="Q923" s="419"/>
    </row>
    <row r="924" spans="1:17" ht="10.5" thickBot="1" x14ac:dyDescent="0.25">
      <c r="A924" s="433">
        <f>A922+1</f>
        <v>20</v>
      </c>
      <c r="B924" s="433"/>
      <c r="C924" s="433" t="s">
        <v>202</v>
      </c>
      <c r="D924" s="770"/>
      <c r="E924" s="675">
        <f>E920+E922</f>
        <v>11980.7</v>
      </c>
      <c r="F924" s="675">
        <f t="shared" ref="F924:O924" si="321">F920+F922</f>
        <v>11782.28</v>
      </c>
      <c r="G924" s="675">
        <f t="shared" si="321"/>
        <v>13050.36</v>
      </c>
      <c r="H924" s="675">
        <f t="shared" si="321"/>
        <v>6298.31</v>
      </c>
      <c r="I924" s="675">
        <f t="shared" si="321"/>
        <v>6374.7599999999993</v>
      </c>
      <c r="J924" s="675">
        <f t="shared" si="321"/>
        <v>5985.6399999999994</v>
      </c>
      <c r="K924" s="675">
        <f t="shared" si="321"/>
        <v>5983.0199999999995</v>
      </c>
      <c r="L924" s="675">
        <f t="shared" si="321"/>
        <v>7108.83</v>
      </c>
      <c r="M924" s="675">
        <f t="shared" si="321"/>
        <v>7070.9199999999983</v>
      </c>
      <c r="N924" s="675">
        <f t="shared" si="321"/>
        <v>7879.71</v>
      </c>
      <c r="O924" s="675">
        <f t="shared" si="321"/>
        <v>9400.49</v>
      </c>
      <c r="P924" s="675">
        <f>P920+P922</f>
        <v>14541.039999999999</v>
      </c>
      <c r="Q924" s="675">
        <f>SUM(E924:P924)</f>
        <v>107456.06</v>
      </c>
    </row>
    <row r="925" spans="1:17" ht="10.5" thickTop="1" x14ac:dyDescent="0.2">
      <c r="Q925" s="418"/>
    </row>
    <row r="927" spans="1:17" x14ac:dyDescent="0.2">
      <c r="A927" s="216" t="str">
        <f>$A$270</f>
        <v>[1] Reflects Normalized Volumes.</v>
      </c>
    </row>
    <row r="929" spans="1:17" ht="10.5" x14ac:dyDescent="0.25">
      <c r="A929" s="817" t="str">
        <f>CONAME</f>
        <v>Columbia Gas of Kentucky, Inc.</v>
      </c>
      <c r="B929" s="817"/>
      <c r="C929" s="817"/>
      <c r="D929" s="817"/>
      <c r="E929" s="817"/>
      <c r="F929" s="817"/>
      <c r="G929" s="817"/>
      <c r="H929" s="817"/>
      <c r="I929" s="817"/>
      <c r="J929" s="817"/>
      <c r="K929" s="817"/>
      <c r="L929" s="817"/>
      <c r="M929" s="817"/>
      <c r="N929" s="817"/>
      <c r="O929" s="817"/>
      <c r="P929" s="817"/>
      <c r="Q929" s="817"/>
    </row>
    <row r="930" spans="1:17" ht="10.5" x14ac:dyDescent="0.25">
      <c r="A930" s="800" t="str">
        <f>case</f>
        <v>Case No. 2021-00183</v>
      </c>
      <c r="B930" s="800"/>
      <c r="C930" s="800"/>
      <c r="D930" s="800"/>
      <c r="E930" s="800"/>
      <c r="F930" s="800"/>
      <c r="G930" s="800"/>
      <c r="H930" s="800"/>
      <c r="I930" s="800"/>
      <c r="J930" s="800"/>
      <c r="K930" s="800"/>
      <c r="L930" s="800"/>
      <c r="M930" s="800"/>
      <c r="N930" s="800"/>
      <c r="O930" s="800"/>
      <c r="P930" s="800"/>
      <c r="Q930" s="800"/>
    </row>
    <row r="931" spans="1:17" ht="10.5" x14ac:dyDescent="0.25">
      <c r="A931" s="815" t="s">
        <v>414</v>
      </c>
      <c r="B931" s="815"/>
      <c r="C931" s="815"/>
      <c r="D931" s="815"/>
      <c r="E931" s="815"/>
      <c r="F931" s="815"/>
      <c r="G931" s="815"/>
      <c r="H931" s="815"/>
      <c r="I931" s="815"/>
      <c r="J931" s="815"/>
      <c r="K931" s="815"/>
      <c r="L931" s="815"/>
      <c r="M931" s="815"/>
      <c r="N931" s="815"/>
      <c r="O931" s="815"/>
      <c r="P931" s="815"/>
      <c r="Q931" s="815"/>
    </row>
    <row r="932" spans="1:17" ht="10.5" x14ac:dyDescent="0.25">
      <c r="A932" s="817" t="str">
        <f>TYDESC</f>
        <v>For the 12 Months Ended December 31, 2022</v>
      </c>
      <c r="B932" s="817"/>
      <c r="C932" s="817"/>
      <c r="D932" s="817"/>
      <c r="E932" s="817"/>
      <c r="F932" s="817"/>
      <c r="G932" s="817"/>
      <c r="H932" s="817"/>
      <c r="I932" s="817"/>
      <c r="J932" s="817"/>
      <c r="K932" s="817"/>
      <c r="L932" s="817"/>
      <c r="M932" s="817"/>
      <c r="N932" s="817"/>
      <c r="O932" s="817"/>
      <c r="P932" s="817"/>
      <c r="Q932" s="817"/>
    </row>
    <row r="933" spans="1:17" ht="10.5" x14ac:dyDescent="0.25">
      <c r="A933" s="814" t="s">
        <v>39</v>
      </c>
      <c r="B933" s="814"/>
      <c r="C933" s="814"/>
      <c r="D933" s="814"/>
      <c r="E933" s="814"/>
      <c r="F933" s="814"/>
      <c r="G933" s="814"/>
      <c r="H933" s="814"/>
      <c r="I933" s="814"/>
      <c r="J933" s="814"/>
      <c r="K933" s="814"/>
      <c r="L933" s="814"/>
      <c r="M933" s="814"/>
      <c r="N933" s="814"/>
      <c r="O933" s="814"/>
      <c r="P933" s="814"/>
      <c r="Q933" s="814"/>
    </row>
    <row r="934" spans="1:17" ht="10.5" x14ac:dyDescent="0.25">
      <c r="A934" s="245" t="str">
        <f>$A$52</f>
        <v>Data: __ Base Period _X_ Forecasted Period</v>
      </c>
    </row>
    <row r="935" spans="1:17" ht="10.5" x14ac:dyDescent="0.25">
      <c r="A935" s="245" t="str">
        <f>$A$53</f>
        <v>Type of Filing: X Original _ Update _ Revised</v>
      </c>
      <c r="Q935" s="583" t="str">
        <f>$Q$53</f>
        <v>Schedule M-2.2</v>
      </c>
    </row>
    <row r="936" spans="1:17" ht="10.5" x14ac:dyDescent="0.25">
      <c r="A936" s="245" t="str">
        <f>$A$54</f>
        <v>Work Paper Reference No(s):</v>
      </c>
      <c r="Q936" s="583" t="s">
        <v>430</v>
      </c>
    </row>
    <row r="937" spans="1:17" ht="10.5" x14ac:dyDescent="0.25">
      <c r="A937" s="373" t="str">
        <f>$A$55</f>
        <v>12 Months Forecasted</v>
      </c>
      <c r="Q937" s="583" t="str">
        <f>Witness</f>
        <v>Witness:  Judith L. Siegler</v>
      </c>
    </row>
    <row r="938" spans="1:17" ht="10.5" x14ac:dyDescent="0.25">
      <c r="A938" s="816" t="s">
        <v>191</v>
      </c>
      <c r="B938" s="816"/>
      <c r="C938" s="816"/>
      <c r="D938" s="816"/>
      <c r="E938" s="816"/>
      <c r="F938" s="816"/>
      <c r="G938" s="816"/>
      <c r="H938" s="816"/>
      <c r="I938" s="816"/>
      <c r="J938" s="816"/>
      <c r="K938" s="816"/>
      <c r="L938" s="816"/>
      <c r="M938" s="816"/>
      <c r="N938" s="816"/>
      <c r="O938" s="816"/>
      <c r="P938" s="816"/>
      <c r="Q938" s="816"/>
    </row>
    <row r="939" spans="1:17" ht="10.5" x14ac:dyDescent="0.25">
      <c r="A939" s="392"/>
      <c r="B939" s="280"/>
      <c r="C939" s="280"/>
      <c r="D939" s="282"/>
      <c r="E939" s="280"/>
      <c r="F939" s="438"/>
      <c r="G939" s="439"/>
      <c r="H939" s="438"/>
      <c r="I939" s="440"/>
      <c r="J939" s="438"/>
      <c r="K939" s="438"/>
      <c r="L939" s="438"/>
      <c r="M939" s="438"/>
      <c r="N939" s="438"/>
      <c r="O939" s="438"/>
      <c r="P939" s="438"/>
      <c r="Q939" s="280"/>
    </row>
    <row r="940" spans="1:17" ht="10.5" x14ac:dyDescent="0.25">
      <c r="A940" s="727" t="s">
        <v>1</v>
      </c>
      <c r="B940" s="727" t="s">
        <v>0</v>
      </c>
      <c r="C940" s="727" t="s">
        <v>41</v>
      </c>
      <c r="D940" s="731" t="s">
        <v>47</v>
      </c>
      <c r="E940" s="727"/>
      <c r="F940" s="584"/>
      <c r="G940" s="587"/>
      <c r="H940" s="584"/>
      <c r="I940" s="730"/>
      <c r="J940" s="584"/>
      <c r="K940" s="584"/>
      <c r="L940" s="584"/>
      <c r="M940" s="584"/>
      <c r="N940" s="584"/>
      <c r="O940" s="584"/>
      <c r="P940" s="584"/>
      <c r="Q940" s="732"/>
    </row>
    <row r="941" spans="1:17" ht="10.5" x14ac:dyDescent="0.25">
      <c r="A941" s="263" t="s">
        <v>3</v>
      </c>
      <c r="B941" s="263" t="s">
        <v>40</v>
      </c>
      <c r="C941" s="263" t="s">
        <v>4</v>
      </c>
      <c r="D941" s="756" t="s">
        <v>48</v>
      </c>
      <c r="E941" s="380" t="str">
        <f>B!$D$11</f>
        <v>Jan-22</v>
      </c>
      <c r="F941" s="380" t="str">
        <f>B!$E$11</f>
        <v>Feb-22</v>
      </c>
      <c r="G941" s="380" t="str">
        <f>B!$F$11</f>
        <v>Mar-22</v>
      </c>
      <c r="H941" s="380" t="str">
        <f>B!$G$11</f>
        <v>Apr-22</v>
      </c>
      <c r="I941" s="380" t="str">
        <f>B!$H$11</f>
        <v>May-22</v>
      </c>
      <c r="J941" s="380" t="str">
        <f>B!$I$11</f>
        <v>Jun-22</v>
      </c>
      <c r="K941" s="380" t="str">
        <f>B!$J$11</f>
        <v>Jul-22</v>
      </c>
      <c r="L941" s="380" t="str">
        <f>B!$K$11</f>
        <v>Aug-22</v>
      </c>
      <c r="M941" s="380" t="str">
        <f>B!$L$11</f>
        <v>Sep-22</v>
      </c>
      <c r="N941" s="380" t="str">
        <f>B!$M$11</f>
        <v>Oct-22</v>
      </c>
      <c r="O941" s="380" t="str">
        <f>B!$N$11</f>
        <v>Nov-22</v>
      </c>
      <c r="P941" s="380" t="str">
        <f>B!$O$11</f>
        <v>Dec-22</v>
      </c>
      <c r="Q941" s="380" t="s">
        <v>9</v>
      </c>
    </row>
    <row r="942" spans="1:17" ht="10.5" x14ac:dyDescent="0.25">
      <c r="A942" s="727"/>
      <c r="B942" s="732" t="s">
        <v>42</v>
      </c>
      <c r="C942" s="732" t="s">
        <v>43</v>
      </c>
      <c r="D942" s="757" t="s">
        <v>45</v>
      </c>
      <c r="E942" s="586" t="s">
        <v>46</v>
      </c>
      <c r="F942" s="586" t="s">
        <v>49</v>
      </c>
      <c r="G942" s="586" t="s">
        <v>50</v>
      </c>
      <c r="H942" s="586" t="s">
        <v>51</v>
      </c>
      <c r="I942" s="586" t="s">
        <v>52</v>
      </c>
      <c r="J942" s="586" t="s">
        <v>53</v>
      </c>
      <c r="K942" s="588" t="s">
        <v>54</v>
      </c>
      <c r="L942" s="588" t="s">
        <v>55</v>
      </c>
      <c r="M942" s="588" t="s">
        <v>56</v>
      </c>
      <c r="N942" s="588" t="s">
        <v>57</v>
      </c>
      <c r="O942" s="588" t="s">
        <v>58</v>
      </c>
      <c r="P942" s="588" t="s">
        <v>59</v>
      </c>
      <c r="Q942" s="588" t="s">
        <v>200</v>
      </c>
    </row>
    <row r="943" spans="1:17" ht="10.5" x14ac:dyDescent="0.25">
      <c r="E943" s="732"/>
      <c r="F943" s="588"/>
      <c r="G943" s="585"/>
      <c r="H943" s="588"/>
      <c r="I943" s="586"/>
      <c r="J943" s="588"/>
      <c r="K943" s="588"/>
      <c r="L943" s="588"/>
      <c r="M943" s="588"/>
      <c r="N943" s="588"/>
      <c r="O943" s="588"/>
      <c r="P943" s="588"/>
      <c r="Q943" s="732"/>
    </row>
    <row r="944" spans="1:17" x14ac:dyDescent="0.2">
      <c r="A944" s="216">
        <v>1</v>
      </c>
      <c r="B944" s="216" t="str">
        <f>B248</f>
        <v>DS</v>
      </c>
      <c r="C944" s="216" t="str">
        <f>C248</f>
        <v>GTS Delivery Service - Commercial</v>
      </c>
    </row>
    <row r="946" spans="1:19" ht="10.5" x14ac:dyDescent="0.25">
      <c r="A946" s="216">
        <f>A944+1</f>
        <v>2</v>
      </c>
      <c r="C946" s="245" t="s">
        <v>111</v>
      </c>
    </row>
    <row r="947" spans="1:19" ht="10.5" x14ac:dyDescent="0.25">
      <c r="C947" s="245"/>
    </row>
    <row r="948" spans="1:19" x14ac:dyDescent="0.2">
      <c r="A948" s="216">
        <f>A946+1</f>
        <v>3</v>
      </c>
      <c r="C948" s="216" t="s">
        <v>199</v>
      </c>
      <c r="E948" s="421">
        <f>B!D182</f>
        <v>28</v>
      </c>
      <c r="F948" s="421">
        <f>B!E182</f>
        <v>28</v>
      </c>
      <c r="G948" s="421">
        <f>B!F182</f>
        <v>28</v>
      </c>
      <c r="H948" s="421">
        <f>B!G182</f>
        <v>28</v>
      </c>
      <c r="I948" s="421">
        <f>B!H182</f>
        <v>28</v>
      </c>
      <c r="J948" s="421">
        <f>B!I182</f>
        <v>28</v>
      </c>
      <c r="K948" s="421">
        <f>B!J182</f>
        <v>28</v>
      </c>
      <c r="L948" s="421">
        <f>B!K182</f>
        <v>28</v>
      </c>
      <c r="M948" s="421">
        <f>B!L182</f>
        <v>28</v>
      </c>
      <c r="N948" s="421">
        <f>B!M182</f>
        <v>28</v>
      </c>
      <c r="O948" s="421">
        <f>B!N182</f>
        <v>28</v>
      </c>
      <c r="P948" s="421">
        <f>B!O182</f>
        <v>28</v>
      </c>
      <c r="Q948" s="421">
        <f>SUM(E948:P948)</f>
        <v>336</v>
      </c>
    </row>
    <row r="949" spans="1:19" x14ac:dyDescent="0.2">
      <c r="A949" s="216">
        <f>A948+1</f>
        <v>4</v>
      </c>
      <c r="C949" s="216" t="s">
        <v>207</v>
      </c>
      <c r="D949" s="608">
        <f>Input!H41</f>
        <v>2007</v>
      </c>
      <c r="E949" s="419">
        <f t="shared" ref="E949:P949" si="322">ROUND(E948*$D$949,2)</f>
        <v>56196</v>
      </c>
      <c r="F949" s="419">
        <f t="shared" si="322"/>
        <v>56196</v>
      </c>
      <c r="G949" s="419">
        <f t="shared" si="322"/>
        <v>56196</v>
      </c>
      <c r="H949" s="419">
        <f t="shared" si="322"/>
        <v>56196</v>
      </c>
      <c r="I949" s="419">
        <f t="shared" si="322"/>
        <v>56196</v>
      </c>
      <c r="J949" s="419">
        <f t="shared" si="322"/>
        <v>56196</v>
      </c>
      <c r="K949" s="419">
        <f t="shared" si="322"/>
        <v>56196</v>
      </c>
      <c r="L949" s="419">
        <f t="shared" si="322"/>
        <v>56196</v>
      </c>
      <c r="M949" s="419">
        <f t="shared" si="322"/>
        <v>56196</v>
      </c>
      <c r="N949" s="419">
        <f t="shared" si="322"/>
        <v>56196</v>
      </c>
      <c r="O949" s="419">
        <f t="shared" si="322"/>
        <v>56196</v>
      </c>
      <c r="P949" s="419">
        <f t="shared" si="322"/>
        <v>56196</v>
      </c>
      <c r="Q949" s="419">
        <f>SUM(E949:P949)</f>
        <v>674352</v>
      </c>
    </row>
    <row r="950" spans="1:19" x14ac:dyDescent="0.2">
      <c r="A950" s="216">
        <f>A949+1</f>
        <v>5</v>
      </c>
      <c r="C950" s="216" t="s">
        <v>214</v>
      </c>
      <c r="D950" s="608">
        <f>Input!I41</f>
        <v>0</v>
      </c>
      <c r="E950" s="419">
        <f t="shared" ref="E950:P950" si="323">ROUND(E948*$D$950,2)</f>
        <v>0</v>
      </c>
      <c r="F950" s="419">
        <f t="shared" si="323"/>
        <v>0</v>
      </c>
      <c r="G950" s="419">
        <f t="shared" si="323"/>
        <v>0</v>
      </c>
      <c r="H950" s="419">
        <f t="shared" si="323"/>
        <v>0</v>
      </c>
      <c r="I950" s="419">
        <f t="shared" si="323"/>
        <v>0</v>
      </c>
      <c r="J950" s="419">
        <f t="shared" si="323"/>
        <v>0</v>
      </c>
      <c r="K950" s="419">
        <f t="shared" si="323"/>
        <v>0</v>
      </c>
      <c r="L950" s="419">
        <f t="shared" si="323"/>
        <v>0</v>
      </c>
      <c r="M950" s="419">
        <f t="shared" si="323"/>
        <v>0</v>
      </c>
      <c r="N950" s="419">
        <f t="shared" si="323"/>
        <v>0</v>
      </c>
      <c r="O950" s="419">
        <f t="shared" si="323"/>
        <v>0</v>
      </c>
      <c r="P950" s="419">
        <f t="shared" si="323"/>
        <v>0</v>
      </c>
      <c r="Q950" s="419">
        <f>SUM(E950:P950)</f>
        <v>0</v>
      </c>
    </row>
    <row r="951" spans="1:19" x14ac:dyDescent="0.2">
      <c r="A951" s="216">
        <f>A950+1</f>
        <v>6</v>
      </c>
      <c r="C951" s="216" t="s">
        <v>208</v>
      </c>
      <c r="D951" s="608">
        <f>Input!K41</f>
        <v>1221.21</v>
      </c>
      <c r="E951" s="419">
        <f t="shared" ref="E951:P951" si="324">ROUND(E948*$D$951,2)</f>
        <v>34193.879999999997</v>
      </c>
      <c r="F951" s="419">
        <f t="shared" si="324"/>
        <v>34193.879999999997</v>
      </c>
      <c r="G951" s="419">
        <f t="shared" si="324"/>
        <v>34193.879999999997</v>
      </c>
      <c r="H951" s="419">
        <f t="shared" si="324"/>
        <v>34193.879999999997</v>
      </c>
      <c r="I951" s="419">
        <f t="shared" si="324"/>
        <v>34193.879999999997</v>
      </c>
      <c r="J951" s="419">
        <f t="shared" si="324"/>
        <v>34193.879999999997</v>
      </c>
      <c r="K951" s="419">
        <f t="shared" si="324"/>
        <v>34193.879999999997</v>
      </c>
      <c r="L951" s="419">
        <f t="shared" si="324"/>
        <v>34193.879999999997</v>
      </c>
      <c r="M951" s="419">
        <f t="shared" si="324"/>
        <v>34193.879999999997</v>
      </c>
      <c r="N951" s="419">
        <f t="shared" si="324"/>
        <v>34193.879999999997</v>
      </c>
      <c r="O951" s="419">
        <f t="shared" si="324"/>
        <v>34193.879999999997</v>
      </c>
      <c r="P951" s="419">
        <f t="shared" si="324"/>
        <v>34193.879999999997</v>
      </c>
      <c r="Q951" s="419">
        <f>SUM(E951:P951)</f>
        <v>410326.56</v>
      </c>
    </row>
    <row r="953" spans="1:19" x14ac:dyDescent="0.2">
      <c r="A953" s="216">
        <f>A951+1</f>
        <v>7</v>
      </c>
      <c r="C953" s="216" t="s">
        <v>206</v>
      </c>
    </row>
    <row r="954" spans="1:19" x14ac:dyDescent="0.2">
      <c r="A954" s="216">
        <f>A953+1</f>
        <v>8</v>
      </c>
      <c r="C954" s="216" t="str">
        <f>'C'!B244</f>
        <v xml:space="preserve">    First 30,000 Mcf</v>
      </c>
      <c r="E954" s="424">
        <f>'C'!D254</f>
        <v>276510.2</v>
      </c>
      <c r="F954" s="424">
        <f>'C'!E254</f>
        <v>249661.8</v>
      </c>
      <c r="G954" s="424">
        <f>'C'!F254</f>
        <v>230122.1</v>
      </c>
      <c r="H954" s="424">
        <f>'C'!G254</f>
        <v>200391.1</v>
      </c>
      <c r="I954" s="424">
        <f>'C'!H254</f>
        <v>167235</v>
      </c>
      <c r="J954" s="424">
        <f>'C'!I254</f>
        <v>151250</v>
      </c>
      <c r="K954" s="424">
        <f>'C'!J254</f>
        <v>150440.6</v>
      </c>
      <c r="L954" s="424">
        <f>'C'!K254</f>
        <v>151637.20000000001</v>
      </c>
      <c r="M954" s="424">
        <f>'C'!L254</f>
        <v>154716.20000000001</v>
      </c>
      <c r="N954" s="424">
        <f>'C'!M254</f>
        <v>171061.4</v>
      </c>
      <c r="O954" s="424">
        <f>'C'!N254</f>
        <v>225043.6</v>
      </c>
      <c r="P954" s="424">
        <f>'C'!O254</f>
        <v>259887.8</v>
      </c>
      <c r="Q954" s="424">
        <f>SUM(E954:P954)</f>
        <v>2387956.9999999995</v>
      </c>
    </row>
    <row r="955" spans="1:19" x14ac:dyDescent="0.2">
      <c r="A955" s="216">
        <f>A954+1</f>
        <v>9</v>
      </c>
      <c r="C955" s="216" t="str">
        <f>'C'!B245</f>
        <v xml:space="preserve">    Next 70,000 Mcf</v>
      </c>
      <c r="E955" s="272">
        <f>'C'!D255</f>
        <v>86500</v>
      </c>
      <c r="F955" s="272">
        <f>'C'!E255</f>
        <v>58500</v>
      </c>
      <c r="G955" s="272">
        <f>'C'!F255</f>
        <v>56000</v>
      </c>
      <c r="H955" s="272">
        <f>'C'!G255</f>
        <v>36000</v>
      </c>
      <c r="I955" s="272">
        <f>'C'!H255</f>
        <v>17500</v>
      </c>
      <c r="J955" s="272">
        <f>'C'!I255</f>
        <v>5500</v>
      </c>
      <c r="K955" s="272">
        <f>'C'!J255</f>
        <v>9000</v>
      </c>
      <c r="L955" s="272">
        <f>'C'!K255</f>
        <v>5000</v>
      </c>
      <c r="M955" s="272">
        <f>'C'!L255</f>
        <v>10500</v>
      </c>
      <c r="N955" s="272">
        <f>'C'!M255</f>
        <v>35000</v>
      </c>
      <c r="O955" s="272">
        <f>'C'!N255</f>
        <v>62500</v>
      </c>
      <c r="P955" s="272">
        <f>'C'!O255</f>
        <v>81500</v>
      </c>
      <c r="Q955" s="272">
        <f>SUM(E955:P955)</f>
        <v>463500</v>
      </c>
    </row>
    <row r="956" spans="1:19" x14ac:dyDescent="0.2">
      <c r="A956" s="216">
        <f>A955+1</f>
        <v>10</v>
      </c>
      <c r="C956" s="216" t="str">
        <f>'C'!B246</f>
        <v xml:space="preserve">    Over 100,000 Mcf</v>
      </c>
      <c r="E956" s="448">
        <f>'C'!D256</f>
        <v>0</v>
      </c>
      <c r="F956" s="448">
        <f>'C'!E256</f>
        <v>0</v>
      </c>
      <c r="G956" s="448">
        <f>'C'!F256</f>
        <v>0</v>
      </c>
      <c r="H956" s="448">
        <f>'C'!G256</f>
        <v>0</v>
      </c>
      <c r="I956" s="448">
        <f>'C'!H256</f>
        <v>0</v>
      </c>
      <c r="J956" s="448">
        <f>'C'!I256</f>
        <v>0</v>
      </c>
      <c r="K956" s="448">
        <f>'C'!J256</f>
        <v>0</v>
      </c>
      <c r="L956" s="448">
        <f>'C'!K256</f>
        <v>0</v>
      </c>
      <c r="M956" s="448">
        <f>'C'!L256</f>
        <v>0</v>
      </c>
      <c r="N956" s="448">
        <f>'C'!M256</f>
        <v>0</v>
      </c>
      <c r="O956" s="448">
        <f>'C'!N256</f>
        <v>0</v>
      </c>
      <c r="P956" s="448">
        <f>'C'!O256</f>
        <v>0</v>
      </c>
      <c r="Q956" s="448">
        <f>SUM(E956:P956)</f>
        <v>0</v>
      </c>
    </row>
    <row r="957" spans="1:19" x14ac:dyDescent="0.2">
      <c r="E957" s="424">
        <f>SUM(E954:E956)</f>
        <v>363010.2</v>
      </c>
      <c r="F957" s="424">
        <f t="shared" ref="F957:P957" si="325">SUM(F954:F956)</f>
        <v>308161.8</v>
      </c>
      <c r="G957" s="424">
        <f t="shared" si="325"/>
        <v>286122.09999999998</v>
      </c>
      <c r="H957" s="424">
        <f t="shared" si="325"/>
        <v>236391.1</v>
      </c>
      <c r="I957" s="424">
        <f t="shared" si="325"/>
        <v>184735</v>
      </c>
      <c r="J957" s="424">
        <f t="shared" si="325"/>
        <v>156750</v>
      </c>
      <c r="K957" s="424">
        <f t="shared" si="325"/>
        <v>159440.6</v>
      </c>
      <c r="L957" s="424">
        <f t="shared" si="325"/>
        <v>156637.20000000001</v>
      </c>
      <c r="M957" s="424">
        <f t="shared" si="325"/>
        <v>165216.20000000001</v>
      </c>
      <c r="N957" s="424">
        <f t="shared" si="325"/>
        <v>206061.4</v>
      </c>
      <c r="O957" s="424">
        <f t="shared" si="325"/>
        <v>287543.59999999998</v>
      </c>
      <c r="P957" s="424">
        <f t="shared" si="325"/>
        <v>341387.8</v>
      </c>
      <c r="Q957" s="424">
        <f>SUM(Q954:Q956)</f>
        <v>2851456.9999999995</v>
      </c>
      <c r="S957" s="424"/>
    </row>
    <row r="958" spans="1:19" x14ac:dyDescent="0.2">
      <c r="A958" s="216">
        <f>A956+1</f>
        <v>11</v>
      </c>
      <c r="C958" s="216" t="s">
        <v>204</v>
      </c>
      <c r="F958" s="438"/>
      <c r="H958" s="438"/>
      <c r="I958" s="440"/>
      <c r="J958" s="438"/>
      <c r="K958" s="438"/>
      <c r="L958" s="438"/>
      <c r="M958" s="438"/>
      <c r="N958" s="438"/>
      <c r="O958" s="438"/>
      <c r="P958" s="438"/>
      <c r="Q958" s="418"/>
    </row>
    <row r="959" spans="1:19" x14ac:dyDescent="0.2">
      <c r="A959" s="216">
        <f>A958+1</f>
        <v>12</v>
      </c>
      <c r="C959" s="216" t="str">
        <f>C954</f>
        <v xml:space="preserve">    First 30,000 Mcf</v>
      </c>
      <c r="D959" s="609">
        <f>Input!C41</f>
        <v>0.62849999999999995</v>
      </c>
      <c r="E959" s="419">
        <f t="shared" ref="E959:P959" si="326">ROUND(E954*$D$959,2)</f>
        <v>173786.66</v>
      </c>
      <c r="F959" s="419">
        <f t="shared" si="326"/>
        <v>156912.44</v>
      </c>
      <c r="G959" s="419">
        <f t="shared" si="326"/>
        <v>144631.74</v>
      </c>
      <c r="H959" s="419">
        <f t="shared" si="326"/>
        <v>125945.81</v>
      </c>
      <c r="I959" s="419">
        <f t="shared" si="326"/>
        <v>105107.2</v>
      </c>
      <c r="J959" s="419">
        <f t="shared" si="326"/>
        <v>95060.63</v>
      </c>
      <c r="K959" s="419">
        <f t="shared" si="326"/>
        <v>94551.92</v>
      </c>
      <c r="L959" s="419">
        <f t="shared" si="326"/>
        <v>95303.98</v>
      </c>
      <c r="M959" s="419">
        <f t="shared" si="326"/>
        <v>97239.13</v>
      </c>
      <c r="N959" s="419">
        <f t="shared" si="326"/>
        <v>107512.09</v>
      </c>
      <c r="O959" s="419">
        <f t="shared" si="326"/>
        <v>141439.9</v>
      </c>
      <c r="P959" s="419">
        <f t="shared" si="326"/>
        <v>163339.48000000001</v>
      </c>
      <c r="Q959" s="419">
        <f t="shared" ref="Q959:Q965" si="327">SUM(E959:P959)</f>
        <v>1500830.9799999997</v>
      </c>
    </row>
    <row r="960" spans="1:19" x14ac:dyDescent="0.2">
      <c r="A960" s="216">
        <f>A959+1</f>
        <v>13</v>
      </c>
      <c r="C960" s="216" t="str">
        <f>C955</f>
        <v xml:space="preserve">    Next 70,000 Mcf</v>
      </c>
      <c r="D960" s="609">
        <f>Input!D41</f>
        <v>0.37369999999999998</v>
      </c>
      <c r="E960" s="267">
        <f t="shared" ref="E960:P960" si="328">ROUND(E955*$D$960,2)</f>
        <v>32325.05</v>
      </c>
      <c r="F960" s="267">
        <f t="shared" si="328"/>
        <v>21861.45</v>
      </c>
      <c r="G960" s="267">
        <f t="shared" si="328"/>
        <v>20927.2</v>
      </c>
      <c r="H960" s="267">
        <f t="shared" si="328"/>
        <v>13453.2</v>
      </c>
      <c r="I960" s="267">
        <f t="shared" si="328"/>
        <v>6539.75</v>
      </c>
      <c r="J960" s="267">
        <f t="shared" si="328"/>
        <v>2055.35</v>
      </c>
      <c r="K960" s="267">
        <f t="shared" si="328"/>
        <v>3363.3</v>
      </c>
      <c r="L960" s="267">
        <f t="shared" si="328"/>
        <v>1868.5</v>
      </c>
      <c r="M960" s="267">
        <f t="shared" si="328"/>
        <v>3923.85</v>
      </c>
      <c r="N960" s="267">
        <f t="shared" si="328"/>
        <v>13079.5</v>
      </c>
      <c r="O960" s="267">
        <f t="shared" si="328"/>
        <v>23356.25</v>
      </c>
      <c r="P960" s="267">
        <f t="shared" si="328"/>
        <v>30456.55</v>
      </c>
      <c r="Q960" s="267">
        <f t="shared" si="327"/>
        <v>173209.95</v>
      </c>
    </row>
    <row r="961" spans="1:17" x14ac:dyDescent="0.2">
      <c r="A961" s="216">
        <f>A960+1</f>
        <v>14</v>
      </c>
      <c r="C961" s="216" t="str">
        <f>C956</f>
        <v xml:space="preserve">    Over 100,000 Mcf</v>
      </c>
      <c r="D961" s="609">
        <f>Input!E41</f>
        <v>0.32469999999999999</v>
      </c>
      <c r="E961" s="267">
        <f>ROUND(E956*$D$961,2)</f>
        <v>0</v>
      </c>
      <c r="F961" s="267">
        <f>ROUND(F956*$D$961,2)</f>
        <v>0</v>
      </c>
      <c r="G961" s="267">
        <f t="shared" ref="G961:P961" si="329">ROUND(G956*$D$961,2)</f>
        <v>0</v>
      </c>
      <c r="H961" s="267">
        <f t="shared" si="329"/>
        <v>0</v>
      </c>
      <c r="I961" s="267">
        <f t="shared" si="329"/>
        <v>0</v>
      </c>
      <c r="J961" s="267">
        <f t="shared" si="329"/>
        <v>0</v>
      </c>
      <c r="K961" s="267">
        <f t="shared" si="329"/>
        <v>0</v>
      </c>
      <c r="L961" s="267">
        <f t="shared" si="329"/>
        <v>0</v>
      </c>
      <c r="M961" s="267">
        <f t="shared" si="329"/>
        <v>0</v>
      </c>
      <c r="N961" s="267">
        <f t="shared" si="329"/>
        <v>0</v>
      </c>
      <c r="O961" s="267">
        <f t="shared" si="329"/>
        <v>0</v>
      </c>
      <c r="P961" s="267">
        <f t="shared" si="329"/>
        <v>0</v>
      </c>
      <c r="Q961" s="267">
        <f t="shared" si="327"/>
        <v>0</v>
      </c>
    </row>
    <row r="962" spans="1:17" x14ac:dyDescent="0.2">
      <c r="E962" s="419">
        <f t="shared" ref="E962:O962" si="330">SUM(E959:E960)</f>
        <v>206111.71</v>
      </c>
      <c r="F962" s="419">
        <f t="shared" si="330"/>
        <v>178773.89</v>
      </c>
      <c r="G962" s="419">
        <f t="shared" si="330"/>
        <v>165558.94</v>
      </c>
      <c r="H962" s="419">
        <f t="shared" si="330"/>
        <v>139399.01</v>
      </c>
      <c r="I962" s="419">
        <f t="shared" si="330"/>
        <v>111646.95</v>
      </c>
      <c r="J962" s="419">
        <f t="shared" si="330"/>
        <v>97115.98000000001</v>
      </c>
      <c r="K962" s="419">
        <f t="shared" si="330"/>
        <v>97915.22</v>
      </c>
      <c r="L962" s="419">
        <f t="shared" si="330"/>
        <v>97172.479999999996</v>
      </c>
      <c r="M962" s="419">
        <f t="shared" si="330"/>
        <v>101162.98000000001</v>
      </c>
      <c r="N962" s="419">
        <f t="shared" si="330"/>
        <v>120591.59</v>
      </c>
      <c r="O962" s="419">
        <f t="shared" si="330"/>
        <v>164796.15</v>
      </c>
      <c r="P962" s="419">
        <f>SUM(P959:P960)</f>
        <v>193796.03</v>
      </c>
      <c r="Q962" s="419">
        <f t="shared" si="327"/>
        <v>1674040.93</v>
      </c>
    </row>
    <row r="963" spans="1:17" x14ac:dyDescent="0.2">
      <c r="A963" s="216">
        <f>A961+1</f>
        <v>15</v>
      </c>
      <c r="C963" s="772" t="s">
        <v>140</v>
      </c>
      <c r="D963" s="609">
        <f>Input!N41</f>
        <v>1.44E-2</v>
      </c>
      <c r="E963" s="419">
        <f>ROUND($D$963*E957,2)</f>
        <v>5227.3500000000004</v>
      </c>
      <c r="F963" s="419">
        <f t="shared" ref="F963:P963" si="331">ROUND($D$963*F957,2)</f>
        <v>4437.53</v>
      </c>
      <c r="G963" s="419">
        <f>ROUND($D$963*G957,2)</f>
        <v>4120.16</v>
      </c>
      <c r="H963" s="419">
        <f t="shared" si="331"/>
        <v>3404.03</v>
      </c>
      <c r="I963" s="419">
        <f t="shared" si="331"/>
        <v>2660.18</v>
      </c>
      <c r="J963" s="419">
        <f t="shared" si="331"/>
        <v>2257.1999999999998</v>
      </c>
      <c r="K963" s="419">
        <f t="shared" si="331"/>
        <v>2295.94</v>
      </c>
      <c r="L963" s="419">
        <f t="shared" si="331"/>
        <v>2255.58</v>
      </c>
      <c r="M963" s="419">
        <f t="shared" si="331"/>
        <v>2379.11</v>
      </c>
      <c r="N963" s="419">
        <f t="shared" si="331"/>
        <v>2967.28</v>
      </c>
      <c r="O963" s="419">
        <f t="shared" si="331"/>
        <v>4140.63</v>
      </c>
      <c r="P963" s="419">
        <f t="shared" si="331"/>
        <v>4915.9799999999996</v>
      </c>
      <c r="Q963" s="419">
        <f>SUM(E963:P963)</f>
        <v>41060.97</v>
      </c>
    </row>
    <row r="964" spans="1:17" ht="11.5" x14ac:dyDescent="0.35">
      <c r="A964" s="216">
        <f>A963+1</f>
        <v>16</v>
      </c>
      <c r="C964" s="772" t="s">
        <v>529</v>
      </c>
      <c r="D964" s="609">
        <f>Input!J41</f>
        <v>-2.5999999999999999E-2</v>
      </c>
      <c r="E964" s="255">
        <f>ROUND($D$964*E957,2)</f>
        <v>-9438.27</v>
      </c>
      <c r="F964" s="255">
        <f t="shared" ref="F964:P964" si="332">ROUND($D$964*F957,2)</f>
        <v>-8012.21</v>
      </c>
      <c r="G964" s="255">
        <f t="shared" si="332"/>
        <v>-7439.17</v>
      </c>
      <c r="H964" s="255">
        <f t="shared" si="332"/>
        <v>-6146.17</v>
      </c>
      <c r="I964" s="255">
        <f t="shared" si="332"/>
        <v>-4803.1099999999997</v>
      </c>
      <c r="J964" s="255">
        <f t="shared" si="332"/>
        <v>-4075.5</v>
      </c>
      <c r="K964" s="255">
        <f t="shared" si="332"/>
        <v>-4145.46</v>
      </c>
      <c r="L964" s="255">
        <f t="shared" si="332"/>
        <v>-4072.57</v>
      </c>
      <c r="M964" s="255">
        <f t="shared" si="332"/>
        <v>-4295.62</v>
      </c>
      <c r="N964" s="255">
        <f t="shared" si="332"/>
        <v>-5357.6</v>
      </c>
      <c r="O964" s="255">
        <f t="shared" si="332"/>
        <v>-7476.13</v>
      </c>
      <c r="P964" s="255">
        <f t="shared" si="332"/>
        <v>-8876.08</v>
      </c>
      <c r="Q964" s="666">
        <f t="shared" si="327"/>
        <v>-74137.89</v>
      </c>
    </row>
    <row r="965" spans="1:17" x14ac:dyDescent="0.2">
      <c r="A965" s="216">
        <f>A964+1</f>
        <v>17</v>
      </c>
      <c r="C965" s="216" t="s">
        <v>201</v>
      </c>
      <c r="E965" s="419">
        <f>E949+E950+E951+E962+E964+E963</f>
        <v>292290.66999999993</v>
      </c>
      <c r="F965" s="419">
        <f t="shared" ref="F965:P965" si="333">F949+F950+F951+F962+F964+F963</f>
        <v>265589.09000000003</v>
      </c>
      <c r="G965" s="419">
        <f t="shared" si="333"/>
        <v>252629.81</v>
      </c>
      <c r="H965" s="419">
        <f t="shared" si="333"/>
        <v>227046.75</v>
      </c>
      <c r="I965" s="419">
        <f t="shared" si="333"/>
        <v>199893.90000000002</v>
      </c>
      <c r="J965" s="419">
        <f t="shared" si="333"/>
        <v>185687.56000000003</v>
      </c>
      <c r="K965" s="419">
        <f t="shared" si="333"/>
        <v>186455.58000000002</v>
      </c>
      <c r="L965" s="419">
        <f t="shared" si="333"/>
        <v>185745.36999999997</v>
      </c>
      <c r="M965" s="419">
        <f t="shared" si="333"/>
        <v>189636.35</v>
      </c>
      <c r="N965" s="419">
        <f t="shared" si="333"/>
        <v>208591.15</v>
      </c>
      <c r="O965" s="419">
        <f t="shared" si="333"/>
        <v>251850.53</v>
      </c>
      <c r="P965" s="419">
        <f t="shared" si="333"/>
        <v>280225.81</v>
      </c>
      <c r="Q965" s="419">
        <f t="shared" si="327"/>
        <v>2725642.5700000003</v>
      </c>
    </row>
    <row r="966" spans="1:17" x14ac:dyDescent="0.2">
      <c r="E966" s="419"/>
      <c r="F966" s="419"/>
      <c r="G966" s="419"/>
      <c r="H966" s="419"/>
      <c r="I966" s="419"/>
      <c r="J966" s="419"/>
      <c r="K966" s="419"/>
      <c r="L966" s="419"/>
      <c r="M966" s="419"/>
      <c r="N966" s="419"/>
      <c r="O966" s="419"/>
      <c r="P966" s="419"/>
      <c r="Q966" s="419"/>
    </row>
    <row r="967" spans="1:17" x14ac:dyDescent="0.2">
      <c r="A967" s="216">
        <f>A965+1</f>
        <v>18</v>
      </c>
      <c r="C967" s="216" t="s">
        <v>148</v>
      </c>
      <c r="D967" s="609">
        <v>0</v>
      </c>
      <c r="E967" s="419">
        <v>0</v>
      </c>
      <c r="F967" s="419">
        <v>0</v>
      </c>
      <c r="G967" s="419">
        <v>0</v>
      </c>
      <c r="H967" s="419">
        <v>0</v>
      </c>
      <c r="I967" s="419">
        <v>0</v>
      </c>
      <c r="J967" s="419">
        <v>0</v>
      </c>
      <c r="K967" s="419">
        <v>0</v>
      </c>
      <c r="L967" s="419">
        <v>0</v>
      </c>
      <c r="M967" s="419">
        <v>0</v>
      </c>
      <c r="N967" s="419">
        <v>0</v>
      </c>
      <c r="O967" s="419">
        <v>0</v>
      </c>
      <c r="P967" s="419">
        <v>0</v>
      </c>
      <c r="Q967" s="419">
        <f>SUM(E967:P967)</f>
        <v>0</v>
      </c>
    </row>
    <row r="968" spans="1:17" x14ac:dyDescent="0.2">
      <c r="E968" s="417"/>
      <c r="F968" s="457"/>
      <c r="G968" s="457"/>
      <c r="H968" s="457"/>
      <c r="I968" s="457"/>
      <c r="J968" s="457"/>
      <c r="K968" s="457"/>
      <c r="L968" s="457"/>
      <c r="M968" s="457"/>
      <c r="N968" s="457"/>
      <c r="O968" s="457"/>
      <c r="P968" s="457"/>
      <c r="Q968" s="417"/>
    </row>
    <row r="969" spans="1:17" ht="10.5" thickBot="1" x14ac:dyDescent="0.25">
      <c r="A969" s="433">
        <f>A967+1</f>
        <v>19</v>
      </c>
      <c r="B969" s="433"/>
      <c r="C969" s="433" t="s">
        <v>202</v>
      </c>
      <c r="D969" s="770"/>
      <c r="E969" s="675">
        <f t="shared" ref="E969:O969" si="334">E965+E967</f>
        <v>292290.66999999993</v>
      </c>
      <c r="F969" s="675">
        <f t="shared" si="334"/>
        <v>265589.09000000003</v>
      </c>
      <c r="G969" s="675">
        <f t="shared" si="334"/>
        <v>252629.81</v>
      </c>
      <c r="H969" s="675">
        <f t="shared" si="334"/>
        <v>227046.75</v>
      </c>
      <c r="I969" s="675">
        <f t="shared" si="334"/>
        <v>199893.90000000002</v>
      </c>
      <c r="J969" s="675">
        <f t="shared" si="334"/>
        <v>185687.56000000003</v>
      </c>
      <c r="K969" s="675">
        <f t="shared" si="334"/>
        <v>186455.58000000002</v>
      </c>
      <c r="L969" s="675">
        <f t="shared" si="334"/>
        <v>185745.36999999997</v>
      </c>
      <c r="M969" s="675">
        <f t="shared" si="334"/>
        <v>189636.35</v>
      </c>
      <c r="N969" s="675">
        <f t="shared" si="334"/>
        <v>208591.15</v>
      </c>
      <c r="O969" s="675">
        <f t="shared" si="334"/>
        <v>251850.53</v>
      </c>
      <c r="P969" s="675">
        <f>P965+P967</f>
        <v>280225.81</v>
      </c>
      <c r="Q969" s="675">
        <f>SUM(E969:P969)</f>
        <v>2725642.5700000003</v>
      </c>
    </row>
    <row r="970" spans="1:17" ht="10.5" thickTop="1" x14ac:dyDescent="0.2"/>
    <row r="971" spans="1:17" x14ac:dyDescent="0.2">
      <c r="Q971" s="418"/>
    </row>
    <row r="972" spans="1:17" x14ac:dyDescent="0.2">
      <c r="A972" s="216">
        <f>A969+1</f>
        <v>20</v>
      </c>
      <c r="B972" s="216" t="str">
        <f>B255</f>
        <v>DS</v>
      </c>
      <c r="C972" s="216" t="str">
        <f>C255</f>
        <v>GTS Delivery Service - Industrial</v>
      </c>
    </row>
    <row r="974" spans="1:17" ht="10.5" x14ac:dyDescent="0.25">
      <c r="A974" s="216">
        <f>A972+1</f>
        <v>21</v>
      </c>
      <c r="C974" s="245" t="s">
        <v>112</v>
      </c>
    </row>
    <row r="975" spans="1:17" ht="10.5" x14ac:dyDescent="0.25">
      <c r="C975" s="245"/>
    </row>
    <row r="976" spans="1:17" x14ac:dyDescent="0.2">
      <c r="A976" s="216">
        <f>A974+1</f>
        <v>22</v>
      </c>
      <c r="C976" s="216" t="s">
        <v>199</v>
      </c>
      <c r="E976" s="421">
        <f>B!D188</f>
        <v>41</v>
      </c>
      <c r="F976" s="421">
        <f>B!E188</f>
        <v>41</v>
      </c>
      <c r="G976" s="421">
        <f>B!F188</f>
        <v>41</v>
      </c>
      <c r="H976" s="421">
        <f>B!G188</f>
        <v>41</v>
      </c>
      <c r="I976" s="421">
        <f>B!H188</f>
        <v>41</v>
      </c>
      <c r="J976" s="421">
        <f>B!I188</f>
        <v>41</v>
      </c>
      <c r="K976" s="421">
        <f>B!J188</f>
        <v>42</v>
      </c>
      <c r="L976" s="421">
        <f>B!K188</f>
        <v>41</v>
      </c>
      <c r="M976" s="421">
        <f>B!L188</f>
        <v>42</v>
      </c>
      <c r="N976" s="421">
        <f>B!M188</f>
        <v>41</v>
      </c>
      <c r="O976" s="421">
        <f>B!N188</f>
        <v>41</v>
      </c>
      <c r="P976" s="421">
        <f>B!O188</f>
        <v>41</v>
      </c>
      <c r="Q976" s="421">
        <f>SUM(E976:P976)</f>
        <v>494</v>
      </c>
    </row>
    <row r="977" spans="1:20" x14ac:dyDescent="0.2">
      <c r="A977" s="216">
        <f>A976+1</f>
        <v>23</v>
      </c>
      <c r="C977" s="216" t="s">
        <v>207</v>
      </c>
      <c r="D977" s="608">
        <f>Input!H42</f>
        <v>2007</v>
      </c>
      <c r="E977" s="419">
        <f t="shared" ref="E977:P977" si="335">ROUND(E976*$D$977,2)</f>
        <v>82287</v>
      </c>
      <c r="F977" s="419">
        <f t="shared" si="335"/>
        <v>82287</v>
      </c>
      <c r="G977" s="419">
        <f t="shared" si="335"/>
        <v>82287</v>
      </c>
      <c r="H977" s="419">
        <f t="shared" si="335"/>
        <v>82287</v>
      </c>
      <c r="I977" s="419">
        <f t="shared" si="335"/>
        <v>82287</v>
      </c>
      <c r="J977" s="419">
        <f t="shared" si="335"/>
        <v>82287</v>
      </c>
      <c r="K977" s="419">
        <f t="shared" si="335"/>
        <v>84294</v>
      </c>
      <c r="L977" s="419">
        <f t="shared" si="335"/>
        <v>82287</v>
      </c>
      <c r="M977" s="419">
        <f t="shared" si="335"/>
        <v>84294</v>
      </c>
      <c r="N977" s="419">
        <f t="shared" si="335"/>
        <v>82287</v>
      </c>
      <c r="O977" s="419">
        <f t="shared" si="335"/>
        <v>82287</v>
      </c>
      <c r="P977" s="419">
        <f t="shared" si="335"/>
        <v>82287</v>
      </c>
      <c r="Q977" s="419">
        <f>SUM(E977:P977)</f>
        <v>991458</v>
      </c>
    </row>
    <row r="978" spans="1:20" x14ac:dyDescent="0.2">
      <c r="A978" s="216">
        <f>A977+1</f>
        <v>24</v>
      </c>
      <c r="C978" s="216" t="s">
        <v>214</v>
      </c>
      <c r="D978" s="608">
        <f>Input!I42</f>
        <v>0</v>
      </c>
      <c r="E978" s="419">
        <f t="shared" ref="E978:P978" si="336">ROUND(E976*$D$978,2)</f>
        <v>0</v>
      </c>
      <c r="F978" s="419">
        <f t="shared" si="336"/>
        <v>0</v>
      </c>
      <c r="G978" s="419">
        <f t="shared" si="336"/>
        <v>0</v>
      </c>
      <c r="H978" s="419">
        <f t="shared" si="336"/>
        <v>0</v>
      </c>
      <c r="I978" s="419">
        <f t="shared" si="336"/>
        <v>0</v>
      </c>
      <c r="J978" s="419">
        <f t="shared" si="336"/>
        <v>0</v>
      </c>
      <c r="K978" s="419">
        <f t="shared" si="336"/>
        <v>0</v>
      </c>
      <c r="L978" s="419">
        <f t="shared" si="336"/>
        <v>0</v>
      </c>
      <c r="M978" s="419">
        <f t="shared" si="336"/>
        <v>0</v>
      </c>
      <c r="N978" s="419">
        <f t="shared" si="336"/>
        <v>0</v>
      </c>
      <c r="O978" s="419">
        <f t="shared" si="336"/>
        <v>0</v>
      </c>
      <c r="P978" s="419">
        <f t="shared" si="336"/>
        <v>0</v>
      </c>
      <c r="Q978" s="419">
        <f>SUM(E978:P978)</f>
        <v>0</v>
      </c>
    </row>
    <row r="979" spans="1:20" x14ac:dyDescent="0.2">
      <c r="A979" s="216">
        <f>A978+1</f>
        <v>25</v>
      </c>
      <c r="C979" s="216" t="s">
        <v>208</v>
      </c>
      <c r="D979" s="608">
        <f>Input!K42</f>
        <v>1221.21</v>
      </c>
      <c r="E979" s="419">
        <f t="shared" ref="E979:P979" si="337">ROUND(E976*$D$979,2)</f>
        <v>50069.61</v>
      </c>
      <c r="F979" s="419">
        <f t="shared" si="337"/>
        <v>50069.61</v>
      </c>
      <c r="G979" s="419">
        <f t="shared" si="337"/>
        <v>50069.61</v>
      </c>
      <c r="H979" s="419">
        <f t="shared" si="337"/>
        <v>50069.61</v>
      </c>
      <c r="I979" s="419">
        <f t="shared" si="337"/>
        <v>50069.61</v>
      </c>
      <c r="J979" s="419">
        <f t="shared" si="337"/>
        <v>50069.61</v>
      </c>
      <c r="K979" s="419">
        <f t="shared" si="337"/>
        <v>51290.82</v>
      </c>
      <c r="L979" s="419">
        <f t="shared" si="337"/>
        <v>50069.61</v>
      </c>
      <c r="M979" s="419">
        <f t="shared" si="337"/>
        <v>51290.82</v>
      </c>
      <c r="N979" s="419">
        <f t="shared" si="337"/>
        <v>50069.61</v>
      </c>
      <c r="O979" s="419">
        <f t="shared" si="337"/>
        <v>50069.61</v>
      </c>
      <c r="P979" s="419">
        <f t="shared" si="337"/>
        <v>50069.61</v>
      </c>
      <c r="Q979" s="419">
        <f>SUM(E979:P979)</f>
        <v>603277.74</v>
      </c>
    </row>
    <row r="981" spans="1:20" x14ac:dyDescent="0.2">
      <c r="A981" s="216">
        <f>A979+1</f>
        <v>26</v>
      </c>
      <c r="C981" s="216" t="s">
        <v>206</v>
      </c>
    </row>
    <row r="982" spans="1:20" x14ac:dyDescent="0.2">
      <c r="A982" s="216">
        <f>A981+1</f>
        <v>27</v>
      </c>
      <c r="C982" s="216" t="str">
        <f>'C'!B261</f>
        <v xml:space="preserve">    First 30,000 Mcf</v>
      </c>
      <c r="E982" s="424">
        <f>'C'!D271</f>
        <v>353352.4</v>
      </c>
      <c r="F982" s="424">
        <f>'C'!E271</f>
        <v>328395.7</v>
      </c>
      <c r="G982" s="424">
        <f>'C'!F271</f>
        <v>336483.6</v>
      </c>
      <c r="H982" s="424">
        <f>'C'!G271</f>
        <v>319369.5</v>
      </c>
      <c r="I982" s="424">
        <f>'C'!H271</f>
        <v>312232.59999999998</v>
      </c>
      <c r="J982" s="424">
        <f>'C'!I271</f>
        <v>296986.7</v>
      </c>
      <c r="K982" s="424">
        <f>'C'!J271</f>
        <v>254169.5</v>
      </c>
      <c r="L982" s="424">
        <f>'C'!K271</f>
        <v>301590.5</v>
      </c>
      <c r="M982" s="424">
        <f>'C'!L271</f>
        <v>294120.2</v>
      </c>
      <c r="N982" s="424">
        <f>'C'!M271</f>
        <v>334335.3</v>
      </c>
      <c r="O982" s="424">
        <f>'C'!N271</f>
        <v>357908.4</v>
      </c>
      <c r="P982" s="424">
        <f>'C'!O271</f>
        <v>346016.8</v>
      </c>
      <c r="Q982" s="424">
        <f>SUM(E982:P982)</f>
        <v>3834961.1999999997</v>
      </c>
    </row>
    <row r="983" spans="1:20" x14ac:dyDescent="0.2">
      <c r="A983" s="216">
        <f>A982+1</f>
        <v>28</v>
      </c>
      <c r="C983" s="216" t="str">
        <f>'C'!B262</f>
        <v xml:space="preserve">    Next 70,000 Mcf</v>
      </c>
      <c r="E983" s="272">
        <f>'C'!D272</f>
        <v>147200</v>
      </c>
      <c r="F983" s="272">
        <f>'C'!E272</f>
        <v>141100</v>
      </c>
      <c r="G983" s="272">
        <f>'C'!F272</f>
        <v>142600</v>
      </c>
      <c r="H983" s="272">
        <f>'C'!G272</f>
        <v>140000</v>
      </c>
      <c r="I983" s="272">
        <f>'C'!H272</f>
        <v>115826.4</v>
      </c>
      <c r="J983" s="272">
        <f>'C'!I272</f>
        <v>59415</v>
      </c>
      <c r="K983" s="272">
        <f>'C'!J272</f>
        <v>26497</v>
      </c>
      <c r="L983" s="272">
        <f>'C'!K272</f>
        <v>100182.6</v>
      </c>
      <c r="M983" s="272">
        <f>'C'!L272</f>
        <v>107805</v>
      </c>
      <c r="N983" s="272">
        <f>'C'!M272</f>
        <v>140000</v>
      </c>
      <c r="O983" s="272">
        <f>'C'!N272</f>
        <v>140000</v>
      </c>
      <c r="P983" s="272">
        <f>'C'!O272</f>
        <v>143100</v>
      </c>
      <c r="Q983" s="272">
        <f>SUM(E983:P983)</f>
        <v>1403726</v>
      </c>
    </row>
    <row r="984" spans="1:20" x14ac:dyDescent="0.2">
      <c r="A984" s="216">
        <f>A983+1</f>
        <v>29</v>
      </c>
      <c r="C984" s="216" t="str">
        <f>'C'!B263</f>
        <v xml:space="preserve">    Over 100,000 Mcf</v>
      </c>
      <c r="E984" s="448">
        <f>'C'!D273</f>
        <v>156498.6</v>
      </c>
      <c r="F984" s="448">
        <f>'C'!E273</f>
        <v>88049.600000000006</v>
      </c>
      <c r="G984" s="448">
        <f>'C'!F273</f>
        <v>106845.6</v>
      </c>
      <c r="H984" s="448">
        <f>'C'!G273</f>
        <v>39987.599999999999</v>
      </c>
      <c r="I984" s="448">
        <f>'C'!H273</f>
        <v>0</v>
      </c>
      <c r="J984" s="448">
        <f>'C'!I273</f>
        <v>0</v>
      </c>
      <c r="K984" s="448">
        <f>'C'!J273</f>
        <v>0</v>
      </c>
      <c r="L984" s="448">
        <f>'C'!K273</f>
        <v>0</v>
      </c>
      <c r="M984" s="448">
        <f>'C'!L273</f>
        <v>4956.8</v>
      </c>
      <c r="N984" s="448">
        <f>'C'!M273</f>
        <v>21846.6</v>
      </c>
      <c r="O984" s="448">
        <f>'C'!N273</f>
        <v>87101</v>
      </c>
      <c r="P984" s="448">
        <f>'C'!O273</f>
        <v>95922.8</v>
      </c>
      <c r="Q984" s="448">
        <f>SUM(E984:P984)</f>
        <v>601208.6</v>
      </c>
    </row>
    <row r="985" spans="1:20" x14ac:dyDescent="0.2">
      <c r="E985" s="424">
        <f>SUM(E982:E984)</f>
        <v>657051</v>
      </c>
      <c r="F985" s="424">
        <f t="shared" ref="F985:P985" si="338">SUM(F982:F984)</f>
        <v>557545.30000000005</v>
      </c>
      <c r="G985" s="424">
        <f t="shared" si="338"/>
        <v>585929.19999999995</v>
      </c>
      <c r="H985" s="424">
        <f t="shared" si="338"/>
        <v>499357.1</v>
      </c>
      <c r="I985" s="424">
        <f t="shared" si="338"/>
        <v>428059</v>
      </c>
      <c r="J985" s="424">
        <f t="shared" si="338"/>
        <v>356401.7</v>
      </c>
      <c r="K985" s="424">
        <f t="shared" si="338"/>
        <v>280666.5</v>
      </c>
      <c r="L985" s="424">
        <f t="shared" si="338"/>
        <v>401773.1</v>
      </c>
      <c r="M985" s="424">
        <f t="shared" si="338"/>
        <v>406882</v>
      </c>
      <c r="N985" s="424">
        <f t="shared" si="338"/>
        <v>496181.89999999997</v>
      </c>
      <c r="O985" s="424">
        <f t="shared" si="338"/>
        <v>585009.4</v>
      </c>
      <c r="P985" s="424">
        <f t="shared" si="338"/>
        <v>585039.6</v>
      </c>
      <c r="Q985" s="424">
        <f>SUM(E985:P985)</f>
        <v>5839895.8000000007</v>
      </c>
      <c r="S985" s="424"/>
    </row>
    <row r="986" spans="1:20" x14ac:dyDescent="0.2">
      <c r="A986" s="216">
        <f>A984+1</f>
        <v>30</v>
      </c>
      <c r="C986" s="216" t="s">
        <v>204</v>
      </c>
      <c r="F986" s="438"/>
      <c r="H986" s="438"/>
      <c r="I986" s="440"/>
      <c r="J986" s="438"/>
      <c r="K986" s="438"/>
      <c r="L986" s="438"/>
      <c r="M986" s="438"/>
      <c r="N986" s="438"/>
      <c r="O986" s="438"/>
      <c r="P986" s="438"/>
      <c r="Q986" s="418"/>
    </row>
    <row r="987" spans="1:20" x14ac:dyDescent="0.2">
      <c r="A987" s="216">
        <f>A986+1</f>
        <v>31</v>
      </c>
      <c r="C987" s="216" t="str">
        <f>C982</f>
        <v xml:space="preserve">    First 30,000 Mcf</v>
      </c>
      <c r="D987" s="609">
        <f>Input!C42</f>
        <v>0.62849999999999995</v>
      </c>
      <c r="E987" s="419">
        <f t="shared" ref="E987:P987" si="339">ROUND(E982*$D$987,2)</f>
        <v>222081.98</v>
      </c>
      <c r="F987" s="419">
        <f t="shared" si="339"/>
        <v>206396.7</v>
      </c>
      <c r="G987" s="419">
        <f t="shared" si="339"/>
        <v>211479.94</v>
      </c>
      <c r="H987" s="419">
        <f t="shared" si="339"/>
        <v>200723.73</v>
      </c>
      <c r="I987" s="419">
        <f t="shared" si="339"/>
        <v>196238.19</v>
      </c>
      <c r="J987" s="419">
        <f t="shared" si="339"/>
        <v>186656.14</v>
      </c>
      <c r="K987" s="419">
        <f t="shared" si="339"/>
        <v>159745.53</v>
      </c>
      <c r="L987" s="419">
        <f t="shared" si="339"/>
        <v>189549.63</v>
      </c>
      <c r="M987" s="419">
        <f t="shared" si="339"/>
        <v>184854.55</v>
      </c>
      <c r="N987" s="419">
        <f t="shared" si="339"/>
        <v>210129.74</v>
      </c>
      <c r="O987" s="419">
        <f t="shared" si="339"/>
        <v>224945.43</v>
      </c>
      <c r="P987" s="419">
        <f t="shared" si="339"/>
        <v>217471.56</v>
      </c>
      <c r="Q987" s="419">
        <f t="shared" ref="Q987:Q993" si="340">SUM(E987:P987)</f>
        <v>2410273.1200000006</v>
      </c>
      <c r="S987" s="430"/>
      <c r="T987" s="748"/>
    </row>
    <row r="988" spans="1:20" x14ac:dyDescent="0.2">
      <c r="A988" s="216">
        <f>A987+1</f>
        <v>32</v>
      </c>
      <c r="C988" s="216" t="str">
        <f>C983</f>
        <v xml:space="preserve">    Next 70,000 Mcf</v>
      </c>
      <c r="D988" s="609">
        <f>Input!D42</f>
        <v>0.37369999999999998</v>
      </c>
      <c r="E988" s="267">
        <f t="shared" ref="E988:P988" si="341">ROUND(E983*$D$988,2)</f>
        <v>55008.639999999999</v>
      </c>
      <c r="F988" s="267">
        <f t="shared" si="341"/>
        <v>52729.07</v>
      </c>
      <c r="G988" s="267">
        <f t="shared" si="341"/>
        <v>53289.62</v>
      </c>
      <c r="H988" s="267">
        <f t="shared" si="341"/>
        <v>52318</v>
      </c>
      <c r="I988" s="267">
        <f t="shared" si="341"/>
        <v>43284.33</v>
      </c>
      <c r="J988" s="267">
        <f t="shared" si="341"/>
        <v>22203.39</v>
      </c>
      <c r="K988" s="267">
        <f t="shared" si="341"/>
        <v>9901.93</v>
      </c>
      <c r="L988" s="267">
        <f t="shared" si="341"/>
        <v>37438.239999999998</v>
      </c>
      <c r="M988" s="267">
        <f t="shared" si="341"/>
        <v>40286.730000000003</v>
      </c>
      <c r="N988" s="267">
        <f t="shared" si="341"/>
        <v>52318</v>
      </c>
      <c r="O988" s="267">
        <f t="shared" si="341"/>
        <v>52318</v>
      </c>
      <c r="P988" s="267">
        <f t="shared" si="341"/>
        <v>53476.47</v>
      </c>
      <c r="Q988" s="267">
        <f t="shared" si="340"/>
        <v>524572.41999999993</v>
      </c>
      <c r="S988" s="430"/>
      <c r="T988" s="748"/>
    </row>
    <row r="989" spans="1:20" x14ac:dyDescent="0.2">
      <c r="A989" s="216">
        <f>A988+1</f>
        <v>33</v>
      </c>
      <c r="C989" s="216" t="str">
        <f>C984</f>
        <v xml:space="preserve">    Over 100,000 Mcf</v>
      </c>
      <c r="D989" s="609">
        <f>Input!E42</f>
        <v>0.32469999999999999</v>
      </c>
      <c r="E989" s="255">
        <f>ROUND(E984*$D$989,2)</f>
        <v>50815.1</v>
      </c>
      <c r="F989" s="255">
        <f>ROUND(F984*$D$989,2)</f>
        <v>28589.71</v>
      </c>
      <c r="G989" s="255">
        <f t="shared" ref="G989:Q989" si="342">ROUND(G984*$D$989,2)</f>
        <v>34692.769999999997</v>
      </c>
      <c r="H989" s="255">
        <f t="shared" si="342"/>
        <v>12983.97</v>
      </c>
      <c r="I989" s="255">
        <f t="shared" si="342"/>
        <v>0</v>
      </c>
      <c r="J989" s="255">
        <f t="shared" si="342"/>
        <v>0</v>
      </c>
      <c r="K989" s="255">
        <f t="shared" si="342"/>
        <v>0</v>
      </c>
      <c r="L989" s="255">
        <f t="shared" si="342"/>
        <v>0</v>
      </c>
      <c r="M989" s="255">
        <f t="shared" si="342"/>
        <v>1609.47</v>
      </c>
      <c r="N989" s="255">
        <f t="shared" si="342"/>
        <v>7093.59</v>
      </c>
      <c r="O989" s="255">
        <f t="shared" si="342"/>
        <v>28281.69</v>
      </c>
      <c r="P989" s="255">
        <f t="shared" si="342"/>
        <v>31146.13</v>
      </c>
      <c r="Q989" s="255">
        <f t="shared" si="342"/>
        <v>195212.43</v>
      </c>
      <c r="S989" s="430"/>
      <c r="T989" s="748"/>
    </row>
    <row r="990" spans="1:20" x14ac:dyDescent="0.2">
      <c r="E990" s="419">
        <f>SUM(E987:E989)</f>
        <v>327905.71999999997</v>
      </c>
      <c r="F990" s="419">
        <f t="shared" ref="F990:P990" si="343">SUM(F987:F989)</f>
        <v>287715.48000000004</v>
      </c>
      <c r="G990" s="419">
        <f t="shared" si="343"/>
        <v>299462.33</v>
      </c>
      <c r="H990" s="419">
        <f t="shared" si="343"/>
        <v>266025.7</v>
      </c>
      <c r="I990" s="419">
        <f t="shared" si="343"/>
        <v>239522.52000000002</v>
      </c>
      <c r="J990" s="419">
        <f t="shared" si="343"/>
        <v>208859.53000000003</v>
      </c>
      <c r="K990" s="419">
        <f t="shared" si="343"/>
        <v>169647.46</v>
      </c>
      <c r="L990" s="419">
        <f t="shared" si="343"/>
        <v>226987.87</v>
      </c>
      <c r="M990" s="419">
        <f t="shared" si="343"/>
        <v>226750.75</v>
      </c>
      <c r="N990" s="419">
        <f t="shared" si="343"/>
        <v>269541.33</v>
      </c>
      <c r="O990" s="419">
        <f t="shared" si="343"/>
        <v>305545.12</v>
      </c>
      <c r="P990" s="419">
        <f t="shared" si="343"/>
        <v>302094.16000000003</v>
      </c>
      <c r="Q990" s="419">
        <f t="shared" si="340"/>
        <v>3130057.97</v>
      </c>
      <c r="S990" s="430"/>
      <c r="T990" s="748"/>
    </row>
    <row r="991" spans="1:20" x14ac:dyDescent="0.2">
      <c r="A991" s="216">
        <f>A989+1</f>
        <v>34</v>
      </c>
      <c r="C991" s="772" t="s">
        <v>140</v>
      </c>
      <c r="D991" s="609">
        <f>Input!N42</f>
        <v>1.44E-2</v>
      </c>
      <c r="E991" s="419">
        <f>ROUND($D$991*E985,2)</f>
        <v>9461.5300000000007</v>
      </c>
      <c r="F991" s="419">
        <f t="shared" ref="F991:P991" si="344">ROUND($D$991*F985,2)</f>
        <v>8028.65</v>
      </c>
      <c r="G991" s="419">
        <f t="shared" si="344"/>
        <v>8437.3799999999992</v>
      </c>
      <c r="H991" s="419">
        <f t="shared" si="344"/>
        <v>7190.74</v>
      </c>
      <c r="I991" s="419">
        <f t="shared" si="344"/>
        <v>6164.05</v>
      </c>
      <c r="J991" s="419">
        <f t="shared" si="344"/>
        <v>5132.18</v>
      </c>
      <c r="K991" s="419">
        <f t="shared" si="344"/>
        <v>4041.6</v>
      </c>
      <c r="L991" s="419">
        <f t="shared" si="344"/>
        <v>5785.53</v>
      </c>
      <c r="M991" s="419">
        <f t="shared" si="344"/>
        <v>5859.1</v>
      </c>
      <c r="N991" s="419">
        <f t="shared" si="344"/>
        <v>7145.02</v>
      </c>
      <c r="O991" s="419">
        <f t="shared" si="344"/>
        <v>8424.14</v>
      </c>
      <c r="P991" s="419">
        <f t="shared" si="344"/>
        <v>8424.57</v>
      </c>
      <c r="Q991" s="419">
        <f>SUM(E991:P991)</f>
        <v>84094.489999999991</v>
      </c>
    </row>
    <row r="992" spans="1:20" ht="11.5" x14ac:dyDescent="0.35">
      <c r="A992" s="216">
        <f>A991+1</f>
        <v>35</v>
      </c>
      <c r="C992" s="772" t="s">
        <v>529</v>
      </c>
      <c r="D992" s="609">
        <f>Input!J42</f>
        <v>-2.5999999999999999E-2</v>
      </c>
      <c r="E992" s="255">
        <f t="shared" ref="E992:P992" si="345">ROUND($D$992*E985,2)</f>
        <v>-17083.330000000002</v>
      </c>
      <c r="F992" s="255">
        <f t="shared" si="345"/>
        <v>-14496.18</v>
      </c>
      <c r="G992" s="255">
        <f t="shared" si="345"/>
        <v>-15234.16</v>
      </c>
      <c r="H992" s="255">
        <f t="shared" si="345"/>
        <v>-12983.28</v>
      </c>
      <c r="I992" s="255">
        <f t="shared" si="345"/>
        <v>-11129.53</v>
      </c>
      <c r="J992" s="255">
        <f t="shared" si="345"/>
        <v>-9266.44</v>
      </c>
      <c r="K992" s="255">
        <f t="shared" si="345"/>
        <v>-7297.33</v>
      </c>
      <c r="L992" s="255">
        <f t="shared" si="345"/>
        <v>-10446.1</v>
      </c>
      <c r="M992" s="255">
        <f t="shared" si="345"/>
        <v>-10578.93</v>
      </c>
      <c r="N992" s="255">
        <f t="shared" si="345"/>
        <v>-12900.73</v>
      </c>
      <c r="O992" s="255">
        <f t="shared" si="345"/>
        <v>-15210.24</v>
      </c>
      <c r="P992" s="255">
        <f t="shared" si="345"/>
        <v>-15211.03</v>
      </c>
      <c r="Q992" s="666">
        <f t="shared" si="340"/>
        <v>-151837.28</v>
      </c>
    </row>
    <row r="993" spans="1:17" x14ac:dyDescent="0.2">
      <c r="A993" s="216">
        <f>A992+1</f>
        <v>36</v>
      </c>
      <c r="C993" s="216" t="s">
        <v>201</v>
      </c>
      <c r="E993" s="419">
        <f>E977+E978+E979+E990+E992+E991</f>
        <v>452640.52999999997</v>
      </c>
      <c r="F993" s="419">
        <f t="shared" ref="F993:P993" si="346">F977+F978+F979+F990+F992+F991</f>
        <v>413604.56000000006</v>
      </c>
      <c r="G993" s="419">
        <f t="shared" si="346"/>
        <v>425022.16000000003</v>
      </c>
      <c r="H993" s="419">
        <f t="shared" si="346"/>
        <v>392589.76999999996</v>
      </c>
      <c r="I993" s="419">
        <f t="shared" si="346"/>
        <v>366913.64999999997</v>
      </c>
      <c r="J993" s="419">
        <f t="shared" si="346"/>
        <v>337081.88</v>
      </c>
      <c r="K993" s="419">
        <f t="shared" si="346"/>
        <v>301976.55</v>
      </c>
      <c r="L993" s="419">
        <f t="shared" si="346"/>
        <v>354683.91000000003</v>
      </c>
      <c r="M993" s="419">
        <f t="shared" si="346"/>
        <v>357615.74</v>
      </c>
      <c r="N993" s="419">
        <f t="shared" si="346"/>
        <v>396142.23000000004</v>
      </c>
      <c r="O993" s="419">
        <f t="shared" si="346"/>
        <v>431115.63</v>
      </c>
      <c r="P993" s="419">
        <f t="shared" si="346"/>
        <v>427664.31</v>
      </c>
      <c r="Q993" s="419">
        <f t="shared" si="340"/>
        <v>4657050.92</v>
      </c>
    </row>
    <row r="994" spans="1:17" x14ac:dyDescent="0.2">
      <c r="E994" s="417"/>
      <c r="F994" s="454"/>
      <c r="G994" s="417"/>
      <c r="H994" s="454"/>
      <c r="I994" s="454"/>
      <c r="J994" s="454"/>
      <c r="K994" s="454"/>
      <c r="L994" s="454"/>
      <c r="M994" s="454"/>
      <c r="N994" s="454"/>
      <c r="O994" s="454"/>
      <c r="P994" s="454"/>
      <c r="Q994" s="417"/>
    </row>
    <row r="995" spans="1:17" x14ac:dyDescent="0.2">
      <c r="A995" s="216">
        <f>A993+1</f>
        <v>37</v>
      </c>
      <c r="C995" s="216" t="s">
        <v>148</v>
      </c>
      <c r="D995" s="609">
        <v>0</v>
      </c>
      <c r="E995" s="419">
        <v>0</v>
      </c>
      <c r="F995" s="419">
        <v>0</v>
      </c>
      <c r="G995" s="419">
        <v>0</v>
      </c>
      <c r="H995" s="419">
        <v>0</v>
      </c>
      <c r="I995" s="419">
        <v>0</v>
      </c>
      <c r="J995" s="419">
        <v>0</v>
      </c>
      <c r="K995" s="419">
        <v>0</v>
      </c>
      <c r="L995" s="419">
        <v>0</v>
      </c>
      <c r="M995" s="419">
        <v>0</v>
      </c>
      <c r="N995" s="419">
        <v>0</v>
      </c>
      <c r="O995" s="419">
        <v>0</v>
      </c>
      <c r="P995" s="419">
        <v>0</v>
      </c>
      <c r="Q995" s="419">
        <f>SUM(E995:P995)</f>
        <v>0</v>
      </c>
    </row>
    <row r="996" spans="1:17" x14ac:dyDescent="0.2">
      <c r="E996" s="417"/>
      <c r="F996" s="457"/>
      <c r="G996" s="457"/>
      <c r="H996" s="457"/>
      <c r="I996" s="457"/>
      <c r="J996" s="457"/>
      <c r="K996" s="457"/>
      <c r="L996" s="457"/>
      <c r="M996" s="457"/>
      <c r="N996" s="457"/>
      <c r="O996" s="457"/>
      <c r="P996" s="457"/>
      <c r="Q996" s="417"/>
    </row>
    <row r="997" spans="1:17" ht="10.5" thickBot="1" x14ac:dyDescent="0.25">
      <c r="A997" s="433">
        <f>A995+1</f>
        <v>38</v>
      </c>
      <c r="B997" s="433"/>
      <c r="C997" s="433" t="s">
        <v>202</v>
      </c>
      <c r="D997" s="770"/>
      <c r="E997" s="675">
        <f t="shared" ref="E997:O997" si="347">E993+E995</f>
        <v>452640.52999999997</v>
      </c>
      <c r="F997" s="675">
        <f t="shared" si="347"/>
        <v>413604.56000000006</v>
      </c>
      <c r="G997" s="675">
        <f t="shared" si="347"/>
        <v>425022.16000000003</v>
      </c>
      <c r="H997" s="675">
        <f t="shared" si="347"/>
        <v>392589.76999999996</v>
      </c>
      <c r="I997" s="675">
        <f t="shared" si="347"/>
        <v>366913.64999999997</v>
      </c>
      <c r="J997" s="675">
        <f t="shared" si="347"/>
        <v>337081.88</v>
      </c>
      <c r="K997" s="675">
        <f t="shared" si="347"/>
        <v>301976.55</v>
      </c>
      <c r="L997" s="675">
        <f t="shared" si="347"/>
        <v>354683.91000000003</v>
      </c>
      <c r="M997" s="675">
        <f t="shared" si="347"/>
        <v>357615.74</v>
      </c>
      <c r="N997" s="675">
        <f t="shared" si="347"/>
        <v>396142.23000000004</v>
      </c>
      <c r="O997" s="675">
        <f t="shared" si="347"/>
        <v>431115.63</v>
      </c>
      <c r="P997" s="675">
        <f>P993+P995</f>
        <v>427664.31</v>
      </c>
      <c r="Q997" s="675">
        <f>SUM(E997:P997)</f>
        <v>4657050.92</v>
      </c>
    </row>
    <row r="998" spans="1:17" ht="10.5" thickTop="1" x14ac:dyDescent="0.2">
      <c r="Q998" s="456"/>
    </row>
    <row r="1000" spans="1:17" x14ac:dyDescent="0.2">
      <c r="A1000" s="216" t="str">
        <f>$A$270</f>
        <v>[1] Reflects Normalized Volumes.</v>
      </c>
    </row>
    <row r="1001" spans="1:17" ht="10.5" x14ac:dyDescent="0.25">
      <c r="A1001" s="817" t="str">
        <f>CONAME</f>
        <v>Columbia Gas of Kentucky, Inc.</v>
      </c>
      <c r="B1001" s="817"/>
      <c r="C1001" s="817"/>
      <c r="D1001" s="817"/>
      <c r="E1001" s="817"/>
      <c r="F1001" s="817"/>
      <c r="G1001" s="817"/>
      <c r="H1001" s="817"/>
      <c r="I1001" s="817"/>
      <c r="J1001" s="817"/>
      <c r="K1001" s="817"/>
      <c r="L1001" s="817"/>
      <c r="M1001" s="817"/>
      <c r="N1001" s="817"/>
      <c r="O1001" s="817"/>
      <c r="P1001" s="817"/>
      <c r="Q1001" s="817"/>
    </row>
    <row r="1002" spans="1:17" ht="10.5" x14ac:dyDescent="0.25">
      <c r="A1002" s="800" t="str">
        <f>case</f>
        <v>Case No. 2021-00183</v>
      </c>
      <c r="B1002" s="800"/>
      <c r="C1002" s="800"/>
      <c r="D1002" s="800"/>
      <c r="E1002" s="800"/>
      <c r="F1002" s="800"/>
      <c r="G1002" s="800"/>
      <c r="H1002" s="800"/>
      <c r="I1002" s="800"/>
      <c r="J1002" s="800"/>
      <c r="K1002" s="800"/>
      <c r="L1002" s="800"/>
      <c r="M1002" s="800"/>
      <c r="N1002" s="800"/>
      <c r="O1002" s="800"/>
      <c r="P1002" s="800"/>
      <c r="Q1002" s="800"/>
    </row>
    <row r="1003" spans="1:17" ht="10.5" x14ac:dyDescent="0.25">
      <c r="A1003" s="815" t="s">
        <v>414</v>
      </c>
      <c r="B1003" s="815"/>
      <c r="C1003" s="815"/>
      <c r="D1003" s="815"/>
      <c r="E1003" s="815"/>
      <c r="F1003" s="815"/>
      <c r="G1003" s="815"/>
      <c r="H1003" s="815"/>
      <c r="I1003" s="815"/>
      <c r="J1003" s="815"/>
      <c r="K1003" s="815"/>
      <c r="L1003" s="815"/>
      <c r="M1003" s="815"/>
      <c r="N1003" s="815"/>
      <c r="O1003" s="815"/>
      <c r="P1003" s="815"/>
      <c r="Q1003" s="815"/>
    </row>
    <row r="1004" spans="1:17" ht="10.5" x14ac:dyDescent="0.25">
      <c r="A1004" s="817" t="str">
        <f>TYDESC</f>
        <v>For the 12 Months Ended December 31, 2022</v>
      </c>
      <c r="B1004" s="817"/>
      <c r="C1004" s="817"/>
      <c r="D1004" s="817"/>
      <c r="E1004" s="817"/>
      <c r="F1004" s="817"/>
      <c r="G1004" s="817"/>
      <c r="H1004" s="817"/>
      <c r="I1004" s="817"/>
      <c r="J1004" s="817"/>
      <c r="K1004" s="817"/>
      <c r="L1004" s="817"/>
      <c r="M1004" s="817"/>
      <c r="N1004" s="817"/>
      <c r="O1004" s="817"/>
      <c r="P1004" s="817"/>
      <c r="Q1004" s="817"/>
    </row>
    <row r="1005" spans="1:17" ht="10.5" x14ac:dyDescent="0.25">
      <c r="A1005" s="814" t="s">
        <v>39</v>
      </c>
      <c r="B1005" s="814"/>
      <c r="C1005" s="814"/>
      <c r="D1005" s="814"/>
      <c r="E1005" s="814"/>
      <c r="F1005" s="814"/>
      <c r="G1005" s="814"/>
      <c r="H1005" s="814"/>
      <c r="I1005" s="814"/>
      <c r="J1005" s="814"/>
      <c r="K1005" s="814"/>
      <c r="L1005" s="814"/>
      <c r="M1005" s="814"/>
      <c r="N1005" s="814"/>
      <c r="O1005" s="814"/>
      <c r="P1005" s="814"/>
      <c r="Q1005" s="814"/>
    </row>
    <row r="1006" spans="1:17" ht="10.5" x14ac:dyDescent="0.25">
      <c r="A1006" s="245" t="str">
        <f>$A$52</f>
        <v>Data: __ Base Period _X_ Forecasted Period</v>
      </c>
    </row>
    <row r="1007" spans="1:17" ht="10.5" x14ac:dyDescent="0.25">
      <c r="A1007" s="245" t="str">
        <f>$A$53</f>
        <v>Type of Filing: X Original _ Update _ Revised</v>
      </c>
      <c r="Q1007" s="583" t="str">
        <f>$Q$53</f>
        <v>Schedule M-2.2</v>
      </c>
    </row>
    <row r="1008" spans="1:17" ht="10.5" x14ac:dyDescent="0.25">
      <c r="A1008" s="245" t="str">
        <f>$A$54</f>
        <v>Work Paper Reference No(s):</v>
      </c>
      <c r="Q1008" s="583" t="s">
        <v>426</v>
      </c>
    </row>
    <row r="1009" spans="1:17" ht="10.5" x14ac:dyDescent="0.25">
      <c r="A1009" s="373" t="str">
        <f>$A$55</f>
        <v>12 Months Forecasted</v>
      </c>
      <c r="Q1009" s="583" t="str">
        <f>Witness</f>
        <v>Witness:  Judith L. Siegler</v>
      </c>
    </row>
    <row r="1010" spans="1:17" ht="10.5" x14ac:dyDescent="0.25">
      <c r="A1010" s="816" t="s">
        <v>191</v>
      </c>
      <c r="B1010" s="816"/>
      <c r="C1010" s="816"/>
      <c r="D1010" s="816"/>
      <c r="E1010" s="816"/>
      <c r="F1010" s="816"/>
      <c r="G1010" s="816"/>
      <c r="H1010" s="816"/>
      <c r="I1010" s="816"/>
      <c r="J1010" s="816"/>
      <c r="K1010" s="816"/>
      <c r="L1010" s="816"/>
      <c r="M1010" s="816"/>
      <c r="N1010" s="816"/>
      <c r="O1010" s="816"/>
      <c r="P1010" s="816"/>
      <c r="Q1010" s="816"/>
    </row>
    <row r="1011" spans="1:17" ht="10.5" x14ac:dyDescent="0.25">
      <c r="A1011" s="392"/>
      <c r="B1011" s="280"/>
      <c r="C1011" s="280"/>
      <c r="D1011" s="282"/>
      <c r="E1011" s="280"/>
      <c r="F1011" s="438"/>
      <c r="G1011" s="439"/>
      <c r="H1011" s="438"/>
      <c r="I1011" s="440"/>
      <c r="J1011" s="438"/>
      <c r="K1011" s="438"/>
      <c r="L1011" s="438"/>
      <c r="M1011" s="438"/>
      <c r="N1011" s="438"/>
      <c r="O1011" s="438"/>
      <c r="P1011" s="438"/>
      <c r="Q1011" s="280"/>
    </row>
    <row r="1012" spans="1:17" ht="10.5" x14ac:dyDescent="0.25">
      <c r="A1012" s="727" t="s">
        <v>1</v>
      </c>
      <c r="B1012" s="727" t="s">
        <v>0</v>
      </c>
      <c r="C1012" s="727" t="s">
        <v>41</v>
      </c>
      <c r="D1012" s="731" t="s">
        <v>47</v>
      </c>
      <c r="E1012" s="727"/>
      <c r="F1012" s="584"/>
      <c r="G1012" s="587"/>
      <c r="H1012" s="584"/>
      <c r="I1012" s="730"/>
      <c r="J1012" s="584"/>
      <c r="K1012" s="584"/>
      <c r="L1012" s="584"/>
      <c r="M1012" s="584"/>
      <c r="N1012" s="584"/>
      <c r="O1012" s="584"/>
      <c r="P1012" s="584"/>
      <c r="Q1012" s="732"/>
    </row>
    <row r="1013" spans="1:17" ht="10.5" x14ac:dyDescent="0.25">
      <c r="A1013" s="263" t="s">
        <v>3</v>
      </c>
      <c r="B1013" s="263" t="s">
        <v>40</v>
      </c>
      <c r="C1013" s="263" t="s">
        <v>4</v>
      </c>
      <c r="D1013" s="756" t="s">
        <v>48</v>
      </c>
      <c r="E1013" s="380" t="str">
        <f>B!$D$11</f>
        <v>Jan-22</v>
      </c>
      <c r="F1013" s="380" t="str">
        <f>B!$E$11</f>
        <v>Feb-22</v>
      </c>
      <c r="G1013" s="380" t="str">
        <f>B!$F$11</f>
        <v>Mar-22</v>
      </c>
      <c r="H1013" s="380" t="str">
        <f>B!$G$11</f>
        <v>Apr-22</v>
      </c>
      <c r="I1013" s="380" t="str">
        <f>B!$H$11</f>
        <v>May-22</v>
      </c>
      <c r="J1013" s="380" t="str">
        <f>B!$I$11</f>
        <v>Jun-22</v>
      </c>
      <c r="K1013" s="380" t="str">
        <f>B!$J$11</f>
        <v>Jul-22</v>
      </c>
      <c r="L1013" s="380" t="str">
        <f>B!$K$11</f>
        <v>Aug-22</v>
      </c>
      <c r="M1013" s="380" t="str">
        <f>B!$L$11</f>
        <v>Sep-22</v>
      </c>
      <c r="N1013" s="380" t="str">
        <f>B!$M$11</f>
        <v>Oct-22</v>
      </c>
      <c r="O1013" s="380" t="str">
        <f>B!$N$11</f>
        <v>Nov-22</v>
      </c>
      <c r="P1013" s="380" t="str">
        <f>B!$O$11</f>
        <v>Dec-22</v>
      </c>
      <c r="Q1013" s="380" t="s">
        <v>9</v>
      </c>
    </row>
    <row r="1014" spans="1:17" ht="10.5" x14ac:dyDescent="0.25">
      <c r="A1014" s="727"/>
      <c r="B1014" s="732" t="s">
        <v>42</v>
      </c>
      <c r="C1014" s="732" t="s">
        <v>43</v>
      </c>
      <c r="D1014" s="757" t="s">
        <v>45</v>
      </c>
      <c r="E1014" s="586" t="s">
        <v>46</v>
      </c>
      <c r="F1014" s="586" t="s">
        <v>49</v>
      </c>
      <c r="G1014" s="586" t="s">
        <v>50</v>
      </c>
      <c r="H1014" s="586" t="s">
        <v>51</v>
      </c>
      <c r="I1014" s="586" t="s">
        <v>52</v>
      </c>
      <c r="J1014" s="586" t="s">
        <v>53</v>
      </c>
      <c r="K1014" s="588" t="s">
        <v>54</v>
      </c>
      <c r="L1014" s="588" t="s">
        <v>55</v>
      </c>
      <c r="M1014" s="588" t="s">
        <v>56</v>
      </c>
      <c r="N1014" s="588" t="s">
        <v>57</v>
      </c>
      <c r="O1014" s="588" t="s">
        <v>58</v>
      </c>
      <c r="P1014" s="588" t="s">
        <v>59</v>
      </c>
      <c r="Q1014" s="588" t="s">
        <v>200</v>
      </c>
    </row>
    <row r="1016" spans="1:17" x14ac:dyDescent="0.2">
      <c r="A1016" s="216">
        <v>1</v>
      </c>
      <c r="B1016" s="216" t="str">
        <f>B262</f>
        <v>GDS</v>
      </c>
      <c r="C1016" s="216" t="str">
        <f>C262</f>
        <v>GTS Grandfathered Delivery Service - Commercial</v>
      </c>
    </row>
    <row r="1018" spans="1:17" ht="10.5" x14ac:dyDescent="0.25">
      <c r="A1018" s="216">
        <f>A1016+1</f>
        <v>2</v>
      </c>
      <c r="C1018" s="245" t="s">
        <v>111</v>
      </c>
    </row>
    <row r="1019" spans="1:17" ht="10.5" x14ac:dyDescent="0.25">
      <c r="C1019" s="245"/>
    </row>
    <row r="1020" spans="1:17" x14ac:dyDescent="0.2">
      <c r="A1020" s="216">
        <f>A1018+1</f>
        <v>3</v>
      </c>
      <c r="C1020" s="216" t="s">
        <v>199</v>
      </c>
      <c r="E1020" s="421">
        <f>B!D194</f>
        <v>14</v>
      </c>
      <c r="F1020" s="421">
        <f>B!E194</f>
        <v>14</v>
      </c>
      <c r="G1020" s="421">
        <f>B!F194</f>
        <v>13</v>
      </c>
      <c r="H1020" s="421">
        <f>B!G194</f>
        <v>13</v>
      </c>
      <c r="I1020" s="421">
        <f>B!H194</f>
        <v>13</v>
      </c>
      <c r="J1020" s="421">
        <f>B!I194</f>
        <v>13</v>
      </c>
      <c r="K1020" s="421">
        <f>B!J194</f>
        <v>13</v>
      </c>
      <c r="L1020" s="421">
        <f>B!K194</f>
        <v>13</v>
      </c>
      <c r="M1020" s="421">
        <f>B!L194</f>
        <v>13</v>
      </c>
      <c r="N1020" s="421">
        <f>B!M194</f>
        <v>13</v>
      </c>
      <c r="O1020" s="421">
        <f>B!N194</f>
        <v>13</v>
      </c>
      <c r="P1020" s="421">
        <f>B!O194</f>
        <v>13</v>
      </c>
      <c r="Q1020" s="421">
        <f>SUM(E1020:P1020)</f>
        <v>158</v>
      </c>
    </row>
    <row r="1021" spans="1:17" x14ac:dyDescent="0.2">
      <c r="A1021" s="216">
        <f>A1020+1</f>
        <v>4</v>
      </c>
      <c r="C1021" s="216" t="s">
        <v>207</v>
      </c>
      <c r="D1021" s="608">
        <f>Input!H43</f>
        <v>44.69</v>
      </c>
      <c r="E1021" s="419">
        <f t="shared" ref="E1021:P1021" si="348">ROUND(E1020*$D$1021,2)</f>
        <v>625.66</v>
      </c>
      <c r="F1021" s="419">
        <f t="shared" si="348"/>
        <v>625.66</v>
      </c>
      <c r="G1021" s="419">
        <f t="shared" si="348"/>
        <v>580.97</v>
      </c>
      <c r="H1021" s="419">
        <f t="shared" si="348"/>
        <v>580.97</v>
      </c>
      <c r="I1021" s="419">
        <f t="shared" si="348"/>
        <v>580.97</v>
      </c>
      <c r="J1021" s="419">
        <f t="shared" si="348"/>
        <v>580.97</v>
      </c>
      <c r="K1021" s="419">
        <f t="shared" si="348"/>
        <v>580.97</v>
      </c>
      <c r="L1021" s="419">
        <f t="shared" si="348"/>
        <v>580.97</v>
      </c>
      <c r="M1021" s="419">
        <f t="shared" si="348"/>
        <v>580.97</v>
      </c>
      <c r="N1021" s="419">
        <f t="shared" si="348"/>
        <v>580.97</v>
      </c>
      <c r="O1021" s="419">
        <f t="shared" si="348"/>
        <v>580.97</v>
      </c>
      <c r="P1021" s="419">
        <f t="shared" si="348"/>
        <v>580.97</v>
      </c>
      <c r="Q1021" s="419">
        <f>SUM(E1021:P1021)</f>
        <v>7061.0200000000023</v>
      </c>
    </row>
    <row r="1022" spans="1:17" x14ac:dyDescent="0.2">
      <c r="A1022" s="216">
        <f>A1021+1</f>
        <v>5</v>
      </c>
      <c r="C1022" s="216" t="s">
        <v>214</v>
      </c>
      <c r="D1022" s="608">
        <f>Input!I43</f>
        <v>0</v>
      </c>
      <c r="E1022" s="419">
        <f t="shared" ref="E1022:P1022" si="349">ROUND(E1020*$D$1022,2)</f>
        <v>0</v>
      </c>
      <c r="F1022" s="419">
        <f t="shared" si="349"/>
        <v>0</v>
      </c>
      <c r="G1022" s="419">
        <f t="shared" si="349"/>
        <v>0</v>
      </c>
      <c r="H1022" s="419">
        <f t="shared" si="349"/>
        <v>0</v>
      </c>
      <c r="I1022" s="419">
        <f t="shared" si="349"/>
        <v>0</v>
      </c>
      <c r="J1022" s="419">
        <f t="shared" si="349"/>
        <v>0</v>
      </c>
      <c r="K1022" s="419">
        <f t="shared" si="349"/>
        <v>0</v>
      </c>
      <c r="L1022" s="419">
        <f t="shared" si="349"/>
        <v>0</v>
      </c>
      <c r="M1022" s="419">
        <f t="shared" si="349"/>
        <v>0</v>
      </c>
      <c r="N1022" s="419">
        <f t="shared" si="349"/>
        <v>0</v>
      </c>
      <c r="O1022" s="419">
        <f t="shared" si="349"/>
        <v>0</v>
      </c>
      <c r="P1022" s="419">
        <f t="shared" si="349"/>
        <v>0</v>
      </c>
      <c r="Q1022" s="419">
        <f>SUM(E1022:P1022)</f>
        <v>0</v>
      </c>
    </row>
    <row r="1023" spans="1:17" x14ac:dyDescent="0.2">
      <c r="A1023" s="216">
        <f>A1022+1</f>
        <v>6</v>
      </c>
      <c r="C1023" s="216" t="s">
        <v>208</v>
      </c>
      <c r="D1023" s="608">
        <f>Input!K43</f>
        <v>24.31</v>
      </c>
      <c r="E1023" s="419">
        <f t="shared" ref="E1023:P1023" si="350">ROUND(E1020*$D$1023,2)</f>
        <v>340.34</v>
      </c>
      <c r="F1023" s="419">
        <f t="shared" si="350"/>
        <v>340.34</v>
      </c>
      <c r="G1023" s="419">
        <f t="shared" si="350"/>
        <v>316.02999999999997</v>
      </c>
      <c r="H1023" s="419">
        <f t="shared" si="350"/>
        <v>316.02999999999997</v>
      </c>
      <c r="I1023" s="419">
        <f t="shared" si="350"/>
        <v>316.02999999999997</v>
      </c>
      <c r="J1023" s="419">
        <f t="shared" si="350"/>
        <v>316.02999999999997</v>
      </c>
      <c r="K1023" s="419">
        <f t="shared" si="350"/>
        <v>316.02999999999997</v>
      </c>
      <c r="L1023" s="419">
        <f t="shared" si="350"/>
        <v>316.02999999999997</v>
      </c>
      <c r="M1023" s="419">
        <f t="shared" si="350"/>
        <v>316.02999999999997</v>
      </c>
      <c r="N1023" s="419">
        <f t="shared" si="350"/>
        <v>316.02999999999997</v>
      </c>
      <c r="O1023" s="419">
        <f t="shared" si="350"/>
        <v>316.02999999999997</v>
      </c>
      <c r="P1023" s="419">
        <f t="shared" si="350"/>
        <v>316.02999999999997</v>
      </c>
      <c r="Q1023" s="419">
        <f>SUM(E1023:P1023)</f>
        <v>3840.9799999999987</v>
      </c>
    </row>
    <row r="1025" spans="1:19" x14ac:dyDescent="0.2">
      <c r="A1025" s="216">
        <f>A1023+1</f>
        <v>7</v>
      </c>
      <c r="C1025" s="216" t="s">
        <v>206</v>
      </c>
      <c r="F1025" s="216"/>
      <c r="G1025" s="216"/>
      <c r="H1025" s="216"/>
      <c r="I1025" s="216"/>
      <c r="J1025" s="216"/>
      <c r="K1025" s="216"/>
      <c r="L1025" s="216"/>
      <c r="M1025" s="216"/>
      <c r="N1025" s="216"/>
      <c r="O1025" s="216"/>
      <c r="P1025" s="216"/>
    </row>
    <row r="1026" spans="1:19" x14ac:dyDescent="0.2">
      <c r="A1026" s="216">
        <f>A1025+1</f>
        <v>8</v>
      </c>
      <c r="C1026" s="216" t="str">
        <f>'C'!B291</f>
        <v xml:space="preserve">    First 50 Mcf</v>
      </c>
      <c r="E1026" s="424">
        <f>'C'!D303</f>
        <v>650</v>
      </c>
      <c r="F1026" s="424">
        <f>'C'!E303</f>
        <v>650</v>
      </c>
      <c r="G1026" s="424">
        <f>'C'!F303</f>
        <v>650</v>
      </c>
      <c r="H1026" s="424">
        <f>'C'!G303</f>
        <v>650</v>
      </c>
      <c r="I1026" s="424">
        <f>'C'!H303</f>
        <v>650</v>
      </c>
      <c r="J1026" s="424">
        <f>'C'!I303</f>
        <v>600</v>
      </c>
      <c r="K1026" s="424">
        <f>'C'!J303</f>
        <v>600</v>
      </c>
      <c r="L1026" s="424">
        <f>'C'!K303</f>
        <v>600</v>
      </c>
      <c r="M1026" s="424">
        <f>'C'!L303</f>
        <v>600</v>
      </c>
      <c r="N1026" s="424">
        <f>'C'!M303</f>
        <v>600</v>
      </c>
      <c r="O1026" s="424">
        <f>'C'!N303</f>
        <v>650</v>
      </c>
      <c r="P1026" s="424">
        <f>'C'!O303</f>
        <v>650</v>
      </c>
      <c r="Q1026" s="424">
        <f>SUM(E1026:P1026)</f>
        <v>7550</v>
      </c>
    </row>
    <row r="1027" spans="1:19" x14ac:dyDescent="0.2">
      <c r="A1027" s="216">
        <f>A1026+1</f>
        <v>9</v>
      </c>
      <c r="C1027" s="216" t="str">
        <f>'C'!B292</f>
        <v xml:space="preserve">    Next 350 Mcf</v>
      </c>
      <c r="E1027" s="424">
        <f>'C'!D304</f>
        <v>4550</v>
      </c>
      <c r="F1027" s="424">
        <f>'C'!E304</f>
        <v>4550</v>
      </c>
      <c r="G1027" s="424">
        <f>'C'!F304</f>
        <v>4550</v>
      </c>
      <c r="H1027" s="424">
        <f>'C'!G304</f>
        <v>4550</v>
      </c>
      <c r="I1027" s="424">
        <f>'C'!H304</f>
        <v>4523.8</v>
      </c>
      <c r="J1027" s="424">
        <f>'C'!I304</f>
        <v>4200</v>
      </c>
      <c r="K1027" s="424">
        <f>'C'!J304</f>
        <v>4137.7</v>
      </c>
      <c r="L1027" s="424">
        <f>'C'!K304</f>
        <v>4159.3</v>
      </c>
      <c r="M1027" s="424">
        <f>'C'!L304</f>
        <v>4180.1000000000004</v>
      </c>
      <c r="N1027" s="424">
        <f>'C'!M304</f>
        <v>4200</v>
      </c>
      <c r="O1027" s="424">
        <f>'C'!N304</f>
        <v>4550</v>
      </c>
      <c r="P1027" s="424">
        <f>'C'!O304</f>
        <v>4550</v>
      </c>
      <c r="Q1027" s="424">
        <f>SUM(E1027:P1027)</f>
        <v>52700.9</v>
      </c>
    </row>
    <row r="1028" spans="1:19" x14ac:dyDescent="0.2">
      <c r="A1028" s="216">
        <f>A1027+1</f>
        <v>10</v>
      </c>
      <c r="C1028" s="216" t="str">
        <f>'C'!B293</f>
        <v xml:space="preserve">    Next 600 Mcf</v>
      </c>
      <c r="E1028" s="424">
        <f>'C'!D305</f>
        <v>7800</v>
      </c>
      <c r="F1028" s="424">
        <f>'C'!E305</f>
        <v>7800</v>
      </c>
      <c r="G1028" s="424">
        <f>'C'!F305</f>
        <v>7751.4</v>
      </c>
      <c r="H1028" s="424">
        <f>'C'!G305</f>
        <v>7800</v>
      </c>
      <c r="I1028" s="424">
        <f>'C'!H305</f>
        <v>6881.9</v>
      </c>
      <c r="J1028" s="424">
        <f>'C'!I305</f>
        <v>5445.8</v>
      </c>
      <c r="K1028" s="424">
        <f>'C'!J305</f>
        <v>5512.4</v>
      </c>
      <c r="L1028" s="424">
        <f>'C'!K305</f>
        <v>6047</v>
      </c>
      <c r="M1028" s="424">
        <f>'C'!L305</f>
        <v>5917.8</v>
      </c>
      <c r="N1028" s="424">
        <f>'C'!M305</f>
        <v>4600.3999999999996</v>
      </c>
      <c r="O1028" s="424">
        <f>'C'!N305</f>
        <v>7700</v>
      </c>
      <c r="P1028" s="424">
        <f>'C'!O305</f>
        <v>7800</v>
      </c>
      <c r="Q1028" s="424">
        <f>SUM(E1028:P1028)</f>
        <v>81056.700000000012</v>
      </c>
    </row>
    <row r="1029" spans="1:19" x14ac:dyDescent="0.2">
      <c r="A1029" s="216">
        <f>A1028+1</f>
        <v>11</v>
      </c>
      <c r="C1029" s="216" t="str">
        <f>'C'!B294</f>
        <v xml:space="preserve">    Over 1,000 Mcf</v>
      </c>
      <c r="E1029" s="448">
        <f>'C'!D306</f>
        <v>53917</v>
      </c>
      <c r="F1029" s="448">
        <f>'C'!E306</f>
        <v>63267.1</v>
      </c>
      <c r="G1029" s="448">
        <f>'C'!F306</f>
        <v>14971.4</v>
      </c>
      <c r="H1029" s="448">
        <f>'C'!G306</f>
        <v>29749.200000000001</v>
      </c>
      <c r="I1029" s="448">
        <f>'C'!H306</f>
        <v>2447.6</v>
      </c>
      <c r="J1029" s="448">
        <f>'C'!I306</f>
        <v>3086.7</v>
      </c>
      <c r="K1029" s="448">
        <f>'C'!J306</f>
        <v>4225.8</v>
      </c>
      <c r="L1029" s="448">
        <f>'C'!K306</f>
        <v>5084.2</v>
      </c>
      <c r="M1029" s="448">
        <f>'C'!L306</f>
        <v>3599.9</v>
      </c>
      <c r="N1029" s="448">
        <f>'C'!M306</f>
        <v>1264.4000000000001</v>
      </c>
      <c r="O1029" s="448">
        <f>'C'!N306</f>
        <v>12116</v>
      </c>
      <c r="P1029" s="448">
        <f>'C'!O306</f>
        <v>45790.6</v>
      </c>
      <c r="Q1029" s="448">
        <f>SUM(E1029:P1029)</f>
        <v>239519.90000000002</v>
      </c>
    </row>
    <row r="1030" spans="1:19" x14ac:dyDescent="0.2">
      <c r="D1030" s="609"/>
      <c r="E1030" s="424">
        <f t="shared" ref="E1030:O1030" si="351">SUM(E1026:E1029)</f>
        <v>66917</v>
      </c>
      <c r="F1030" s="424">
        <f t="shared" si="351"/>
        <v>76267.100000000006</v>
      </c>
      <c r="G1030" s="424">
        <f t="shared" si="351"/>
        <v>27922.799999999999</v>
      </c>
      <c r="H1030" s="424">
        <f t="shared" si="351"/>
        <v>42749.2</v>
      </c>
      <c r="I1030" s="424">
        <f t="shared" si="351"/>
        <v>14503.300000000001</v>
      </c>
      <c r="J1030" s="424">
        <f t="shared" si="351"/>
        <v>13332.5</v>
      </c>
      <c r="K1030" s="424">
        <f t="shared" si="351"/>
        <v>14475.899999999998</v>
      </c>
      <c r="L1030" s="424">
        <f t="shared" si="351"/>
        <v>15890.5</v>
      </c>
      <c r="M1030" s="424">
        <f t="shared" si="351"/>
        <v>14297.800000000001</v>
      </c>
      <c r="N1030" s="424">
        <f t="shared" si="351"/>
        <v>10664.8</v>
      </c>
      <c r="O1030" s="424">
        <f t="shared" si="351"/>
        <v>25016</v>
      </c>
      <c r="P1030" s="424">
        <f>SUM(P1026:P1029)</f>
        <v>58790.6</v>
      </c>
      <c r="Q1030" s="424">
        <f>SUM(E1030:P1030)</f>
        <v>380827.49999999988</v>
      </c>
      <c r="S1030" s="424"/>
    </row>
    <row r="1031" spans="1:19" x14ac:dyDescent="0.2">
      <c r="A1031" s="216">
        <f>A1029+1</f>
        <v>12</v>
      </c>
      <c r="C1031" s="216" t="s">
        <v>204</v>
      </c>
      <c r="Q1031" s="456"/>
    </row>
    <row r="1032" spans="1:19" x14ac:dyDescent="0.2">
      <c r="A1032" s="216">
        <f>A1031+1</f>
        <v>13</v>
      </c>
      <c r="C1032" s="216" t="str">
        <f>C1026</f>
        <v xml:space="preserve">    First 50 Mcf</v>
      </c>
      <c r="D1032" s="609">
        <f>Input!C43</f>
        <v>3.0181</v>
      </c>
      <c r="E1032" s="419">
        <f t="shared" ref="E1032:P1032" si="352">ROUND(E1026*$D$1032,2)</f>
        <v>1961.77</v>
      </c>
      <c r="F1032" s="419">
        <f t="shared" si="352"/>
        <v>1961.77</v>
      </c>
      <c r="G1032" s="419">
        <f t="shared" si="352"/>
        <v>1961.77</v>
      </c>
      <c r="H1032" s="419">
        <f t="shared" si="352"/>
        <v>1961.77</v>
      </c>
      <c r="I1032" s="419">
        <f t="shared" si="352"/>
        <v>1961.77</v>
      </c>
      <c r="J1032" s="419">
        <f t="shared" si="352"/>
        <v>1810.86</v>
      </c>
      <c r="K1032" s="419">
        <f t="shared" si="352"/>
        <v>1810.86</v>
      </c>
      <c r="L1032" s="419">
        <f t="shared" si="352"/>
        <v>1810.86</v>
      </c>
      <c r="M1032" s="419">
        <f t="shared" si="352"/>
        <v>1810.86</v>
      </c>
      <c r="N1032" s="419">
        <f t="shared" si="352"/>
        <v>1810.86</v>
      </c>
      <c r="O1032" s="419">
        <f t="shared" si="352"/>
        <v>1961.77</v>
      </c>
      <c r="P1032" s="419">
        <f t="shared" si="352"/>
        <v>1961.77</v>
      </c>
      <c r="Q1032" s="419">
        <f t="shared" ref="Q1032:Q1039" si="353">SUM(E1032:P1032)</f>
        <v>22786.690000000002</v>
      </c>
    </row>
    <row r="1033" spans="1:19" x14ac:dyDescent="0.2">
      <c r="A1033" s="216">
        <f>A1032+1</f>
        <v>14</v>
      </c>
      <c r="C1033" s="216" t="str">
        <f>C1027</f>
        <v xml:space="preserve">    Next 350 Mcf</v>
      </c>
      <c r="D1033" s="609">
        <f>Input!D43</f>
        <v>2.3294999999999999</v>
      </c>
      <c r="E1033" s="421">
        <f t="shared" ref="E1033:P1033" si="354">ROUND(E1027*$D$1033,2)</f>
        <v>10599.23</v>
      </c>
      <c r="F1033" s="421">
        <f t="shared" si="354"/>
        <v>10599.23</v>
      </c>
      <c r="G1033" s="421">
        <f t="shared" si="354"/>
        <v>10599.23</v>
      </c>
      <c r="H1033" s="421">
        <f t="shared" si="354"/>
        <v>10599.23</v>
      </c>
      <c r="I1033" s="421">
        <f t="shared" si="354"/>
        <v>10538.19</v>
      </c>
      <c r="J1033" s="421">
        <f t="shared" si="354"/>
        <v>9783.9</v>
      </c>
      <c r="K1033" s="421">
        <f t="shared" si="354"/>
        <v>9638.77</v>
      </c>
      <c r="L1033" s="421">
        <f t="shared" si="354"/>
        <v>9689.09</v>
      </c>
      <c r="M1033" s="421">
        <f t="shared" si="354"/>
        <v>9737.5400000000009</v>
      </c>
      <c r="N1033" s="421">
        <f t="shared" si="354"/>
        <v>9783.9</v>
      </c>
      <c r="O1033" s="421">
        <f t="shared" si="354"/>
        <v>10599.23</v>
      </c>
      <c r="P1033" s="421">
        <f t="shared" si="354"/>
        <v>10599.23</v>
      </c>
      <c r="Q1033" s="421">
        <f t="shared" si="353"/>
        <v>122766.76999999999</v>
      </c>
    </row>
    <row r="1034" spans="1:19" x14ac:dyDescent="0.2">
      <c r="A1034" s="216">
        <f>A1033+1</f>
        <v>15</v>
      </c>
      <c r="C1034" s="216" t="str">
        <f>C1028</f>
        <v xml:space="preserve">    Next 600 Mcf</v>
      </c>
      <c r="D1034" s="609">
        <f>Input!E43</f>
        <v>2.2143000000000002</v>
      </c>
      <c r="E1034" s="421">
        <f t="shared" ref="E1034:P1034" si="355">ROUND(E1028*$D$1034,2)</f>
        <v>17271.54</v>
      </c>
      <c r="F1034" s="421">
        <f t="shared" si="355"/>
        <v>17271.54</v>
      </c>
      <c r="G1034" s="421">
        <f t="shared" si="355"/>
        <v>17163.93</v>
      </c>
      <c r="H1034" s="421">
        <f t="shared" si="355"/>
        <v>17271.54</v>
      </c>
      <c r="I1034" s="421">
        <f t="shared" si="355"/>
        <v>15238.59</v>
      </c>
      <c r="J1034" s="421">
        <f t="shared" si="355"/>
        <v>12058.63</v>
      </c>
      <c r="K1034" s="421">
        <f t="shared" si="355"/>
        <v>12206.11</v>
      </c>
      <c r="L1034" s="421">
        <f t="shared" si="355"/>
        <v>13389.87</v>
      </c>
      <c r="M1034" s="421">
        <f t="shared" si="355"/>
        <v>13103.78</v>
      </c>
      <c r="N1034" s="421">
        <f t="shared" si="355"/>
        <v>10186.67</v>
      </c>
      <c r="O1034" s="421">
        <f t="shared" si="355"/>
        <v>17050.11</v>
      </c>
      <c r="P1034" s="421">
        <f t="shared" si="355"/>
        <v>17271.54</v>
      </c>
      <c r="Q1034" s="421">
        <f t="shared" si="353"/>
        <v>179483.85</v>
      </c>
    </row>
    <row r="1035" spans="1:19" ht="11.5" x14ac:dyDescent="0.35">
      <c r="A1035" s="216">
        <f>A1034+1</f>
        <v>16</v>
      </c>
      <c r="C1035" s="216" t="str">
        <f>C1029</f>
        <v xml:space="preserve">    Over 1,000 Mcf</v>
      </c>
      <c r="D1035" s="609">
        <f>Input!F43</f>
        <v>2.0143</v>
      </c>
      <c r="E1035" s="450">
        <f t="shared" ref="E1035:P1035" si="356">ROUND(E1029*$D$1035,2)</f>
        <v>108605.01</v>
      </c>
      <c r="F1035" s="450">
        <f t="shared" si="356"/>
        <v>127438.92</v>
      </c>
      <c r="G1035" s="450">
        <f t="shared" si="356"/>
        <v>30156.89</v>
      </c>
      <c r="H1035" s="450">
        <f t="shared" si="356"/>
        <v>59923.81</v>
      </c>
      <c r="I1035" s="450">
        <f t="shared" si="356"/>
        <v>4930.2</v>
      </c>
      <c r="J1035" s="450">
        <f t="shared" si="356"/>
        <v>6217.54</v>
      </c>
      <c r="K1035" s="450">
        <f t="shared" si="356"/>
        <v>8512.0300000000007</v>
      </c>
      <c r="L1035" s="450">
        <f t="shared" si="356"/>
        <v>10241.1</v>
      </c>
      <c r="M1035" s="450">
        <f t="shared" si="356"/>
        <v>7251.28</v>
      </c>
      <c r="N1035" s="450">
        <f t="shared" si="356"/>
        <v>2546.88</v>
      </c>
      <c r="O1035" s="450">
        <f t="shared" si="356"/>
        <v>24405.26</v>
      </c>
      <c r="P1035" s="450">
        <f t="shared" si="356"/>
        <v>92236.01</v>
      </c>
      <c r="Q1035" s="596">
        <f t="shared" si="353"/>
        <v>482464.93000000005</v>
      </c>
    </row>
    <row r="1036" spans="1:19" x14ac:dyDescent="0.2">
      <c r="E1036" s="419">
        <f t="shared" ref="E1036:O1036" si="357">SUM(E1032:E1035)</f>
        <v>138437.54999999999</v>
      </c>
      <c r="F1036" s="419">
        <f t="shared" si="357"/>
        <v>157271.46</v>
      </c>
      <c r="G1036" s="419">
        <f t="shared" si="357"/>
        <v>59881.82</v>
      </c>
      <c r="H1036" s="419">
        <f t="shared" si="357"/>
        <v>89756.35</v>
      </c>
      <c r="I1036" s="419">
        <f t="shared" si="357"/>
        <v>32668.750000000004</v>
      </c>
      <c r="J1036" s="419">
        <f t="shared" si="357"/>
        <v>29870.93</v>
      </c>
      <c r="K1036" s="419">
        <f t="shared" si="357"/>
        <v>32167.770000000004</v>
      </c>
      <c r="L1036" s="419">
        <f t="shared" si="357"/>
        <v>35130.92</v>
      </c>
      <c r="M1036" s="419">
        <f t="shared" si="357"/>
        <v>31903.46</v>
      </c>
      <c r="N1036" s="419">
        <f t="shared" si="357"/>
        <v>24328.31</v>
      </c>
      <c r="O1036" s="419">
        <f t="shared" si="357"/>
        <v>54016.369999999995</v>
      </c>
      <c r="P1036" s="419">
        <f>SUM(P1032:P1035)</f>
        <v>122068.54999999999</v>
      </c>
      <c r="Q1036" s="419">
        <f t="shared" si="353"/>
        <v>807502.24</v>
      </c>
    </row>
    <row r="1037" spans="1:19" x14ac:dyDescent="0.2">
      <c r="A1037" s="216">
        <f>A1035+1</f>
        <v>17</v>
      </c>
      <c r="C1037" s="772" t="s">
        <v>140</v>
      </c>
      <c r="D1037" s="609">
        <f>Input!N43</f>
        <v>1.44E-2</v>
      </c>
      <c r="E1037" s="419">
        <f>ROUND($D$1037*E1030,2)</f>
        <v>963.6</v>
      </c>
      <c r="F1037" s="419">
        <f t="shared" ref="F1037:P1037" si="358">ROUND($D$1037*F1030,2)</f>
        <v>1098.25</v>
      </c>
      <c r="G1037" s="419">
        <f t="shared" si="358"/>
        <v>402.09</v>
      </c>
      <c r="H1037" s="419">
        <f t="shared" si="358"/>
        <v>615.59</v>
      </c>
      <c r="I1037" s="419">
        <f t="shared" si="358"/>
        <v>208.85</v>
      </c>
      <c r="J1037" s="419">
        <f t="shared" si="358"/>
        <v>191.99</v>
      </c>
      <c r="K1037" s="419">
        <f t="shared" si="358"/>
        <v>208.45</v>
      </c>
      <c r="L1037" s="419">
        <f t="shared" si="358"/>
        <v>228.82</v>
      </c>
      <c r="M1037" s="419">
        <f t="shared" si="358"/>
        <v>205.89</v>
      </c>
      <c r="N1037" s="419">
        <f t="shared" si="358"/>
        <v>153.57</v>
      </c>
      <c r="O1037" s="419">
        <f t="shared" si="358"/>
        <v>360.23</v>
      </c>
      <c r="P1037" s="419">
        <f t="shared" si="358"/>
        <v>846.58</v>
      </c>
      <c r="Q1037" s="419">
        <f>SUM(E1037:P1037)</f>
        <v>5483.91</v>
      </c>
    </row>
    <row r="1038" spans="1:19" ht="11.5" x14ac:dyDescent="0.35">
      <c r="A1038" s="216">
        <f>A1037+1</f>
        <v>18</v>
      </c>
      <c r="C1038" s="772" t="s">
        <v>529</v>
      </c>
      <c r="D1038" s="609">
        <f>Input!J43</f>
        <v>-0.16800000000000001</v>
      </c>
      <c r="E1038" s="450">
        <f>ROUND($D$1038*E1030,2)</f>
        <v>-11242.06</v>
      </c>
      <c r="F1038" s="450">
        <f t="shared" ref="F1038:P1038" si="359">ROUND($D$1038*F1030,2)</f>
        <v>-12812.87</v>
      </c>
      <c r="G1038" s="450">
        <f t="shared" si="359"/>
        <v>-4691.03</v>
      </c>
      <c r="H1038" s="450">
        <f t="shared" si="359"/>
        <v>-7181.87</v>
      </c>
      <c r="I1038" s="450">
        <f t="shared" si="359"/>
        <v>-2436.5500000000002</v>
      </c>
      <c r="J1038" s="450">
        <f t="shared" si="359"/>
        <v>-2239.86</v>
      </c>
      <c r="K1038" s="450">
        <f t="shared" si="359"/>
        <v>-2431.9499999999998</v>
      </c>
      <c r="L1038" s="450">
        <f t="shared" si="359"/>
        <v>-2669.6</v>
      </c>
      <c r="M1038" s="450">
        <f t="shared" si="359"/>
        <v>-2402.0300000000002</v>
      </c>
      <c r="N1038" s="450">
        <f t="shared" si="359"/>
        <v>-1791.69</v>
      </c>
      <c r="O1038" s="450">
        <f t="shared" si="359"/>
        <v>-4202.6899999999996</v>
      </c>
      <c r="P1038" s="450">
        <f t="shared" si="359"/>
        <v>-9876.82</v>
      </c>
      <c r="Q1038" s="666">
        <f t="shared" si="353"/>
        <v>-63979.020000000004</v>
      </c>
    </row>
    <row r="1039" spans="1:19" x14ac:dyDescent="0.2">
      <c r="A1039" s="216">
        <f>A1038+1</f>
        <v>19</v>
      </c>
      <c r="C1039" s="216" t="s">
        <v>201</v>
      </c>
      <c r="E1039" s="419">
        <f>E1021+E1022+E1023+E1036+E1038+E1037</f>
        <v>129125.09</v>
      </c>
      <c r="F1039" s="419">
        <f t="shared" ref="F1039:P1039" si="360">F1021+F1022+F1023+F1036+F1038+F1037</f>
        <v>146522.84</v>
      </c>
      <c r="G1039" s="419">
        <f t="shared" si="360"/>
        <v>56489.88</v>
      </c>
      <c r="H1039" s="419">
        <f t="shared" si="360"/>
        <v>84087.07</v>
      </c>
      <c r="I1039" s="419">
        <f t="shared" si="360"/>
        <v>31338.05</v>
      </c>
      <c r="J1039" s="419">
        <f t="shared" si="360"/>
        <v>28720.06</v>
      </c>
      <c r="K1039" s="419">
        <f t="shared" si="360"/>
        <v>30841.270000000004</v>
      </c>
      <c r="L1039" s="419">
        <f t="shared" si="360"/>
        <v>33587.14</v>
      </c>
      <c r="M1039" s="419">
        <f t="shared" si="360"/>
        <v>30604.32</v>
      </c>
      <c r="N1039" s="419">
        <f t="shared" si="360"/>
        <v>23587.190000000002</v>
      </c>
      <c r="O1039" s="419">
        <f t="shared" si="360"/>
        <v>51070.909999999996</v>
      </c>
      <c r="P1039" s="419">
        <f t="shared" si="360"/>
        <v>113935.30999999998</v>
      </c>
      <c r="Q1039" s="419">
        <f t="shared" si="353"/>
        <v>759909.12999999989</v>
      </c>
    </row>
    <row r="1040" spans="1:19" x14ac:dyDescent="0.2">
      <c r="E1040" s="417"/>
      <c r="F1040" s="417"/>
      <c r="G1040" s="417"/>
      <c r="H1040" s="417"/>
      <c r="I1040" s="417"/>
      <c r="J1040" s="417"/>
      <c r="K1040" s="417"/>
      <c r="L1040" s="417"/>
      <c r="M1040" s="417"/>
      <c r="N1040" s="417"/>
      <c r="O1040" s="417"/>
      <c r="P1040" s="417"/>
      <c r="Q1040" s="417"/>
    </row>
    <row r="1041" spans="1:17" x14ac:dyDescent="0.2">
      <c r="A1041" s="216">
        <f>A1039+1</f>
        <v>20</v>
      </c>
      <c r="C1041" s="216" t="s">
        <v>148</v>
      </c>
      <c r="D1041" s="609">
        <v>0</v>
      </c>
      <c r="E1041" s="419">
        <v>0</v>
      </c>
      <c r="F1041" s="419">
        <v>0</v>
      </c>
      <c r="G1041" s="419">
        <v>0</v>
      </c>
      <c r="H1041" s="419">
        <v>0</v>
      </c>
      <c r="I1041" s="419">
        <v>0</v>
      </c>
      <c r="J1041" s="419">
        <v>0</v>
      </c>
      <c r="K1041" s="419">
        <v>0</v>
      </c>
      <c r="L1041" s="419">
        <v>0</v>
      </c>
      <c r="M1041" s="419">
        <v>0</v>
      </c>
      <c r="N1041" s="419">
        <v>0</v>
      </c>
      <c r="O1041" s="419">
        <v>0</v>
      </c>
      <c r="P1041" s="419">
        <v>0</v>
      </c>
      <c r="Q1041" s="419">
        <f>SUM(E1041:P1041)</f>
        <v>0</v>
      </c>
    </row>
    <row r="1042" spans="1:17" x14ac:dyDescent="0.2">
      <c r="E1042" s="417"/>
      <c r="F1042" s="417"/>
      <c r="G1042" s="417"/>
      <c r="H1042" s="417"/>
      <c r="I1042" s="417"/>
      <c r="J1042" s="417"/>
      <c r="K1042" s="417"/>
      <c r="L1042" s="417"/>
      <c r="M1042" s="417"/>
      <c r="N1042" s="417"/>
      <c r="O1042" s="417"/>
      <c r="P1042" s="417"/>
      <c r="Q1042" s="417"/>
    </row>
    <row r="1043" spans="1:17" ht="10.5" thickBot="1" x14ac:dyDescent="0.25">
      <c r="A1043" s="433">
        <f>A1041+1</f>
        <v>21</v>
      </c>
      <c r="B1043" s="433"/>
      <c r="C1043" s="433" t="s">
        <v>202</v>
      </c>
      <c r="D1043" s="770"/>
      <c r="E1043" s="675">
        <f t="shared" ref="E1043:O1043" si="361">E1039+E1041</f>
        <v>129125.09</v>
      </c>
      <c r="F1043" s="675">
        <f t="shared" si="361"/>
        <v>146522.84</v>
      </c>
      <c r="G1043" s="675">
        <f t="shared" si="361"/>
        <v>56489.88</v>
      </c>
      <c r="H1043" s="675">
        <f t="shared" si="361"/>
        <v>84087.07</v>
      </c>
      <c r="I1043" s="675">
        <f t="shared" si="361"/>
        <v>31338.05</v>
      </c>
      <c r="J1043" s="675">
        <f t="shared" si="361"/>
        <v>28720.06</v>
      </c>
      <c r="K1043" s="675">
        <f t="shared" si="361"/>
        <v>30841.270000000004</v>
      </c>
      <c r="L1043" s="675">
        <f t="shared" si="361"/>
        <v>33587.14</v>
      </c>
      <c r="M1043" s="675">
        <f t="shared" si="361"/>
        <v>30604.32</v>
      </c>
      <c r="N1043" s="675">
        <f t="shared" si="361"/>
        <v>23587.190000000002</v>
      </c>
      <c r="O1043" s="675">
        <f t="shared" si="361"/>
        <v>51070.909999999996</v>
      </c>
      <c r="P1043" s="675">
        <f>P1039+P1041</f>
        <v>113935.30999999998</v>
      </c>
      <c r="Q1043" s="675">
        <f>SUM(E1043:P1043)</f>
        <v>759909.12999999989</v>
      </c>
    </row>
    <row r="1044" spans="1:17" ht="10.5" thickTop="1" x14ac:dyDescent="0.2">
      <c r="Q1044" s="418"/>
    </row>
    <row r="1045" spans="1:17" x14ac:dyDescent="0.2">
      <c r="A1045" s="216">
        <f>A1043+1</f>
        <v>22</v>
      </c>
      <c r="B1045" s="216" t="str">
        <f>B289</f>
        <v>GDS</v>
      </c>
      <c r="C1045" s="216" t="str">
        <f>C289</f>
        <v>GTS Grandfathered Delivery Service - Industrial</v>
      </c>
    </row>
    <row r="1047" spans="1:17" ht="10.5" x14ac:dyDescent="0.25">
      <c r="A1047" s="216">
        <f>A1045+1</f>
        <v>23</v>
      </c>
      <c r="C1047" s="245" t="s">
        <v>112</v>
      </c>
    </row>
    <row r="1048" spans="1:17" ht="10.5" x14ac:dyDescent="0.25">
      <c r="C1048" s="245"/>
    </row>
    <row r="1049" spans="1:17" x14ac:dyDescent="0.2">
      <c r="A1049" s="216">
        <f>A1047+1</f>
        <v>24</v>
      </c>
      <c r="C1049" s="216" t="s">
        <v>199</v>
      </c>
      <c r="E1049" s="421">
        <f>B!D200</f>
        <v>7</v>
      </c>
      <c r="F1049" s="421">
        <f>B!E200</f>
        <v>7</v>
      </c>
      <c r="G1049" s="421">
        <f>B!F200</f>
        <v>7</v>
      </c>
      <c r="H1049" s="421">
        <f>B!G200</f>
        <v>7</v>
      </c>
      <c r="I1049" s="421">
        <f>B!H200</f>
        <v>7</v>
      </c>
      <c r="J1049" s="421">
        <f>B!I200</f>
        <v>7</v>
      </c>
      <c r="K1049" s="421">
        <f>B!J200</f>
        <v>7</v>
      </c>
      <c r="L1049" s="421">
        <f>B!K200</f>
        <v>7</v>
      </c>
      <c r="M1049" s="421">
        <f>B!L200</f>
        <v>7</v>
      </c>
      <c r="N1049" s="421">
        <f>B!M200</f>
        <v>7</v>
      </c>
      <c r="O1049" s="421">
        <f>B!N200</f>
        <v>7</v>
      </c>
      <c r="P1049" s="421">
        <f>B!O200</f>
        <v>7</v>
      </c>
      <c r="Q1049" s="421">
        <f>SUM(E1049:P1049)</f>
        <v>84</v>
      </c>
    </row>
    <row r="1050" spans="1:17" x14ac:dyDescent="0.2">
      <c r="A1050" s="216">
        <f>A1049+1</f>
        <v>25</v>
      </c>
      <c r="C1050" s="216" t="s">
        <v>207</v>
      </c>
      <c r="D1050" s="608">
        <f>Input!H44</f>
        <v>44.69</v>
      </c>
      <c r="E1050" s="419">
        <f t="shared" ref="E1050:P1050" si="362">ROUND(E1049*$D$1050,2)</f>
        <v>312.83</v>
      </c>
      <c r="F1050" s="419">
        <f t="shared" si="362"/>
        <v>312.83</v>
      </c>
      <c r="G1050" s="419">
        <f t="shared" si="362"/>
        <v>312.83</v>
      </c>
      <c r="H1050" s="419">
        <f t="shared" si="362"/>
        <v>312.83</v>
      </c>
      <c r="I1050" s="419">
        <f t="shared" si="362"/>
        <v>312.83</v>
      </c>
      <c r="J1050" s="419">
        <f t="shared" si="362"/>
        <v>312.83</v>
      </c>
      <c r="K1050" s="419">
        <f t="shared" si="362"/>
        <v>312.83</v>
      </c>
      <c r="L1050" s="419">
        <f t="shared" si="362"/>
        <v>312.83</v>
      </c>
      <c r="M1050" s="419">
        <f t="shared" si="362"/>
        <v>312.83</v>
      </c>
      <c r="N1050" s="419">
        <f t="shared" si="362"/>
        <v>312.83</v>
      </c>
      <c r="O1050" s="419">
        <f t="shared" si="362"/>
        <v>312.83</v>
      </c>
      <c r="P1050" s="419">
        <f t="shared" si="362"/>
        <v>312.83</v>
      </c>
      <c r="Q1050" s="419">
        <f>SUM(E1050:P1050)</f>
        <v>3753.9599999999996</v>
      </c>
    </row>
    <row r="1051" spans="1:17" x14ac:dyDescent="0.2">
      <c r="A1051" s="216">
        <f>A1050+1</f>
        <v>26</v>
      </c>
      <c r="C1051" s="216" t="s">
        <v>214</v>
      </c>
      <c r="D1051" s="608">
        <f>Input!I44</f>
        <v>0</v>
      </c>
      <c r="E1051" s="419">
        <f t="shared" ref="E1051:P1051" si="363">ROUND(E1049*$D$1051,2)</f>
        <v>0</v>
      </c>
      <c r="F1051" s="419">
        <f t="shared" si="363"/>
        <v>0</v>
      </c>
      <c r="G1051" s="419">
        <f t="shared" si="363"/>
        <v>0</v>
      </c>
      <c r="H1051" s="419">
        <f t="shared" si="363"/>
        <v>0</v>
      </c>
      <c r="I1051" s="419">
        <f t="shared" si="363"/>
        <v>0</v>
      </c>
      <c r="J1051" s="419">
        <f t="shared" si="363"/>
        <v>0</v>
      </c>
      <c r="K1051" s="419">
        <f t="shared" si="363"/>
        <v>0</v>
      </c>
      <c r="L1051" s="419">
        <f t="shared" si="363"/>
        <v>0</v>
      </c>
      <c r="M1051" s="419">
        <f t="shared" si="363"/>
        <v>0</v>
      </c>
      <c r="N1051" s="419">
        <f t="shared" si="363"/>
        <v>0</v>
      </c>
      <c r="O1051" s="419">
        <f t="shared" si="363"/>
        <v>0</v>
      </c>
      <c r="P1051" s="419">
        <f t="shared" si="363"/>
        <v>0</v>
      </c>
      <c r="Q1051" s="419">
        <f>SUM(E1051:P1051)</f>
        <v>0</v>
      </c>
    </row>
    <row r="1052" spans="1:17" x14ac:dyDescent="0.2">
      <c r="A1052" s="216">
        <f>A1051+1</f>
        <v>27</v>
      </c>
      <c r="C1052" s="216" t="s">
        <v>208</v>
      </c>
      <c r="D1052" s="608">
        <f>Input!K44</f>
        <v>24.31</v>
      </c>
      <c r="E1052" s="419">
        <f t="shared" ref="E1052:P1052" si="364">ROUND(E1049*$D$1052,2)</f>
        <v>170.17</v>
      </c>
      <c r="F1052" s="419">
        <f t="shared" si="364"/>
        <v>170.17</v>
      </c>
      <c r="G1052" s="419">
        <f t="shared" si="364"/>
        <v>170.17</v>
      </c>
      <c r="H1052" s="419">
        <f t="shared" si="364"/>
        <v>170.17</v>
      </c>
      <c r="I1052" s="419">
        <f t="shared" si="364"/>
        <v>170.17</v>
      </c>
      <c r="J1052" s="419">
        <f t="shared" si="364"/>
        <v>170.17</v>
      </c>
      <c r="K1052" s="419">
        <f t="shared" si="364"/>
        <v>170.17</v>
      </c>
      <c r="L1052" s="419">
        <f t="shared" si="364"/>
        <v>170.17</v>
      </c>
      <c r="M1052" s="419">
        <f t="shared" si="364"/>
        <v>170.17</v>
      </c>
      <c r="N1052" s="419">
        <f t="shared" si="364"/>
        <v>170.17</v>
      </c>
      <c r="O1052" s="419">
        <f t="shared" si="364"/>
        <v>170.17</v>
      </c>
      <c r="P1052" s="419">
        <f t="shared" si="364"/>
        <v>170.17</v>
      </c>
      <c r="Q1052" s="419">
        <f>SUM(E1052:P1052)</f>
        <v>2042.0400000000002</v>
      </c>
    </row>
    <row r="1054" spans="1:17" x14ac:dyDescent="0.2">
      <c r="A1054" s="216">
        <f>A1052+1</f>
        <v>28</v>
      </c>
      <c r="C1054" s="216" t="s">
        <v>206</v>
      </c>
      <c r="F1054" s="216"/>
      <c r="G1054" s="216"/>
      <c r="H1054" s="216"/>
      <c r="I1054" s="216"/>
      <c r="J1054" s="216"/>
      <c r="K1054" s="216"/>
      <c r="L1054" s="216"/>
      <c r="M1054" s="216"/>
      <c r="N1054" s="216"/>
      <c r="O1054" s="216"/>
      <c r="P1054" s="216"/>
    </row>
    <row r="1055" spans="1:17" x14ac:dyDescent="0.2">
      <c r="A1055" s="216">
        <f>A1054+1</f>
        <v>29</v>
      </c>
      <c r="C1055" s="216" t="str">
        <f>'C'!B311</f>
        <v xml:space="preserve">    First 50 Mcf</v>
      </c>
      <c r="E1055" s="424">
        <f>'C'!D323</f>
        <v>300</v>
      </c>
      <c r="F1055" s="424">
        <f>'C'!E323</f>
        <v>300</v>
      </c>
      <c r="G1055" s="424">
        <f>'C'!F323</f>
        <v>300</v>
      </c>
      <c r="H1055" s="424">
        <f>'C'!G323</f>
        <v>300</v>
      </c>
      <c r="I1055" s="424">
        <f>'C'!H323</f>
        <v>300</v>
      </c>
      <c r="J1055" s="424">
        <f>'C'!I323</f>
        <v>217.9</v>
      </c>
      <c r="K1055" s="424">
        <f>'C'!J323</f>
        <v>204.4</v>
      </c>
      <c r="L1055" s="424">
        <f>'C'!K323</f>
        <v>234.8</v>
      </c>
      <c r="M1055" s="424">
        <f>'C'!L323</f>
        <v>250</v>
      </c>
      <c r="N1055" s="424">
        <f>'C'!M323</f>
        <v>300</v>
      </c>
      <c r="O1055" s="424">
        <f>'C'!N323</f>
        <v>300</v>
      </c>
      <c r="P1055" s="424">
        <f>'C'!O323</f>
        <v>300</v>
      </c>
      <c r="Q1055" s="424">
        <f>SUM(E1055:P1055)</f>
        <v>3307.1000000000004</v>
      </c>
    </row>
    <row r="1056" spans="1:17" x14ac:dyDescent="0.2">
      <c r="A1056" s="216">
        <f>A1055+1</f>
        <v>30</v>
      </c>
      <c r="C1056" s="216" t="str">
        <f>'C'!B312</f>
        <v xml:space="preserve">    Next 350 Mcf</v>
      </c>
      <c r="E1056" s="424">
        <f>'C'!D324</f>
        <v>1979.8</v>
      </c>
      <c r="F1056" s="424">
        <f>'C'!E324</f>
        <v>1977.9</v>
      </c>
      <c r="G1056" s="424">
        <f>'C'!F324</f>
        <v>2100</v>
      </c>
      <c r="H1056" s="424">
        <f>'C'!G324</f>
        <v>1649.4</v>
      </c>
      <c r="I1056" s="424">
        <f>'C'!H324</f>
        <v>1426.5</v>
      </c>
      <c r="J1056" s="424">
        <f>'C'!I324</f>
        <v>1256.0999999999999</v>
      </c>
      <c r="K1056" s="424">
        <f>'C'!J324</f>
        <v>1188.7</v>
      </c>
      <c r="L1056" s="424">
        <f>'C'!K324</f>
        <v>1314.2</v>
      </c>
      <c r="M1056" s="424">
        <f>'C'!L324</f>
        <v>1214.2</v>
      </c>
      <c r="N1056" s="424">
        <f>'C'!M324</f>
        <v>1617.8</v>
      </c>
      <c r="O1056" s="424">
        <f>'C'!N324</f>
        <v>1596.7</v>
      </c>
      <c r="P1056" s="424">
        <f>'C'!O324</f>
        <v>1956.9</v>
      </c>
      <c r="Q1056" s="424">
        <f>SUM(E1056:P1056)</f>
        <v>19278.200000000004</v>
      </c>
    </row>
    <row r="1057" spans="1:19" x14ac:dyDescent="0.2">
      <c r="A1057" s="216">
        <f>A1056+1</f>
        <v>31</v>
      </c>
      <c r="C1057" s="216" t="str">
        <f>'C'!B313</f>
        <v xml:space="preserve">    Next 600 Mcf</v>
      </c>
      <c r="E1057" s="424">
        <f>'C'!D325</f>
        <v>2113.5</v>
      </c>
      <c r="F1057" s="424">
        <f>'C'!E325</f>
        <v>2077</v>
      </c>
      <c r="G1057" s="424">
        <f>'C'!F325</f>
        <v>3600</v>
      </c>
      <c r="H1057" s="424">
        <f>'C'!G325</f>
        <v>2151.6</v>
      </c>
      <c r="I1057" s="424">
        <f>'C'!H325</f>
        <v>1352.3</v>
      </c>
      <c r="J1057" s="424">
        <f>'C'!I325</f>
        <v>763.3</v>
      </c>
      <c r="K1057" s="424">
        <f>'C'!J325</f>
        <v>670.7</v>
      </c>
      <c r="L1057" s="424">
        <f>'C'!K325</f>
        <v>1091.9000000000001</v>
      </c>
      <c r="M1057" s="424">
        <f>'C'!L325</f>
        <v>695.7</v>
      </c>
      <c r="N1057" s="424">
        <f>'C'!M325</f>
        <v>1472.6</v>
      </c>
      <c r="O1057" s="424">
        <f>'C'!N325</f>
        <v>1687.3</v>
      </c>
      <c r="P1057" s="424">
        <f>'C'!O325</f>
        <v>2957.3</v>
      </c>
      <c r="Q1057" s="424">
        <f>SUM(E1057:P1057)</f>
        <v>20633.2</v>
      </c>
    </row>
    <row r="1058" spans="1:19" x14ac:dyDescent="0.2">
      <c r="A1058" s="216">
        <f>A1057+1</f>
        <v>32</v>
      </c>
      <c r="C1058" s="216" t="str">
        <f>'C'!B314</f>
        <v xml:space="preserve">    Over 1,000 Mcf</v>
      </c>
      <c r="E1058" s="448">
        <f>'C'!D326</f>
        <v>3351.8</v>
      </c>
      <c r="F1058" s="448">
        <f>'C'!E326</f>
        <v>2312.4</v>
      </c>
      <c r="G1058" s="448">
        <f>'C'!F326</f>
        <v>12285.1</v>
      </c>
      <c r="H1058" s="448">
        <f>'C'!G326</f>
        <v>200</v>
      </c>
      <c r="I1058" s="448">
        <f>'C'!H326</f>
        <v>309.8</v>
      </c>
      <c r="J1058" s="448">
        <f>'C'!I326</f>
        <v>0</v>
      </c>
      <c r="K1058" s="448">
        <f>'C'!J326</f>
        <v>0</v>
      </c>
      <c r="L1058" s="448">
        <f>'C'!K326</f>
        <v>33.700000000000003</v>
      </c>
      <c r="M1058" s="448">
        <f>'C'!L326</f>
        <v>0</v>
      </c>
      <c r="N1058" s="448">
        <f>'C'!M326</f>
        <v>416.6</v>
      </c>
      <c r="O1058" s="448">
        <f>'C'!N326</f>
        <v>1500</v>
      </c>
      <c r="P1058" s="448">
        <f>'C'!O326</f>
        <v>3433.9</v>
      </c>
      <c r="Q1058" s="448">
        <f>SUM(E1058:P1058)</f>
        <v>23843.300000000003</v>
      </c>
    </row>
    <row r="1059" spans="1:19" x14ac:dyDescent="0.2">
      <c r="D1059" s="609"/>
      <c r="E1059" s="424">
        <f t="shared" ref="E1059:O1059" si="365">SUM(E1055:E1058)</f>
        <v>7745.1</v>
      </c>
      <c r="F1059" s="424">
        <f t="shared" si="365"/>
        <v>6667.2999999999993</v>
      </c>
      <c r="G1059" s="424">
        <f t="shared" si="365"/>
        <v>18285.099999999999</v>
      </c>
      <c r="H1059" s="424">
        <f t="shared" si="365"/>
        <v>4301</v>
      </c>
      <c r="I1059" s="424">
        <f t="shared" si="365"/>
        <v>3388.6000000000004</v>
      </c>
      <c r="J1059" s="424">
        <f t="shared" si="365"/>
        <v>2237.3000000000002</v>
      </c>
      <c r="K1059" s="424">
        <f t="shared" si="365"/>
        <v>2063.8000000000002</v>
      </c>
      <c r="L1059" s="424">
        <f t="shared" si="365"/>
        <v>2674.6</v>
      </c>
      <c r="M1059" s="424">
        <f t="shared" si="365"/>
        <v>2159.9</v>
      </c>
      <c r="N1059" s="424">
        <f t="shared" si="365"/>
        <v>3806.9999999999995</v>
      </c>
      <c r="O1059" s="424">
        <f t="shared" si="365"/>
        <v>5084</v>
      </c>
      <c r="P1059" s="424">
        <f>SUM(P1055:P1058)</f>
        <v>8648.1</v>
      </c>
      <c r="Q1059" s="424">
        <f>SUM(E1059:P1059)</f>
        <v>67061.8</v>
      </c>
      <c r="S1059" s="424"/>
    </row>
    <row r="1060" spans="1:19" x14ac:dyDescent="0.2">
      <c r="A1060" s="216">
        <f>A1058+1</f>
        <v>33</v>
      </c>
      <c r="C1060" s="216" t="s">
        <v>204</v>
      </c>
      <c r="Q1060" s="456"/>
    </row>
    <row r="1061" spans="1:19" x14ac:dyDescent="0.2">
      <c r="A1061" s="216">
        <f>A1060+1</f>
        <v>34</v>
      </c>
      <c r="C1061" s="216" t="str">
        <f>C1055</f>
        <v xml:space="preserve">    First 50 Mcf</v>
      </c>
      <c r="D1061" s="609">
        <f>Input!C44</f>
        <v>3.0181</v>
      </c>
      <c r="E1061" s="419">
        <f t="shared" ref="E1061:P1061" si="366">ROUND(E1055*$D$1061,2)</f>
        <v>905.43</v>
      </c>
      <c r="F1061" s="419">
        <f t="shared" si="366"/>
        <v>905.43</v>
      </c>
      <c r="G1061" s="419">
        <f t="shared" si="366"/>
        <v>905.43</v>
      </c>
      <c r="H1061" s="419">
        <f t="shared" si="366"/>
        <v>905.43</v>
      </c>
      <c r="I1061" s="419">
        <f t="shared" si="366"/>
        <v>905.43</v>
      </c>
      <c r="J1061" s="419">
        <f t="shared" si="366"/>
        <v>657.64</v>
      </c>
      <c r="K1061" s="419">
        <f t="shared" si="366"/>
        <v>616.9</v>
      </c>
      <c r="L1061" s="419">
        <f t="shared" si="366"/>
        <v>708.65</v>
      </c>
      <c r="M1061" s="419">
        <f t="shared" si="366"/>
        <v>754.53</v>
      </c>
      <c r="N1061" s="419">
        <f t="shared" si="366"/>
        <v>905.43</v>
      </c>
      <c r="O1061" s="419">
        <f t="shared" si="366"/>
        <v>905.43</v>
      </c>
      <c r="P1061" s="419">
        <f t="shared" si="366"/>
        <v>905.43</v>
      </c>
      <c r="Q1061" s="419">
        <f t="shared" ref="Q1061:Q1068" si="367">SUM(E1061:P1061)</f>
        <v>9981.16</v>
      </c>
    </row>
    <row r="1062" spans="1:19" x14ac:dyDescent="0.2">
      <c r="A1062" s="216">
        <f>A1061+1</f>
        <v>35</v>
      </c>
      <c r="C1062" s="216" t="str">
        <f>C1056</f>
        <v xml:space="preserve">    Next 350 Mcf</v>
      </c>
      <c r="D1062" s="609">
        <f>Input!D44</f>
        <v>2.3294999999999999</v>
      </c>
      <c r="E1062" s="421">
        <f t="shared" ref="E1062:P1062" si="368">ROUND(E1056*$D$1062,2)</f>
        <v>4611.9399999999996</v>
      </c>
      <c r="F1062" s="421">
        <f t="shared" si="368"/>
        <v>4607.5200000000004</v>
      </c>
      <c r="G1062" s="421">
        <f t="shared" si="368"/>
        <v>4891.95</v>
      </c>
      <c r="H1062" s="421">
        <f t="shared" si="368"/>
        <v>3842.28</v>
      </c>
      <c r="I1062" s="421">
        <f t="shared" si="368"/>
        <v>3323.03</v>
      </c>
      <c r="J1062" s="421">
        <f t="shared" si="368"/>
        <v>2926.08</v>
      </c>
      <c r="K1062" s="421">
        <f t="shared" si="368"/>
        <v>2769.08</v>
      </c>
      <c r="L1062" s="421">
        <f t="shared" si="368"/>
        <v>3061.43</v>
      </c>
      <c r="M1062" s="421">
        <f t="shared" si="368"/>
        <v>2828.48</v>
      </c>
      <c r="N1062" s="421">
        <f t="shared" si="368"/>
        <v>3768.67</v>
      </c>
      <c r="O1062" s="421">
        <f t="shared" si="368"/>
        <v>3719.51</v>
      </c>
      <c r="P1062" s="421">
        <f t="shared" si="368"/>
        <v>4558.6000000000004</v>
      </c>
      <c r="Q1062" s="421">
        <f t="shared" si="367"/>
        <v>44908.57</v>
      </c>
    </row>
    <row r="1063" spans="1:19" x14ac:dyDescent="0.2">
      <c r="A1063" s="216">
        <f>A1062+1</f>
        <v>36</v>
      </c>
      <c r="C1063" s="216" t="str">
        <f>C1057</f>
        <v xml:space="preserve">    Next 600 Mcf</v>
      </c>
      <c r="D1063" s="609">
        <f>Input!E44</f>
        <v>2.2143000000000002</v>
      </c>
      <c r="E1063" s="421">
        <f t="shared" ref="E1063:P1063" si="369">ROUND(E1057*$D$1063,2)</f>
        <v>4679.92</v>
      </c>
      <c r="F1063" s="421">
        <f t="shared" si="369"/>
        <v>4599.1000000000004</v>
      </c>
      <c r="G1063" s="421">
        <f t="shared" si="369"/>
        <v>7971.48</v>
      </c>
      <c r="H1063" s="421">
        <f t="shared" si="369"/>
        <v>4764.29</v>
      </c>
      <c r="I1063" s="421">
        <f t="shared" si="369"/>
        <v>2994.4</v>
      </c>
      <c r="J1063" s="421">
        <f t="shared" si="369"/>
        <v>1690.18</v>
      </c>
      <c r="K1063" s="421">
        <f t="shared" si="369"/>
        <v>1485.13</v>
      </c>
      <c r="L1063" s="421">
        <f t="shared" si="369"/>
        <v>2417.79</v>
      </c>
      <c r="M1063" s="421">
        <f t="shared" si="369"/>
        <v>1540.49</v>
      </c>
      <c r="N1063" s="421">
        <f t="shared" si="369"/>
        <v>3260.78</v>
      </c>
      <c r="O1063" s="421">
        <f t="shared" si="369"/>
        <v>3736.19</v>
      </c>
      <c r="P1063" s="421">
        <f t="shared" si="369"/>
        <v>6548.35</v>
      </c>
      <c r="Q1063" s="421">
        <f t="shared" si="367"/>
        <v>45688.100000000006</v>
      </c>
    </row>
    <row r="1064" spans="1:19" ht="11.5" x14ac:dyDescent="0.35">
      <c r="A1064" s="216">
        <f>A1063+1</f>
        <v>37</v>
      </c>
      <c r="C1064" s="216" t="str">
        <f>C1058</f>
        <v xml:space="preserve">    Over 1,000 Mcf</v>
      </c>
      <c r="D1064" s="609">
        <f>Input!F44</f>
        <v>2.0143</v>
      </c>
      <c r="E1064" s="450">
        <f t="shared" ref="E1064:P1064" si="370">ROUND(E1058*$D$1064,2)</f>
        <v>6751.53</v>
      </c>
      <c r="F1064" s="450">
        <f t="shared" si="370"/>
        <v>4657.87</v>
      </c>
      <c r="G1064" s="450">
        <f t="shared" si="370"/>
        <v>24745.88</v>
      </c>
      <c r="H1064" s="450">
        <f t="shared" si="370"/>
        <v>402.86</v>
      </c>
      <c r="I1064" s="450">
        <f t="shared" si="370"/>
        <v>624.03</v>
      </c>
      <c r="J1064" s="450">
        <f t="shared" si="370"/>
        <v>0</v>
      </c>
      <c r="K1064" s="450">
        <f t="shared" si="370"/>
        <v>0</v>
      </c>
      <c r="L1064" s="450">
        <f t="shared" si="370"/>
        <v>67.88</v>
      </c>
      <c r="M1064" s="450">
        <f t="shared" si="370"/>
        <v>0</v>
      </c>
      <c r="N1064" s="450">
        <f t="shared" si="370"/>
        <v>839.16</v>
      </c>
      <c r="O1064" s="450">
        <f t="shared" si="370"/>
        <v>3021.45</v>
      </c>
      <c r="P1064" s="450">
        <f t="shared" si="370"/>
        <v>6916.9</v>
      </c>
      <c r="Q1064" s="596">
        <f t="shared" si="367"/>
        <v>48027.56</v>
      </c>
    </row>
    <row r="1065" spans="1:19" x14ac:dyDescent="0.2">
      <c r="E1065" s="419">
        <f t="shared" ref="E1065:O1065" si="371">SUM(E1061:E1064)</f>
        <v>16948.82</v>
      </c>
      <c r="F1065" s="419">
        <f t="shared" si="371"/>
        <v>14769.920000000002</v>
      </c>
      <c r="G1065" s="419">
        <f t="shared" si="371"/>
        <v>38514.740000000005</v>
      </c>
      <c r="H1065" s="419">
        <f t="shared" si="371"/>
        <v>9914.86</v>
      </c>
      <c r="I1065" s="419">
        <f t="shared" si="371"/>
        <v>7846.89</v>
      </c>
      <c r="J1065" s="419">
        <f t="shared" si="371"/>
        <v>5273.9</v>
      </c>
      <c r="K1065" s="419">
        <f t="shared" si="371"/>
        <v>4871.1100000000006</v>
      </c>
      <c r="L1065" s="419">
        <f t="shared" si="371"/>
        <v>6255.75</v>
      </c>
      <c r="M1065" s="419">
        <f t="shared" si="371"/>
        <v>5123.5</v>
      </c>
      <c r="N1065" s="419">
        <f t="shared" si="371"/>
        <v>8774.0400000000009</v>
      </c>
      <c r="O1065" s="419">
        <f t="shared" si="371"/>
        <v>11382.580000000002</v>
      </c>
      <c r="P1065" s="419">
        <f>SUM(P1061:P1064)</f>
        <v>18929.28</v>
      </c>
      <c r="Q1065" s="419">
        <f t="shared" si="367"/>
        <v>148605.39000000001</v>
      </c>
    </row>
    <row r="1066" spans="1:19" x14ac:dyDescent="0.2">
      <c r="A1066" s="216">
        <f>A1064+1</f>
        <v>38</v>
      </c>
      <c r="C1066" s="772" t="s">
        <v>140</v>
      </c>
      <c r="D1066" s="609">
        <f>Input!N44</f>
        <v>1.44E-2</v>
      </c>
      <c r="E1066" s="419">
        <f>ROUND($D$1066*E1059,2)</f>
        <v>111.53</v>
      </c>
      <c r="F1066" s="419">
        <f t="shared" ref="F1066:P1066" si="372">ROUND($D$1066*F1059,2)</f>
        <v>96.01</v>
      </c>
      <c r="G1066" s="419">
        <f t="shared" si="372"/>
        <v>263.31</v>
      </c>
      <c r="H1066" s="419">
        <f t="shared" si="372"/>
        <v>61.93</v>
      </c>
      <c r="I1066" s="419">
        <f t="shared" si="372"/>
        <v>48.8</v>
      </c>
      <c r="J1066" s="419">
        <f t="shared" si="372"/>
        <v>32.22</v>
      </c>
      <c r="K1066" s="419">
        <f t="shared" si="372"/>
        <v>29.72</v>
      </c>
      <c r="L1066" s="419">
        <f t="shared" si="372"/>
        <v>38.51</v>
      </c>
      <c r="M1066" s="419">
        <f t="shared" si="372"/>
        <v>31.1</v>
      </c>
      <c r="N1066" s="419">
        <f t="shared" si="372"/>
        <v>54.82</v>
      </c>
      <c r="O1066" s="419">
        <f t="shared" si="372"/>
        <v>73.209999999999994</v>
      </c>
      <c r="P1066" s="419">
        <f t="shared" si="372"/>
        <v>124.53</v>
      </c>
      <c r="Q1066" s="419">
        <f>SUM(E1066:P1066)</f>
        <v>965.69</v>
      </c>
    </row>
    <row r="1067" spans="1:19" ht="11.5" x14ac:dyDescent="0.35">
      <c r="A1067" s="216">
        <f>A1066+1</f>
        <v>39</v>
      </c>
      <c r="C1067" s="772" t="s">
        <v>529</v>
      </c>
      <c r="D1067" s="609">
        <f>Input!J44</f>
        <v>-0.16800000000000001</v>
      </c>
      <c r="E1067" s="450">
        <f>ROUND($D$1067*E1059,2)</f>
        <v>-1301.18</v>
      </c>
      <c r="F1067" s="450">
        <f t="shared" ref="F1067:P1067" si="373">ROUND($D$1067*F1059,2)</f>
        <v>-1120.1099999999999</v>
      </c>
      <c r="G1067" s="450">
        <f t="shared" si="373"/>
        <v>-3071.9</v>
      </c>
      <c r="H1067" s="450">
        <f t="shared" si="373"/>
        <v>-722.57</v>
      </c>
      <c r="I1067" s="450">
        <f t="shared" si="373"/>
        <v>-569.28</v>
      </c>
      <c r="J1067" s="450">
        <f t="shared" si="373"/>
        <v>-375.87</v>
      </c>
      <c r="K1067" s="450">
        <f t="shared" si="373"/>
        <v>-346.72</v>
      </c>
      <c r="L1067" s="450">
        <f t="shared" si="373"/>
        <v>-449.33</v>
      </c>
      <c r="M1067" s="450">
        <f t="shared" si="373"/>
        <v>-362.86</v>
      </c>
      <c r="N1067" s="450">
        <f t="shared" si="373"/>
        <v>-639.58000000000004</v>
      </c>
      <c r="O1067" s="450">
        <f t="shared" si="373"/>
        <v>-854.11</v>
      </c>
      <c r="P1067" s="450">
        <f t="shared" si="373"/>
        <v>-1452.88</v>
      </c>
      <c r="Q1067" s="666">
        <f t="shared" si="367"/>
        <v>-11266.39</v>
      </c>
    </row>
    <row r="1068" spans="1:19" x14ac:dyDescent="0.2">
      <c r="A1068" s="216">
        <f>A1067+1</f>
        <v>40</v>
      </c>
      <c r="C1068" s="216" t="s">
        <v>201</v>
      </c>
      <c r="E1068" s="419">
        <f>E1050+E1051+E1052+E1065+E1067+E1066</f>
        <v>16242.17</v>
      </c>
      <c r="F1068" s="419">
        <f t="shared" ref="F1068:P1068" si="374">F1050+F1051+F1052+F1065+F1067+F1066</f>
        <v>14228.820000000002</v>
      </c>
      <c r="G1068" s="419">
        <f t="shared" si="374"/>
        <v>36189.15</v>
      </c>
      <c r="H1068" s="419">
        <f t="shared" si="374"/>
        <v>9737.2200000000012</v>
      </c>
      <c r="I1068" s="419">
        <f t="shared" si="374"/>
        <v>7809.41</v>
      </c>
      <c r="J1068" s="419">
        <f t="shared" si="374"/>
        <v>5413.25</v>
      </c>
      <c r="K1068" s="419">
        <f t="shared" si="374"/>
        <v>5037.1100000000006</v>
      </c>
      <c r="L1068" s="419">
        <f t="shared" si="374"/>
        <v>6327.93</v>
      </c>
      <c r="M1068" s="419">
        <f t="shared" si="374"/>
        <v>5274.7400000000007</v>
      </c>
      <c r="N1068" s="419">
        <f t="shared" si="374"/>
        <v>8672.2800000000007</v>
      </c>
      <c r="O1068" s="419">
        <f t="shared" si="374"/>
        <v>11084.68</v>
      </c>
      <c r="P1068" s="419">
        <f t="shared" si="374"/>
        <v>18083.929999999997</v>
      </c>
      <c r="Q1068" s="419">
        <f t="shared" si="367"/>
        <v>144100.69</v>
      </c>
    </row>
    <row r="1069" spans="1:19" x14ac:dyDescent="0.2">
      <c r="E1069" s="417"/>
      <c r="F1069" s="457"/>
      <c r="G1069" s="457"/>
      <c r="H1069" s="457"/>
      <c r="I1069" s="457"/>
      <c r="J1069" s="457"/>
      <c r="K1069" s="457"/>
      <c r="L1069" s="457"/>
      <c r="M1069" s="457"/>
      <c r="N1069" s="457"/>
      <c r="O1069" s="457"/>
      <c r="P1069" s="457"/>
      <c r="Q1069" s="417"/>
    </row>
    <row r="1070" spans="1:19" x14ac:dyDescent="0.2">
      <c r="A1070" s="216">
        <f>A1068+1</f>
        <v>41</v>
      </c>
      <c r="C1070" s="216" t="s">
        <v>148</v>
      </c>
      <c r="D1070" s="609">
        <v>0</v>
      </c>
      <c r="E1070" s="419">
        <v>0</v>
      </c>
      <c r="F1070" s="419">
        <v>0</v>
      </c>
      <c r="G1070" s="419">
        <v>0</v>
      </c>
      <c r="H1070" s="419">
        <v>0</v>
      </c>
      <c r="I1070" s="419">
        <v>0</v>
      </c>
      <c r="J1070" s="419">
        <v>0</v>
      </c>
      <c r="K1070" s="419">
        <v>0</v>
      </c>
      <c r="L1070" s="419">
        <v>0</v>
      </c>
      <c r="M1070" s="419">
        <v>0</v>
      </c>
      <c r="N1070" s="419">
        <v>0</v>
      </c>
      <c r="O1070" s="419">
        <v>0</v>
      </c>
      <c r="P1070" s="419">
        <v>0</v>
      </c>
      <c r="Q1070" s="419">
        <f>SUM(E1070:P1070)</f>
        <v>0</v>
      </c>
    </row>
    <row r="1071" spans="1:19" x14ac:dyDescent="0.2">
      <c r="E1071" s="417"/>
      <c r="F1071" s="417"/>
      <c r="G1071" s="417"/>
      <c r="H1071" s="417"/>
      <c r="I1071" s="417"/>
      <c r="J1071" s="417"/>
      <c r="K1071" s="417"/>
      <c r="L1071" s="417"/>
      <c r="M1071" s="417"/>
      <c r="N1071" s="417"/>
      <c r="O1071" s="417"/>
      <c r="P1071" s="417"/>
      <c r="Q1071" s="417"/>
    </row>
    <row r="1072" spans="1:19" ht="10.5" thickBot="1" x14ac:dyDescent="0.25">
      <c r="A1072" s="433">
        <f>A1070+1</f>
        <v>42</v>
      </c>
      <c r="B1072" s="433"/>
      <c r="C1072" s="433" t="s">
        <v>202</v>
      </c>
      <c r="D1072" s="770"/>
      <c r="E1072" s="675">
        <f t="shared" ref="E1072:O1072" si="375">E1068+E1070</f>
        <v>16242.17</v>
      </c>
      <c r="F1072" s="675">
        <f t="shared" si="375"/>
        <v>14228.820000000002</v>
      </c>
      <c r="G1072" s="675">
        <f t="shared" si="375"/>
        <v>36189.15</v>
      </c>
      <c r="H1072" s="675">
        <f t="shared" si="375"/>
        <v>9737.2200000000012</v>
      </c>
      <c r="I1072" s="675">
        <f t="shared" si="375"/>
        <v>7809.41</v>
      </c>
      <c r="J1072" s="675">
        <f t="shared" si="375"/>
        <v>5413.25</v>
      </c>
      <c r="K1072" s="675">
        <f t="shared" si="375"/>
        <v>5037.1100000000006</v>
      </c>
      <c r="L1072" s="675">
        <f t="shared" si="375"/>
        <v>6327.93</v>
      </c>
      <c r="M1072" s="675">
        <f t="shared" si="375"/>
        <v>5274.7400000000007</v>
      </c>
      <c r="N1072" s="675">
        <f t="shared" si="375"/>
        <v>8672.2800000000007</v>
      </c>
      <c r="O1072" s="675">
        <f t="shared" si="375"/>
        <v>11084.68</v>
      </c>
      <c r="P1072" s="675">
        <f>P1068+P1070</f>
        <v>18083.929999999997</v>
      </c>
      <c r="Q1072" s="675">
        <f>SUM(E1072:P1072)</f>
        <v>144100.69</v>
      </c>
    </row>
    <row r="1073" spans="1:17" ht="10.5" thickTop="1" x14ac:dyDescent="0.2"/>
    <row r="1075" spans="1:17" x14ac:dyDescent="0.2">
      <c r="A1075" s="216" t="str">
        <f>$A$270</f>
        <v>[1] Reflects Normalized Volumes.</v>
      </c>
    </row>
    <row r="1077" spans="1:17" ht="10.5" x14ac:dyDescent="0.25">
      <c r="A1077" s="817" t="str">
        <f>CONAME</f>
        <v>Columbia Gas of Kentucky, Inc.</v>
      </c>
      <c r="B1077" s="817"/>
      <c r="C1077" s="817"/>
      <c r="D1077" s="817"/>
      <c r="E1077" s="817"/>
      <c r="F1077" s="817"/>
      <c r="G1077" s="817"/>
      <c r="H1077" s="817"/>
      <c r="I1077" s="817"/>
      <c r="J1077" s="817"/>
      <c r="K1077" s="817"/>
      <c r="L1077" s="817"/>
      <c r="M1077" s="817"/>
      <c r="N1077" s="817"/>
      <c r="O1077" s="817"/>
      <c r="P1077" s="817"/>
      <c r="Q1077" s="817"/>
    </row>
    <row r="1078" spans="1:17" ht="10.5" x14ac:dyDescent="0.25">
      <c r="A1078" s="800" t="str">
        <f>case</f>
        <v>Case No. 2021-00183</v>
      </c>
      <c r="B1078" s="800"/>
      <c r="C1078" s="800"/>
      <c r="D1078" s="800"/>
      <c r="E1078" s="800"/>
      <c r="F1078" s="800"/>
      <c r="G1078" s="800"/>
      <c r="H1078" s="800"/>
      <c r="I1078" s="800"/>
      <c r="J1078" s="800"/>
      <c r="K1078" s="800"/>
      <c r="L1078" s="800"/>
      <c r="M1078" s="800"/>
      <c r="N1078" s="800"/>
      <c r="O1078" s="800"/>
      <c r="P1078" s="800"/>
      <c r="Q1078" s="800"/>
    </row>
    <row r="1079" spans="1:17" ht="10.5" x14ac:dyDescent="0.25">
      <c r="A1079" s="815" t="s">
        <v>414</v>
      </c>
      <c r="B1079" s="815"/>
      <c r="C1079" s="815"/>
      <c r="D1079" s="815"/>
      <c r="E1079" s="815"/>
      <c r="F1079" s="815"/>
      <c r="G1079" s="815"/>
      <c r="H1079" s="815"/>
      <c r="I1079" s="815"/>
      <c r="J1079" s="815"/>
      <c r="K1079" s="815"/>
      <c r="L1079" s="815"/>
      <c r="M1079" s="815"/>
      <c r="N1079" s="815"/>
      <c r="O1079" s="815"/>
      <c r="P1079" s="815"/>
      <c r="Q1079" s="815"/>
    </row>
    <row r="1080" spans="1:17" ht="10.5" x14ac:dyDescent="0.25">
      <c r="A1080" s="817" t="str">
        <f>TYDESC</f>
        <v>For the 12 Months Ended December 31, 2022</v>
      </c>
      <c r="B1080" s="817"/>
      <c r="C1080" s="817"/>
      <c r="D1080" s="817"/>
      <c r="E1080" s="817"/>
      <c r="F1080" s="817"/>
      <c r="G1080" s="817"/>
      <c r="H1080" s="817"/>
      <c r="I1080" s="817"/>
      <c r="J1080" s="817"/>
      <c r="K1080" s="817"/>
      <c r="L1080" s="817"/>
      <c r="M1080" s="817"/>
      <c r="N1080" s="817"/>
      <c r="O1080" s="817"/>
      <c r="P1080" s="817"/>
      <c r="Q1080" s="817"/>
    </row>
    <row r="1081" spans="1:17" ht="10.5" x14ac:dyDescent="0.25">
      <c r="A1081" s="814" t="s">
        <v>39</v>
      </c>
      <c r="B1081" s="814"/>
      <c r="C1081" s="814"/>
      <c r="D1081" s="814"/>
      <c r="E1081" s="814"/>
      <c r="F1081" s="814"/>
      <c r="G1081" s="814"/>
      <c r="H1081" s="814"/>
      <c r="I1081" s="814"/>
      <c r="J1081" s="814"/>
      <c r="K1081" s="814"/>
      <c r="L1081" s="814"/>
      <c r="M1081" s="814"/>
      <c r="N1081" s="814"/>
      <c r="O1081" s="814"/>
      <c r="P1081" s="814"/>
      <c r="Q1081" s="814"/>
    </row>
    <row r="1082" spans="1:17" ht="10.5" x14ac:dyDescent="0.25">
      <c r="A1082" s="245" t="str">
        <f>$A$52</f>
        <v>Data: __ Base Period _X_ Forecasted Period</v>
      </c>
    </row>
    <row r="1083" spans="1:17" ht="10.5" x14ac:dyDescent="0.25">
      <c r="A1083" s="245" t="str">
        <f>$A$53</f>
        <v>Type of Filing: X Original _ Update _ Revised</v>
      </c>
      <c r="Q1083" s="583" t="str">
        <f>$Q$53</f>
        <v>Schedule M-2.2</v>
      </c>
    </row>
    <row r="1084" spans="1:17" ht="10.5" x14ac:dyDescent="0.25">
      <c r="A1084" s="245" t="str">
        <f>$A$54</f>
        <v>Work Paper Reference No(s):</v>
      </c>
      <c r="Q1084" s="583" t="s">
        <v>429</v>
      </c>
    </row>
    <row r="1085" spans="1:17" ht="10.5" x14ac:dyDescent="0.25">
      <c r="A1085" s="373" t="str">
        <f>$A$55</f>
        <v>12 Months Forecasted</v>
      </c>
      <c r="Q1085" s="583" t="str">
        <f>Witness</f>
        <v>Witness:  Judith L. Siegler</v>
      </c>
    </row>
    <row r="1086" spans="1:17" ht="10.5" x14ac:dyDescent="0.25">
      <c r="A1086" s="816" t="s">
        <v>191</v>
      </c>
      <c r="B1086" s="816"/>
      <c r="C1086" s="816"/>
      <c r="D1086" s="816"/>
      <c r="E1086" s="816"/>
      <c r="F1086" s="816"/>
      <c r="G1086" s="816"/>
      <c r="H1086" s="816"/>
      <c r="I1086" s="816"/>
      <c r="J1086" s="816"/>
      <c r="K1086" s="816"/>
      <c r="L1086" s="816"/>
      <c r="M1086" s="816"/>
      <c r="N1086" s="816"/>
      <c r="O1086" s="816"/>
      <c r="P1086" s="816"/>
      <c r="Q1086" s="816"/>
    </row>
    <row r="1087" spans="1:17" ht="10.5" x14ac:dyDescent="0.25">
      <c r="A1087" s="392"/>
      <c r="B1087" s="280"/>
      <c r="C1087" s="280"/>
      <c r="D1087" s="282"/>
      <c r="E1087" s="280"/>
      <c r="F1087" s="438"/>
      <c r="G1087" s="439"/>
      <c r="H1087" s="438"/>
      <c r="I1087" s="440"/>
      <c r="J1087" s="438"/>
      <c r="K1087" s="438"/>
      <c r="L1087" s="438"/>
      <c r="M1087" s="438"/>
      <c r="N1087" s="438"/>
      <c r="O1087" s="438"/>
      <c r="P1087" s="438"/>
      <c r="Q1087" s="280"/>
    </row>
    <row r="1088" spans="1:17" ht="10.5" x14ac:dyDescent="0.25">
      <c r="A1088" s="727" t="s">
        <v>1</v>
      </c>
      <c r="B1088" s="727" t="s">
        <v>0</v>
      </c>
      <c r="C1088" s="727" t="s">
        <v>41</v>
      </c>
      <c r="D1088" s="731" t="s">
        <v>47</v>
      </c>
      <c r="E1088" s="727"/>
      <c r="F1088" s="584"/>
      <c r="G1088" s="587"/>
      <c r="H1088" s="584"/>
      <c r="I1088" s="730"/>
      <c r="J1088" s="584"/>
      <c r="K1088" s="584"/>
      <c r="L1088" s="584"/>
      <c r="M1088" s="584"/>
      <c r="N1088" s="584"/>
      <c r="O1088" s="584"/>
      <c r="P1088" s="584"/>
      <c r="Q1088" s="732"/>
    </row>
    <row r="1089" spans="1:19" ht="10.5" x14ac:dyDescent="0.25">
      <c r="A1089" s="263" t="s">
        <v>3</v>
      </c>
      <c r="B1089" s="263" t="s">
        <v>40</v>
      </c>
      <c r="C1089" s="263" t="s">
        <v>4</v>
      </c>
      <c r="D1089" s="756" t="s">
        <v>48</v>
      </c>
      <c r="E1089" s="380" t="str">
        <f>B!$D$11</f>
        <v>Jan-22</v>
      </c>
      <c r="F1089" s="380" t="str">
        <f>B!$E$11</f>
        <v>Feb-22</v>
      </c>
      <c r="G1089" s="380" t="str">
        <f>B!$F$11</f>
        <v>Mar-22</v>
      </c>
      <c r="H1089" s="380" t="str">
        <f>B!$G$11</f>
        <v>Apr-22</v>
      </c>
      <c r="I1089" s="380" t="str">
        <f>B!$H$11</f>
        <v>May-22</v>
      </c>
      <c r="J1089" s="380" t="str">
        <f>B!$I$11</f>
        <v>Jun-22</v>
      </c>
      <c r="K1089" s="380" t="str">
        <f>B!$J$11</f>
        <v>Jul-22</v>
      </c>
      <c r="L1089" s="380" t="str">
        <f>B!$K$11</f>
        <v>Aug-22</v>
      </c>
      <c r="M1089" s="380" t="str">
        <f>B!$L$11</f>
        <v>Sep-22</v>
      </c>
      <c r="N1089" s="380" t="str">
        <f>B!$M$11</f>
        <v>Oct-22</v>
      </c>
      <c r="O1089" s="380" t="str">
        <f>B!$N$11</f>
        <v>Nov-22</v>
      </c>
      <c r="P1089" s="380" t="str">
        <f>B!$O$11</f>
        <v>Dec-22</v>
      </c>
      <c r="Q1089" s="380" t="s">
        <v>9</v>
      </c>
    </row>
    <row r="1090" spans="1:19" ht="10.5" x14ac:dyDescent="0.25">
      <c r="A1090" s="727"/>
      <c r="B1090" s="732" t="s">
        <v>42</v>
      </c>
      <c r="C1090" s="732" t="s">
        <v>43</v>
      </c>
      <c r="D1090" s="757" t="s">
        <v>45</v>
      </c>
      <c r="E1090" s="586" t="s">
        <v>46</v>
      </c>
      <c r="F1090" s="586" t="s">
        <v>49</v>
      </c>
      <c r="G1090" s="586" t="s">
        <v>50</v>
      </c>
      <c r="H1090" s="586" t="s">
        <v>51</v>
      </c>
      <c r="I1090" s="586" t="s">
        <v>52</v>
      </c>
      <c r="J1090" s="586" t="s">
        <v>53</v>
      </c>
      <c r="K1090" s="588" t="s">
        <v>54</v>
      </c>
      <c r="L1090" s="588" t="s">
        <v>55</v>
      </c>
      <c r="M1090" s="588" t="s">
        <v>56</v>
      </c>
      <c r="N1090" s="588" t="s">
        <v>57</v>
      </c>
      <c r="O1090" s="588" t="s">
        <v>58</v>
      </c>
      <c r="P1090" s="588" t="s">
        <v>59</v>
      </c>
      <c r="Q1090" s="588" t="s">
        <v>200</v>
      </c>
    </row>
    <row r="1091" spans="1:19" ht="10.5" x14ac:dyDescent="0.25">
      <c r="E1091" s="732"/>
      <c r="F1091" s="588"/>
      <c r="G1091" s="585"/>
      <c r="H1091" s="588"/>
      <c r="I1091" s="586"/>
      <c r="J1091" s="588"/>
      <c r="K1091" s="588"/>
      <c r="L1091" s="588"/>
      <c r="M1091" s="588"/>
      <c r="N1091" s="588"/>
      <c r="O1091" s="588"/>
      <c r="P1091" s="588"/>
      <c r="Q1091" s="732"/>
    </row>
    <row r="1092" spans="1:19" x14ac:dyDescent="0.2">
      <c r="A1092" s="216">
        <v>1</v>
      </c>
      <c r="B1092" s="216" t="str">
        <f>B296</f>
        <v>DS3</v>
      </c>
      <c r="C1092" s="216" t="str">
        <f>C296</f>
        <v>GTS Main Line Service - Industrial</v>
      </c>
    </row>
    <row r="1094" spans="1:19" ht="10.5" x14ac:dyDescent="0.25">
      <c r="A1094" s="216">
        <f>A1092+1</f>
        <v>2</v>
      </c>
      <c r="C1094" s="245" t="s">
        <v>112</v>
      </c>
    </row>
    <row r="1095" spans="1:19" ht="10.5" x14ac:dyDescent="0.25">
      <c r="C1095" s="245"/>
    </row>
    <row r="1096" spans="1:19" x14ac:dyDescent="0.2">
      <c r="A1096" s="216">
        <f>A1094+1</f>
        <v>3</v>
      </c>
      <c r="C1096" s="216" t="s">
        <v>199</v>
      </c>
      <c r="E1096" s="421">
        <f>B!D222</f>
        <v>3</v>
      </c>
      <c r="F1096" s="421">
        <f>B!E222</f>
        <v>3</v>
      </c>
      <c r="G1096" s="421">
        <f>B!F222</f>
        <v>3</v>
      </c>
      <c r="H1096" s="421">
        <f>B!G222</f>
        <v>3</v>
      </c>
      <c r="I1096" s="421">
        <f>B!H222</f>
        <v>3</v>
      </c>
      <c r="J1096" s="421">
        <f>B!I222</f>
        <v>3</v>
      </c>
      <c r="K1096" s="421">
        <f>B!J222</f>
        <v>3</v>
      </c>
      <c r="L1096" s="421">
        <f>B!K222</f>
        <v>3</v>
      </c>
      <c r="M1096" s="421">
        <f>B!L222</f>
        <v>3</v>
      </c>
      <c r="N1096" s="421">
        <f>B!M222</f>
        <v>3</v>
      </c>
      <c r="O1096" s="421">
        <f>B!N222</f>
        <v>3</v>
      </c>
      <c r="P1096" s="421">
        <f>B!O222</f>
        <v>3</v>
      </c>
      <c r="Q1096" s="421">
        <f>SUM(E1096:P1096)</f>
        <v>36</v>
      </c>
    </row>
    <row r="1097" spans="1:19" x14ac:dyDescent="0.2">
      <c r="A1097" s="216">
        <f>A1096+1</f>
        <v>4</v>
      </c>
      <c r="C1097" s="216" t="s">
        <v>207</v>
      </c>
      <c r="D1097" s="608">
        <f>Input!H45</f>
        <v>255.9</v>
      </c>
      <c r="E1097" s="419">
        <f t="shared" ref="E1097:P1097" si="376">ROUND(E1096*$D$1097,2)</f>
        <v>767.7</v>
      </c>
      <c r="F1097" s="419">
        <f t="shared" si="376"/>
        <v>767.7</v>
      </c>
      <c r="G1097" s="419">
        <f t="shared" si="376"/>
        <v>767.7</v>
      </c>
      <c r="H1097" s="419">
        <f t="shared" si="376"/>
        <v>767.7</v>
      </c>
      <c r="I1097" s="419">
        <f t="shared" si="376"/>
        <v>767.7</v>
      </c>
      <c r="J1097" s="419">
        <f t="shared" si="376"/>
        <v>767.7</v>
      </c>
      <c r="K1097" s="419">
        <f t="shared" si="376"/>
        <v>767.7</v>
      </c>
      <c r="L1097" s="419">
        <f t="shared" si="376"/>
        <v>767.7</v>
      </c>
      <c r="M1097" s="419">
        <f t="shared" si="376"/>
        <v>767.7</v>
      </c>
      <c r="N1097" s="419">
        <f t="shared" si="376"/>
        <v>767.7</v>
      </c>
      <c r="O1097" s="419">
        <f t="shared" si="376"/>
        <v>767.7</v>
      </c>
      <c r="P1097" s="419">
        <f t="shared" si="376"/>
        <v>767.7</v>
      </c>
      <c r="Q1097" s="419">
        <f>SUM(E1097:P1097)</f>
        <v>9212.4</v>
      </c>
    </row>
    <row r="1098" spans="1:19" x14ac:dyDescent="0.2">
      <c r="A1098" s="216">
        <f>A1097+1</f>
        <v>5</v>
      </c>
      <c r="C1098" s="216" t="s">
        <v>214</v>
      </c>
      <c r="D1098" s="608">
        <f>Input!I45</f>
        <v>0</v>
      </c>
      <c r="E1098" s="419">
        <f t="shared" ref="E1098:P1098" si="377">ROUND(E1096*$D$1098,2)</f>
        <v>0</v>
      </c>
      <c r="F1098" s="419">
        <f t="shared" si="377"/>
        <v>0</v>
      </c>
      <c r="G1098" s="419">
        <f t="shared" si="377"/>
        <v>0</v>
      </c>
      <c r="H1098" s="419">
        <f t="shared" si="377"/>
        <v>0</v>
      </c>
      <c r="I1098" s="419">
        <f t="shared" si="377"/>
        <v>0</v>
      </c>
      <c r="J1098" s="419">
        <f t="shared" si="377"/>
        <v>0</v>
      </c>
      <c r="K1098" s="419">
        <f t="shared" si="377"/>
        <v>0</v>
      </c>
      <c r="L1098" s="419">
        <f t="shared" si="377"/>
        <v>0</v>
      </c>
      <c r="M1098" s="419">
        <f t="shared" si="377"/>
        <v>0</v>
      </c>
      <c r="N1098" s="419">
        <f t="shared" si="377"/>
        <v>0</v>
      </c>
      <c r="O1098" s="419">
        <f t="shared" si="377"/>
        <v>0</v>
      </c>
      <c r="P1098" s="419">
        <f t="shared" si="377"/>
        <v>0</v>
      </c>
      <c r="Q1098" s="419">
        <f>SUM(E1098:P1098)</f>
        <v>0</v>
      </c>
    </row>
    <row r="1100" spans="1:19" x14ac:dyDescent="0.2">
      <c r="A1100" s="216">
        <f>A1098+1</f>
        <v>6</v>
      </c>
      <c r="C1100" s="216" t="s">
        <v>215</v>
      </c>
      <c r="E1100" s="272">
        <f>'C'!D332</f>
        <v>54000</v>
      </c>
      <c r="F1100" s="272">
        <f>'C'!E332</f>
        <v>51500</v>
      </c>
      <c r="G1100" s="272">
        <f>'C'!F332</f>
        <v>49500</v>
      </c>
      <c r="H1100" s="272">
        <f>'C'!G332</f>
        <v>47400</v>
      </c>
      <c r="I1100" s="272">
        <f>'C'!H332</f>
        <v>50900</v>
      </c>
      <c r="J1100" s="272">
        <f>'C'!I332</f>
        <v>48600</v>
      </c>
      <c r="K1100" s="272">
        <f>'C'!J332</f>
        <v>49900</v>
      </c>
      <c r="L1100" s="272">
        <f>'C'!K332</f>
        <v>47500</v>
      </c>
      <c r="M1100" s="272">
        <f>'C'!L332</f>
        <v>49500</v>
      </c>
      <c r="N1100" s="272">
        <f>'C'!M332</f>
        <v>52800</v>
      </c>
      <c r="O1100" s="272">
        <f>'C'!N332</f>
        <v>51200</v>
      </c>
      <c r="P1100" s="272">
        <f>'C'!O332</f>
        <v>49300</v>
      </c>
      <c r="Q1100" s="272">
        <f>SUM(E1100:P1100)</f>
        <v>602100</v>
      </c>
      <c r="S1100" s="272"/>
    </row>
    <row r="1101" spans="1:19" x14ac:dyDescent="0.2">
      <c r="A1101" s="216">
        <f>A1100+1</f>
        <v>7</v>
      </c>
      <c r="C1101" s="267" t="s">
        <v>204</v>
      </c>
      <c r="D1101" s="609">
        <f>Input!C45</f>
        <v>8.5800000000000001E-2</v>
      </c>
      <c r="E1101" s="419">
        <f t="shared" ref="E1101:P1101" si="378">ROUND(E1100*$D$1101,2)</f>
        <v>4633.2</v>
      </c>
      <c r="F1101" s="419">
        <f t="shared" si="378"/>
        <v>4418.7</v>
      </c>
      <c r="G1101" s="419">
        <f t="shared" si="378"/>
        <v>4247.1000000000004</v>
      </c>
      <c r="H1101" s="419">
        <f t="shared" si="378"/>
        <v>4066.92</v>
      </c>
      <c r="I1101" s="419">
        <f t="shared" si="378"/>
        <v>4367.22</v>
      </c>
      <c r="J1101" s="419">
        <f t="shared" si="378"/>
        <v>4169.88</v>
      </c>
      <c r="K1101" s="419">
        <f t="shared" si="378"/>
        <v>4281.42</v>
      </c>
      <c r="L1101" s="419">
        <f t="shared" si="378"/>
        <v>4075.5</v>
      </c>
      <c r="M1101" s="419">
        <f t="shared" si="378"/>
        <v>4247.1000000000004</v>
      </c>
      <c r="N1101" s="419">
        <f t="shared" si="378"/>
        <v>4530.24</v>
      </c>
      <c r="O1101" s="419">
        <f t="shared" si="378"/>
        <v>4392.96</v>
      </c>
      <c r="P1101" s="419">
        <f t="shared" si="378"/>
        <v>4229.9399999999996</v>
      </c>
      <c r="Q1101" s="419">
        <f>SUM(E1101:P1101)</f>
        <v>51660.18</v>
      </c>
    </row>
    <row r="1102" spans="1:19" ht="11.5" x14ac:dyDescent="0.35">
      <c r="A1102" s="216">
        <f>A1101+1</f>
        <v>8</v>
      </c>
      <c r="C1102" s="216" t="s">
        <v>140</v>
      </c>
      <c r="D1102" s="609">
        <f>Input!N45</f>
        <v>1.44E-2</v>
      </c>
      <c r="E1102" s="596">
        <f>ROUND($D$1102*E1100,2)</f>
        <v>777.6</v>
      </c>
      <c r="F1102" s="596">
        <f>ROUND($D$1102*F1100,2)</f>
        <v>741.6</v>
      </c>
      <c r="G1102" s="596">
        <f t="shared" ref="G1102:P1102" si="379">ROUND($D$1102*G1100,2)</f>
        <v>712.8</v>
      </c>
      <c r="H1102" s="596">
        <f t="shared" si="379"/>
        <v>682.56</v>
      </c>
      <c r="I1102" s="596">
        <f t="shared" si="379"/>
        <v>732.96</v>
      </c>
      <c r="J1102" s="596">
        <f t="shared" si="379"/>
        <v>699.84</v>
      </c>
      <c r="K1102" s="596">
        <f t="shared" si="379"/>
        <v>718.56</v>
      </c>
      <c r="L1102" s="596">
        <f t="shared" si="379"/>
        <v>684</v>
      </c>
      <c r="M1102" s="596">
        <f t="shared" si="379"/>
        <v>712.8</v>
      </c>
      <c r="N1102" s="596">
        <f t="shared" si="379"/>
        <v>760.32</v>
      </c>
      <c r="O1102" s="596">
        <f t="shared" si="379"/>
        <v>737.28</v>
      </c>
      <c r="P1102" s="596">
        <f t="shared" si="379"/>
        <v>709.92</v>
      </c>
      <c r="Q1102" s="666">
        <f>SUM(E1102:P1102)</f>
        <v>8670.24</v>
      </c>
    </row>
    <row r="1103" spans="1:19" x14ac:dyDescent="0.2">
      <c r="A1103" s="216">
        <f>A1102+1</f>
        <v>9</v>
      </c>
      <c r="C1103" s="216" t="s">
        <v>201</v>
      </c>
      <c r="E1103" s="419">
        <f>E1097+E1098+E1101+E1102</f>
        <v>6178.5</v>
      </c>
      <c r="F1103" s="419">
        <f t="shared" ref="F1103:O1103" si="380">F1097+F1098+F1101+F1102</f>
        <v>5928</v>
      </c>
      <c r="G1103" s="419">
        <f t="shared" si="380"/>
        <v>5727.6</v>
      </c>
      <c r="H1103" s="419">
        <f t="shared" si="380"/>
        <v>5517.18</v>
      </c>
      <c r="I1103" s="419">
        <f t="shared" si="380"/>
        <v>5867.88</v>
      </c>
      <c r="J1103" s="419">
        <f t="shared" si="380"/>
        <v>5637.42</v>
      </c>
      <c r="K1103" s="419">
        <f t="shared" si="380"/>
        <v>5767.68</v>
      </c>
      <c r="L1103" s="419">
        <f t="shared" si="380"/>
        <v>5527.2</v>
      </c>
      <c r="M1103" s="419">
        <f t="shared" si="380"/>
        <v>5727.6</v>
      </c>
      <c r="N1103" s="419">
        <f t="shared" si="380"/>
        <v>6058.2599999999993</v>
      </c>
      <c r="O1103" s="419">
        <f t="shared" si="380"/>
        <v>5897.94</v>
      </c>
      <c r="P1103" s="419">
        <f>P1097+P1098+P1101+P1102</f>
        <v>5707.5599999999995</v>
      </c>
      <c r="Q1103" s="419">
        <f>SUM(E1103:P1103)</f>
        <v>69542.820000000007</v>
      </c>
    </row>
    <row r="1104" spans="1:19" x14ac:dyDescent="0.2">
      <c r="E1104" s="417"/>
      <c r="F1104" s="417"/>
      <c r="G1104" s="417"/>
      <c r="H1104" s="417"/>
      <c r="I1104" s="417"/>
      <c r="J1104" s="417"/>
      <c r="K1104" s="417"/>
      <c r="L1104" s="417"/>
      <c r="M1104" s="417"/>
      <c r="N1104" s="417"/>
      <c r="O1104" s="417"/>
      <c r="P1104" s="417"/>
      <c r="Q1104" s="457"/>
    </row>
    <row r="1105" spans="1:17" x14ac:dyDescent="0.2">
      <c r="A1105" s="216">
        <f>A1103+1</f>
        <v>10</v>
      </c>
      <c r="C1105" s="216" t="s">
        <v>148</v>
      </c>
      <c r="D1105" s="609">
        <v>0</v>
      </c>
      <c r="E1105" s="419">
        <v>0</v>
      </c>
      <c r="F1105" s="419">
        <v>0</v>
      </c>
      <c r="G1105" s="419">
        <v>0</v>
      </c>
      <c r="H1105" s="419">
        <v>0</v>
      </c>
      <c r="I1105" s="419">
        <v>0</v>
      </c>
      <c r="J1105" s="419">
        <v>0</v>
      </c>
      <c r="K1105" s="419">
        <v>0</v>
      </c>
      <c r="L1105" s="419">
        <v>0</v>
      </c>
      <c r="M1105" s="419">
        <v>0</v>
      </c>
      <c r="N1105" s="419">
        <v>0</v>
      </c>
      <c r="O1105" s="419">
        <v>0</v>
      </c>
      <c r="P1105" s="419">
        <v>0</v>
      </c>
      <c r="Q1105" s="419">
        <f>SUM(E1105:P1105)</f>
        <v>0</v>
      </c>
    </row>
    <row r="1106" spans="1:17" x14ac:dyDescent="0.2">
      <c r="E1106" s="417"/>
      <c r="F1106" s="417"/>
      <c r="G1106" s="417"/>
      <c r="H1106" s="417"/>
      <c r="I1106" s="417"/>
      <c r="J1106" s="417"/>
      <c r="K1106" s="417"/>
      <c r="L1106" s="417"/>
      <c r="M1106" s="417"/>
      <c r="N1106" s="417"/>
      <c r="O1106" s="417"/>
      <c r="P1106" s="417"/>
      <c r="Q1106" s="417"/>
    </row>
    <row r="1107" spans="1:17" ht="10.5" thickBot="1" x14ac:dyDescent="0.25">
      <c r="A1107" s="433">
        <f>A1105+1</f>
        <v>11</v>
      </c>
      <c r="B1107" s="433"/>
      <c r="C1107" s="433" t="s">
        <v>202</v>
      </c>
      <c r="D1107" s="770"/>
      <c r="E1107" s="675">
        <f t="shared" ref="E1107:O1107" si="381">E1103+E1105</f>
        <v>6178.5</v>
      </c>
      <c r="F1107" s="675">
        <f t="shared" si="381"/>
        <v>5928</v>
      </c>
      <c r="G1107" s="675">
        <f t="shared" si="381"/>
        <v>5727.6</v>
      </c>
      <c r="H1107" s="675">
        <f t="shared" si="381"/>
        <v>5517.18</v>
      </c>
      <c r="I1107" s="675">
        <f t="shared" si="381"/>
        <v>5867.88</v>
      </c>
      <c r="J1107" s="675">
        <f t="shared" si="381"/>
        <v>5637.42</v>
      </c>
      <c r="K1107" s="675">
        <f t="shared" si="381"/>
        <v>5767.68</v>
      </c>
      <c r="L1107" s="675">
        <f t="shared" si="381"/>
        <v>5527.2</v>
      </c>
      <c r="M1107" s="675">
        <f t="shared" si="381"/>
        <v>5727.6</v>
      </c>
      <c r="N1107" s="675">
        <f t="shared" si="381"/>
        <v>6058.2599999999993</v>
      </c>
      <c r="O1107" s="675">
        <f t="shared" si="381"/>
        <v>5897.94</v>
      </c>
      <c r="P1107" s="675">
        <f>P1103+P1105</f>
        <v>5707.5599999999995</v>
      </c>
      <c r="Q1107" s="675">
        <f>SUM(E1107:P1107)</f>
        <v>69542.820000000007</v>
      </c>
    </row>
    <row r="1108" spans="1:17" ht="10.5" thickTop="1" x14ac:dyDescent="0.2"/>
    <row r="1110" spans="1:17" x14ac:dyDescent="0.2">
      <c r="A1110" s="216">
        <f>A1107+1</f>
        <v>12</v>
      </c>
      <c r="B1110" s="216" t="str">
        <f>B303</f>
        <v>FX1</v>
      </c>
      <c r="C1110" s="216" t="str">
        <f>C303</f>
        <v>GTS Flex Rate - Commercial</v>
      </c>
    </row>
    <row r="1112" spans="1:17" ht="10.5" x14ac:dyDescent="0.25">
      <c r="A1112" s="216">
        <f>A1110+1</f>
        <v>13</v>
      </c>
      <c r="C1112" s="245" t="s">
        <v>111</v>
      </c>
    </row>
    <row r="1113" spans="1:17" ht="10.5" x14ac:dyDescent="0.25">
      <c r="C1113" s="245"/>
    </row>
    <row r="1114" spans="1:17" x14ac:dyDescent="0.2">
      <c r="A1114" s="216">
        <f>A1112+1</f>
        <v>14</v>
      </c>
      <c r="C1114" s="216" t="s">
        <v>199</v>
      </c>
      <c r="E1114" s="421">
        <f>B!D228</f>
        <v>0</v>
      </c>
      <c r="F1114" s="421">
        <f>B!E228</f>
        <v>0</v>
      </c>
      <c r="G1114" s="421">
        <f>B!F228</f>
        <v>0</v>
      </c>
      <c r="H1114" s="421">
        <f>B!G228</f>
        <v>0</v>
      </c>
      <c r="I1114" s="421">
        <f>B!H228</f>
        <v>0</v>
      </c>
      <c r="J1114" s="421">
        <f>B!I228</f>
        <v>0</v>
      </c>
      <c r="K1114" s="421">
        <f>B!J228</f>
        <v>0</v>
      </c>
      <c r="L1114" s="421">
        <f>B!K228</f>
        <v>0</v>
      </c>
      <c r="M1114" s="421">
        <f>B!L228</f>
        <v>0</v>
      </c>
      <c r="N1114" s="421">
        <f>B!M228</f>
        <v>0</v>
      </c>
      <c r="O1114" s="421">
        <f>B!N228</f>
        <v>0</v>
      </c>
      <c r="P1114" s="421">
        <f>B!O228</f>
        <v>0</v>
      </c>
      <c r="Q1114" s="421">
        <f>SUM(E1114:P1114)</f>
        <v>0</v>
      </c>
    </row>
    <row r="1115" spans="1:17" x14ac:dyDescent="0.2">
      <c r="A1115" s="216">
        <f>A1114+1</f>
        <v>15</v>
      </c>
      <c r="C1115" s="216" t="s">
        <v>207</v>
      </c>
      <c r="D1115" s="608">
        <f>Input!H46</f>
        <v>0</v>
      </c>
      <c r="E1115" s="419">
        <f t="shared" ref="E1115:P1115" si="382">ROUND(E1114*$D$1115,2)</f>
        <v>0</v>
      </c>
      <c r="F1115" s="419">
        <f t="shared" si="382"/>
        <v>0</v>
      </c>
      <c r="G1115" s="419">
        <f t="shared" si="382"/>
        <v>0</v>
      </c>
      <c r="H1115" s="419">
        <f t="shared" si="382"/>
        <v>0</v>
      </c>
      <c r="I1115" s="419">
        <f t="shared" si="382"/>
        <v>0</v>
      </c>
      <c r="J1115" s="419">
        <f t="shared" si="382"/>
        <v>0</v>
      </c>
      <c r="K1115" s="419">
        <f t="shared" si="382"/>
        <v>0</v>
      </c>
      <c r="L1115" s="419">
        <f t="shared" si="382"/>
        <v>0</v>
      </c>
      <c r="M1115" s="419">
        <f t="shared" si="382"/>
        <v>0</v>
      </c>
      <c r="N1115" s="419">
        <f t="shared" si="382"/>
        <v>0</v>
      </c>
      <c r="O1115" s="419">
        <f t="shared" si="382"/>
        <v>0</v>
      </c>
      <c r="P1115" s="419">
        <f t="shared" si="382"/>
        <v>0</v>
      </c>
      <c r="Q1115" s="419">
        <f>SUM(E1115:P1115)</f>
        <v>0</v>
      </c>
    </row>
    <row r="1116" spans="1:17" x14ac:dyDescent="0.2">
      <c r="A1116" s="216">
        <f>A1115+1</f>
        <v>16</v>
      </c>
      <c r="C1116" s="216" t="s">
        <v>214</v>
      </c>
      <c r="D1116" s="608">
        <f>Input!I46</f>
        <v>0</v>
      </c>
      <c r="E1116" s="419">
        <f t="shared" ref="E1116:P1116" si="383">ROUND(E1114*$D$1116,2)</f>
        <v>0</v>
      </c>
      <c r="F1116" s="419">
        <f t="shared" si="383"/>
        <v>0</v>
      </c>
      <c r="G1116" s="419">
        <f t="shared" si="383"/>
        <v>0</v>
      </c>
      <c r="H1116" s="419">
        <f t="shared" si="383"/>
        <v>0</v>
      </c>
      <c r="I1116" s="419">
        <f t="shared" si="383"/>
        <v>0</v>
      </c>
      <c r="J1116" s="419">
        <f t="shared" si="383"/>
        <v>0</v>
      </c>
      <c r="K1116" s="419">
        <f t="shared" si="383"/>
        <v>0</v>
      </c>
      <c r="L1116" s="419">
        <f t="shared" si="383"/>
        <v>0</v>
      </c>
      <c r="M1116" s="419">
        <f t="shared" si="383"/>
        <v>0</v>
      </c>
      <c r="N1116" s="419">
        <f t="shared" si="383"/>
        <v>0</v>
      </c>
      <c r="O1116" s="419">
        <f t="shared" si="383"/>
        <v>0</v>
      </c>
      <c r="P1116" s="419">
        <f t="shared" si="383"/>
        <v>0</v>
      </c>
      <c r="Q1116" s="419">
        <f>SUM(E1116:P1116)</f>
        <v>0</v>
      </c>
    </row>
    <row r="1118" spans="1:17" x14ac:dyDescent="0.2">
      <c r="A1118" s="216">
        <f>A1116+1</f>
        <v>17</v>
      </c>
      <c r="C1118" s="216" t="s">
        <v>206</v>
      </c>
      <c r="E1118" s="272">
        <f>'C'!D337</f>
        <v>0</v>
      </c>
      <c r="F1118" s="272">
        <f>'C'!E337</f>
        <v>0</v>
      </c>
      <c r="G1118" s="272">
        <f>'C'!F337</f>
        <v>0</v>
      </c>
      <c r="H1118" s="272">
        <f>'C'!G337</f>
        <v>0</v>
      </c>
      <c r="I1118" s="272">
        <f>'C'!H337</f>
        <v>0</v>
      </c>
      <c r="J1118" s="272">
        <f>'C'!I337</f>
        <v>0</v>
      </c>
      <c r="K1118" s="272">
        <f>'C'!J337</f>
        <v>0</v>
      </c>
      <c r="L1118" s="272">
        <f>'C'!K337</f>
        <v>0</v>
      </c>
      <c r="M1118" s="272">
        <f>'C'!L337</f>
        <v>0</v>
      </c>
      <c r="N1118" s="272">
        <f>'C'!M337</f>
        <v>0</v>
      </c>
      <c r="O1118" s="272">
        <f>'C'!N337</f>
        <v>0</v>
      </c>
      <c r="P1118" s="272">
        <f>'C'!O337</f>
        <v>0</v>
      </c>
      <c r="Q1118" s="272">
        <f>SUM(E1118:P1118)</f>
        <v>0</v>
      </c>
    </row>
    <row r="1119" spans="1:17" x14ac:dyDescent="0.2">
      <c r="A1119" s="216">
        <f>A1118+1</f>
        <v>18</v>
      </c>
      <c r="C1119" s="216" t="s">
        <v>204</v>
      </c>
      <c r="D1119" s="609">
        <f>Input!C46</f>
        <v>0</v>
      </c>
      <c r="E1119" s="419">
        <f t="shared" ref="E1119:P1119" si="384">ROUND(E1118*$D$1119,2)</f>
        <v>0</v>
      </c>
      <c r="F1119" s="419">
        <f t="shared" si="384"/>
        <v>0</v>
      </c>
      <c r="G1119" s="419">
        <f t="shared" si="384"/>
        <v>0</v>
      </c>
      <c r="H1119" s="419">
        <f t="shared" si="384"/>
        <v>0</v>
      </c>
      <c r="I1119" s="419">
        <f t="shared" si="384"/>
        <v>0</v>
      </c>
      <c r="J1119" s="419">
        <f t="shared" si="384"/>
        <v>0</v>
      </c>
      <c r="K1119" s="419">
        <f t="shared" si="384"/>
        <v>0</v>
      </c>
      <c r="L1119" s="419">
        <f t="shared" si="384"/>
        <v>0</v>
      </c>
      <c r="M1119" s="419">
        <f t="shared" si="384"/>
        <v>0</v>
      </c>
      <c r="N1119" s="419">
        <f t="shared" si="384"/>
        <v>0</v>
      </c>
      <c r="O1119" s="419">
        <f t="shared" si="384"/>
        <v>0</v>
      </c>
      <c r="P1119" s="419">
        <f t="shared" si="384"/>
        <v>0</v>
      </c>
      <c r="Q1119" s="419">
        <f>SUM(E1119:P1119)</f>
        <v>0</v>
      </c>
    </row>
    <row r="1120" spans="1:17" x14ac:dyDescent="0.2">
      <c r="Q1120" s="456"/>
    </row>
    <row r="1121" spans="1:17" x14ac:dyDescent="0.2">
      <c r="A1121" s="216">
        <f>A1119+1</f>
        <v>19</v>
      </c>
      <c r="C1121" s="216" t="s">
        <v>201</v>
      </c>
      <c r="E1121" s="419">
        <f t="shared" ref="E1121:O1121" si="385">E1115+E1116+E1119</f>
        <v>0</v>
      </c>
      <c r="F1121" s="419">
        <f t="shared" si="385"/>
        <v>0</v>
      </c>
      <c r="G1121" s="419">
        <f t="shared" si="385"/>
        <v>0</v>
      </c>
      <c r="H1121" s="419">
        <f t="shared" si="385"/>
        <v>0</v>
      </c>
      <c r="I1121" s="419">
        <f t="shared" si="385"/>
        <v>0</v>
      </c>
      <c r="J1121" s="419">
        <f t="shared" si="385"/>
        <v>0</v>
      </c>
      <c r="K1121" s="419">
        <f t="shared" si="385"/>
        <v>0</v>
      </c>
      <c r="L1121" s="419">
        <f t="shared" si="385"/>
        <v>0</v>
      </c>
      <c r="M1121" s="419">
        <f t="shared" si="385"/>
        <v>0</v>
      </c>
      <c r="N1121" s="419">
        <f t="shared" si="385"/>
        <v>0</v>
      </c>
      <c r="O1121" s="419">
        <f t="shared" si="385"/>
        <v>0</v>
      </c>
      <c r="P1121" s="419">
        <f>P1115+P1116+P1119</f>
        <v>0</v>
      </c>
      <c r="Q1121" s="419">
        <f>SUM(E1121:P1121)</f>
        <v>0</v>
      </c>
    </row>
    <row r="1122" spans="1:17" x14ac:dyDescent="0.2">
      <c r="E1122" s="417"/>
      <c r="F1122" s="417"/>
      <c r="G1122" s="417"/>
      <c r="H1122" s="417"/>
      <c r="I1122" s="417"/>
      <c r="J1122" s="417"/>
      <c r="K1122" s="417"/>
      <c r="L1122" s="417"/>
      <c r="M1122" s="417"/>
      <c r="N1122" s="417"/>
      <c r="O1122" s="417"/>
      <c r="P1122" s="417"/>
      <c r="Q1122" s="457"/>
    </row>
    <row r="1123" spans="1:17" x14ac:dyDescent="0.2">
      <c r="A1123" s="216">
        <f>A1121+1</f>
        <v>20</v>
      </c>
      <c r="C1123" s="216" t="s">
        <v>148</v>
      </c>
      <c r="D1123" s="609">
        <v>0</v>
      </c>
      <c r="E1123" s="419">
        <v>0</v>
      </c>
      <c r="F1123" s="419">
        <v>0</v>
      </c>
      <c r="G1123" s="419">
        <v>0</v>
      </c>
      <c r="H1123" s="419">
        <v>0</v>
      </c>
      <c r="I1123" s="419">
        <v>0</v>
      </c>
      <c r="J1123" s="419">
        <v>0</v>
      </c>
      <c r="K1123" s="419">
        <v>0</v>
      </c>
      <c r="L1123" s="419">
        <v>0</v>
      </c>
      <c r="M1123" s="419">
        <v>0</v>
      </c>
      <c r="N1123" s="419">
        <v>0</v>
      </c>
      <c r="O1123" s="419">
        <v>0</v>
      </c>
      <c r="P1123" s="419">
        <v>0</v>
      </c>
      <c r="Q1123" s="419">
        <f>SUM(E1123:P1123)</f>
        <v>0</v>
      </c>
    </row>
    <row r="1124" spans="1:17" x14ac:dyDescent="0.2">
      <c r="E1124" s="417"/>
      <c r="F1124" s="417"/>
      <c r="G1124" s="417"/>
      <c r="H1124" s="417"/>
      <c r="I1124" s="417"/>
      <c r="J1124" s="417"/>
      <c r="K1124" s="417"/>
      <c r="L1124" s="417"/>
      <c r="M1124" s="417"/>
      <c r="N1124" s="417"/>
      <c r="O1124" s="417"/>
      <c r="P1124" s="417"/>
      <c r="Q1124" s="417"/>
    </row>
    <row r="1125" spans="1:17" ht="10.5" thickBot="1" x14ac:dyDescent="0.25">
      <c r="A1125" s="433">
        <f>A1123+1</f>
        <v>21</v>
      </c>
      <c r="B1125" s="433"/>
      <c r="C1125" s="433" t="s">
        <v>202</v>
      </c>
      <c r="D1125" s="770"/>
      <c r="E1125" s="675">
        <f t="shared" ref="E1125:O1125" si="386">E1121+E1123</f>
        <v>0</v>
      </c>
      <c r="F1125" s="675">
        <f t="shared" si="386"/>
        <v>0</v>
      </c>
      <c r="G1125" s="675">
        <f t="shared" si="386"/>
        <v>0</v>
      </c>
      <c r="H1125" s="675">
        <f t="shared" si="386"/>
        <v>0</v>
      </c>
      <c r="I1125" s="675">
        <f t="shared" si="386"/>
        <v>0</v>
      </c>
      <c r="J1125" s="675">
        <f t="shared" si="386"/>
        <v>0</v>
      </c>
      <c r="K1125" s="675">
        <f t="shared" si="386"/>
        <v>0</v>
      </c>
      <c r="L1125" s="675">
        <f t="shared" si="386"/>
        <v>0</v>
      </c>
      <c r="M1125" s="675">
        <f t="shared" si="386"/>
        <v>0</v>
      </c>
      <c r="N1125" s="675">
        <f t="shared" si="386"/>
        <v>0</v>
      </c>
      <c r="O1125" s="675">
        <f t="shared" si="386"/>
        <v>0</v>
      </c>
      <c r="P1125" s="675">
        <f>P1121+P1123</f>
        <v>0</v>
      </c>
      <c r="Q1125" s="675">
        <f>SUM(E1125:P1125)</f>
        <v>0</v>
      </c>
    </row>
    <row r="1126" spans="1:17" ht="10.5" thickTop="1" x14ac:dyDescent="0.2"/>
    <row r="1128" spans="1:17" x14ac:dyDescent="0.2">
      <c r="A1128" s="216">
        <f>A1125+1</f>
        <v>22</v>
      </c>
      <c r="B1128" s="216" t="str">
        <f>B310</f>
        <v>FX2</v>
      </c>
      <c r="C1128" s="216" t="str">
        <f>C310</f>
        <v>GTS Flex Rate - Commercial</v>
      </c>
    </row>
    <row r="1130" spans="1:17" ht="10.5" x14ac:dyDescent="0.25">
      <c r="A1130" s="216">
        <f>A1128+1</f>
        <v>23</v>
      </c>
      <c r="C1130" s="245" t="s">
        <v>111</v>
      </c>
    </row>
    <row r="1131" spans="1:17" ht="10.5" x14ac:dyDescent="0.25">
      <c r="C1131" s="245"/>
    </row>
    <row r="1132" spans="1:17" x14ac:dyDescent="0.2">
      <c r="A1132" s="216">
        <f>A1130+1</f>
        <v>24</v>
      </c>
      <c r="C1132" s="216" t="s">
        <v>199</v>
      </c>
      <c r="E1132" s="421">
        <f>B!D234</f>
        <v>0</v>
      </c>
      <c r="F1132" s="421">
        <f>B!E234</f>
        <v>0</v>
      </c>
      <c r="G1132" s="421">
        <f>B!F234</f>
        <v>0</v>
      </c>
      <c r="H1132" s="421">
        <f>B!G234</f>
        <v>0</v>
      </c>
      <c r="I1132" s="421">
        <f>B!H234</f>
        <v>0</v>
      </c>
      <c r="J1132" s="421">
        <f>B!I234</f>
        <v>0</v>
      </c>
      <c r="K1132" s="421">
        <f>B!J234</f>
        <v>0</v>
      </c>
      <c r="L1132" s="421">
        <f>B!K234</f>
        <v>0</v>
      </c>
      <c r="M1132" s="421">
        <f>B!L234</f>
        <v>0</v>
      </c>
      <c r="N1132" s="421">
        <f>B!M234</f>
        <v>0</v>
      </c>
      <c r="O1132" s="421">
        <f>B!N234</f>
        <v>0</v>
      </c>
      <c r="P1132" s="421">
        <f>B!O234</f>
        <v>0</v>
      </c>
      <c r="Q1132" s="421">
        <f>SUM(E1132:P1132)</f>
        <v>0</v>
      </c>
    </row>
    <row r="1133" spans="1:17" x14ac:dyDescent="0.2">
      <c r="A1133" s="216">
        <f>A1132+1</f>
        <v>25</v>
      </c>
      <c r="C1133" s="216" t="s">
        <v>207</v>
      </c>
      <c r="D1133" s="608">
        <f>Input!H47</f>
        <v>0</v>
      </c>
      <c r="E1133" s="419">
        <f t="shared" ref="E1133:P1133" si="387">ROUND(E1132*$D$1133,2)</f>
        <v>0</v>
      </c>
      <c r="F1133" s="419">
        <f t="shared" si="387"/>
        <v>0</v>
      </c>
      <c r="G1133" s="419">
        <f t="shared" si="387"/>
        <v>0</v>
      </c>
      <c r="H1133" s="419">
        <f t="shared" si="387"/>
        <v>0</v>
      </c>
      <c r="I1133" s="419">
        <f t="shared" si="387"/>
        <v>0</v>
      </c>
      <c r="J1133" s="419">
        <f t="shared" si="387"/>
        <v>0</v>
      </c>
      <c r="K1133" s="419">
        <f t="shared" si="387"/>
        <v>0</v>
      </c>
      <c r="L1133" s="419">
        <f t="shared" si="387"/>
        <v>0</v>
      </c>
      <c r="M1133" s="419">
        <f t="shared" si="387"/>
        <v>0</v>
      </c>
      <c r="N1133" s="419">
        <f t="shared" si="387"/>
        <v>0</v>
      </c>
      <c r="O1133" s="419">
        <f t="shared" si="387"/>
        <v>0</v>
      </c>
      <c r="P1133" s="419">
        <f t="shared" si="387"/>
        <v>0</v>
      </c>
      <c r="Q1133" s="419">
        <f>SUM(E1133:P1133)</f>
        <v>0</v>
      </c>
    </row>
    <row r="1134" spans="1:17" x14ac:dyDescent="0.2">
      <c r="A1134" s="216">
        <f>A1133+1</f>
        <v>26</v>
      </c>
      <c r="C1134" s="216" t="s">
        <v>214</v>
      </c>
      <c r="D1134" s="608">
        <f>Input!I47</f>
        <v>0</v>
      </c>
      <c r="E1134" s="419">
        <f t="shared" ref="E1134:P1134" si="388">ROUND(E1132*$D$1134,2)</f>
        <v>0</v>
      </c>
      <c r="F1134" s="419">
        <f t="shared" si="388"/>
        <v>0</v>
      </c>
      <c r="G1134" s="419">
        <f t="shared" si="388"/>
        <v>0</v>
      </c>
      <c r="H1134" s="419">
        <f t="shared" si="388"/>
        <v>0</v>
      </c>
      <c r="I1134" s="419">
        <f t="shared" si="388"/>
        <v>0</v>
      </c>
      <c r="J1134" s="419">
        <f t="shared" si="388"/>
        <v>0</v>
      </c>
      <c r="K1134" s="419">
        <f t="shared" si="388"/>
        <v>0</v>
      </c>
      <c r="L1134" s="419">
        <f t="shared" si="388"/>
        <v>0</v>
      </c>
      <c r="M1134" s="419">
        <f t="shared" si="388"/>
        <v>0</v>
      </c>
      <c r="N1134" s="419">
        <f t="shared" si="388"/>
        <v>0</v>
      </c>
      <c r="O1134" s="419">
        <f t="shared" si="388"/>
        <v>0</v>
      </c>
      <c r="P1134" s="419">
        <f t="shared" si="388"/>
        <v>0</v>
      </c>
      <c r="Q1134" s="419">
        <f>SUM(E1134:P1134)</f>
        <v>0</v>
      </c>
    </row>
    <row r="1136" spans="1:17" x14ac:dyDescent="0.2">
      <c r="A1136" s="216">
        <f>A1134+1</f>
        <v>27</v>
      </c>
      <c r="C1136" s="216" t="s">
        <v>206</v>
      </c>
      <c r="E1136" s="272">
        <f>'C'!D355</f>
        <v>0</v>
      </c>
      <c r="F1136" s="272">
        <f>'C'!E355</f>
        <v>0</v>
      </c>
      <c r="G1136" s="272">
        <f>'C'!F355</f>
        <v>0</v>
      </c>
      <c r="H1136" s="272">
        <f>'C'!G355</f>
        <v>0</v>
      </c>
      <c r="I1136" s="272">
        <f>'C'!H355</f>
        <v>0</v>
      </c>
      <c r="J1136" s="272">
        <f>'C'!I355</f>
        <v>0</v>
      </c>
      <c r="K1136" s="272">
        <f>'C'!J355</f>
        <v>0</v>
      </c>
      <c r="L1136" s="272">
        <f>'C'!K355</f>
        <v>0</v>
      </c>
      <c r="M1136" s="272">
        <f>'C'!L355</f>
        <v>0</v>
      </c>
      <c r="N1136" s="272">
        <f>'C'!M355</f>
        <v>0</v>
      </c>
      <c r="O1136" s="272">
        <f>'C'!N355</f>
        <v>0</v>
      </c>
      <c r="P1136" s="272">
        <f>'C'!O355</f>
        <v>0</v>
      </c>
      <c r="Q1136" s="272">
        <f>SUM(E1136:P1136)</f>
        <v>0</v>
      </c>
    </row>
    <row r="1137" spans="1:17" x14ac:dyDescent="0.2">
      <c r="A1137" s="216">
        <f>A1136+1</f>
        <v>28</v>
      </c>
      <c r="C1137" s="267" t="s">
        <v>204</v>
      </c>
      <c r="D1137" s="609">
        <f>Input!C47</f>
        <v>0</v>
      </c>
      <c r="E1137" s="419">
        <f t="shared" ref="E1137:P1137" si="389">ROUND(E1136*$D$1137,2)</f>
        <v>0</v>
      </c>
      <c r="F1137" s="419">
        <f t="shared" si="389"/>
        <v>0</v>
      </c>
      <c r="G1137" s="419">
        <f t="shared" si="389"/>
        <v>0</v>
      </c>
      <c r="H1137" s="419">
        <f t="shared" si="389"/>
        <v>0</v>
      </c>
      <c r="I1137" s="419">
        <f t="shared" si="389"/>
        <v>0</v>
      </c>
      <c r="J1137" s="419">
        <f t="shared" si="389"/>
        <v>0</v>
      </c>
      <c r="K1137" s="419">
        <f t="shared" si="389"/>
        <v>0</v>
      </c>
      <c r="L1137" s="419">
        <f t="shared" si="389"/>
        <v>0</v>
      </c>
      <c r="M1137" s="419">
        <f t="shared" si="389"/>
        <v>0</v>
      </c>
      <c r="N1137" s="419">
        <f t="shared" si="389"/>
        <v>0</v>
      </c>
      <c r="O1137" s="419">
        <f t="shared" si="389"/>
        <v>0</v>
      </c>
      <c r="P1137" s="419">
        <f t="shared" si="389"/>
        <v>0</v>
      </c>
      <c r="Q1137" s="419">
        <f>SUM(E1137:P1137)</f>
        <v>0</v>
      </c>
    </row>
    <row r="1138" spans="1:17" x14ac:dyDescent="0.2">
      <c r="C1138" s="267"/>
      <c r="E1138" s="417"/>
      <c r="F1138" s="417"/>
      <c r="G1138" s="417"/>
      <c r="H1138" s="417"/>
      <c r="I1138" s="417"/>
      <c r="J1138" s="417"/>
      <c r="K1138" s="417"/>
      <c r="L1138" s="417"/>
      <c r="M1138" s="417"/>
      <c r="N1138" s="417"/>
      <c r="O1138" s="417"/>
      <c r="P1138" s="417"/>
      <c r="Q1138" s="457"/>
    </row>
    <row r="1139" spans="1:17" x14ac:dyDescent="0.2">
      <c r="A1139" s="216">
        <f>A1137+1</f>
        <v>29</v>
      </c>
      <c r="C1139" s="267" t="s">
        <v>201</v>
      </c>
      <c r="E1139" s="419">
        <f t="shared" ref="E1139:O1139" si="390">E1133+E1134+E1137</f>
        <v>0</v>
      </c>
      <c r="F1139" s="419">
        <f t="shared" si="390"/>
        <v>0</v>
      </c>
      <c r="G1139" s="419">
        <f t="shared" si="390"/>
        <v>0</v>
      </c>
      <c r="H1139" s="419">
        <f t="shared" si="390"/>
        <v>0</v>
      </c>
      <c r="I1139" s="419">
        <f t="shared" si="390"/>
        <v>0</v>
      </c>
      <c r="J1139" s="419">
        <f t="shared" si="390"/>
        <v>0</v>
      </c>
      <c r="K1139" s="419">
        <f t="shared" si="390"/>
        <v>0</v>
      </c>
      <c r="L1139" s="419">
        <f t="shared" si="390"/>
        <v>0</v>
      </c>
      <c r="M1139" s="419">
        <f t="shared" si="390"/>
        <v>0</v>
      </c>
      <c r="N1139" s="419">
        <f t="shared" si="390"/>
        <v>0</v>
      </c>
      <c r="O1139" s="419">
        <f t="shared" si="390"/>
        <v>0</v>
      </c>
      <c r="P1139" s="419">
        <f>P1133+P1134+P1137</f>
        <v>0</v>
      </c>
      <c r="Q1139" s="419">
        <f>SUM(E1139:P1139)</f>
        <v>0</v>
      </c>
    </row>
    <row r="1140" spans="1:17" x14ac:dyDescent="0.2">
      <c r="C1140" s="267"/>
      <c r="E1140" s="417"/>
      <c r="F1140" s="417"/>
      <c r="G1140" s="417"/>
      <c r="H1140" s="417"/>
      <c r="I1140" s="417"/>
      <c r="J1140" s="417"/>
      <c r="K1140" s="417"/>
      <c r="L1140" s="417"/>
      <c r="M1140" s="417"/>
      <c r="N1140" s="417"/>
      <c r="O1140" s="417"/>
      <c r="P1140" s="417"/>
      <c r="Q1140" s="457"/>
    </row>
    <row r="1141" spans="1:17" x14ac:dyDescent="0.2">
      <c r="A1141" s="216">
        <f>A1139+1</f>
        <v>30</v>
      </c>
      <c r="C1141" s="216" t="s">
        <v>148</v>
      </c>
      <c r="D1141" s="609">
        <v>0</v>
      </c>
      <c r="E1141" s="419">
        <v>0</v>
      </c>
      <c r="F1141" s="419">
        <v>0</v>
      </c>
      <c r="G1141" s="419">
        <v>0</v>
      </c>
      <c r="H1141" s="419">
        <v>0</v>
      </c>
      <c r="I1141" s="419">
        <v>0</v>
      </c>
      <c r="J1141" s="419">
        <v>0</v>
      </c>
      <c r="K1141" s="419">
        <v>0</v>
      </c>
      <c r="L1141" s="419">
        <v>0</v>
      </c>
      <c r="M1141" s="419">
        <v>0</v>
      </c>
      <c r="N1141" s="419">
        <v>0</v>
      </c>
      <c r="O1141" s="419">
        <v>0</v>
      </c>
      <c r="P1141" s="419">
        <v>0</v>
      </c>
      <c r="Q1141" s="419">
        <f>SUM(E1141:P1141)</f>
        <v>0</v>
      </c>
    </row>
    <row r="1142" spans="1:17" x14ac:dyDescent="0.2">
      <c r="E1142" s="417"/>
      <c r="F1142" s="417"/>
      <c r="G1142" s="417"/>
      <c r="H1142" s="417"/>
      <c r="I1142" s="417"/>
      <c r="J1142" s="417"/>
      <c r="K1142" s="417"/>
      <c r="L1142" s="417"/>
      <c r="M1142" s="417"/>
      <c r="N1142" s="417"/>
      <c r="O1142" s="417"/>
      <c r="P1142" s="417"/>
      <c r="Q1142" s="417"/>
    </row>
    <row r="1143" spans="1:17" ht="10.5" thickBot="1" x14ac:dyDescent="0.25">
      <c r="A1143" s="433">
        <f>A1141+1</f>
        <v>31</v>
      </c>
      <c r="B1143" s="433"/>
      <c r="C1143" s="433" t="s">
        <v>202</v>
      </c>
      <c r="D1143" s="770"/>
      <c r="E1143" s="675">
        <f t="shared" ref="E1143:O1143" si="391">E1139+E1141</f>
        <v>0</v>
      </c>
      <c r="F1143" s="675">
        <f t="shared" si="391"/>
        <v>0</v>
      </c>
      <c r="G1143" s="675">
        <f t="shared" si="391"/>
        <v>0</v>
      </c>
      <c r="H1143" s="675">
        <f t="shared" si="391"/>
        <v>0</v>
      </c>
      <c r="I1143" s="675">
        <f t="shared" si="391"/>
        <v>0</v>
      </c>
      <c r="J1143" s="675">
        <f t="shared" si="391"/>
        <v>0</v>
      </c>
      <c r="K1143" s="675">
        <f t="shared" si="391"/>
        <v>0</v>
      </c>
      <c r="L1143" s="675">
        <f t="shared" si="391"/>
        <v>0</v>
      </c>
      <c r="M1143" s="675">
        <f t="shared" si="391"/>
        <v>0</v>
      </c>
      <c r="N1143" s="675">
        <f t="shared" si="391"/>
        <v>0</v>
      </c>
      <c r="O1143" s="675">
        <f t="shared" si="391"/>
        <v>0</v>
      </c>
      <c r="P1143" s="675">
        <f>P1139+P1141</f>
        <v>0</v>
      </c>
      <c r="Q1143" s="675">
        <f>SUM(E1143:P1143)</f>
        <v>0</v>
      </c>
    </row>
    <row r="1144" spans="1:17" ht="10.5" thickTop="1" x14ac:dyDescent="0.2">
      <c r="E1144" s="417"/>
      <c r="F1144" s="417"/>
      <c r="G1144" s="417"/>
      <c r="H1144" s="417"/>
      <c r="I1144" s="417"/>
      <c r="J1144" s="417"/>
      <c r="K1144" s="417"/>
      <c r="L1144" s="417"/>
      <c r="M1144" s="417"/>
      <c r="N1144" s="417"/>
      <c r="O1144" s="417"/>
      <c r="P1144" s="417"/>
      <c r="Q1144" s="417"/>
    </row>
    <row r="1146" spans="1:17" x14ac:dyDescent="0.2">
      <c r="A1146" s="216" t="str">
        <f>$A$270</f>
        <v>[1] Reflects Normalized Volumes.</v>
      </c>
    </row>
    <row r="1147" spans="1:17" ht="10.5" x14ac:dyDescent="0.25">
      <c r="A1147" s="817" t="str">
        <f>CONAME</f>
        <v>Columbia Gas of Kentucky, Inc.</v>
      </c>
      <c r="B1147" s="817"/>
      <c r="C1147" s="817"/>
      <c r="D1147" s="817"/>
      <c r="E1147" s="817"/>
      <c r="F1147" s="817"/>
      <c r="G1147" s="817"/>
      <c r="H1147" s="817"/>
      <c r="I1147" s="817"/>
      <c r="J1147" s="817"/>
      <c r="K1147" s="817"/>
      <c r="L1147" s="817"/>
      <c r="M1147" s="817"/>
      <c r="N1147" s="817"/>
      <c r="O1147" s="817"/>
      <c r="P1147" s="817"/>
      <c r="Q1147" s="817"/>
    </row>
    <row r="1148" spans="1:17" ht="10.5" x14ac:dyDescent="0.25">
      <c r="A1148" s="800" t="str">
        <f>case</f>
        <v>Case No. 2021-00183</v>
      </c>
      <c r="B1148" s="800"/>
      <c r="C1148" s="800"/>
      <c r="D1148" s="800"/>
      <c r="E1148" s="800"/>
      <c r="F1148" s="800"/>
      <c r="G1148" s="800"/>
      <c r="H1148" s="800"/>
      <c r="I1148" s="800"/>
      <c r="J1148" s="800"/>
      <c r="K1148" s="800"/>
      <c r="L1148" s="800"/>
      <c r="M1148" s="800"/>
      <c r="N1148" s="800"/>
      <c r="O1148" s="800"/>
      <c r="P1148" s="800"/>
      <c r="Q1148" s="800"/>
    </row>
    <row r="1149" spans="1:17" ht="10.5" x14ac:dyDescent="0.25">
      <c r="A1149" s="815" t="s">
        <v>414</v>
      </c>
      <c r="B1149" s="815"/>
      <c r="C1149" s="815"/>
      <c r="D1149" s="815"/>
      <c r="E1149" s="815"/>
      <c r="F1149" s="815"/>
      <c r="G1149" s="815"/>
      <c r="H1149" s="815"/>
      <c r="I1149" s="815"/>
      <c r="J1149" s="815"/>
      <c r="K1149" s="815"/>
      <c r="L1149" s="815"/>
      <c r="M1149" s="815"/>
      <c r="N1149" s="815"/>
      <c r="O1149" s="815"/>
      <c r="P1149" s="815"/>
      <c r="Q1149" s="815"/>
    </row>
    <row r="1150" spans="1:17" ht="10.5" x14ac:dyDescent="0.25">
      <c r="A1150" s="817" t="str">
        <f>TYDESC</f>
        <v>For the 12 Months Ended December 31, 2022</v>
      </c>
      <c r="B1150" s="817"/>
      <c r="C1150" s="817"/>
      <c r="D1150" s="817"/>
      <c r="E1150" s="817"/>
      <c r="F1150" s="817"/>
      <c r="G1150" s="817"/>
      <c r="H1150" s="817"/>
      <c r="I1150" s="817"/>
      <c r="J1150" s="817"/>
      <c r="K1150" s="817"/>
      <c r="L1150" s="817"/>
      <c r="M1150" s="817"/>
      <c r="N1150" s="817"/>
      <c r="O1150" s="817"/>
      <c r="P1150" s="817"/>
      <c r="Q1150" s="817"/>
    </row>
    <row r="1151" spans="1:17" ht="10.5" x14ac:dyDescent="0.25">
      <c r="A1151" s="814" t="s">
        <v>39</v>
      </c>
      <c r="B1151" s="814"/>
      <c r="C1151" s="814"/>
      <c r="D1151" s="814"/>
      <c r="E1151" s="814"/>
      <c r="F1151" s="814"/>
      <c r="G1151" s="814"/>
      <c r="H1151" s="814"/>
      <c r="I1151" s="814"/>
      <c r="J1151" s="814"/>
      <c r="K1151" s="814"/>
      <c r="L1151" s="814"/>
      <c r="M1151" s="814"/>
      <c r="N1151" s="814"/>
      <c r="O1151" s="814"/>
      <c r="P1151" s="814"/>
      <c r="Q1151" s="814"/>
    </row>
    <row r="1152" spans="1:17" ht="10.5" x14ac:dyDescent="0.25">
      <c r="A1152" s="245" t="str">
        <f>$A$52</f>
        <v>Data: __ Base Period _X_ Forecasted Period</v>
      </c>
    </row>
    <row r="1153" spans="1:17" ht="10.5" x14ac:dyDescent="0.25">
      <c r="A1153" s="245" t="str">
        <f>$A$53</f>
        <v>Type of Filing: X Original _ Update _ Revised</v>
      </c>
      <c r="Q1153" s="583" t="str">
        <f>$Q$53</f>
        <v>Schedule M-2.2</v>
      </c>
    </row>
    <row r="1154" spans="1:17" ht="10.5" x14ac:dyDescent="0.25">
      <c r="A1154" s="245" t="str">
        <f>$A$54</f>
        <v>Work Paper Reference No(s):</v>
      </c>
      <c r="Q1154" s="583" t="s">
        <v>427</v>
      </c>
    </row>
    <row r="1155" spans="1:17" ht="10.5" x14ac:dyDescent="0.25">
      <c r="A1155" s="373" t="str">
        <f>$A$55</f>
        <v>12 Months Forecasted</v>
      </c>
      <c r="Q1155" s="583" t="str">
        <f>Witness</f>
        <v>Witness:  Judith L. Siegler</v>
      </c>
    </row>
    <row r="1156" spans="1:17" ht="10.5" x14ac:dyDescent="0.25">
      <c r="A1156" s="816" t="s">
        <v>191</v>
      </c>
      <c r="B1156" s="816"/>
      <c r="C1156" s="816"/>
      <c r="D1156" s="816"/>
      <c r="E1156" s="816"/>
      <c r="F1156" s="816"/>
      <c r="G1156" s="816"/>
      <c r="H1156" s="816"/>
      <c r="I1156" s="816"/>
      <c r="J1156" s="816"/>
      <c r="K1156" s="816"/>
      <c r="L1156" s="816"/>
      <c r="M1156" s="816"/>
      <c r="N1156" s="816"/>
      <c r="O1156" s="816"/>
      <c r="P1156" s="816"/>
      <c r="Q1156" s="816"/>
    </row>
    <row r="1157" spans="1:17" ht="10.5" x14ac:dyDescent="0.25">
      <c r="A1157" s="392"/>
      <c r="B1157" s="280"/>
      <c r="C1157" s="280"/>
      <c r="D1157" s="282"/>
      <c r="E1157" s="280"/>
      <c r="F1157" s="438"/>
      <c r="G1157" s="439"/>
      <c r="H1157" s="438"/>
      <c r="I1157" s="440"/>
      <c r="J1157" s="438"/>
      <c r="K1157" s="438"/>
      <c r="L1157" s="438"/>
      <c r="M1157" s="438"/>
      <c r="N1157" s="438"/>
      <c r="O1157" s="438"/>
      <c r="P1157" s="438"/>
      <c r="Q1157" s="280"/>
    </row>
    <row r="1158" spans="1:17" ht="10.5" x14ac:dyDescent="0.25">
      <c r="A1158" s="727" t="s">
        <v>1</v>
      </c>
      <c r="B1158" s="727" t="s">
        <v>0</v>
      </c>
      <c r="C1158" s="727" t="s">
        <v>41</v>
      </c>
      <c r="D1158" s="731" t="s">
        <v>47</v>
      </c>
      <c r="E1158" s="727"/>
      <c r="F1158" s="584"/>
      <c r="G1158" s="587"/>
      <c r="H1158" s="584"/>
      <c r="I1158" s="730"/>
      <c r="J1158" s="584"/>
      <c r="K1158" s="584"/>
      <c r="L1158" s="584"/>
      <c r="M1158" s="584"/>
      <c r="N1158" s="584"/>
      <c r="O1158" s="584"/>
      <c r="P1158" s="584"/>
      <c r="Q1158" s="732"/>
    </row>
    <row r="1159" spans="1:17" ht="10.5" x14ac:dyDescent="0.25">
      <c r="A1159" s="263" t="s">
        <v>3</v>
      </c>
      <c r="B1159" s="263" t="s">
        <v>40</v>
      </c>
      <c r="C1159" s="263" t="s">
        <v>4</v>
      </c>
      <c r="D1159" s="756" t="s">
        <v>48</v>
      </c>
      <c r="E1159" s="380" t="str">
        <f>B!$D$11</f>
        <v>Jan-22</v>
      </c>
      <c r="F1159" s="380" t="str">
        <f>B!$E$11</f>
        <v>Feb-22</v>
      </c>
      <c r="G1159" s="380" t="str">
        <f>B!$F$11</f>
        <v>Mar-22</v>
      </c>
      <c r="H1159" s="380" t="str">
        <f>B!$G$11</f>
        <v>Apr-22</v>
      </c>
      <c r="I1159" s="380" t="str">
        <f>B!$H$11</f>
        <v>May-22</v>
      </c>
      <c r="J1159" s="380" t="str">
        <f>B!$I$11</f>
        <v>Jun-22</v>
      </c>
      <c r="K1159" s="380" t="str">
        <f>B!$J$11</f>
        <v>Jul-22</v>
      </c>
      <c r="L1159" s="380" t="str">
        <f>B!$K$11</f>
        <v>Aug-22</v>
      </c>
      <c r="M1159" s="380" t="str">
        <f>B!$L$11</f>
        <v>Sep-22</v>
      </c>
      <c r="N1159" s="380" t="str">
        <f>B!$M$11</f>
        <v>Oct-22</v>
      </c>
      <c r="O1159" s="380" t="str">
        <f>B!$N$11</f>
        <v>Nov-22</v>
      </c>
      <c r="P1159" s="380" t="str">
        <f>B!$O$11</f>
        <v>Dec-22</v>
      </c>
      <c r="Q1159" s="380" t="s">
        <v>9</v>
      </c>
    </row>
    <row r="1160" spans="1:17" ht="10.5" x14ac:dyDescent="0.25">
      <c r="A1160" s="727"/>
      <c r="B1160" s="732" t="s">
        <v>42</v>
      </c>
      <c r="C1160" s="732" t="s">
        <v>43</v>
      </c>
      <c r="D1160" s="757" t="s">
        <v>45</v>
      </c>
      <c r="E1160" s="586" t="s">
        <v>46</v>
      </c>
      <c r="F1160" s="586" t="s">
        <v>49</v>
      </c>
      <c r="G1160" s="586" t="s">
        <v>50</v>
      </c>
      <c r="H1160" s="586" t="s">
        <v>51</v>
      </c>
      <c r="I1160" s="586" t="s">
        <v>52</v>
      </c>
      <c r="J1160" s="586" t="s">
        <v>53</v>
      </c>
      <c r="K1160" s="588" t="s">
        <v>54</v>
      </c>
      <c r="L1160" s="588" t="s">
        <v>55</v>
      </c>
      <c r="M1160" s="588" t="s">
        <v>56</v>
      </c>
      <c r="N1160" s="588" t="s">
        <v>57</v>
      </c>
      <c r="O1160" s="588" t="s">
        <v>58</v>
      </c>
      <c r="P1160" s="588" t="s">
        <v>59</v>
      </c>
      <c r="Q1160" s="588" t="s">
        <v>200</v>
      </c>
    </row>
    <row r="1161" spans="1:17" ht="10.5" x14ac:dyDescent="0.25">
      <c r="E1161" s="732"/>
      <c r="F1161" s="588"/>
      <c r="G1161" s="585"/>
      <c r="H1161" s="588"/>
      <c r="I1161" s="586"/>
      <c r="J1161" s="588"/>
      <c r="K1161" s="588"/>
      <c r="L1161" s="588"/>
      <c r="M1161" s="588"/>
      <c r="N1161" s="588"/>
      <c r="O1161" s="588"/>
      <c r="P1161" s="588"/>
      <c r="Q1161" s="732"/>
    </row>
    <row r="1162" spans="1:17" x14ac:dyDescent="0.2">
      <c r="A1162" s="216">
        <v>1</v>
      </c>
      <c r="B1162" s="216" t="str">
        <f>B317</f>
        <v>FX5</v>
      </c>
      <c r="C1162" s="216" t="str">
        <f>C317</f>
        <v>GTS Flex Rate - Industrial</v>
      </c>
    </row>
    <row r="1164" spans="1:17" ht="10.5" x14ac:dyDescent="0.25">
      <c r="A1164" s="216">
        <f>A1162+1</f>
        <v>2</v>
      </c>
      <c r="C1164" s="245" t="s">
        <v>112</v>
      </c>
    </row>
    <row r="1165" spans="1:17" ht="10.5" x14ac:dyDescent="0.25">
      <c r="C1165" s="245"/>
    </row>
    <row r="1166" spans="1:17" x14ac:dyDescent="0.2">
      <c r="A1166" s="216">
        <f>A1164+1</f>
        <v>3</v>
      </c>
      <c r="C1166" s="216" t="s">
        <v>199</v>
      </c>
      <c r="E1166" s="421">
        <f>B!D240</f>
        <v>3</v>
      </c>
      <c r="F1166" s="421">
        <f>B!E240</f>
        <v>3</v>
      </c>
      <c r="G1166" s="421">
        <f>B!F240</f>
        <v>3</v>
      </c>
      <c r="H1166" s="421">
        <f>B!G240</f>
        <v>3</v>
      </c>
      <c r="I1166" s="421">
        <f>B!H240</f>
        <v>3</v>
      </c>
      <c r="J1166" s="421">
        <f>B!I240</f>
        <v>3</v>
      </c>
      <c r="K1166" s="421">
        <f>B!J240</f>
        <v>3</v>
      </c>
      <c r="L1166" s="421">
        <f>B!K240</f>
        <v>3</v>
      </c>
      <c r="M1166" s="421">
        <f>B!L240</f>
        <v>3</v>
      </c>
      <c r="N1166" s="421">
        <f>B!M240</f>
        <v>3</v>
      </c>
      <c r="O1166" s="421">
        <f>B!N240</f>
        <v>3</v>
      </c>
      <c r="P1166" s="421">
        <f>B!O240</f>
        <v>3</v>
      </c>
      <c r="Q1166" s="421">
        <f>SUM(E1166:P1166)</f>
        <v>36</v>
      </c>
    </row>
    <row r="1167" spans="1:17" x14ac:dyDescent="0.2">
      <c r="A1167" s="216">
        <f>A1166+1</f>
        <v>4</v>
      </c>
      <c r="C1167" s="216" t="s">
        <v>207</v>
      </c>
      <c r="D1167" s="608">
        <f>Input!H48</f>
        <v>255.9</v>
      </c>
      <c r="E1167" s="419">
        <f t="shared" ref="E1167:P1167" si="392">ROUND(E1166*$D$1167,2)</f>
        <v>767.7</v>
      </c>
      <c r="F1167" s="419">
        <f t="shared" si="392"/>
        <v>767.7</v>
      </c>
      <c r="G1167" s="419">
        <f t="shared" si="392"/>
        <v>767.7</v>
      </c>
      <c r="H1167" s="419">
        <f t="shared" si="392"/>
        <v>767.7</v>
      </c>
      <c r="I1167" s="419">
        <f t="shared" si="392"/>
        <v>767.7</v>
      </c>
      <c r="J1167" s="419">
        <f t="shared" si="392"/>
        <v>767.7</v>
      </c>
      <c r="K1167" s="419">
        <f t="shared" si="392"/>
        <v>767.7</v>
      </c>
      <c r="L1167" s="419">
        <f t="shared" si="392"/>
        <v>767.7</v>
      </c>
      <c r="M1167" s="419">
        <f t="shared" si="392"/>
        <v>767.7</v>
      </c>
      <c r="N1167" s="419">
        <f t="shared" si="392"/>
        <v>767.7</v>
      </c>
      <c r="O1167" s="419">
        <f t="shared" si="392"/>
        <v>767.7</v>
      </c>
      <c r="P1167" s="419">
        <f t="shared" si="392"/>
        <v>767.7</v>
      </c>
      <c r="Q1167" s="419">
        <f>SUM(E1167:P1167)</f>
        <v>9212.4</v>
      </c>
    </row>
    <row r="1168" spans="1:17" x14ac:dyDescent="0.2">
      <c r="A1168" s="216">
        <f>A1167+1</f>
        <v>5</v>
      </c>
      <c r="C1168" s="216" t="s">
        <v>214</v>
      </c>
      <c r="D1168" s="608">
        <f>Input!I48</f>
        <v>0</v>
      </c>
      <c r="E1168" s="419">
        <f t="shared" ref="E1168:P1168" si="393">ROUND(E1166*$D$1168,2)</f>
        <v>0</v>
      </c>
      <c r="F1168" s="419">
        <f t="shared" si="393"/>
        <v>0</v>
      </c>
      <c r="G1168" s="419">
        <f t="shared" si="393"/>
        <v>0</v>
      </c>
      <c r="H1168" s="419">
        <f t="shared" si="393"/>
        <v>0</v>
      </c>
      <c r="I1168" s="419">
        <f t="shared" si="393"/>
        <v>0</v>
      </c>
      <c r="J1168" s="419">
        <f t="shared" si="393"/>
        <v>0</v>
      </c>
      <c r="K1168" s="419">
        <f t="shared" si="393"/>
        <v>0</v>
      </c>
      <c r="L1168" s="419">
        <f t="shared" si="393"/>
        <v>0</v>
      </c>
      <c r="M1168" s="419">
        <f t="shared" si="393"/>
        <v>0</v>
      </c>
      <c r="N1168" s="419">
        <f t="shared" si="393"/>
        <v>0</v>
      </c>
      <c r="O1168" s="419">
        <f t="shared" si="393"/>
        <v>0</v>
      </c>
      <c r="P1168" s="419">
        <f t="shared" si="393"/>
        <v>0</v>
      </c>
      <c r="Q1168" s="419">
        <f>SUM(E1168:P1168)</f>
        <v>0</v>
      </c>
    </row>
    <row r="1170" spans="1:19" x14ac:dyDescent="0.2">
      <c r="A1170" s="216">
        <f>A1168+1</f>
        <v>6</v>
      </c>
      <c r="C1170" s="216" t="s">
        <v>206</v>
      </c>
      <c r="E1170" s="272">
        <f>'C'!D358</f>
        <v>696800</v>
      </c>
      <c r="F1170" s="272">
        <f>'C'!E358</f>
        <v>607600</v>
      </c>
      <c r="G1170" s="272">
        <f>'C'!F358</f>
        <v>636000</v>
      </c>
      <c r="H1170" s="272">
        <f>'C'!G358</f>
        <v>527800</v>
      </c>
      <c r="I1170" s="272">
        <f>'C'!H358</f>
        <v>421300</v>
      </c>
      <c r="J1170" s="272">
        <f>'C'!I358</f>
        <v>410800</v>
      </c>
      <c r="K1170" s="272">
        <f>'C'!J358</f>
        <v>448700</v>
      </c>
      <c r="L1170" s="272">
        <f>'C'!K358</f>
        <v>454200</v>
      </c>
      <c r="M1170" s="272">
        <f>'C'!L358</f>
        <v>506900</v>
      </c>
      <c r="N1170" s="272">
        <f>'C'!M358</f>
        <v>620500</v>
      </c>
      <c r="O1170" s="272">
        <f>'C'!N358</f>
        <v>642500</v>
      </c>
      <c r="P1170" s="272">
        <f>'C'!O358</f>
        <v>738400</v>
      </c>
      <c r="Q1170" s="272">
        <f>SUM(E1170:P1170)</f>
        <v>6711500</v>
      </c>
      <c r="S1170" s="424"/>
    </row>
    <row r="1171" spans="1:19" x14ac:dyDescent="0.2">
      <c r="A1171" s="216">
        <f>A1170+1</f>
        <v>7</v>
      </c>
      <c r="C1171" s="267" t="s">
        <v>204</v>
      </c>
      <c r="D1171" s="609">
        <f>Input!C48</f>
        <v>8.5800000000000001E-2</v>
      </c>
      <c r="E1171" s="419">
        <f t="shared" ref="E1171:P1171" si="394">ROUND(E1170*$D$1171,2)</f>
        <v>59785.440000000002</v>
      </c>
      <c r="F1171" s="419">
        <f t="shared" si="394"/>
        <v>52132.08</v>
      </c>
      <c r="G1171" s="419">
        <f t="shared" si="394"/>
        <v>54568.800000000003</v>
      </c>
      <c r="H1171" s="419">
        <f t="shared" si="394"/>
        <v>45285.24</v>
      </c>
      <c r="I1171" s="419">
        <f t="shared" si="394"/>
        <v>36147.54</v>
      </c>
      <c r="J1171" s="419">
        <f t="shared" si="394"/>
        <v>35246.639999999999</v>
      </c>
      <c r="K1171" s="419">
        <f t="shared" si="394"/>
        <v>38498.46</v>
      </c>
      <c r="L1171" s="419">
        <f t="shared" si="394"/>
        <v>38970.36</v>
      </c>
      <c r="M1171" s="419">
        <f t="shared" si="394"/>
        <v>43492.02</v>
      </c>
      <c r="N1171" s="419">
        <f t="shared" si="394"/>
        <v>53238.9</v>
      </c>
      <c r="O1171" s="419">
        <f t="shared" si="394"/>
        <v>55126.5</v>
      </c>
      <c r="P1171" s="419">
        <f t="shared" si="394"/>
        <v>63354.720000000001</v>
      </c>
      <c r="Q1171" s="419">
        <f>SUM(E1171:P1171)</f>
        <v>575846.70000000007</v>
      </c>
    </row>
    <row r="1172" spans="1:19" x14ac:dyDescent="0.2">
      <c r="C1172" s="267"/>
      <c r="E1172" s="417"/>
      <c r="F1172" s="417"/>
      <c r="G1172" s="417"/>
      <c r="H1172" s="417"/>
      <c r="I1172" s="417"/>
      <c r="J1172" s="417"/>
      <c r="K1172" s="417"/>
      <c r="L1172" s="417"/>
      <c r="M1172" s="417"/>
      <c r="N1172" s="417"/>
      <c r="O1172" s="417"/>
      <c r="P1172" s="417"/>
      <c r="Q1172" s="457"/>
    </row>
    <row r="1173" spans="1:19" x14ac:dyDescent="0.2">
      <c r="A1173" s="216">
        <f>A1171+1</f>
        <v>8</v>
      </c>
      <c r="C1173" s="267" t="s">
        <v>201</v>
      </c>
      <c r="E1173" s="419">
        <f t="shared" ref="E1173:O1173" si="395">E1167+E1168+E1171</f>
        <v>60553.14</v>
      </c>
      <c r="F1173" s="419">
        <f t="shared" si="395"/>
        <v>52899.78</v>
      </c>
      <c r="G1173" s="419">
        <f t="shared" si="395"/>
        <v>55336.5</v>
      </c>
      <c r="H1173" s="419">
        <f t="shared" si="395"/>
        <v>46052.939999999995</v>
      </c>
      <c r="I1173" s="419">
        <f t="shared" si="395"/>
        <v>36915.24</v>
      </c>
      <c r="J1173" s="419">
        <f t="shared" si="395"/>
        <v>36014.339999999997</v>
      </c>
      <c r="K1173" s="419">
        <f t="shared" si="395"/>
        <v>39266.159999999996</v>
      </c>
      <c r="L1173" s="419">
        <f t="shared" si="395"/>
        <v>39738.06</v>
      </c>
      <c r="M1173" s="419">
        <f t="shared" si="395"/>
        <v>44259.719999999994</v>
      </c>
      <c r="N1173" s="419">
        <f t="shared" si="395"/>
        <v>54006.6</v>
      </c>
      <c r="O1173" s="419">
        <f t="shared" si="395"/>
        <v>55894.2</v>
      </c>
      <c r="P1173" s="419">
        <f>P1167+P1168+P1171</f>
        <v>64122.42</v>
      </c>
      <c r="Q1173" s="419">
        <f>SUM(E1173:P1173)</f>
        <v>585059.09999999986</v>
      </c>
    </row>
    <row r="1174" spans="1:19" x14ac:dyDescent="0.2">
      <c r="C1174" s="267"/>
      <c r="E1174" s="417"/>
      <c r="F1174" s="417"/>
      <c r="G1174" s="417"/>
      <c r="H1174" s="417"/>
      <c r="I1174" s="417"/>
      <c r="J1174" s="417"/>
      <c r="K1174" s="417"/>
      <c r="L1174" s="417"/>
      <c r="M1174" s="417"/>
      <c r="N1174" s="417"/>
      <c r="O1174" s="417"/>
      <c r="P1174" s="417"/>
      <c r="Q1174" s="457"/>
    </row>
    <row r="1175" spans="1:19" x14ac:dyDescent="0.2">
      <c r="A1175" s="216">
        <f>A1173+1</f>
        <v>9</v>
      </c>
      <c r="C1175" s="216" t="s">
        <v>148</v>
      </c>
      <c r="D1175" s="609">
        <v>0</v>
      </c>
      <c r="E1175" s="419">
        <v>0</v>
      </c>
      <c r="F1175" s="419">
        <v>0</v>
      </c>
      <c r="G1175" s="419">
        <v>0</v>
      </c>
      <c r="H1175" s="419">
        <v>0</v>
      </c>
      <c r="I1175" s="419">
        <v>0</v>
      </c>
      <c r="J1175" s="419">
        <v>0</v>
      </c>
      <c r="K1175" s="419">
        <v>0</v>
      </c>
      <c r="L1175" s="419">
        <v>0</v>
      </c>
      <c r="M1175" s="419">
        <v>0</v>
      </c>
      <c r="N1175" s="419">
        <v>0</v>
      </c>
      <c r="O1175" s="419">
        <v>0</v>
      </c>
      <c r="P1175" s="419">
        <v>0</v>
      </c>
      <c r="Q1175" s="419">
        <f>SUM(E1175:P1175)</f>
        <v>0</v>
      </c>
    </row>
    <row r="1176" spans="1:19" x14ac:dyDescent="0.2">
      <c r="E1176" s="417"/>
      <c r="F1176" s="417"/>
      <c r="G1176" s="417"/>
      <c r="H1176" s="417"/>
      <c r="I1176" s="417"/>
      <c r="J1176" s="417"/>
      <c r="K1176" s="417"/>
      <c r="L1176" s="417"/>
      <c r="M1176" s="417"/>
      <c r="N1176" s="417"/>
      <c r="O1176" s="417"/>
      <c r="P1176" s="417"/>
      <c r="Q1176" s="417"/>
    </row>
    <row r="1177" spans="1:19" ht="10.5" thickBot="1" x14ac:dyDescent="0.25">
      <c r="A1177" s="433">
        <f>A1175+1</f>
        <v>10</v>
      </c>
      <c r="B1177" s="433"/>
      <c r="C1177" s="433" t="s">
        <v>202</v>
      </c>
      <c r="D1177" s="770"/>
      <c r="E1177" s="675">
        <f t="shared" ref="E1177:O1177" si="396">E1173+E1175</f>
        <v>60553.14</v>
      </c>
      <c r="F1177" s="675">
        <f t="shared" si="396"/>
        <v>52899.78</v>
      </c>
      <c r="G1177" s="675">
        <f t="shared" si="396"/>
        <v>55336.5</v>
      </c>
      <c r="H1177" s="675">
        <f t="shared" si="396"/>
        <v>46052.939999999995</v>
      </c>
      <c r="I1177" s="675">
        <f t="shared" si="396"/>
        <v>36915.24</v>
      </c>
      <c r="J1177" s="675">
        <f t="shared" si="396"/>
        <v>36014.339999999997</v>
      </c>
      <c r="K1177" s="675">
        <f t="shared" si="396"/>
        <v>39266.159999999996</v>
      </c>
      <c r="L1177" s="675">
        <f t="shared" si="396"/>
        <v>39738.06</v>
      </c>
      <c r="M1177" s="675">
        <f t="shared" si="396"/>
        <v>44259.719999999994</v>
      </c>
      <c r="N1177" s="675">
        <f t="shared" si="396"/>
        <v>54006.6</v>
      </c>
      <c r="O1177" s="675">
        <f t="shared" si="396"/>
        <v>55894.2</v>
      </c>
      <c r="P1177" s="675">
        <f>P1173+P1175</f>
        <v>64122.42</v>
      </c>
      <c r="Q1177" s="675">
        <f>SUM(E1177:P1177)</f>
        <v>585059.09999999986</v>
      </c>
    </row>
    <row r="1178" spans="1:19" ht="10.5" thickTop="1" x14ac:dyDescent="0.2">
      <c r="Q1178" s="418"/>
    </row>
    <row r="1179" spans="1:19" x14ac:dyDescent="0.2">
      <c r="Q1179" s="418"/>
    </row>
    <row r="1180" spans="1:19" x14ac:dyDescent="0.2">
      <c r="A1180" s="216">
        <f>A1177+1</f>
        <v>11</v>
      </c>
      <c r="B1180" s="216" t="str">
        <f>B324</f>
        <v>FX7</v>
      </c>
      <c r="C1180" s="216" t="str">
        <f>C324</f>
        <v>GTS Flex Rate - Industrial</v>
      </c>
    </row>
    <row r="1182" spans="1:19" ht="10.5" x14ac:dyDescent="0.25">
      <c r="A1182" s="216">
        <f>A1180+1</f>
        <v>12</v>
      </c>
      <c r="C1182" s="245" t="s">
        <v>112</v>
      </c>
    </row>
    <row r="1183" spans="1:19" ht="10.5" x14ac:dyDescent="0.25">
      <c r="C1183" s="245"/>
    </row>
    <row r="1184" spans="1:19" x14ac:dyDescent="0.2">
      <c r="A1184" s="216">
        <f>A1182+1</f>
        <v>13</v>
      </c>
      <c r="C1184" s="216" t="s">
        <v>199</v>
      </c>
      <c r="E1184" s="421">
        <f>B!D246</f>
        <v>0</v>
      </c>
      <c r="F1184" s="421">
        <f>B!E246</f>
        <v>0</v>
      </c>
      <c r="G1184" s="421">
        <f>B!F246</f>
        <v>0</v>
      </c>
      <c r="H1184" s="421">
        <f>B!G246</f>
        <v>0</v>
      </c>
      <c r="I1184" s="421">
        <f>B!H246</f>
        <v>0</v>
      </c>
      <c r="J1184" s="421">
        <f>B!I246</f>
        <v>0</v>
      </c>
      <c r="K1184" s="421">
        <f>B!J246</f>
        <v>0</v>
      </c>
      <c r="L1184" s="421">
        <f>B!K246</f>
        <v>0</v>
      </c>
      <c r="M1184" s="421">
        <f>B!L246</f>
        <v>0</v>
      </c>
      <c r="N1184" s="421">
        <f>B!M246</f>
        <v>0</v>
      </c>
      <c r="O1184" s="421">
        <f>B!N246</f>
        <v>0</v>
      </c>
      <c r="P1184" s="421">
        <f>B!O246</f>
        <v>0</v>
      </c>
      <c r="Q1184" s="421">
        <f>SUM(E1184:P1184)</f>
        <v>0</v>
      </c>
    </row>
    <row r="1185" spans="1:17" x14ac:dyDescent="0.2">
      <c r="A1185" s="216">
        <f>A1184+1</f>
        <v>14</v>
      </c>
      <c r="C1185" s="216" t="s">
        <v>207</v>
      </c>
      <c r="D1185" s="608">
        <f>Input!H49</f>
        <v>0</v>
      </c>
      <c r="E1185" s="419">
        <f t="shared" ref="E1185:P1185" si="397">ROUND(E1184*$D$1185,2)</f>
        <v>0</v>
      </c>
      <c r="F1185" s="419">
        <f t="shared" si="397"/>
        <v>0</v>
      </c>
      <c r="G1185" s="419">
        <f t="shared" si="397"/>
        <v>0</v>
      </c>
      <c r="H1185" s="419">
        <f t="shared" si="397"/>
        <v>0</v>
      </c>
      <c r="I1185" s="419">
        <f t="shared" si="397"/>
        <v>0</v>
      </c>
      <c r="J1185" s="419">
        <f t="shared" si="397"/>
        <v>0</v>
      </c>
      <c r="K1185" s="419">
        <f t="shared" si="397"/>
        <v>0</v>
      </c>
      <c r="L1185" s="419">
        <f t="shared" si="397"/>
        <v>0</v>
      </c>
      <c r="M1185" s="419">
        <f t="shared" si="397"/>
        <v>0</v>
      </c>
      <c r="N1185" s="419">
        <f t="shared" si="397"/>
        <v>0</v>
      </c>
      <c r="O1185" s="419">
        <f t="shared" si="397"/>
        <v>0</v>
      </c>
      <c r="P1185" s="419">
        <f t="shared" si="397"/>
        <v>0</v>
      </c>
      <c r="Q1185" s="419">
        <f>SUM(E1185:P1185)</f>
        <v>0</v>
      </c>
    </row>
    <row r="1186" spans="1:17" x14ac:dyDescent="0.2">
      <c r="A1186" s="216">
        <f>A1185+1</f>
        <v>15</v>
      </c>
      <c r="C1186" s="216" t="s">
        <v>214</v>
      </c>
      <c r="D1186" s="608">
        <f>Input!I49</f>
        <v>0</v>
      </c>
      <c r="E1186" s="419">
        <f t="shared" ref="E1186:P1186" si="398">ROUND(E1184*$D$1186,2)</f>
        <v>0</v>
      </c>
      <c r="F1186" s="419">
        <f t="shared" si="398"/>
        <v>0</v>
      </c>
      <c r="G1186" s="419">
        <f t="shared" si="398"/>
        <v>0</v>
      </c>
      <c r="H1186" s="419">
        <f t="shared" si="398"/>
        <v>0</v>
      </c>
      <c r="I1186" s="419">
        <f t="shared" si="398"/>
        <v>0</v>
      </c>
      <c r="J1186" s="419">
        <f t="shared" si="398"/>
        <v>0</v>
      </c>
      <c r="K1186" s="419">
        <f t="shared" si="398"/>
        <v>0</v>
      </c>
      <c r="L1186" s="419">
        <f t="shared" si="398"/>
        <v>0</v>
      </c>
      <c r="M1186" s="419">
        <f t="shared" si="398"/>
        <v>0</v>
      </c>
      <c r="N1186" s="419">
        <f t="shared" si="398"/>
        <v>0</v>
      </c>
      <c r="O1186" s="419">
        <f t="shared" si="398"/>
        <v>0</v>
      </c>
      <c r="P1186" s="419">
        <f t="shared" si="398"/>
        <v>0</v>
      </c>
      <c r="Q1186" s="419">
        <f>SUM(E1186:P1186)</f>
        <v>0</v>
      </c>
    </row>
    <row r="1188" spans="1:17" x14ac:dyDescent="0.2">
      <c r="A1188" s="216">
        <f>A1186+1</f>
        <v>16</v>
      </c>
      <c r="C1188" s="216" t="s">
        <v>206</v>
      </c>
    </row>
    <row r="1189" spans="1:17" x14ac:dyDescent="0.2">
      <c r="A1189" s="216">
        <f>A1188+1</f>
        <v>17</v>
      </c>
      <c r="C1189" s="267" t="str">
        <f>'C'!B364</f>
        <v xml:space="preserve">    First 25,000 Mcf</v>
      </c>
      <c r="D1189" s="609"/>
      <c r="E1189" s="272">
        <f>'C'!D372</f>
        <v>0</v>
      </c>
      <c r="F1189" s="272">
        <f>'C'!E372</f>
        <v>0</v>
      </c>
      <c r="G1189" s="272">
        <f>'C'!F372</f>
        <v>0</v>
      </c>
      <c r="H1189" s="272">
        <f>'C'!G372</f>
        <v>0</v>
      </c>
      <c r="I1189" s="272">
        <f>'C'!H372</f>
        <v>0</v>
      </c>
      <c r="J1189" s="272">
        <f>'C'!I372</f>
        <v>0</v>
      </c>
      <c r="K1189" s="272">
        <f>'C'!J372</f>
        <v>0</v>
      </c>
      <c r="L1189" s="272">
        <f>'C'!K372</f>
        <v>0</v>
      </c>
      <c r="M1189" s="272">
        <f>'C'!L372</f>
        <v>0</v>
      </c>
      <c r="N1189" s="272">
        <f>'C'!M372</f>
        <v>0</v>
      </c>
      <c r="O1189" s="272">
        <f>'C'!N372</f>
        <v>0</v>
      </c>
      <c r="P1189" s="272">
        <f>'C'!O372</f>
        <v>0</v>
      </c>
      <c r="Q1189" s="272">
        <f>SUM(E1189:P1189)</f>
        <v>0</v>
      </c>
    </row>
    <row r="1190" spans="1:17" x14ac:dyDescent="0.2">
      <c r="A1190" s="216">
        <f>A1189+1</f>
        <v>18</v>
      </c>
      <c r="C1190" s="267" t="str">
        <f>'C'!B365</f>
        <v xml:space="preserve">    Over 25,000 Mcf</v>
      </c>
      <c r="D1190" s="216"/>
      <c r="E1190" s="448">
        <f>'C'!D373</f>
        <v>0</v>
      </c>
      <c r="F1190" s="448">
        <f>'C'!E373</f>
        <v>0</v>
      </c>
      <c r="G1190" s="448">
        <f>'C'!F373</f>
        <v>0</v>
      </c>
      <c r="H1190" s="448">
        <f>'C'!G373</f>
        <v>0</v>
      </c>
      <c r="I1190" s="448">
        <f>'C'!H373</f>
        <v>0</v>
      </c>
      <c r="J1190" s="448">
        <f>'C'!I373</f>
        <v>0</v>
      </c>
      <c r="K1190" s="448">
        <f>'C'!J373</f>
        <v>0</v>
      </c>
      <c r="L1190" s="448">
        <f>'C'!K373</f>
        <v>0</v>
      </c>
      <c r="M1190" s="448">
        <f>'C'!L373</f>
        <v>0</v>
      </c>
      <c r="N1190" s="448">
        <f>'C'!M373</f>
        <v>0</v>
      </c>
      <c r="O1190" s="448">
        <f>'C'!N373</f>
        <v>0</v>
      </c>
      <c r="P1190" s="448">
        <f>'C'!O373</f>
        <v>0</v>
      </c>
      <c r="Q1190" s="448">
        <f>SUM(E1190:P1190)</f>
        <v>0</v>
      </c>
    </row>
    <row r="1191" spans="1:17" x14ac:dyDescent="0.2">
      <c r="C1191" s="267"/>
      <c r="D1191" s="274"/>
      <c r="E1191" s="272">
        <f t="shared" ref="E1191:O1191" si="399">SUM(E1189:E1190)</f>
        <v>0</v>
      </c>
      <c r="F1191" s="272">
        <f t="shared" si="399"/>
        <v>0</v>
      </c>
      <c r="G1191" s="272">
        <f t="shared" si="399"/>
        <v>0</v>
      </c>
      <c r="H1191" s="272">
        <f t="shared" si="399"/>
        <v>0</v>
      </c>
      <c r="I1191" s="272">
        <f t="shared" si="399"/>
        <v>0</v>
      </c>
      <c r="J1191" s="272">
        <f t="shared" si="399"/>
        <v>0</v>
      </c>
      <c r="K1191" s="272">
        <f t="shared" si="399"/>
        <v>0</v>
      </c>
      <c r="L1191" s="272">
        <f t="shared" si="399"/>
        <v>0</v>
      </c>
      <c r="M1191" s="272">
        <f t="shared" si="399"/>
        <v>0</v>
      </c>
      <c r="N1191" s="272">
        <f t="shared" si="399"/>
        <v>0</v>
      </c>
      <c r="O1191" s="272">
        <f t="shared" si="399"/>
        <v>0</v>
      </c>
      <c r="P1191" s="272">
        <f>SUM(P1189:P1190)</f>
        <v>0</v>
      </c>
      <c r="Q1191" s="272">
        <f>SUM(E1191:P1191)</f>
        <v>0</v>
      </c>
    </row>
    <row r="1192" spans="1:17" x14ac:dyDescent="0.2">
      <c r="A1192" s="216">
        <f>A1190+1</f>
        <v>19</v>
      </c>
      <c r="C1192" s="267" t="s">
        <v>204</v>
      </c>
      <c r="E1192" s="274"/>
      <c r="F1192" s="455"/>
      <c r="G1192" s="456"/>
      <c r="H1192" s="455"/>
      <c r="I1192" s="448"/>
      <c r="J1192" s="455"/>
      <c r="K1192" s="455"/>
      <c r="L1192" s="455"/>
      <c r="M1192" s="455"/>
      <c r="N1192" s="455"/>
      <c r="O1192" s="455"/>
      <c r="P1192" s="455"/>
      <c r="Q1192" s="418"/>
    </row>
    <row r="1193" spans="1:17" x14ac:dyDescent="0.2">
      <c r="A1193" s="216">
        <f>A1192+1</f>
        <v>20</v>
      </c>
      <c r="C1193" s="267" t="str">
        <f>C1189</f>
        <v xml:space="preserve">    First 25,000 Mcf</v>
      </c>
      <c r="D1193" s="609">
        <f>Input!C49</f>
        <v>0</v>
      </c>
      <c r="E1193" s="419">
        <f t="shared" ref="E1193:P1193" si="400">ROUND(E1189*$D$1193,2)</f>
        <v>0</v>
      </c>
      <c r="F1193" s="419">
        <f t="shared" si="400"/>
        <v>0</v>
      </c>
      <c r="G1193" s="419">
        <f t="shared" si="400"/>
        <v>0</v>
      </c>
      <c r="H1193" s="419">
        <f t="shared" si="400"/>
        <v>0</v>
      </c>
      <c r="I1193" s="419">
        <f t="shared" si="400"/>
        <v>0</v>
      </c>
      <c r="J1193" s="419">
        <f t="shared" si="400"/>
        <v>0</v>
      </c>
      <c r="K1193" s="419">
        <f t="shared" si="400"/>
        <v>0</v>
      </c>
      <c r="L1193" s="419">
        <f t="shared" si="400"/>
        <v>0</v>
      </c>
      <c r="M1193" s="419">
        <f t="shared" si="400"/>
        <v>0</v>
      </c>
      <c r="N1193" s="419">
        <f t="shared" si="400"/>
        <v>0</v>
      </c>
      <c r="O1193" s="419">
        <f t="shared" si="400"/>
        <v>0</v>
      </c>
      <c r="P1193" s="419">
        <f t="shared" si="400"/>
        <v>0</v>
      </c>
      <c r="Q1193" s="419">
        <f>SUM(E1193:P1193)</f>
        <v>0</v>
      </c>
    </row>
    <row r="1194" spans="1:17" x14ac:dyDescent="0.2">
      <c r="A1194" s="216">
        <f>A1193+1</f>
        <v>21</v>
      </c>
      <c r="C1194" s="267" t="str">
        <f>C1190</f>
        <v xml:space="preserve">    Over 25,000 Mcf</v>
      </c>
      <c r="D1194" s="609">
        <f>Input!D49</f>
        <v>0</v>
      </c>
      <c r="E1194" s="255">
        <f t="shared" ref="E1194:P1194" si="401">ROUND(E1190*$D$1194,2)</f>
        <v>0</v>
      </c>
      <c r="F1194" s="255">
        <f t="shared" si="401"/>
        <v>0</v>
      </c>
      <c r="G1194" s="255">
        <f t="shared" si="401"/>
        <v>0</v>
      </c>
      <c r="H1194" s="255">
        <f t="shared" si="401"/>
        <v>0</v>
      </c>
      <c r="I1194" s="255">
        <f t="shared" si="401"/>
        <v>0</v>
      </c>
      <c r="J1194" s="255">
        <f t="shared" si="401"/>
        <v>0</v>
      </c>
      <c r="K1194" s="255">
        <f t="shared" si="401"/>
        <v>0</v>
      </c>
      <c r="L1194" s="255">
        <f t="shared" si="401"/>
        <v>0</v>
      </c>
      <c r="M1194" s="255">
        <f t="shared" si="401"/>
        <v>0</v>
      </c>
      <c r="N1194" s="255">
        <f t="shared" si="401"/>
        <v>0</v>
      </c>
      <c r="O1194" s="255">
        <f t="shared" si="401"/>
        <v>0</v>
      </c>
      <c r="P1194" s="255">
        <f t="shared" si="401"/>
        <v>0</v>
      </c>
      <c r="Q1194" s="255">
        <f>SUM(E1194:P1194)</f>
        <v>0</v>
      </c>
    </row>
    <row r="1195" spans="1:17" x14ac:dyDescent="0.2">
      <c r="C1195" s="267"/>
      <c r="E1195" s="419">
        <f t="shared" ref="E1195:O1195" si="402">SUM(E1193:E1194)</f>
        <v>0</v>
      </c>
      <c r="F1195" s="419">
        <f t="shared" si="402"/>
        <v>0</v>
      </c>
      <c r="G1195" s="419">
        <f t="shared" si="402"/>
        <v>0</v>
      </c>
      <c r="H1195" s="419">
        <f t="shared" si="402"/>
        <v>0</v>
      </c>
      <c r="I1195" s="419">
        <f t="shared" si="402"/>
        <v>0</v>
      </c>
      <c r="J1195" s="419">
        <f t="shared" si="402"/>
        <v>0</v>
      </c>
      <c r="K1195" s="419">
        <f t="shared" si="402"/>
        <v>0</v>
      </c>
      <c r="L1195" s="419">
        <f t="shared" si="402"/>
        <v>0</v>
      </c>
      <c r="M1195" s="419">
        <f t="shared" si="402"/>
        <v>0</v>
      </c>
      <c r="N1195" s="419">
        <f t="shared" si="402"/>
        <v>0</v>
      </c>
      <c r="O1195" s="419">
        <f t="shared" si="402"/>
        <v>0</v>
      </c>
      <c r="P1195" s="419">
        <f>SUM(P1193:P1194)</f>
        <v>0</v>
      </c>
      <c r="Q1195" s="419">
        <f>SUM(E1195:P1195)</f>
        <v>0</v>
      </c>
    </row>
    <row r="1196" spans="1:17" x14ac:dyDescent="0.2">
      <c r="C1196" s="267"/>
      <c r="E1196" s="417"/>
      <c r="F1196" s="457"/>
      <c r="G1196" s="457"/>
      <c r="H1196" s="457"/>
      <c r="I1196" s="457"/>
      <c r="J1196" s="457"/>
      <c r="K1196" s="457"/>
      <c r="L1196" s="457"/>
      <c r="M1196" s="457"/>
      <c r="N1196" s="457"/>
      <c r="O1196" s="457"/>
      <c r="P1196" s="457"/>
      <c r="Q1196" s="417"/>
    </row>
    <row r="1197" spans="1:17" x14ac:dyDescent="0.2">
      <c r="A1197" s="216">
        <f>A1194+1</f>
        <v>22</v>
      </c>
      <c r="C1197" s="267" t="s">
        <v>201</v>
      </c>
      <c r="E1197" s="419">
        <f t="shared" ref="E1197:O1197" si="403">E1185+E1186+E1195</f>
        <v>0</v>
      </c>
      <c r="F1197" s="419">
        <f t="shared" si="403"/>
        <v>0</v>
      </c>
      <c r="G1197" s="419">
        <f t="shared" si="403"/>
        <v>0</v>
      </c>
      <c r="H1197" s="419">
        <f t="shared" si="403"/>
        <v>0</v>
      </c>
      <c r="I1197" s="419">
        <f t="shared" si="403"/>
        <v>0</v>
      </c>
      <c r="J1197" s="419">
        <f t="shared" si="403"/>
        <v>0</v>
      </c>
      <c r="K1197" s="419">
        <f t="shared" si="403"/>
        <v>0</v>
      </c>
      <c r="L1197" s="419">
        <f t="shared" si="403"/>
        <v>0</v>
      </c>
      <c r="M1197" s="419">
        <f t="shared" si="403"/>
        <v>0</v>
      </c>
      <c r="N1197" s="419">
        <f t="shared" si="403"/>
        <v>0</v>
      </c>
      <c r="O1197" s="419">
        <f t="shared" si="403"/>
        <v>0</v>
      </c>
      <c r="P1197" s="419">
        <f>P1185+P1186+P1195</f>
        <v>0</v>
      </c>
      <c r="Q1197" s="419">
        <f>SUM(E1197:P1197)</f>
        <v>0</v>
      </c>
    </row>
    <row r="1198" spans="1:17" x14ac:dyDescent="0.2">
      <c r="C1198" s="267"/>
      <c r="D1198" s="216"/>
      <c r="E1198" s="417"/>
      <c r="F1198" s="457"/>
      <c r="G1198" s="457"/>
      <c r="H1198" s="457"/>
      <c r="I1198" s="457"/>
      <c r="J1198" s="457"/>
      <c r="K1198" s="457"/>
      <c r="L1198" s="457"/>
      <c r="M1198" s="457"/>
      <c r="N1198" s="457"/>
      <c r="O1198" s="457"/>
      <c r="P1198" s="457"/>
      <c r="Q1198" s="417"/>
    </row>
    <row r="1199" spans="1:17" x14ac:dyDescent="0.2">
      <c r="A1199" s="216">
        <f>A1197+1</f>
        <v>23</v>
      </c>
      <c r="C1199" s="216" t="s">
        <v>148</v>
      </c>
      <c r="D1199" s="609">
        <v>0</v>
      </c>
      <c r="E1199" s="419">
        <v>0</v>
      </c>
      <c r="F1199" s="419">
        <v>0</v>
      </c>
      <c r="G1199" s="419">
        <v>0</v>
      </c>
      <c r="H1199" s="419">
        <v>0</v>
      </c>
      <c r="I1199" s="419">
        <v>0</v>
      </c>
      <c r="J1199" s="419">
        <v>0</v>
      </c>
      <c r="K1199" s="419">
        <v>0</v>
      </c>
      <c r="L1199" s="419">
        <v>0</v>
      </c>
      <c r="M1199" s="419">
        <v>0</v>
      </c>
      <c r="N1199" s="419">
        <v>0</v>
      </c>
      <c r="O1199" s="419">
        <v>0</v>
      </c>
      <c r="P1199" s="419">
        <v>0</v>
      </c>
      <c r="Q1199" s="419">
        <f>SUM(E1199:P1199)</f>
        <v>0</v>
      </c>
    </row>
    <row r="1200" spans="1:17" x14ac:dyDescent="0.2">
      <c r="E1200" s="417"/>
      <c r="F1200" s="417"/>
      <c r="G1200" s="417"/>
      <c r="H1200" s="417"/>
      <c r="I1200" s="417"/>
      <c r="J1200" s="417"/>
      <c r="K1200" s="417"/>
      <c r="L1200" s="417"/>
      <c r="M1200" s="417"/>
      <c r="N1200" s="417"/>
      <c r="O1200" s="417"/>
      <c r="P1200" s="417"/>
      <c r="Q1200" s="417"/>
    </row>
    <row r="1201" spans="1:17" ht="10.5" thickBot="1" x14ac:dyDescent="0.25">
      <c r="A1201" s="433">
        <f>A1199+1</f>
        <v>24</v>
      </c>
      <c r="B1201" s="433"/>
      <c r="C1201" s="433" t="s">
        <v>202</v>
      </c>
      <c r="D1201" s="770"/>
      <c r="E1201" s="675">
        <f t="shared" ref="E1201:O1201" si="404">E1197+E1199</f>
        <v>0</v>
      </c>
      <c r="F1201" s="675">
        <f t="shared" si="404"/>
        <v>0</v>
      </c>
      <c r="G1201" s="675">
        <f t="shared" si="404"/>
        <v>0</v>
      </c>
      <c r="H1201" s="675">
        <f t="shared" si="404"/>
        <v>0</v>
      </c>
      <c r="I1201" s="675">
        <f t="shared" si="404"/>
        <v>0</v>
      </c>
      <c r="J1201" s="675">
        <f t="shared" si="404"/>
        <v>0</v>
      </c>
      <c r="K1201" s="675">
        <f t="shared" si="404"/>
        <v>0</v>
      </c>
      <c r="L1201" s="675">
        <f t="shared" si="404"/>
        <v>0</v>
      </c>
      <c r="M1201" s="675">
        <f t="shared" si="404"/>
        <v>0</v>
      </c>
      <c r="N1201" s="675">
        <f t="shared" si="404"/>
        <v>0</v>
      </c>
      <c r="O1201" s="675">
        <f t="shared" si="404"/>
        <v>0</v>
      </c>
      <c r="P1201" s="675">
        <f>P1197+P1199</f>
        <v>0</v>
      </c>
      <c r="Q1201" s="675">
        <f>SUM(E1201:P1201)</f>
        <v>0</v>
      </c>
    </row>
    <row r="1202" spans="1:17" ht="10.5" thickTop="1" x14ac:dyDescent="0.2">
      <c r="C1202" s="280"/>
      <c r="Q1202" s="418"/>
    </row>
    <row r="1204" spans="1:17" x14ac:dyDescent="0.2">
      <c r="A1204" s="216" t="str">
        <f>$A$270</f>
        <v>[1] Reflects Normalized Volumes.</v>
      </c>
    </row>
    <row r="1205" spans="1:17" ht="10.5" x14ac:dyDescent="0.25">
      <c r="A1205" s="817" t="str">
        <f>CONAME</f>
        <v>Columbia Gas of Kentucky, Inc.</v>
      </c>
      <c r="B1205" s="817"/>
      <c r="C1205" s="817"/>
      <c r="D1205" s="817"/>
      <c r="E1205" s="817"/>
      <c r="F1205" s="817"/>
      <c r="G1205" s="817"/>
      <c r="H1205" s="817"/>
      <c r="I1205" s="817"/>
      <c r="J1205" s="817"/>
      <c r="K1205" s="817"/>
      <c r="L1205" s="817"/>
      <c r="M1205" s="817"/>
      <c r="N1205" s="817"/>
      <c r="O1205" s="817"/>
      <c r="P1205" s="817"/>
      <c r="Q1205" s="817"/>
    </row>
    <row r="1206" spans="1:17" ht="10.5" x14ac:dyDescent="0.25">
      <c r="A1206" s="800" t="str">
        <f>case</f>
        <v>Case No. 2021-00183</v>
      </c>
      <c r="B1206" s="800"/>
      <c r="C1206" s="800"/>
      <c r="D1206" s="800"/>
      <c r="E1206" s="800"/>
      <c r="F1206" s="800"/>
      <c r="G1206" s="800"/>
      <c r="H1206" s="800"/>
      <c r="I1206" s="800"/>
      <c r="J1206" s="800"/>
      <c r="K1206" s="800"/>
      <c r="L1206" s="800"/>
      <c r="M1206" s="800"/>
      <c r="N1206" s="800"/>
      <c r="O1206" s="800"/>
      <c r="P1206" s="800"/>
      <c r="Q1206" s="800"/>
    </row>
    <row r="1207" spans="1:17" ht="10.5" x14ac:dyDescent="0.25">
      <c r="A1207" s="815" t="s">
        <v>414</v>
      </c>
      <c r="B1207" s="815"/>
      <c r="C1207" s="815"/>
      <c r="D1207" s="815"/>
      <c r="E1207" s="815"/>
      <c r="F1207" s="815"/>
      <c r="G1207" s="815"/>
      <c r="H1207" s="815"/>
      <c r="I1207" s="815"/>
      <c r="J1207" s="815"/>
      <c r="K1207" s="815"/>
      <c r="L1207" s="815"/>
      <c r="M1207" s="815"/>
      <c r="N1207" s="815"/>
      <c r="O1207" s="815"/>
      <c r="P1207" s="815"/>
      <c r="Q1207" s="815"/>
    </row>
    <row r="1208" spans="1:17" ht="10.5" x14ac:dyDescent="0.25">
      <c r="A1208" s="817" t="str">
        <f>TYDESC</f>
        <v>For the 12 Months Ended December 31, 2022</v>
      </c>
      <c r="B1208" s="817"/>
      <c r="C1208" s="817"/>
      <c r="D1208" s="817"/>
      <c r="E1208" s="817"/>
      <c r="F1208" s="817"/>
      <c r="G1208" s="817"/>
      <c r="H1208" s="817"/>
      <c r="I1208" s="817"/>
      <c r="J1208" s="817"/>
      <c r="K1208" s="817"/>
      <c r="L1208" s="817"/>
      <c r="M1208" s="817"/>
      <c r="N1208" s="817"/>
      <c r="O1208" s="817"/>
      <c r="P1208" s="817"/>
      <c r="Q1208" s="817"/>
    </row>
    <row r="1209" spans="1:17" ht="10.5" x14ac:dyDescent="0.25">
      <c r="A1209" s="814" t="s">
        <v>39</v>
      </c>
      <c r="B1209" s="814"/>
      <c r="C1209" s="814"/>
      <c r="D1209" s="814"/>
      <c r="E1209" s="814"/>
      <c r="F1209" s="814"/>
      <c r="G1209" s="814"/>
      <c r="H1209" s="814"/>
      <c r="I1209" s="814"/>
      <c r="J1209" s="814"/>
      <c r="K1209" s="814"/>
      <c r="L1209" s="814"/>
      <c r="M1209" s="814"/>
      <c r="N1209" s="814"/>
      <c r="O1209" s="814"/>
      <c r="P1209" s="814"/>
      <c r="Q1209" s="814"/>
    </row>
    <row r="1210" spans="1:17" ht="10.5" x14ac:dyDescent="0.25">
      <c r="A1210" s="245" t="str">
        <f>$A$52</f>
        <v>Data: __ Base Period _X_ Forecasted Period</v>
      </c>
    </row>
    <row r="1211" spans="1:17" ht="10.5" x14ac:dyDescent="0.25">
      <c r="A1211" s="245" t="str">
        <f>$A$53</f>
        <v>Type of Filing: X Original _ Update _ Revised</v>
      </c>
      <c r="Q1211" s="583" t="str">
        <f>$Q$53</f>
        <v>Schedule M-2.2</v>
      </c>
    </row>
    <row r="1212" spans="1:17" ht="10.5" x14ac:dyDescent="0.25">
      <c r="A1212" s="245" t="str">
        <f>$A$54</f>
        <v>Work Paper Reference No(s):</v>
      </c>
      <c r="Q1212" s="583" t="s">
        <v>428</v>
      </c>
    </row>
    <row r="1213" spans="1:17" ht="10.5" x14ac:dyDescent="0.25">
      <c r="A1213" s="373" t="str">
        <f>$A$55</f>
        <v>12 Months Forecasted</v>
      </c>
      <c r="Q1213" s="583" t="str">
        <f>Witness</f>
        <v>Witness:  Judith L. Siegler</v>
      </c>
    </row>
    <row r="1214" spans="1:17" ht="10.5" x14ac:dyDescent="0.25">
      <c r="A1214" s="816" t="s">
        <v>191</v>
      </c>
      <c r="B1214" s="816"/>
      <c r="C1214" s="816"/>
      <c r="D1214" s="816"/>
      <c r="E1214" s="816"/>
      <c r="F1214" s="816"/>
      <c r="G1214" s="816"/>
      <c r="H1214" s="816"/>
      <c r="I1214" s="816"/>
      <c r="J1214" s="816"/>
      <c r="K1214" s="816"/>
      <c r="L1214" s="816"/>
      <c r="M1214" s="816"/>
      <c r="N1214" s="816"/>
      <c r="O1214" s="816"/>
      <c r="P1214" s="816"/>
      <c r="Q1214" s="816"/>
    </row>
    <row r="1215" spans="1:17" ht="10.5" x14ac:dyDescent="0.25">
      <c r="A1215" s="392"/>
      <c r="B1215" s="280"/>
      <c r="C1215" s="280"/>
      <c r="D1215" s="282"/>
      <c r="E1215" s="280"/>
      <c r="F1215" s="438"/>
      <c r="G1215" s="439"/>
      <c r="H1215" s="438"/>
      <c r="I1215" s="440"/>
      <c r="J1215" s="438"/>
      <c r="K1215" s="438"/>
      <c r="L1215" s="438"/>
      <c r="M1215" s="438"/>
      <c r="N1215" s="438"/>
      <c r="O1215" s="438"/>
      <c r="P1215" s="438"/>
      <c r="Q1215" s="280"/>
    </row>
    <row r="1216" spans="1:17" ht="10.5" x14ac:dyDescent="0.25">
      <c r="A1216" s="727" t="s">
        <v>1</v>
      </c>
      <c r="B1216" s="727" t="s">
        <v>0</v>
      </c>
      <c r="C1216" s="727" t="s">
        <v>41</v>
      </c>
      <c r="D1216" s="731" t="s">
        <v>47</v>
      </c>
      <c r="E1216" s="727"/>
      <c r="F1216" s="584"/>
      <c r="G1216" s="587"/>
      <c r="H1216" s="584"/>
      <c r="I1216" s="730"/>
      <c r="J1216" s="584"/>
      <c r="K1216" s="584"/>
      <c r="L1216" s="584"/>
      <c r="M1216" s="584"/>
      <c r="N1216" s="584"/>
      <c r="O1216" s="584"/>
      <c r="P1216" s="584"/>
      <c r="Q1216" s="732"/>
    </row>
    <row r="1217" spans="1:17" ht="10.5" x14ac:dyDescent="0.25">
      <c r="A1217" s="263" t="s">
        <v>3</v>
      </c>
      <c r="B1217" s="263" t="s">
        <v>40</v>
      </c>
      <c r="C1217" s="263" t="s">
        <v>4</v>
      </c>
      <c r="D1217" s="756" t="s">
        <v>48</v>
      </c>
      <c r="E1217" s="380" t="str">
        <f>B!$D$11</f>
        <v>Jan-22</v>
      </c>
      <c r="F1217" s="380" t="str">
        <f>B!$E$11</f>
        <v>Feb-22</v>
      </c>
      <c r="G1217" s="380" t="str">
        <f>B!$F$11</f>
        <v>Mar-22</v>
      </c>
      <c r="H1217" s="380" t="str">
        <f>B!$G$11</f>
        <v>Apr-22</v>
      </c>
      <c r="I1217" s="380" t="str">
        <f>B!$H$11</f>
        <v>May-22</v>
      </c>
      <c r="J1217" s="380" t="str">
        <f>B!$I$11</f>
        <v>Jun-22</v>
      </c>
      <c r="K1217" s="380" t="str">
        <f>B!$J$11</f>
        <v>Jul-22</v>
      </c>
      <c r="L1217" s="380" t="str">
        <f>B!$K$11</f>
        <v>Aug-22</v>
      </c>
      <c r="M1217" s="380" t="str">
        <f>B!$L$11</f>
        <v>Sep-22</v>
      </c>
      <c r="N1217" s="380" t="str">
        <f>B!$M$11</f>
        <v>Oct-22</v>
      </c>
      <c r="O1217" s="380" t="str">
        <f>B!$N$11</f>
        <v>Nov-22</v>
      </c>
      <c r="P1217" s="380" t="str">
        <f>B!$O$11</f>
        <v>Dec-22</v>
      </c>
      <c r="Q1217" s="380" t="s">
        <v>9</v>
      </c>
    </row>
    <row r="1218" spans="1:17" ht="10.5" x14ac:dyDescent="0.25">
      <c r="A1218" s="727"/>
      <c r="B1218" s="732" t="s">
        <v>42</v>
      </c>
      <c r="C1218" s="732" t="s">
        <v>43</v>
      </c>
      <c r="D1218" s="757" t="s">
        <v>45</v>
      </c>
      <c r="E1218" s="586" t="s">
        <v>46</v>
      </c>
      <c r="F1218" s="586" t="s">
        <v>49</v>
      </c>
      <c r="G1218" s="586" t="s">
        <v>50</v>
      </c>
      <c r="H1218" s="586" t="s">
        <v>51</v>
      </c>
      <c r="I1218" s="586" t="s">
        <v>52</v>
      </c>
      <c r="J1218" s="586" t="s">
        <v>53</v>
      </c>
      <c r="K1218" s="588" t="s">
        <v>54</v>
      </c>
      <c r="L1218" s="588" t="s">
        <v>55</v>
      </c>
      <c r="M1218" s="588" t="s">
        <v>56</v>
      </c>
      <c r="N1218" s="588" t="s">
        <v>57</v>
      </c>
      <c r="O1218" s="588" t="s">
        <v>58</v>
      </c>
      <c r="P1218" s="588" t="s">
        <v>59</v>
      </c>
      <c r="Q1218" s="588" t="s">
        <v>200</v>
      </c>
    </row>
    <row r="1219" spans="1:17" ht="10.5" x14ac:dyDescent="0.25">
      <c r="E1219" s="732"/>
      <c r="F1219" s="588"/>
      <c r="G1219" s="585"/>
      <c r="H1219" s="588"/>
      <c r="I1219" s="586"/>
      <c r="J1219" s="588"/>
      <c r="K1219" s="588"/>
      <c r="L1219" s="588"/>
      <c r="M1219" s="588"/>
      <c r="N1219" s="588"/>
      <c r="O1219" s="588"/>
      <c r="P1219" s="588"/>
      <c r="Q1219" s="732"/>
    </row>
    <row r="1220" spans="1:17" x14ac:dyDescent="0.2">
      <c r="A1220" s="216">
        <v>1</v>
      </c>
      <c r="B1220" s="216" t="str">
        <f>B351</f>
        <v>SAS</v>
      </c>
      <c r="C1220" s="216" t="str">
        <f>C351</f>
        <v>GTS Special Agency Service</v>
      </c>
    </row>
    <row r="1222" spans="1:17" ht="10.5" x14ac:dyDescent="0.25">
      <c r="A1222" s="216">
        <f>A1220+1</f>
        <v>2</v>
      </c>
      <c r="C1222" s="245" t="s">
        <v>111</v>
      </c>
    </row>
    <row r="1223" spans="1:17" ht="10.5" x14ac:dyDescent="0.25">
      <c r="C1223" s="245"/>
    </row>
    <row r="1224" spans="1:17" x14ac:dyDescent="0.2">
      <c r="A1224" s="216">
        <f>A1222+1</f>
        <v>3</v>
      </c>
      <c r="C1224" s="216" t="s">
        <v>199</v>
      </c>
      <c r="E1224" s="267">
        <f>B!D252</f>
        <v>0</v>
      </c>
      <c r="F1224" s="267">
        <f>B!E252</f>
        <v>0</v>
      </c>
      <c r="G1224" s="267">
        <f>B!F252</f>
        <v>0</v>
      </c>
      <c r="H1224" s="267">
        <f>B!G252</f>
        <v>0</v>
      </c>
      <c r="I1224" s="267">
        <f>B!H252</f>
        <v>0</v>
      </c>
      <c r="J1224" s="267">
        <f>B!I252</f>
        <v>0</v>
      </c>
      <c r="K1224" s="267">
        <f>B!J252</f>
        <v>0</v>
      </c>
      <c r="L1224" s="267">
        <f>B!K252</f>
        <v>0</v>
      </c>
      <c r="M1224" s="267">
        <f>B!L252</f>
        <v>0</v>
      </c>
      <c r="N1224" s="267">
        <f>B!M252</f>
        <v>0</v>
      </c>
      <c r="O1224" s="267">
        <f>B!N252</f>
        <v>0</v>
      </c>
      <c r="P1224" s="267">
        <f>B!O252</f>
        <v>0</v>
      </c>
      <c r="Q1224" s="267">
        <f>SUM(E1224:P1224)</f>
        <v>0</v>
      </c>
    </row>
    <row r="1225" spans="1:17" x14ac:dyDescent="0.2">
      <c r="A1225" s="216">
        <f>A1224+1</f>
        <v>4</v>
      </c>
      <c r="C1225" s="216" t="s">
        <v>207</v>
      </c>
      <c r="D1225" s="608">
        <f>Input!H50</f>
        <v>2007</v>
      </c>
      <c r="E1225" s="419">
        <f t="shared" ref="E1225:P1225" si="405">ROUND(E1224*$D$1225,2)</f>
        <v>0</v>
      </c>
      <c r="F1225" s="419">
        <f t="shared" si="405"/>
        <v>0</v>
      </c>
      <c r="G1225" s="419">
        <f t="shared" si="405"/>
        <v>0</v>
      </c>
      <c r="H1225" s="419">
        <f t="shared" si="405"/>
        <v>0</v>
      </c>
      <c r="I1225" s="419">
        <f t="shared" si="405"/>
        <v>0</v>
      </c>
      <c r="J1225" s="419">
        <f t="shared" si="405"/>
        <v>0</v>
      </c>
      <c r="K1225" s="419">
        <f t="shared" si="405"/>
        <v>0</v>
      </c>
      <c r="L1225" s="419">
        <f t="shared" si="405"/>
        <v>0</v>
      </c>
      <c r="M1225" s="419">
        <f t="shared" si="405"/>
        <v>0</v>
      </c>
      <c r="N1225" s="419">
        <f t="shared" si="405"/>
        <v>0</v>
      </c>
      <c r="O1225" s="419">
        <f t="shared" si="405"/>
        <v>0</v>
      </c>
      <c r="P1225" s="419">
        <f t="shared" si="405"/>
        <v>0</v>
      </c>
      <c r="Q1225" s="419">
        <f>SUM(E1225:P1225)</f>
        <v>0</v>
      </c>
    </row>
    <row r="1226" spans="1:17" x14ac:dyDescent="0.2">
      <c r="A1226" s="216">
        <f>A1225+1</f>
        <v>5</v>
      </c>
      <c r="C1226" s="216" t="s">
        <v>214</v>
      </c>
      <c r="D1226" s="608">
        <f>Input!I50</f>
        <v>0</v>
      </c>
      <c r="E1226" s="419">
        <f t="shared" ref="E1226:P1226" si="406">ROUND(E1224*$D$1226,2)</f>
        <v>0</v>
      </c>
      <c r="F1226" s="419">
        <f t="shared" si="406"/>
        <v>0</v>
      </c>
      <c r="G1226" s="419">
        <f t="shared" si="406"/>
        <v>0</v>
      </c>
      <c r="H1226" s="419">
        <f t="shared" si="406"/>
        <v>0</v>
      </c>
      <c r="I1226" s="419">
        <f t="shared" si="406"/>
        <v>0</v>
      </c>
      <c r="J1226" s="419">
        <f t="shared" si="406"/>
        <v>0</v>
      </c>
      <c r="K1226" s="419">
        <f t="shared" si="406"/>
        <v>0</v>
      </c>
      <c r="L1226" s="419">
        <f t="shared" si="406"/>
        <v>0</v>
      </c>
      <c r="M1226" s="419">
        <f t="shared" si="406"/>
        <v>0</v>
      </c>
      <c r="N1226" s="419">
        <f t="shared" si="406"/>
        <v>0</v>
      </c>
      <c r="O1226" s="419">
        <f t="shared" si="406"/>
        <v>0</v>
      </c>
      <c r="P1226" s="419">
        <f t="shared" si="406"/>
        <v>0</v>
      </c>
      <c r="Q1226" s="419">
        <f>SUM(E1226:P1226)</f>
        <v>0</v>
      </c>
    </row>
    <row r="1227" spans="1:17" x14ac:dyDescent="0.2">
      <c r="A1227" s="216">
        <f>A1226+1</f>
        <v>6</v>
      </c>
      <c r="C1227" s="216" t="s">
        <v>208</v>
      </c>
      <c r="D1227" s="608">
        <f>Input!K50</f>
        <v>1221.21</v>
      </c>
      <c r="E1227" s="419">
        <f t="shared" ref="E1227:P1227" si="407">ROUND(E1224*$D$1227,2)</f>
        <v>0</v>
      </c>
      <c r="F1227" s="419">
        <f t="shared" si="407"/>
        <v>0</v>
      </c>
      <c r="G1227" s="419">
        <f t="shared" si="407"/>
        <v>0</v>
      </c>
      <c r="H1227" s="419">
        <f t="shared" si="407"/>
        <v>0</v>
      </c>
      <c r="I1227" s="419">
        <f t="shared" si="407"/>
        <v>0</v>
      </c>
      <c r="J1227" s="419">
        <f t="shared" si="407"/>
        <v>0</v>
      </c>
      <c r="K1227" s="419">
        <f t="shared" si="407"/>
        <v>0</v>
      </c>
      <c r="L1227" s="419">
        <f t="shared" si="407"/>
        <v>0</v>
      </c>
      <c r="M1227" s="419">
        <f t="shared" si="407"/>
        <v>0</v>
      </c>
      <c r="N1227" s="419">
        <f t="shared" si="407"/>
        <v>0</v>
      </c>
      <c r="O1227" s="419">
        <f t="shared" si="407"/>
        <v>0</v>
      </c>
      <c r="P1227" s="419">
        <f t="shared" si="407"/>
        <v>0</v>
      </c>
      <c r="Q1227" s="419">
        <f>SUM(E1227:P1227)</f>
        <v>0</v>
      </c>
    </row>
    <row r="1229" spans="1:17" x14ac:dyDescent="0.2">
      <c r="A1229" s="216">
        <f>A1227+1</f>
        <v>7</v>
      </c>
      <c r="C1229" s="216" t="s">
        <v>206</v>
      </c>
    </row>
    <row r="1230" spans="1:17" x14ac:dyDescent="0.2">
      <c r="A1230" s="216">
        <f>A1229+1</f>
        <v>8</v>
      </c>
      <c r="C1230" s="216" t="str">
        <f>'C'!B378</f>
        <v xml:space="preserve">    First 30,000 Mcf</v>
      </c>
      <c r="E1230" s="272">
        <f>'C'!D386</f>
        <v>0</v>
      </c>
      <c r="F1230" s="272">
        <f>'C'!E386</f>
        <v>0</v>
      </c>
      <c r="G1230" s="272">
        <f>'C'!F386</f>
        <v>0</v>
      </c>
      <c r="H1230" s="272">
        <f>'C'!G386</f>
        <v>0</v>
      </c>
      <c r="I1230" s="272">
        <f>'C'!H386</f>
        <v>0</v>
      </c>
      <c r="J1230" s="272">
        <f>'C'!I386</f>
        <v>0</v>
      </c>
      <c r="K1230" s="272">
        <f>'C'!J386</f>
        <v>0</v>
      </c>
      <c r="L1230" s="272">
        <f>'C'!K386</f>
        <v>0</v>
      </c>
      <c r="M1230" s="272">
        <f>'C'!L386</f>
        <v>0</v>
      </c>
      <c r="N1230" s="272">
        <f>'C'!M386</f>
        <v>0</v>
      </c>
      <c r="O1230" s="272">
        <f>'C'!N386</f>
        <v>0</v>
      </c>
      <c r="P1230" s="272">
        <f>'C'!O386</f>
        <v>0</v>
      </c>
      <c r="Q1230" s="272">
        <f>SUM(E1230:P1230)</f>
        <v>0</v>
      </c>
    </row>
    <row r="1231" spans="1:17" x14ac:dyDescent="0.2">
      <c r="A1231" s="216">
        <f>A1230+1</f>
        <v>9</v>
      </c>
      <c r="C1231" s="216" t="str">
        <f>'C'!B379</f>
        <v xml:space="preserve">    Over 30,000 Mcf</v>
      </c>
      <c r="E1231" s="448">
        <f>'C'!D387</f>
        <v>0</v>
      </c>
      <c r="F1231" s="448">
        <f>'C'!E387</f>
        <v>0</v>
      </c>
      <c r="G1231" s="448">
        <f>'C'!F387</f>
        <v>0</v>
      </c>
      <c r="H1231" s="448">
        <f>'C'!G387</f>
        <v>0</v>
      </c>
      <c r="I1231" s="448">
        <f>'C'!H387</f>
        <v>0</v>
      </c>
      <c r="J1231" s="448">
        <f>'C'!I387</f>
        <v>0</v>
      </c>
      <c r="K1231" s="448">
        <f>'C'!J387</f>
        <v>0</v>
      </c>
      <c r="L1231" s="448">
        <f>'C'!K387</f>
        <v>0</v>
      </c>
      <c r="M1231" s="448">
        <f>'C'!L387</f>
        <v>0</v>
      </c>
      <c r="N1231" s="448">
        <f>'C'!M387</f>
        <v>0</v>
      </c>
      <c r="O1231" s="448">
        <f>'C'!N387</f>
        <v>0</v>
      </c>
      <c r="P1231" s="448">
        <f>'C'!O387</f>
        <v>0</v>
      </c>
      <c r="Q1231" s="448">
        <f>SUM(E1231:P1231)</f>
        <v>0</v>
      </c>
    </row>
    <row r="1232" spans="1:17" x14ac:dyDescent="0.2">
      <c r="E1232" s="272">
        <f t="shared" ref="E1232:O1232" si="408">SUM(E1230:E1231)</f>
        <v>0</v>
      </c>
      <c r="F1232" s="272">
        <f t="shared" si="408"/>
        <v>0</v>
      </c>
      <c r="G1232" s="272">
        <f t="shared" si="408"/>
        <v>0</v>
      </c>
      <c r="H1232" s="272">
        <f t="shared" si="408"/>
        <v>0</v>
      </c>
      <c r="I1232" s="272">
        <f t="shared" si="408"/>
        <v>0</v>
      </c>
      <c r="J1232" s="272">
        <f t="shared" si="408"/>
        <v>0</v>
      </c>
      <c r="K1232" s="272">
        <f t="shared" si="408"/>
        <v>0</v>
      </c>
      <c r="L1232" s="272">
        <f t="shared" si="408"/>
        <v>0</v>
      </c>
      <c r="M1232" s="272">
        <f t="shared" si="408"/>
        <v>0</v>
      </c>
      <c r="N1232" s="272">
        <f t="shared" si="408"/>
        <v>0</v>
      </c>
      <c r="O1232" s="272">
        <f t="shared" si="408"/>
        <v>0</v>
      </c>
      <c r="P1232" s="272">
        <f>SUM(P1230:P1231)</f>
        <v>0</v>
      </c>
      <c r="Q1232" s="272">
        <f>SUM(E1232:P1232)</f>
        <v>0</v>
      </c>
    </row>
    <row r="1233" spans="1:17" x14ac:dyDescent="0.2">
      <c r="A1233" s="216">
        <f>A1231+1</f>
        <v>10</v>
      </c>
      <c r="C1233" s="267" t="s">
        <v>204</v>
      </c>
      <c r="E1233" s="274"/>
      <c r="F1233" s="455"/>
      <c r="G1233" s="456"/>
      <c r="H1233" s="455"/>
      <c r="I1233" s="448"/>
      <c r="J1233" s="455"/>
      <c r="K1233" s="455"/>
      <c r="L1233" s="455"/>
      <c r="M1233" s="455"/>
      <c r="N1233" s="455"/>
      <c r="O1233" s="455"/>
      <c r="P1233" s="455"/>
      <c r="Q1233" s="418"/>
    </row>
    <row r="1234" spans="1:17" x14ac:dyDescent="0.2">
      <c r="A1234" s="216">
        <f>A1233+1</f>
        <v>11</v>
      </c>
      <c r="C1234" s="267" t="str">
        <f>C1230</f>
        <v xml:space="preserve">    First 30,000 Mcf</v>
      </c>
      <c r="D1234" s="609">
        <f>Input!C50</f>
        <v>0.62849999999999995</v>
      </c>
      <c r="E1234" s="419">
        <f t="shared" ref="E1234:P1234" si="409">ROUND(E1230*$D$1234,2)</f>
        <v>0</v>
      </c>
      <c r="F1234" s="419">
        <f t="shared" si="409"/>
        <v>0</v>
      </c>
      <c r="G1234" s="419">
        <f t="shared" si="409"/>
        <v>0</v>
      </c>
      <c r="H1234" s="419">
        <f t="shared" si="409"/>
        <v>0</v>
      </c>
      <c r="I1234" s="419">
        <f t="shared" si="409"/>
        <v>0</v>
      </c>
      <c r="J1234" s="419">
        <f t="shared" si="409"/>
        <v>0</v>
      </c>
      <c r="K1234" s="419">
        <f t="shared" si="409"/>
        <v>0</v>
      </c>
      <c r="L1234" s="419">
        <f t="shared" si="409"/>
        <v>0</v>
      </c>
      <c r="M1234" s="419">
        <f t="shared" si="409"/>
        <v>0</v>
      </c>
      <c r="N1234" s="419">
        <f t="shared" si="409"/>
        <v>0</v>
      </c>
      <c r="O1234" s="419">
        <f t="shared" si="409"/>
        <v>0</v>
      </c>
      <c r="P1234" s="419">
        <f t="shared" si="409"/>
        <v>0</v>
      </c>
      <c r="Q1234" s="419">
        <f t="shared" ref="Q1234:Q1239" si="410">SUM(E1234:P1234)</f>
        <v>0</v>
      </c>
    </row>
    <row r="1235" spans="1:17" x14ac:dyDescent="0.2">
      <c r="A1235" s="216">
        <f>A1234+1</f>
        <v>12</v>
      </c>
      <c r="C1235" s="267" t="str">
        <f>C1231</f>
        <v xml:space="preserve">    Over 30,000 Mcf</v>
      </c>
      <c r="D1235" s="609">
        <f>Input!D50</f>
        <v>0.37369999999999998</v>
      </c>
      <c r="E1235" s="255">
        <f t="shared" ref="E1235:P1235" si="411">ROUND(E1231*$D$1235,2)</f>
        <v>0</v>
      </c>
      <c r="F1235" s="255">
        <f t="shared" si="411"/>
        <v>0</v>
      </c>
      <c r="G1235" s="255">
        <f t="shared" si="411"/>
        <v>0</v>
      </c>
      <c r="H1235" s="255">
        <f t="shared" si="411"/>
        <v>0</v>
      </c>
      <c r="I1235" s="255">
        <f t="shared" si="411"/>
        <v>0</v>
      </c>
      <c r="J1235" s="255">
        <f t="shared" si="411"/>
        <v>0</v>
      </c>
      <c r="K1235" s="255">
        <f t="shared" si="411"/>
        <v>0</v>
      </c>
      <c r="L1235" s="255">
        <f t="shared" si="411"/>
        <v>0</v>
      </c>
      <c r="M1235" s="255">
        <f t="shared" si="411"/>
        <v>0</v>
      </c>
      <c r="N1235" s="255">
        <f t="shared" si="411"/>
        <v>0</v>
      </c>
      <c r="O1235" s="255">
        <f t="shared" si="411"/>
        <v>0</v>
      </c>
      <c r="P1235" s="255">
        <f t="shared" si="411"/>
        <v>0</v>
      </c>
      <c r="Q1235" s="255">
        <f t="shared" si="410"/>
        <v>0</v>
      </c>
    </row>
    <row r="1236" spans="1:17" x14ac:dyDescent="0.2">
      <c r="C1236" s="267"/>
      <c r="E1236" s="419">
        <f t="shared" ref="E1236:O1236" si="412">SUM(E1234:E1235)</f>
        <v>0</v>
      </c>
      <c r="F1236" s="419">
        <f t="shared" si="412"/>
        <v>0</v>
      </c>
      <c r="G1236" s="419">
        <f t="shared" si="412"/>
        <v>0</v>
      </c>
      <c r="H1236" s="419">
        <f t="shared" si="412"/>
        <v>0</v>
      </c>
      <c r="I1236" s="419">
        <f t="shared" si="412"/>
        <v>0</v>
      </c>
      <c r="J1236" s="419">
        <f t="shared" si="412"/>
        <v>0</v>
      </c>
      <c r="K1236" s="419">
        <f t="shared" si="412"/>
        <v>0</v>
      </c>
      <c r="L1236" s="419">
        <f t="shared" si="412"/>
        <v>0</v>
      </c>
      <c r="M1236" s="419">
        <f t="shared" si="412"/>
        <v>0</v>
      </c>
      <c r="N1236" s="419">
        <f t="shared" si="412"/>
        <v>0</v>
      </c>
      <c r="O1236" s="419">
        <f t="shared" si="412"/>
        <v>0</v>
      </c>
      <c r="P1236" s="419">
        <f>SUM(P1234:P1235)</f>
        <v>0</v>
      </c>
      <c r="Q1236" s="419">
        <f t="shared" si="410"/>
        <v>0</v>
      </c>
    </row>
    <row r="1237" spans="1:17" x14ac:dyDescent="0.2">
      <c r="A1237" s="216">
        <f>A1235+1</f>
        <v>13</v>
      </c>
      <c r="C1237" s="772" t="s">
        <v>140</v>
      </c>
      <c r="D1237" s="609">
        <f>Input!N50</f>
        <v>1.44E-2</v>
      </c>
      <c r="E1237" s="267">
        <f>ROUND($D$1237*E1232,2)</f>
        <v>0</v>
      </c>
      <c r="F1237" s="267">
        <f t="shared" ref="F1237:P1237" si="413">ROUND($D$1237*F1232,2)</f>
        <v>0</v>
      </c>
      <c r="G1237" s="267">
        <f t="shared" si="413"/>
        <v>0</v>
      </c>
      <c r="H1237" s="267">
        <f t="shared" si="413"/>
        <v>0</v>
      </c>
      <c r="I1237" s="267">
        <f t="shared" si="413"/>
        <v>0</v>
      </c>
      <c r="J1237" s="267">
        <f t="shared" si="413"/>
        <v>0</v>
      </c>
      <c r="K1237" s="267">
        <f t="shared" si="413"/>
        <v>0</v>
      </c>
      <c r="L1237" s="267">
        <f t="shared" si="413"/>
        <v>0</v>
      </c>
      <c r="M1237" s="267">
        <f t="shared" si="413"/>
        <v>0</v>
      </c>
      <c r="N1237" s="267">
        <f t="shared" si="413"/>
        <v>0</v>
      </c>
      <c r="O1237" s="267">
        <f t="shared" si="413"/>
        <v>0</v>
      </c>
      <c r="P1237" s="267">
        <f t="shared" si="413"/>
        <v>0</v>
      </c>
      <c r="Q1237" s="419">
        <f t="shared" si="410"/>
        <v>0</v>
      </c>
    </row>
    <row r="1238" spans="1:17" ht="11.15" customHeight="1" x14ac:dyDescent="0.2">
      <c r="A1238" s="216">
        <f>A1237+1</f>
        <v>14</v>
      </c>
      <c r="C1238" s="772" t="s">
        <v>529</v>
      </c>
      <c r="D1238" s="609">
        <f>Input!J50</f>
        <v>-2.5999999999999999E-2</v>
      </c>
      <c r="E1238" s="255">
        <f>ROUND($D$1238*E1232,2)</f>
        <v>0</v>
      </c>
      <c r="F1238" s="255">
        <f t="shared" ref="F1238:P1238" si="414">ROUND($D$1238*F1232,2)</f>
        <v>0</v>
      </c>
      <c r="G1238" s="255">
        <f t="shared" si="414"/>
        <v>0</v>
      </c>
      <c r="H1238" s="255">
        <f t="shared" si="414"/>
        <v>0</v>
      </c>
      <c r="I1238" s="255">
        <f t="shared" si="414"/>
        <v>0</v>
      </c>
      <c r="J1238" s="255">
        <f t="shared" si="414"/>
        <v>0</v>
      </c>
      <c r="K1238" s="255">
        <f t="shared" si="414"/>
        <v>0</v>
      </c>
      <c r="L1238" s="255">
        <f t="shared" si="414"/>
        <v>0</v>
      </c>
      <c r="M1238" s="255">
        <f t="shared" si="414"/>
        <v>0</v>
      </c>
      <c r="N1238" s="255">
        <f t="shared" si="414"/>
        <v>0</v>
      </c>
      <c r="O1238" s="255">
        <f t="shared" si="414"/>
        <v>0</v>
      </c>
      <c r="P1238" s="255">
        <f t="shared" si="414"/>
        <v>0</v>
      </c>
      <c r="Q1238" s="683">
        <f t="shared" si="410"/>
        <v>0</v>
      </c>
    </row>
    <row r="1239" spans="1:17" x14ac:dyDescent="0.2">
      <c r="A1239" s="216">
        <f>A1238+1</f>
        <v>15</v>
      </c>
      <c r="C1239" s="267" t="s">
        <v>201</v>
      </c>
      <c r="E1239" s="419">
        <f>E1225+E1226+E1227+E1236+E1238+E1237</f>
        <v>0</v>
      </c>
      <c r="F1239" s="419">
        <f t="shared" ref="F1239:P1239" si="415">F1225+F1226+F1227+F1236+F1238+F1237</f>
        <v>0</v>
      </c>
      <c r="G1239" s="419">
        <f t="shared" si="415"/>
        <v>0</v>
      </c>
      <c r="H1239" s="419">
        <f t="shared" si="415"/>
        <v>0</v>
      </c>
      <c r="I1239" s="419">
        <f t="shared" si="415"/>
        <v>0</v>
      </c>
      <c r="J1239" s="419">
        <f t="shared" si="415"/>
        <v>0</v>
      </c>
      <c r="K1239" s="419">
        <f t="shared" si="415"/>
        <v>0</v>
      </c>
      <c r="L1239" s="419">
        <f t="shared" si="415"/>
        <v>0</v>
      </c>
      <c r="M1239" s="419">
        <f t="shared" si="415"/>
        <v>0</v>
      </c>
      <c r="N1239" s="419">
        <f t="shared" si="415"/>
        <v>0</v>
      </c>
      <c r="O1239" s="419">
        <f t="shared" si="415"/>
        <v>0</v>
      </c>
      <c r="P1239" s="419">
        <f t="shared" si="415"/>
        <v>0</v>
      </c>
      <c r="Q1239" s="419">
        <f t="shared" si="410"/>
        <v>0</v>
      </c>
    </row>
    <row r="1240" spans="1:17" x14ac:dyDescent="0.2">
      <c r="C1240" s="267"/>
      <c r="E1240" s="274"/>
      <c r="F1240" s="455"/>
      <c r="G1240" s="456"/>
      <c r="H1240" s="455"/>
      <c r="I1240" s="448"/>
      <c r="J1240" s="455"/>
      <c r="K1240" s="455"/>
      <c r="L1240" s="455"/>
      <c r="M1240" s="455"/>
      <c r="N1240" s="455"/>
      <c r="O1240" s="455"/>
      <c r="P1240" s="455"/>
      <c r="Q1240" s="418"/>
    </row>
    <row r="1241" spans="1:17" x14ac:dyDescent="0.2">
      <c r="A1241" s="216">
        <f>A1239+1</f>
        <v>16</v>
      </c>
      <c r="C1241" s="216" t="s">
        <v>148</v>
      </c>
      <c r="D1241" s="609">
        <v>0</v>
      </c>
      <c r="E1241" s="419">
        <v>0</v>
      </c>
      <c r="F1241" s="419">
        <v>0</v>
      </c>
      <c r="G1241" s="419">
        <v>0</v>
      </c>
      <c r="H1241" s="419">
        <v>0</v>
      </c>
      <c r="I1241" s="419">
        <v>0</v>
      </c>
      <c r="J1241" s="419">
        <v>0</v>
      </c>
      <c r="K1241" s="419">
        <v>0</v>
      </c>
      <c r="L1241" s="419">
        <v>0</v>
      </c>
      <c r="M1241" s="419">
        <v>0</v>
      </c>
      <c r="N1241" s="419">
        <v>0</v>
      </c>
      <c r="O1241" s="419">
        <v>0</v>
      </c>
      <c r="P1241" s="419">
        <v>0</v>
      </c>
      <c r="Q1241" s="419">
        <f>SUM(E1241:P1241)</f>
        <v>0</v>
      </c>
    </row>
    <row r="1243" spans="1:17" ht="10.5" thickBot="1" x14ac:dyDescent="0.25">
      <c r="A1243" s="433">
        <f>A1241+1</f>
        <v>17</v>
      </c>
      <c r="B1243" s="433"/>
      <c r="C1243" s="433" t="s">
        <v>202</v>
      </c>
      <c r="D1243" s="770"/>
      <c r="E1243" s="675">
        <f t="shared" ref="E1243:O1243" si="416">E1239+E1241</f>
        <v>0</v>
      </c>
      <c r="F1243" s="675">
        <f t="shared" si="416"/>
        <v>0</v>
      </c>
      <c r="G1243" s="675">
        <f t="shared" si="416"/>
        <v>0</v>
      </c>
      <c r="H1243" s="675">
        <f t="shared" si="416"/>
        <v>0</v>
      </c>
      <c r="I1243" s="675">
        <f t="shared" si="416"/>
        <v>0</v>
      </c>
      <c r="J1243" s="675">
        <f t="shared" si="416"/>
        <v>0</v>
      </c>
      <c r="K1243" s="675">
        <f t="shared" si="416"/>
        <v>0</v>
      </c>
      <c r="L1243" s="675">
        <f t="shared" si="416"/>
        <v>0</v>
      </c>
      <c r="M1243" s="675">
        <f t="shared" si="416"/>
        <v>0</v>
      </c>
      <c r="N1243" s="675">
        <f t="shared" si="416"/>
        <v>0</v>
      </c>
      <c r="O1243" s="675">
        <f t="shared" si="416"/>
        <v>0</v>
      </c>
      <c r="P1243" s="675">
        <f>P1239+P1241</f>
        <v>0</v>
      </c>
      <c r="Q1243" s="675">
        <f>SUM(E1243:P1243)</f>
        <v>0</v>
      </c>
    </row>
    <row r="1244" spans="1:17" ht="10.5" thickTop="1" x14ac:dyDescent="0.2"/>
    <row r="1245" spans="1:17" x14ac:dyDescent="0.2">
      <c r="A1245" s="216">
        <f>A1243+1</f>
        <v>18</v>
      </c>
      <c r="B1245" s="216" t="str">
        <f>B358</f>
        <v>SC3</v>
      </c>
      <c r="C1245" s="216" t="str">
        <f>C358</f>
        <v>GTS Special Rate - Industrial</v>
      </c>
    </row>
    <row r="1247" spans="1:17" ht="10.5" x14ac:dyDescent="0.25">
      <c r="A1247" s="216">
        <f>A1245+1</f>
        <v>19</v>
      </c>
      <c r="C1247" s="245" t="s">
        <v>112</v>
      </c>
    </row>
    <row r="1248" spans="1:17" ht="10.5" x14ac:dyDescent="0.25">
      <c r="C1248" s="245"/>
    </row>
    <row r="1249" spans="1:17" x14ac:dyDescent="0.2">
      <c r="A1249" s="216">
        <f>A1247+1</f>
        <v>20</v>
      </c>
      <c r="C1249" s="216" t="s">
        <v>199</v>
      </c>
      <c r="E1249" s="421">
        <f>B!D271</f>
        <v>0</v>
      </c>
      <c r="F1249" s="421">
        <f>B!E271</f>
        <v>0</v>
      </c>
      <c r="G1249" s="421">
        <f>B!F271</f>
        <v>0</v>
      </c>
      <c r="H1249" s="421">
        <f>B!G271</f>
        <v>0</v>
      </c>
      <c r="I1249" s="421">
        <f>B!H271</f>
        <v>0</v>
      </c>
      <c r="J1249" s="421">
        <f>B!I271</f>
        <v>0</v>
      </c>
      <c r="K1249" s="421">
        <f>B!J271</f>
        <v>0</v>
      </c>
      <c r="L1249" s="421">
        <f>B!K271</f>
        <v>0</v>
      </c>
      <c r="M1249" s="421">
        <f>B!L271</f>
        <v>0</v>
      </c>
      <c r="N1249" s="421">
        <f>B!M271</f>
        <v>0</v>
      </c>
      <c r="O1249" s="421">
        <f>B!N271</f>
        <v>0</v>
      </c>
      <c r="P1249" s="421">
        <f>B!O271</f>
        <v>0</v>
      </c>
      <c r="Q1249" s="421">
        <f>SUM(E1249:P1249)</f>
        <v>0</v>
      </c>
    </row>
    <row r="1250" spans="1:17" x14ac:dyDescent="0.2">
      <c r="A1250" s="216">
        <f>A1249+1</f>
        <v>21</v>
      </c>
      <c r="C1250" s="216" t="s">
        <v>207</v>
      </c>
      <c r="D1250" s="608">
        <f>Input!H51</f>
        <v>0</v>
      </c>
      <c r="E1250" s="419">
        <f t="shared" ref="E1250:P1250" si="417">ROUND(E1249*$D$1250,2)</f>
        <v>0</v>
      </c>
      <c r="F1250" s="419">
        <f t="shared" si="417"/>
        <v>0</v>
      </c>
      <c r="G1250" s="419">
        <f t="shared" si="417"/>
        <v>0</v>
      </c>
      <c r="H1250" s="419">
        <f t="shared" si="417"/>
        <v>0</v>
      </c>
      <c r="I1250" s="419">
        <f t="shared" si="417"/>
        <v>0</v>
      </c>
      <c r="J1250" s="419">
        <f t="shared" si="417"/>
        <v>0</v>
      </c>
      <c r="K1250" s="419">
        <f t="shared" si="417"/>
        <v>0</v>
      </c>
      <c r="L1250" s="419">
        <f t="shared" si="417"/>
        <v>0</v>
      </c>
      <c r="M1250" s="419">
        <f t="shared" si="417"/>
        <v>0</v>
      </c>
      <c r="N1250" s="419">
        <f t="shared" si="417"/>
        <v>0</v>
      </c>
      <c r="O1250" s="419">
        <f t="shared" si="417"/>
        <v>0</v>
      </c>
      <c r="P1250" s="419">
        <f t="shared" si="417"/>
        <v>0</v>
      </c>
      <c r="Q1250" s="419">
        <f>SUM(E1250:P1250)</f>
        <v>0</v>
      </c>
    </row>
    <row r="1251" spans="1:17" x14ac:dyDescent="0.2">
      <c r="A1251" s="216">
        <f>A1250+1</f>
        <v>22</v>
      </c>
      <c r="C1251" s="216" t="s">
        <v>214</v>
      </c>
      <c r="D1251" s="608">
        <f>Input!I51</f>
        <v>0</v>
      </c>
      <c r="E1251" s="419">
        <f t="shared" ref="E1251:P1251" si="418">ROUND(E1249*$D$1251,2)</f>
        <v>0</v>
      </c>
      <c r="F1251" s="419">
        <f t="shared" si="418"/>
        <v>0</v>
      </c>
      <c r="G1251" s="419">
        <f t="shared" si="418"/>
        <v>0</v>
      </c>
      <c r="H1251" s="419">
        <f t="shared" si="418"/>
        <v>0</v>
      </c>
      <c r="I1251" s="419">
        <f t="shared" si="418"/>
        <v>0</v>
      </c>
      <c r="J1251" s="419">
        <f t="shared" si="418"/>
        <v>0</v>
      </c>
      <c r="K1251" s="419">
        <f t="shared" si="418"/>
        <v>0</v>
      </c>
      <c r="L1251" s="419">
        <f t="shared" si="418"/>
        <v>0</v>
      </c>
      <c r="M1251" s="419">
        <f t="shared" si="418"/>
        <v>0</v>
      </c>
      <c r="N1251" s="419">
        <f t="shared" si="418"/>
        <v>0</v>
      </c>
      <c r="O1251" s="419">
        <f t="shared" si="418"/>
        <v>0</v>
      </c>
      <c r="P1251" s="419">
        <f t="shared" si="418"/>
        <v>0</v>
      </c>
      <c r="Q1251" s="419">
        <f>SUM(E1251:P1251)</f>
        <v>0</v>
      </c>
    </row>
    <row r="1253" spans="1:17" x14ac:dyDescent="0.2">
      <c r="A1253" s="216">
        <f>A1251+1</f>
        <v>23</v>
      </c>
      <c r="C1253" s="216" t="s">
        <v>206</v>
      </c>
    </row>
    <row r="1254" spans="1:17" x14ac:dyDescent="0.2">
      <c r="A1254" s="216">
        <f>A1253+1</f>
        <v>24</v>
      </c>
      <c r="C1254" s="267" t="str">
        <f>'C'!B392</f>
        <v xml:space="preserve">    First 150,000 Mcf</v>
      </c>
      <c r="E1254" s="272">
        <f>'C'!D400</f>
        <v>0</v>
      </c>
      <c r="F1254" s="272">
        <f>'C'!E400</f>
        <v>0</v>
      </c>
      <c r="G1254" s="272">
        <f>'C'!F400</f>
        <v>0</v>
      </c>
      <c r="H1254" s="272">
        <f>'C'!G400</f>
        <v>0</v>
      </c>
      <c r="I1254" s="272">
        <f>'C'!H400</f>
        <v>0</v>
      </c>
      <c r="J1254" s="272">
        <f>'C'!I400</f>
        <v>0</v>
      </c>
      <c r="K1254" s="272">
        <f>'C'!J400</f>
        <v>0</v>
      </c>
      <c r="L1254" s="272">
        <f>'C'!K400</f>
        <v>0</v>
      </c>
      <c r="M1254" s="272">
        <f>'C'!L400</f>
        <v>0</v>
      </c>
      <c r="N1254" s="272">
        <f>'C'!M400</f>
        <v>0</v>
      </c>
      <c r="O1254" s="272">
        <f>'C'!N400</f>
        <v>0</v>
      </c>
      <c r="P1254" s="272">
        <f>'C'!O400</f>
        <v>0</v>
      </c>
      <c r="Q1254" s="272">
        <f>SUM(E1254:P1254)</f>
        <v>0</v>
      </c>
    </row>
    <row r="1255" spans="1:17" x14ac:dyDescent="0.2">
      <c r="A1255" s="216">
        <f>A1254+1</f>
        <v>25</v>
      </c>
      <c r="C1255" s="267" t="str">
        <f>'C'!B393</f>
        <v xml:space="preserve">    Over 150,000 Mcf</v>
      </c>
      <c r="E1255" s="448">
        <f>'C'!D401</f>
        <v>0</v>
      </c>
      <c r="F1255" s="448">
        <f>'C'!E401</f>
        <v>0</v>
      </c>
      <c r="G1255" s="448">
        <f>'C'!F401</f>
        <v>0</v>
      </c>
      <c r="H1255" s="448">
        <f>'C'!G401</f>
        <v>0</v>
      </c>
      <c r="I1255" s="448">
        <f>'C'!H401</f>
        <v>0</v>
      </c>
      <c r="J1255" s="448">
        <f>'C'!I401</f>
        <v>0</v>
      </c>
      <c r="K1255" s="448">
        <f>'C'!J401</f>
        <v>0</v>
      </c>
      <c r="L1255" s="448">
        <f>'C'!K401</f>
        <v>0</v>
      </c>
      <c r="M1255" s="448">
        <f>'C'!L401</f>
        <v>0</v>
      </c>
      <c r="N1255" s="448">
        <f>'C'!M401</f>
        <v>0</v>
      </c>
      <c r="O1255" s="448">
        <f>'C'!N401</f>
        <v>0</v>
      </c>
      <c r="P1255" s="448">
        <f>'C'!O401</f>
        <v>0</v>
      </c>
      <c r="Q1255" s="448">
        <f>SUM(E1255:P1255)</f>
        <v>0</v>
      </c>
    </row>
    <row r="1256" spans="1:17" x14ac:dyDescent="0.2">
      <c r="C1256" s="267"/>
      <c r="E1256" s="272">
        <f t="shared" ref="E1256:O1256" si="419">SUM(E1254:E1255)</f>
        <v>0</v>
      </c>
      <c r="F1256" s="272">
        <f t="shared" si="419"/>
        <v>0</v>
      </c>
      <c r="G1256" s="272">
        <f t="shared" si="419"/>
        <v>0</v>
      </c>
      <c r="H1256" s="272">
        <f t="shared" si="419"/>
        <v>0</v>
      </c>
      <c r="I1256" s="272">
        <f t="shared" si="419"/>
        <v>0</v>
      </c>
      <c r="J1256" s="272">
        <f t="shared" si="419"/>
        <v>0</v>
      </c>
      <c r="K1256" s="272">
        <f t="shared" si="419"/>
        <v>0</v>
      </c>
      <c r="L1256" s="272">
        <f t="shared" si="419"/>
        <v>0</v>
      </c>
      <c r="M1256" s="272">
        <f t="shared" si="419"/>
        <v>0</v>
      </c>
      <c r="N1256" s="272">
        <f t="shared" si="419"/>
        <v>0</v>
      </c>
      <c r="O1256" s="272">
        <f t="shared" si="419"/>
        <v>0</v>
      </c>
      <c r="P1256" s="272">
        <f>SUM(P1254:P1255)</f>
        <v>0</v>
      </c>
      <c r="Q1256" s="272">
        <f>SUM(E1256:P1256)</f>
        <v>0</v>
      </c>
    </row>
    <row r="1257" spans="1:17" x14ac:dyDescent="0.2">
      <c r="A1257" s="216">
        <f>A1255+1</f>
        <v>26</v>
      </c>
      <c r="C1257" s="267" t="s">
        <v>204</v>
      </c>
      <c r="E1257" s="274"/>
      <c r="F1257" s="455"/>
      <c r="G1257" s="456"/>
      <c r="H1257" s="455"/>
      <c r="I1257" s="448"/>
      <c r="J1257" s="455"/>
      <c r="K1257" s="455"/>
      <c r="L1257" s="455"/>
      <c r="M1257" s="455"/>
      <c r="N1257" s="455"/>
      <c r="O1257" s="455"/>
      <c r="P1257" s="455"/>
      <c r="Q1257" s="418"/>
    </row>
    <row r="1258" spans="1:17" x14ac:dyDescent="0.2">
      <c r="A1258" s="216">
        <f>A1257+1</f>
        <v>27</v>
      </c>
      <c r="C1258" s="267" t="str">
        <f>C1254</f>
        <v xml:space="preserve">    First 150,000 Mcf</v>
      </c>
      <c r="D1258" s="609">
        <f>Input!C51</f>
        <v>0</v>
      </c>
      <c r="E1258" s="419">
        <f t="shared" ref="E1258:P1258" si="420">ROUND(E1254*$D$1258,2)</f>
        <v>0</v>
      </c>
      <c r="F1258" s="419">
        <f t="shared" si="420"/>
        <v>0</v>
      </c>
      <c r="G1258" s="419">
        <f t="shared" si="420"/>
        <v>0</v>
      </c>
      <c r="H1258" s="419">
        <f t="shared" si="420"/>
        <v>0</v>
      </c>
      <c r="I1258" s="419">
        <f t="shared" si="420"/>
        <v>0</v>
      </c>
      <c r="J1258" s="419">
        <f t="shared" si="420"/>
        <v>0</v>
      </c>
      <c r="K1258" s="419">
        <f t="shared" si="420"/>
        <v>0</v>
      </c>
      <c r="L1258" s="419">
        <f t="shared" si="420"/>
        <v>0</v>
      </c>
      <c r="M1258" s="419">
        <f t="shared" si="420"/>
        <v>0</v>
      </c>
      <c r="N1258" s="419">
        <f t="shared" si="420"/>
        <v>0</v>
      </c>
      <c r="O1258" s="419">
        <f t="shared" si="420"/>
        <v>0</v>
      </c>
      <c r="P1258" s="419">
        <f t="shared" si="420"/>
        <v>0</v>
      </c>
      <c r="Q1258" s="419">
        <f>SUM(E1258:P1258)</f>
        <v>0</v>
      </c>
    </row>
    <row r="1259" spans="1:17" x14ac:dyDescent="0.2">
      <c r="A1259" s="216">
        <f>A1258+1</f>
        <v>28</v>
      </c>
      <c r="C1259" s="267" t="str">
        <f>C1255</f>
        <v xml:space="preserve">    Over 150,000 Mcf</v>
      </c>
      <c r="D1259" s="609">
        <f>Input!D51</f>
        <v>0</v>
      </c>
      <c r="E1259" s="255">
        <f t="shared" ref="E1259:P1259" si="421">ROUND(E1255*$D$1259,2)</f>
        <v>0</v>
      </c>
      <c r="F1259" s="255">
        <f t="shared" si="421"/>
        <v>0</v>
      </c>
      <c r="G1259" s="255">
        <f t="shared" si="421"/>
        <v>0</v>
      </c>
      <c r="H1259" s="255">
        <f t="shared" si="421"/>
        <v>0</v>
      </c>
      <c r="I1259" s="255">
        <f t="shared" si="421"/>
        <v>0</v>
      </c>
      <c r="J1259" s="255">
        <f t="shared" si="421"/>
        <v>0</v>
      </c>
      <c r="K1259" s="255">
        <f t="shared" si="421"/>
        <v>0</v>
      </c>
      <c r="L1259" s="255">
        <f t="shared" si="421"/>
        <v>0</v>
      </c>
      <c r="M1259" s="255">
        <f t="shared" si="421"/>
        <v>0</v>
      </c>
      <c r="N1259" s="255">
        <f t="shared" si="421"/>
        <v>0</v>
      </c>
      <c r="O1259" s="255">
        <f t="shared" si="421"/>
        <v>0</v>
      </c>
      <c r="P1259" s="255">
        <f t="shared" si="421"/>
        <v>0</v>
      </c>
      <c r="Q1259" s="255">
        <f>SUM(E1259:P1259)</f>
        <v>0</v>
      </c>
    </row>
    <row r="1260" spans="1:17" x14ac:dyDescent="0.2">
      <c r="C1260" s="267"/>
      <c r="E1260" s="419">
        <f t="shared" ref="E1260:O1260" si="422">SUM(E1258:E1259)</f>
        <v>0</v>
      </c>
      <c r="F1260" s="419">
        <f t="shared" si="422"/>
        <v>0</v>
      </c>
      <c r="G1260" s="419">
        <f t="shared" si="422"/>
        <v>0</v>
      </c>
      <c r="H1260" s="419">
        <f t="shared" si="422"/>
        <v>0</v>
      </c>
      <c r="I1260" s="419">
        <f t="shared" si="422"/>
        <v>0</v>
      </c>
      <c r="J1260" s="419">
        <f t="shared" si="422"/>
        <v>0</v>
      </c>
      <c r="K1260" s="419">
        <f t="shared" si="422"/>
        <v>0</v>
      </c>
      <c r="L1260" s="419">
        <f t="shared" si="422"/>
        <v>0</v>
      </c>
      <c r="M1260" s="419">
        <f t="shared" si="422"/>
        <v>0</v>
      </c>
      <c r="N1260" s="419">
        <f t="shared" si="422"/>
        <v>0</v>
      </c>
      <c r="O1260" s="419">
        <f t="shared" si="422"/>
        <v>0</v>
      </c>
      <c r="P1260" s="419">
        <f>SUM(P1258:P1259)</f>
        <v>0</v>
      </c>
      <c r="Q1260" s="419">
        <f>SUM(E1260:P1260)</f>
        <v>0</v>
      </c>
    </row>
    <row r="1261" spans="1:17" x14ac:dyDescent="0.2">
      <c r="C1261" s="267"/>
      <c r="E1261" s="417"/>
      <c r="F1261" s="457"/>
      <c r="G1261" s="457"/>
      <c r="H1261" s="457"/>
      <c r="I1261" s="457"/>
      <c r="J1261" s="457"/>
      <c r="K1261" s="457"/>
      <c r="L1261" s="457"/>
      <c r="M1261" s="457"/>
      <c r="N1261" s="457"/>
      <c r="O1261" s="457"/>
      <c r="P1261" s="457"/>
      <c r="Q1261" s="417"/>
    </row>
    <row r="1262" spans="1:17" x14ac:dyDescent="0.2">
      <c r="A1262" s="216">
        <f>A1259+1</f>
        <v>29</v>
      </c>
      <c r="C1262" s="267" t="s">
        <v>201</v>
      </c>
      <c r="E1262" s="419">
        <f>E1250+E1251+E1260</f>
        <v>0</v>
      </c>
      <c r="F1262" s="419">
        <f t="shared" ref="F1262:P1262" si="423">F1250+F1251+F1260</f>
        <v>0</v>
      </c>
      <c r="G1262" s="419">
        <f t="shared" si="423"/>
        <v>0</v>
      </c>
      <c r="H1262" s="419">
        <f t="shared" si="423"/>
        <v>0</v>
      </c>
      <c r="I1262" s="419">
        <f t="shared" si="423"/>
        <v>0</v>
      </c>
      <c r="J1262" s="419">
        <f t="shared" si="423"/>
        <v>0</v>
      </c>
      <c r="K1262" s="419">
        <f t="shared" si="423"/>
        <v>0</v>
      </c>
      <c r="L1262" s="419">
        <f t="shared" si="423"/>
        <v>0</v>
      </c>
      <c r="M1262" s="419">
        <f t="shared" si="423"/>
        <v>0</v>
      </c>
      <c r="N1262" s="419">
        <f t="shared" si="423"/>
        <v>0</v>
      </c>
      <c r="O1262" s="419">
        <f t="shared" si="423"/>
        <v>0</v>
      </c>
      <c r="P1262" s="419">
        <f t="shared" si="423"/>
        <v>0</v>
      </c>
      <c r="Q1262" s="419">
        <f>SUM(E1262:P1262)</f>
        <v>0</v>
      </c>
    </row>
    <row r="1263" spans="1:17" x14ac:dyDescent="0.2">
      <c r="C1263" s="267"/>
      <c r="E1263" s="417"/>
      <c r="F1263" s="457"/>
      <c r="G1263" s="457"/>
      <c r="H1263" s="457"/>
      <c r="I1263" s="457"/>
      <c r="J1263" s="457"/>
      <c r="K1263" s="457"/>
      <c r="L1263" s="457"/>
      <c r="M1263" s="457"/>
      <c r="N1263" s="457"/>
      <c r="O1263" s="457"/>
      <c r="P1263" s="457"/>
      <c r="Q1263" s="417"/>
    </row>
    <row r="1264" spans="1:17" x14ac:dyDescent="0.2">
      <c r="A1264" s="216">
        <f>A1262+1</f>
        <v>30</v>
      </c>
      <c r="C1264" s="216" t="s">
        <v>148</v>
      </c>
      <c r="D1264" s="609">
        <v>0</v>
      </c>
      <c r="E1264" s="419">
        <v>0</v>
      </c>
      <c r="F1264" s="419">
        <v>0</v>
      </c>
      <c r="G1264" s="419">
        <v>0</v>
      </c>
      <c r="H1264" s="419">
        <v>0</v>
      </c>
      <c r="I1264" s="419">
        <v>0</v>
      </c>
      <c r="J1264" s="419">
        <v>0</v>
      </c>
      <c r="K1264" s="419">
        <v>0</v>
      </c>
      <c r="L1264" s="419">
        <v>0</v>
      </c>
      <c r="M1264" s="419">
        <v>0</v>
      </c>
      <c r="N1264" s="419">
        <v>0</v>
      </c>
      <c r="O1264" s="419">
        <v>0</v>
      </c>
      <c r="P1264" s="419">
        <v>0</v>
      </c>
      <c r="Q1264" s="419">
        <f>SUM(E1264:P1264)</f>
        <v>0</v>
      </c>
    </row>
    <row r="1265" spans="1:19" x14ac:dyDescent="0.2">
      <c r="E1265" s="417"/>
      <c r="F1265" s="417"/>
      <c r="G1265" s="417"/>
      <c r="H1265" s="417"/>
      <c r="I1265" s="417"/>
      <c r="J1265" s="417"/>
      <c r="K1265" s="417"/>
      <c r="L1265" s="417"/>
      <c r="M1265" s="417"/>
      <c r="N1265" s="417"/>
      <c r="O1265" s="417"/>
      <c r="P1265" s="417"/>
      <c r="Q1265" s="417"/>
    </row>
    <row r="1266" spans="1:19" ht="10.5" thickBot="1" x14ac:dyDescent="0.25">
      <c r="A1266" s="402">
        <f>A1264+1</f>
        <v>31</v>
      </c>
      <c r="B1266" s="402"/>
      <c r="C1266" s="402" t="s">
        <v>202</v>
      </c>
      <c r="D1266" s="412"/>
      <c r="E1266" s="675">
        <f t="shared" ref="E1266:O1266" si="424">E1262+E1264</f>
        <v>0</v>
      </c>
      <c r="F1266" s="675">
        <f t="shared" si="424"/>
        <v>0</v>
      </c>
      <c r="G1266" s="675">
        <f t="shared" si="424"/>
        <v>0</v>
      </c>
      <c r="H1266" s="675">
        <f t="shared" si="424"/>
        <v>0</v>
      </c>
      <c r="I1266" s="675">
        <f t="shared" si="424"/>
        <v>0</v>
      </c>
      <c r="J1266" s="675">
        <f t="shared" si="424"/>
        <v>0</v>
      </c>
      <c r="K1266" s="675">
        <f t="shared" si="424"/>
        <v>0</v>
      </c>
      <c r="L1266" s="675">
        <f t="shared" si="424"/>
        <v>0</v>
      </c>
      <c r="M1266" s="675">
        <f t="shared" si="424"/>
        <v>0</v>
      </c>
      <c r="N1266" s="675">
        <f t="shared" si="424"/>
        <v>0</v>
      </c>
      <c r="O1266" s="675">
        <f t="shared" si="424"/>
        <v>0</v>
      </c>
      <c r="P1266" s="675">
        <f>P1262+P1264</f>
        <v>0</v>
      </c>
      <c r="Q1266" s="675">
        <f>SUM(E1266:P1266)</f>
        <v>0</v>
      </c>
    </row>
    <row r="1267" spans="1:19" ht="10.5" thickTop="1" x14ac:dyDescent="0.2">
      <c r="C1267" s="280"/>
    </row>
    <row r="1268" spans="1:19" x14ac:dyDescent="0.2">
      <c r="C1268" s="280"/>
      <c r="E1268" s="681"/>
    </row>
    <row r="1269" spans="1:19" x14ac:dyDescent="0.2">
      <c r="A1269" s="216" t="str">
        <f>$A$270</f>
        <v>[1] Reflects Normalized Volumes.</v>
      </c>
    </row>
    <row r="1272" spans="1:19" x14ac:dyDescent="0.2">
      <c r="C1272" s="280"/>
      <c r="D1272" s="282"/>
      <c r="E1272" s="280"/>
      <c r="F1272" s="438"/>
      <c r="G1272" s="439"/>
      <c r="H1272" s="438"/>
      <c r="I1272" s="440"/>
      <c r="J1272" s="438"/>
      <c r="K1272" s="438"/>
      <c r="L1272" s="438"/>
      <c r="M1272" s="438"/>
      <c r="N1272" s="438"/>
      <c r="O1272" s="438"/>
      <c r="P1272" s="438"/>
      <c r="Q1272" s="280"/>
      <c r="R1272" s="280"/>
      <c r="S1272" s="280"/>
    </row>
    <row r="1273" spans="1:19" ht="10.5" x14ac:dyDescent="0.25">
      <c r="C1273" s="392"/>
      <c r="D1273" s="392"/>
      <c r="E1273" s="280"/>
      <c r="F1273" s="438"/>
      <c r="G1273" s="439"/>
      <c r="H1273" s="438"/>
      <c r="I1273" s="440"/>
      <c r="J1273" s="438"/>
      <c r="K1273" s="438"/>
      <c r="L1273" s="438"/>
      <c r="M1273" s="438"/>
      <c r="N1273" s="438"/>
      <c r="O1273" s="438"/>
      <c r="P1273" s="438"/>
      <c r="Q1273" s="280"/>
      <c r="R1273" s="280"/>
      <c r="S1273" s="280"/>
    </row>
    <row r="1274" spans="1:19" x14ac:dyDescent="0.2">
      <c r="C1274" s="280"/>
      <c r="D1274" s="282"/>
      <c r="E1274" s="676"/>
      <c r="F1274" s="676"/>
      <c r="G1274" s="676"/>
      <c r="H1274" s="676"/>
      <c r="I1274" s="676"/>
      <c r="J1274" s="676"/>
      <c r="K1274" s="676"/>
      <c r="L1274" s="676"/>
      <c r="M1274" s="676"/>
      <c r="N1274" s="676"/>
      <c r="O1274" s="676"/>
      <c r="P1274" s="676"/>
      <c r="Q1274" s="676"/>
      <c r="R1274" s="280"/>
      <c r="S1274" s="280"/>
    </row>
    <row r="1275" spans="1:19" x14ac:dyDescent="0.2">
      <c r="C1275" s="280"/>
      <c r="D1275" s="282"/>
      <c r="E1275" s="676"/>
      <c r="F1275" s="676"/>
      <c r="G1275" s="676"/>
      <c r="H1275" s="676"/>
      <c r="I1275" s="676"/>
      <c r="J1275" s="676"/>
      <c r="K1275" s="676"/>
      <c r="L1275" s="676"/>
      <c r="M1275" s="676"/>
      <c r="N1275" s="676"/>
      <c r="O1275" s="676"/>
      <c r="P1275" s="676"/>
      <c r="Q1275" s="676"/>
      <c r="R1275" s="280"/>
      <c r="S1275" s="280"/>
    </row>
    <row r="1276" spans="1:19" x14ac:dyDescent="0.2">
      <c r="C1276" s="280"/>
      <c r="D1276" s="282"/>
      <c r="E1276" s="676"/>
      <c r="F1276" s="676"/>
      <c r="G1276" s="676"/>
      <c r="H1276" s="676"/>
      <c r="I1276" s="676"/>
      <c r="J1276" s="676"/>
      <c r="K1276" s="676"/>
      <c r="L1276" s="676"/>
      <c r="M1276" s="676"/>
      <c r="N1276" s="676"/>
      <c r="O1276" s="676"/>
      <c r="P1276" s="676"/>
      <c r="Q1276" s="676"/>
      <c r="R1276" s="280"/>
      <c r="S1276" s="280"/>
    </row>
    <row r="1277" spans="1:19" x14ac:dyDescent="0.2">
      <c r="C1277" s="280"/>
      <c r="D1277" s="282"/>
      <c r="E1277" s="676"/>
      <c r="F1277" s="676"/>
      <c r="G1277" s="676"/>
      <c r="H1277" s="676"/>
      <c r="I1277" s="676"/>
      <c r="J1277" s="676"/>
      <c r="K1277" s="676"/>
      <c r="L1277" s="676"/>
      <c r="M1277" s="676"/>
      <c r="N1277" s="676"/>
      <c r="O1277" s="676"/>
      <c r="P1277" s="676"/>
      <c r="Q1277" s="676"/>
      <c r="R1277" s="280"/>
      <c r="S1277" s="280"/>
    </row>
    <row r="1278" spans="1:19" x14ac:dyDescent="0.2">
      <c r="C1278" s="280"/>
      <c r="D1278" s="282"/>
      <c r="E1278" s="676"/>
      <c r="F1278" s="676"/>
      <c r="G1278" s="676"/>
      <c r="H1278" s="676"/>
      <c r="I1278" s="676"/>
      <c r="J1278" s="676"/>
      <c r="K1278" s="676"/>
      <c r="L1278" s="676"/>
      <c r="M1278" s="676"/>
      <c r="N1278" s="676"/>
      <c r="O1278" s="676"/>
      <c r="P1278" s="676"/>
      <c r="Q1278" s="676"/>
      <c r="R1278" s="280"/>
      <c r="S1278" s="280"/>
    </row>
    <row r="1279" spans="1:19" x14ac:dyDescent="0.2">
      <c r="C1279" s="280"/>
      <c r="D1279" s="282"/>
      <c r="E1279" s="676"/>
      <c r="F1279" s="676"/>
      <c r="G1279" s="676"/>
      <c r="H1279" s="676"/>
      <c r="I1279" s="676"/>
      <c r="J1279" s="676"/>
      <c r="K1279" s="676"/>
      <c r="L1279" s="676"/>
      <c r="M1279" s="676"/>
      <c r="N1279" s="676"/>
      <c r="O1279" s="676"/>
      <c r="P1279" s="676"/>
      <c r="Q1279" s="676"/>
      <c r="R1279" s="280"/>
      <c r="S1279" s="280"/>
    </row>
    <row r="1280" spans="1:19" x14ac:dyDescent="0.2">
      <c r="C1280" s="280"/>
      <c r="D1280" s="280"/>
      <c r="E1280" s="676"/>
      <c r="F1280" s="676"/>
      <c r="G1280" s="676"/>
      <c r="H1280" s="676"/>
      <c r="I1280" s="676"/>
      <c r="J1280" s="676"/>
      <c r="K1280" s="676"/>
      <c r="L1280" s="676"/>
      <c r="M1280" s="676"/>
      <c r="N1280" s="676"/>
      <c r="O1280" s="676"/>
      <c r="P1280" s="676"/>
      <c r="Q1280" s="676"/>
      <c r="R1280" s="280"/>
      <c r="S1280" s="280"/>
    </row>
    <row r="1281" spans="3:20" x14ac:dyDescent="0.2">
      <c r="C1281" s="280"/>
      <c r="D1281" s="280"/>
      <c r="E1281" s="676"/>
      <c r="F1281" s="676"/>
      <c r="G1281" s="676"/>
      <c r="H1281" s="676"/>
      <c r="I1281" s="676"/>
      <c r="J1281" s="676"/>
      <c r="K1281" s="676"/>
      <c r="L1281" s="676"/>
      <c r="M1281" s="676"/>
      <c r="N1281" s="676"/>
      <c r="O1281" s="676"/>
      <c r="P1281" s="676"/>
      <c r="Q1281" s="676"/>
      <c r="R1281" s="280"/>
      <c r="S1281" s="280"/>
    </row>
    <row r="1282" spans="3:20" ht="11.5" x14ac:dyDescent="0.35">
      <c r="C1282" s="280"/>
      <c r="D1282" s="280"/>
      <c r="E1282" s="755"/>
      <c r="F1282" s="755"/>
      <c r="G1282" s="755"/>
      <c r="H1282" s="755"/>
      <c r="I1282" s="755"/>
      <c r="J1282" s="755"/>
      <c r="K1282" s="755"/>
      <c r="L1282" s="755"/>
      <c r="M1282" s="755"/>
      <c r="N1282" s="755"/>
      <c r="O1282" s="755"/>
      <c r="P1282" s="755"/>
      <c r="Q1282" s="755"/>
      <c r="R1282" s="280"/>
      <c r="S1282" s="280"/>
    </row>
    <row r="1283" spans="3:20" x14ac:dyDescent="0.2">
      <c r="C1283" s="280"/>
      <c r="D1283" s="280"/>
      <c r="E1283" s="676"/>
      <c r="F1283" s="676"/>
      <c r="G1283" s="676"/>
      <c r="H1283" s="676"/>
      <c r="I1283" s="676"/>
      <c r="J1283" s="676"/>
      <c r="K1283" s="676"/>
      <c r="L1283" s="676"/>
      <c r="M1283" s="676"/>
      <c r="N1283" s="676"/>
      <c r="O1283" s="676"/>
      <c r="P1283" s="676"/>
      <c r="Q1283" s="676"/>
      <c r="R1283" s="676"/>
      <c r="S1283" s="280"/>
      <c r="T1283" s="453"/>
    </row>
    <row r="1284" spans="3:20" x14ac:dyDescent="0.2">
      <c r="C1284" s="280"/>
      <c r="D1284" s="280"/>
      <c r="E1284" s="676"/>
      <c r="F1284" s="676"/>
      <c r="G1284" s="676"/>
      <c r="H1284" s="676"/>
      <c r="I1284" s="676"/>
      <c r="J1284" s="676"/>
      <c r="K1284" s="676"/>
      <c r="L1284" s="676"/>
      <c r="M1284" s="676"/>
      <c r="N1284" s="676"/>
      <c r="O1284" s="676"/>
      <c r="P1284" s="676"/>
      <c r="Q1284" s="676"/>
      <c r="R1284" s="280"/>
      <c r="S1284" s="280"/>
    </row>
    <row r="1285" spans="3:20" ht="10.5" x14ac:dyDescent="0.25">
      <c r="C1285" s="280"/>
      <c r="D1285" s="392"/>
      <c r="E1285" s="676"/>
      <c r="F1285" s="676"/>
      <c r="G1285" s="676"/>
      <c r="H1285" s="676"/>
      <c r="I1285" s="676"/>
      <c r="J1285" s="676"/>
      <c r="K1285" s="676"/>
      <c r="L1285" s="676"/>
      <c r="M1285" s="676"/>
      <c r="N1285" s="676"/>
      <c r="O1285" s="676"/>
      <c r="P1285" s="676"/>
      <c r="Q1285" s="676"/>
      <c r="R1285" s="280"/>
      <c r="S1285" s="280"/>
    </row>
    <row r="1286" spans="3:20" x14ac:dyDescent="0.2">
      <c r="C1286" s="280"/>
      <c r="D1286" s="282"/>
      <c r="E1286" s="676"/>
      <c r="F1286" s="676"/>
      <c r="G1286" s="676"/>
      <c r="H1286" s="676"/>
      <c r="I1286" s="676"/>
      <c r="J1286" s="676"/>
      <c r="K1286" s="676"/>
      <c r="L1286" s="676"/>
      <c r="M1286" s="676"/>
      <c r="N1286" s="676"/>
      <c r="O1286" s="676"/>
      <c r="P1286" s="676"/>
      <c r="Q1286" s="676"/>
      <c r="R1286" s="280"/>
      <c r="S1286" s="280"/>
    </row>
    <row r="1287" spans="3:20" x14ac:dyDescent="0.2">
      <c r="C1287" s="280"/>
      <c r="D1287" s="282"/>
      <c r="E1287" s="676"/>
      <c r="F1287" s="676"/>
      <c r="G1287" s="676"/>
      <c r="H1287" s="676"/>
      <c r="I1287" s="676"/>
      <c r="J1287" s="676"/>
      <c r="K1287" s="676"/>
      <c r="L1287" s="676"/>
      <c r="M1287" s="676"/>
      <c r="N1287" s="676"/>
      <c r="O1287" s="676"/>
      <c r="P1287" s="676"/>
      <c r="Q1287" s="676"/>
      <c r="R1287" s="280"/>
      <c r="S1287" s="280"/>
    </row>
    <row r="1288" spans="3:20" x14ac:dyDescent="0.2">
      <c r="C1288" s="280"/>
      <c r="D1288" s="282"/>
      <c r="E1288" s="676"/>
      <c r="F1288" s="676"/>
      <c r="G1288" s="676"/>
      <c r="H1288" s="676"/>
      <c r="I1288" s="676"/>
      <c r="J1288" s="676"/>
      <c r="K1288" s="676"/>
      <c r="L1288" s="676"/>
      <c r="M1288" s="676"/>
      <c r="N1288" s="676"/>
      <c r="O1288" s="676"/>
      <c r="P1288" s="676"/>
      <c r="Q1288" s="676"/>
      <c r="R1288" s="280"/>
      <c r="S1288" s="280"/>
    </row>
    <row r="1289" spans="3:20" x14ac:dyDescent="0.2">
      <c r="C1289" s="280"/>
      <c r="D1289" s="282"/>
      <c r="E1289" s="676"/>
      <c r="F1289" s="676"/>
      <c r="G1289" s="676"/>
      <c r="H1289" s="676"/>
      <c r="I1289" s="676"/>
      <c r="J1289" s="676"/>
      <c r="K1289" s="676"/>
      <c r="L1289" s="676"/>
      <c r="M1289" s="676"/>
      <c r="N1289" s="676"/>
      <c r="O1289" s="676"/>
      <c r="P1289" s="676"/>
      <c r="Q1289" s="676"/>
      <c r="R1289" s="280"/>
      <c r="S1289" s="280"/>
    </row>
    <row r="1290" spans="3:20" x14ac:dyDescent="0.2">
      <c r="C1290" s="280"/>
      <c r="D1290" s="282"/>
      <c r="E1290" s="676"/>
      <c r="F1290" s="676"/>
      <c r="G1290" s="676"/>
      <c r="H1290" s="676"/>
      <c r="I1290" s="676"/>
      <c r="J1290" s="676"/>
      <c r="K1290" s="676"/>
      <c r="L1290" s="676"/>
      <c r="M1290" s="676"/>
      <c r="N1290" s="676"/>
      <c r="O1290" s="676"/>
      <c r="P1290" s="676"/>
      <c r="Q1290" s="676"/>
      <c r="R1290" s="280"/>
      <c r="S1290" s="280"/>
    </row>
    <row r="1291" spans="3:20" x14ac:dyDescent="0.2">
      <c r="C1291" s="280"/>
      <c r="D1291" s="282"/>
      <c r="E1291" s="676"/>
      <c r="F1291" s="676"/>
      <c r="G1291" s="676"/>
      <c r="H1291" s="676"/>
      <c r="I1291" s="676"/>
      <c r="J1291" s="676"/>
      <c r="K1291" s="676"/>
      <c r="L1291" s="676"/>
      <c r="M1291" s="676"/>
      <c r="N1291" s="676"/>
      <c r="O1291" s="676"/>
      <c r="P1291" s="676"/>
      <c r="Q1291" s="676"/>
      <c r="R1291" s="280"/>
      <c r="S1291" s="280"/>
    </row>
    <row r="1292" spans="3:20" ht="11.5" x14ac:dyDescent="0.35">
      <c r="C1292" s="280"/>
      <c r="D1292" s="280"/>
      <c r="E1292" s="755"/>
      <c r="F1292" s="755"/>
      <c r="G1292" s="755"/>
      <c r="H1292" s="755"/>
      <c r="I1292" s="755"/>
      <c r="J1292" s="755"/>
      <c r="K1292" s="755"/>
      <c r="L1292" s="755"/>
      <c r="M1292" s="755"/>
      <c r="N1292" s="755"/>
      <c r="O1292" s="755"/>
      <c r="P1292" s="755"/>
      <c r="Q1292" s="755"/>
      <c r="R1292" s="280"/>
      <c r="S1292" s="280"/>
    </row>
    <row r="1293" spans="3:20" x14ac:dyDescent="0.2">
      <c r="C1293" s="280"/>
      <c r="D1293" s="280"/>
      <c r="E1293" s="676"/>
      <c r="F1293" s="676"/>
      <c r="G1293" s="676"/>
      <c r="H1293" s="676"/>
      <c r="I1293" s="676"/>
      <c r="J1293" s="676"/>
      <c r="K1293" s="676"/>
      <c r="L1293" s="676"/>
      <c r="M1293" s="676"/>
      <c r="N1293" s="676"/>
      <c r="O1293" s="676"/>
      <c r="P1293" s="676"/>
      <c r="Q1293" s="676"/>
      <c r="R1293" s="280"/>
      <c r="S1293" s="280"/>
    </row>
    <row r="1294" spans="3:20" x14ac:dyDescent="0.2">
      <c r="C1294" s="280"/>
      <c r="D1294" s="280"/>
      <c r="E1294" s="676"/>
      <c r="F1294" s="676"/>
      <c r="G1294" s="676"/>
      <c r="H1294" s="676"/>
      <c r="I1294" s="676"/>
      <c r="J1294" s="676"/>
      <c r="K1294" s="676"/>
      <c r="L1294" s="676"/>
      <c r="M1294" s="676"/>
      <c r="N1294" s="676"/>
      <c r="O1294" s="676"/>
      <c r="P1294" s="676"/>
      <c r="Q1294" s="676"/>
      <c r="R1294" s="280"/>
      <c r="S1294" s="280"/>
    </row>
    <row r="1295" spans="3:20" ht="10.5" x14ac:dyDescent="0.25">
      <c r="C1295" s="280"/>
      <c r="D1295" s="392"/>
      <c r="E1295" s="676"/>
      <c r="F1295" s="676"/>
      <c r="G1295" s="676"/>
      <c r="H1295" s="676"/>
      <c r="I1295" s="676"/>
      <c r="J1295" s="676"/>
      <c r="K1295" s="676"/>
      <c r="L1295" s="676"/>
      <c r="M1295" s="676"/>
      <c r="N1295" s="676"/>
      <c r="O1295" s="676"/>
      <c r="P1295" s="676"/>
      <c r="Q1295" s="676"/>
      <c r="R1295" s="280"/>
      <c r="S1295" s="280"/>
    </row>
    <row r="1296" spans="3:20" x14ac:dyDescent="0.2">
      <c r="C1296" s="280"/>
      <c r="D1296" s="282"/>
      <c r="E1296" s="676"/>
      <c r="F1296" s="676"/>
      <c r="G1296" s="676"/>
      <c r="H1296" s="676"/>
      <c r="I1296" s="676"/>
      <c r="J1296" s="676"/>
      <c r="K1296" s="676"/>
      <c r="L1296" s="676"/>
      <c r="M1296" s="676"/>
      <c r="N1296" s="676"/>
      <c r="O1296" s="676"/>
      <c r="P1296" s="676"/>
      <c r="Q1296" s="676"/>
      <c r="R1296" s="280"/>
      <c r="S1296" s="280"/>
    </row>
    <row r="1297" spans="3:19" x14ac:dyDescent="0.2">
      <c r="C1297" s="280"/>
      <c r="D1297" s="282"/>
      <c r="E1297" s="676"/>
      <c r="F1297" s="676"/>
      <c r="G1297" s="676"/>
      <c r="H1297" s="676"/>
      <c r="I1297" s="676"/>
      <c r="J1297" s="676"/>
      <c r="K1297" s="676"/>
      <c r="L1297" s="676"/>
      <c r="M1297" s="676"/>
      <c r="N1297" s="676"/>
      <c r="O1297" s="676"/>
      <c r="P1297" s="676"/>
      <c r="Q1297" s="676"/>
      <c r="R1297" s="280"/>
      <c r="S1297" s="280"/>
    </row>
    <row r="1298" spans="3:19" x14ac:dyDescent="0.2">
      <c r="C1298" s="280"/>
      <c r="D1298" s="282"/>
      <c r="E1298" s="676"/>
      <c r="F1298" s="676"/>
      <c r="G1298" s="676"/>
      <c r="H1298" s="676"/>
      <c r="I1298" s="676"/>
      <c r="J1298" s="676"/>
      <c r="K1298" s="676"/>
      <c r="L1298" s="676"/>
      <c r="M1298" s="676"/>
      <c r="N1298" s="676"/>
      <c r="O1298" s="676"/>
      <c r="P1298" s="676"/>
      <c r="Q1298" s="676"/>
      <c r="R1298" s="280"/>
      <c r="S1298" s="280"/>
    </row>
    <row r="1299" spans="3:19" x14ac:dyDescent="0.2">
      <c r="C1299" s="280"/>
      <c r="D1299" s="282"/>
      <c r="E1299" s="676"/>
      <c r="F1299" s="676"/>
      <c r="G1299" s="676"/>
      <c r="H1299" s="676"/>
      <c r="I1299" s="676"/>
      <c r="J1299" s="676"/>
      <c r="K1299" s="676"/>
      <c r="L1299" s="676"/>
      <c r="M1299" s="676"/>
      <c r="N1299" s="676"/>
      <c r="O1299" s="676"/>
      <c r="P1299" s="676"/>
      <c r="Q1299" s="676"/>
      <c r="R1299" s="280"/>
      <c r="S1299" s="280"/>
    </row>
    <row r="1300" spans="3:19" x14ac:dyDescent="0.2">
      <c r="C1300" s="280"/>
      <c r="D1300" s="282"/>
      <c r="E1300" s="676"/>
      <c r="F1300" s="676"/>
      <c r="G1300" s="676"/>
      <c r="H1300" s="676"/>
      <c r="I1300" s="676"/>
      <c r="J1300" s="676"/>
      <c r="K1300" s="676"/>
      <c r="L1300" s="676"/>
      <c r="M1300" s="676"/>
      <c r="N1300" s="676"/>
      <c r="O1300" s="676"/>
      <c r="P1300" s="676"/>
      <c r="Q1300" s="676"/>
      <c r="R1300" s="280"/>
      <c r="S1300" s="280"/>
    </row>
    <row r="1301" spans="3:19" x14ac:dyDescent="0.2">
      <c r="C1301" s="280"/>
      <c r="D1301" s="282"/>
      <c r="E1301" s="676"/>
      <c r="F1301" s="676"/>
      <c r="G1301" s="676"/>
      <c r="H1301" s="676"/>
      <c r="I1301" s="676"/>
      <c r="J1301" s="676"/>
      <c r="K1301" s="676"/>
      <c r="L1301" s="676"/>
      <c r="M1301" s="676"/>
      <c r="N1301" s="676"/>
      <c r="O1301" s="676"/>
      <c r="P1301" s="676"/>
      <c r="Q1301" s="676"/>
      <c r="R1301" s="280"/>
      <c r="S1301" s="280"/>
    </row>
    <row r="1302" spans="3:19" ht="11.5" x14ac:dyDescent="0.35">
      <c r="C1302" s="280"/>
      <c r="D1302" s="280"/>
      <c r="E1302" s="755"/>
      <c r="F1302" s="755"/>
      <c r="G1302" s="755"/>
      <c r="H1302" s="755"/>
      <c r="I1302" s="755"/>
      <c r="J1302" s="755"/>
      <c r="K1302" s="755"/>
      <c r="L1302" s="755"/>
      <c r="M1302" s="755"/>
      <c r="N1302" s="755"/>
      <c r="O1302" s="755"/>
      <c r="P1302" s="755"/>
      <c r="Q1302" s="755"/>
      <c r="R1302" s="280"/>
      <c r="S1302" s="280"/>
    </row>
    <row r="1303" spans="3:19" x14ac:dyDescent="0.2">
      <c r="C1303" s="280"/>
      <c r="D1303" s="280"/>
      <c r="E1303" s="676"/>
      <c r="F1303" s="676"/>
      <c r="G1303" s="676"/>
      <c r="H1303" s="676"/>
      <c r="I1303" s="676"/>
      <c r="J1303" s="676"/>
      <c r="K1303" s="676"/>
      <c r="L1303" s="676"/>
      <c r="M1303" s="676"/>
      <c r="N1303" s="676"/>
      <c r="O1303" s="676"/>
      <c r="P1303" s="676"/>
      <c r="Q1303" s="676"/>
      <c r="R1303" s="280"/>
      <c r="S1303" s="280"/>
    </row>
    <row r="1304" spans="3:19" x14ac:dyDescent="0.2">
      <c r="C1304" s="280"/>
      <c r="D1304" s="280"/>
      <c r="E1304" s="676"/>
      <c r="F1304" s="676"/>
      <c r="G1304" s="676"/>
      <c r="H1304" s="676"/>
      <c r="I1304" s="676"/>
      <c r="J1304" s="676"/>
      <c r="K1304" s="676"/>
      <c r="L1304" s="676"/>
      <c r="M1304" s="676"/>
      <c r="N1304" s="676"/>
      <c r="O1304" s="676"/>
      <c r="P1304" s="676"/>
      <c r="Q1304" s="676"/>
      <c r="R1304" s="280"/>
      <c r="S1304" s="280"/>
    </row>
    <row r="1305" spans="3:19" ht="10.5" x14ac:dyDescent="0.25">
      <c r="C1305" s="280"/>
      <c r="D1305" s="392"/>
      <c r="E1305" s="676"/>
      <c r="F1305" s="676"/>
      <c r="G1305" s="676"/>
      <c r="H1305" s="676"/>
      <c r="I1305" s="676"/>
      <c r="J1305" s="676"/>
      <c r="K1305" s="676"/>
      <c r="L1305" s="676"/>
      <c r="M1305" s="676"/>
      <c r="N1305" s="676"/>
      <c r="O1305" s="676"/>
      <c r="P1305" s="676"/>
      <c r="Q1305" s="676"/>
      <c r="R1305" s="280"/>
      <c r="S1305" s="280"/>
    </row>
    <row r="1306" spans="3:19" x14ac:dyDescent="0.2">
      <c r="C1306" s="280"/>
      <c r="D1306" s="282"/>
      <c r="E1306" s="676"/>
      <c r="F1306" s="676"/>
      <c r="G1306" s="676"/>
      <c r="H1306" s="676"/>
      <c r="I1306" s="676"/>
      <c r="J1306" s="676"/>
      <c r="K1306" s="676"/>
      <c r="L1306" s="676"/>
      <c r="M1306" s="676"/>
      <c r="N1306" s="676"/>
      <c r="O1306" s="676"/>
      <c r="P1306" s="676"/>
      <c r="Q1306" s="676"/>
      <c r="R1306" s="280"/>
      <c r="S1306" s="280"/>
    </row>
    <row r="1307" spans="3:19" x14ac:dyDescent="0.2">
      <c r="C1307" s="280"/>
      <c r="D1307" s="282"/>
      <c r="E1307" s="676"/>
      <c r="F1307" s="676"/>
      <c r="G1307" s="676"/>
      <c r="H1307" s="676"/>
      <c r="I1307" s="676"/>
      <c r="J1307" s="676"/>
      <c r="K1307" s="676"/>
      <c r="L1307" s="676"/>
      <c r="M1307" s="676"/>
      <c r="N1307" s="676"/>
      <c r="O1307" s="676"/>
      <c r="P1307" s="676"/>
      <c r="Q1307" s="676"/>
      <c r="R1307" s="280"/>
      <c r="S1307" s="280"/>
    </row>
    <row r="1308" spans="3:19" x14ac:dyDescent="0.2">
      <c r="C1308" s="280"/>
      <c r="D1308" s="282"/>
      <c r="E1308" s="676"/>
      <c r="F1308" s="676"/>
      <c r="G1308" s="676"/>
      <c r="H1308" s="676"/>
      <c r="I1308" s="676"/>
      <c r="J1308" s="676"/>
      <c r="K1308" s="676"/>
      <c r="L1308" s="676"/>
      <c r="M1308" s="676"/>
      <c r="N1308" s="676"/>
      <c r="O1308" s="676"/>
      <c r="P1308" s="676"/>
      <c r="Q1308" s="676"/>
      <c r="R1308" s="280"/>
      <c r="S1308" s="280"/>
    </row>
    <row r="1309" spans="3:19" x14ac:dyDescent="0.2">
      <c r="C1309" s="280"/>
      <c r="D1309" s="282"/>
      <c r="E1309" s="676"/>
      <c r="F1309" s="676"/>
      <c r="G1309" s="676"/>
      <c r="H1309" s="676"/>
      <c r="I1309" s="676"/>
      <c r="J1309" s="676"/>
      <c r="K1309" s="676"/>
      <c r="L1309" s="676"/>
      <c r="M1309" s="676"/>
      <c r="N1309" s="676"/>
      <c r="O1309" s="676"/>
      <c r="P1309" s="676"/>
      <c r="Q1309" s="676"/>
      <c r="R1309" s="280"/>
      <c r="S1309" s="280"/>
    </row>
    <row r="1310" spans="3:19" x14ac:dyDescent="0.2">
      <c r="C1310" s="280"/>
      <c r="D1310" s="282"/>
      <c r="E1310" s="676"/>
      <c r="F1310" s="676"/>
      <c r="G1310" s="676"/>
      <c r="H1310" s="676"/>
      <c r="I1310" s="676"/>
      <c r="J1310" s="676"/>
      <c r="K1310" s="676"/>
      <c r="L1310" s="676"/>
      <c r="M1310" s="676"/>
      <c r="N1310" s="676"/>
      <c r="O1310" s="676"/>
      <c r="P1310" s="676"/>
      <c r="Q1310" s="676"/>
      <c r="R1310" s="280"/>
      <c r="S1310" s="280"/>
    </row>
    <row r="1311" spans="3:19" x14ac:dyDescent="0.2">
      <c r="C1311" s="280"/>
      <c r="D1311" s="282"/>
      <c r="E1311" s="676"/>
      <c r="F1311" s="676"/>
      <c r="G1311" s="676"/>
      <c r="H1311" s="676"/>
      <c r="I1311" s="676"/>
      <c r="J1311" s="676"/>
      <c r="K1311" s="676"/>
      <c r="L1311" s="676"/>
      <c r="M1311" s="676"/>
      <c r="N1311" s="676"/>
      <c r="O1311" s="676"/>
      <c r="P1311" s="676"/>
      <c r="Q1311" s="676"/>
      <c r="R1311" s="280"/>
      <c r="S1311" s="280"/>
    </row>
    <row r="1312" spans="3:19" ht="11.5" x14ac:dyDescent="0.35">
      <c r="C1312" s="280"/>
      <c r="D1312" s="280"/>
      <c r="E1312" s="755"/>
      <c r="F1312" s="755"/>
      <c r="G1312" s="755"/>
      <c r="H1312" s="755"/>
      <c r="I1312" s="755"/>
      <c r="J1312" s="755"/>
      <c r="K1312" s="755"/>
      <c r="L1312" s="755"/>
      <c r="M1312" s="755"/>
      <c r="N1312" s="755"/>
      <c r="O1312" s="755"/>
      <c r="P1312" s="755"/>
      <c r="Q1312" s="755"/>
      <c r="R1312" s="280"/>
      <c r="S1312" s="280"/>
    </row>
    <row r="1313" spans="3:19" x14ac:dyDescent="0.2">
      <c r="C1313" s="280"/>
      <c r="D1313" s="282"/>
      <c r="E1313" s="676"/>
      <c r="F1313" s="676"/>
      <c r="G1313" s="676"/>
      <c r="H1313" s="676"/>
      <c r="I1313" s="676"/>
      <c r="J1313" s="676"/>
      <c r="K1313" s="676"/>
      <c r="L1313" s="676"/>
      <c r="M1313" s="676"/>
      <c r="N1313" s="676"/>
      <c r="O1313" s="676"/>
      <c r="P1313" s="676"/>
      <c r="Q1313" s="676"/>
      <c r="R1313" s="676"/>
      <c r="S1313" s="280"/>
    </row>
    <row r="1314" spans="3:19" x14ac:dyDescent="0.2">
      <c r="C1314" s="280"/>
      <c r="D1314" s="282"/>
      <c r="E1314" s="676"/>
      <c r="F1314" s="676"/>
      <c r="G1314" s="676"/>
      <c r="H1314" s="676"/>
      <c r="I1314" s="676"/>
      <c r="J1314" s="676"/>
      <c r="K1314" s="676"/>
      <c r="L1314" s="676"/>
      <c r="M1314" s="676"/>
      <c r="N1314" s="676"/>
      <c r="O1314" s="676"/>
      <c r="P1314" s="676"/>
      <c r="Q1314" s="676"/>
      <c r="R1314" s="280"/>
      <c r="S1314" s="280"/>
    </row>
    <row r="1315" spans="3:19" ht="10.5" x14ac:dyDescent="0.25">
      <c r="C1315" s="280"/>
      <c r="D1315" s="392"/>
      <c r="E1315" s="676"/>
      <c r="F1315" s="676"/>
      <c r="G1315" s="676"/>
      <c r="H1315" s="676"/>
      <c r="I1315" s="676"/>
      <c r="J1315" s="676"/>
      <c r="K1315" s="676"/>
      <c r="L1315" s="676"/>
      <c r="M1315" s="676"/>
      <c r="N1315" s="676"/>
      <c r="O1315" s="676"/>
      <c r="P1315" s="676"/>
      <c r="Q1315" s="676"/>
      <c r="R1315" s="280"/>
      <c r="S1315" s="280"/>
    </row>
    <row r="1316" spans="3:19" x14ac:dyDescent="0.2">
      <c r="C1316" s="280"/>
      <c r="D1316" s="282"/>
      <c r="E1316" s="676"/>
      <c r="F1316" s="676"/>
      <c r="G1316" s="676"/>
      <c r="H1316" s="676"/>
      <c r="I1316" s="676"/>
      <c r="J1316" s="676"/>
      <c r="K1316" s="676"/>
      <c r="L1316" s="676"/>
      <c r="M1316" s="676"/>
      <c r="N1316" s="676"/>
      <c r="O1316" s="676"/>
      <c r="P1316" s="676"/>
      <c r="Q1316" s="676"/>
      <c r="R1316" s="280"/>
      <c r="S1316" s="280"/>
    </row>
    <row r="1317" spans="3:19" x14ac:dyDescent="0.2">
      <c r="C1317" s="280"/>
      <c r="D1317" s="282"/>
      <c r="E1317" s="676"/>
      <c r="F1317" s="676"/>
      <c r="G1317" s="676"/>
      <c r="H1317" s="676"/>
      <c r="I1317" s="676"/>
      <c r="J1317" s="676"/>
      <c r="K1317" s="676"/>
      <c r="L1317" s="676"/>
      <c r="M1317" s="676"/>
      <c r="N1317" s="676"/>
      <c r="O1317" s="676"/>
      <c r="P1317" s="676"/>
      <c r="Q1317" s="676"/>
      <c r="R1317" s="280"/>
      <c r="S1317" s="280"/>
    </row>
    <row r="1318" spans="3:19" x14ac:dyDescent="0.2">
      <c r="C1318" s="280"/>
      <c r="D1318" s="282"/>
      <c r="E1318" s="676"/>
      <c r="F1318" s="676"/>
      <c r="G1318" s="676"/>
      <c r="H1318" s="676"/>
      <c r="I1318" s="676"/>
      <c r="J1318" s="676"/>
      <c r="K1318" s="676"/>
      <c r="L1318" s="676"/>
      <c r="M1318" s="676"/>
      <c r="N1318" s="676"/>
      <c r="O1318" s="676"/>
      <c r="P1318" s="676"/>
      <c r="Q1318" s="676"/>
      <c r="R1318" s="280"/>
      <c r="S1318" s="280"/>
    </row>
    <row r="1319" spans="3:19" ht="9.65" customHeight="1" x14ac:dyDescent="0.2">
      <c r="C1319" s="280"/>
      <c r="D1319" s="282"/>
      <c r="E1319" s="676"/>
      <c r="F1319" s="676"/>
      <c r="G1319" s="676"/>
      <c r="H1319" s="676"/>
      <c r="I1319" s="676"/>
      <c r="J1319" s="676"/>
      <c r="K1319" s="676"/>
      <c r="L1319" s="676"/>
      <c r="M1319" s="676"/>
      <c r="N1319" s="676"/>
      <c r="O1319" s="676"/>
      <c r="P1319" s="676"/>
      <c r="Q1319" s="676"/>
      <c r="R1319" s="280"/>
      <c r="S1319" s="280"/>
    </row>
    <row r="1320" spans="3:19" ht="9.65" customHeight="1" x14ac:dyDescent="0.2">
      <c r="C1320" s="280"/>
      <c r="D1320" s="282"/>
      <c r="E1320" s="676"/>
      <c r="F1320" s="676"/>
      <c r="G1320" s="676"/>
      <c r="H1320" s="676"/>
      <c r="I1320" s="676"/>
      <c r="J1320" s="676"/>
      <c r="K1320" s="676"/>
      <c r="L1320" s="676"/>
      <c r="M1320" s="676"/>
      <c r="N1320" s="676"/>
      <c r="O1320" s="676"/>
      <c r="P1320" s="676"/>
      <c r="Q1320" s="676"/>
      <c r="R1320" s="280"/>
      <c r="S1320" s="280"/>
    </row>
    <row r="1321" spans="3:19" x14ac:dyDescent="0.2">
      <c r="C1321" s="280"/>
      <c r="D1321" s="282"/>
      <c r="E1321" s="676"/>
      <c r="F1321" s="676"/>
      <c r="G1321" s="676"/>
      <c r="H1321" s="676"/>
      <c r="I1321" s="676"/>
      <c r="J1321" s="676"/>
      <c r="K1321" s="676"/>
      <c r="L1321" s="676"/>
      <c r="M1321" s="676"/>
      <c r="N1321" s="676"/>
      <c r="O1321" s="676"/>
      <c r="P1321" s="676"/>
      <c r="Q1321" s="676"/>
      <c r="R1321" s="280"/>
      <c r="S1321" s="280"/>
    </row>
    <row r="1322" spans="3:19" x14ac:dyDescent="0.2">
      <c r="C1322" s="280"/>
      <c r="D1322" s="280"/>
      <c r="E1322" s="676"/>
      <c r="F1322" s="676"/>
      <c r="G1322" s="676"/>
      <c r="H1322" s="676"/>
      <c r="I1322" s="676"/>
      <c r="J1322" s="676"/>
      <c r="K1322" s="676"/>
      <c r="L1322" s="676"/>
      <c r="M1322" s="676"/>
      <c r="N1322" s="676"/>
      <c r="O1322" s="676"/>
      <c r="P1322" s="676"/>
      <c r="Q1322" s="676"/>
      <c r="R1322" s="280"/>
      <c r="S1322" s="280"/>
    </row>
    <row r="1323" spans="3:19" x14ac:dyDescent="0.2">
      <c r="C1323" s="280"/>
      <c r="D1323" s="280"/>
      <c r="E1323" s="676"/>
      <c r="F1323" s="676"/>
      <c r="G1323" s="676"/>
      <c r="H1323" s="676"/>
      <c r="I1323" s="676"/>
      <c r="J1323" s="676"/>
      <c r="K1323" s="676"/>
      <c r="L1323" s="676"/>
      <c r="M1323" s="676"/>
      <c r="N1323" s="676"/>
      <c r="O1323" s="676"/>
      <c r="P1323" s="676"/>
      <c r="Q1323" s="676"/>
      <c r="R1323" s="280"/>
      <c r="S1323" s="280"/>
    </row>
    <row r="1324" spans="3:19" ht="11.5" x14ac:dyDescent="0.35">
      <c r="C1324" s="280"/>
      <c r="D1324" s="280"/>
      <c r="E1324" s="755"/>
      <c r="F1324" s="755"/>
      <c r="G1324" s="755"/>
      <c r="H1324" s="755"/>
      <c r="I1324" s="755"/>
      <c r="J1324" s="755"/>
      <c r="K1324" s="755"/>
      <c r="L1324" s="755"/>
      <c r="M1324" s="755"/>
      <c r="N1324" s="755"/>
      <c r="O1324" s="755"/>
      <c r="P1324" s="755"/>
      <c r="Q1324" s="755"/>
      <c r="R1324" s="676"/>
      <c r="S1324" s="280"/>
    </row>
    <row r="1325" spans="3:19" x14ac:dyDescent="0.2">
      <c r="C1325" s="280"/>
      <c r="D1325" s="280"/>
      <c r="E1325" s="676"/>
      <c r="F1325" s="676"/>
      <c r="G1325" s="676"/>
      <c r="H1325" s="676"/>
      <c r="I1325" s="676"/>
      <c r="J1325" s="676"/>
      <c r="K1325" s="676"/>
      <c r="L1325" s="676"/>
      <c r="M1325" s="676"/>
      <c r="N1325" s="676"/>
      <c r="O1325" s="676"/>
      <c r="P1325" s="676"/>
      <c r="Q1325" s="676"/>
      <c r="R1325" s="676"/>
      <c r="S1325" s="280"/>
    </row>
    <row r="1326" spans="3:19" x14ac:dyDescent="0.2">
      <c r="C1326" s="280"/>
      <c r="D1326" s="280"/>
      <c r="E1326" s="676"/>
      <c r="F1326" s="676"/>
      <c r="G1326" s="676"/>
      <c r="H1326" s="676"/>
      <c r="I1326" s="676"/>
      <c r="J1326" s="676"/>
      <c r="K1326" s="676"/>
      <c r="L1326" s="676"/>
      <c r="M1326" s="676"/>
      <c r="N1326" s="676"/>
      <c r="O1326" s="676"/>
      <c r="P1326" s="676"/>
      <c r="Q1326" s="676"/>
      <c r="R1326" s="280"/>
      <c r="S1326" s="280"/>
    </row>
    <row r="1327" spans="3:19" x14ac:dyDescent="0.2">
      <c r="C1327" s="280"/>
      <c r="D1327" s="282"/>
      <c r="E1327" s="676"/>
      <c r="F1327" s="676"/>
      <c r="G1327" s="676"/>
      <c r="H1327" s="676"/>
      <c r="I1327" s="676"/>
      <c r="J1327" s="676"/>
      <c r="K1327" s="676"/>
      <c r="L1327" s="676"/>
      <c r="M1327" s="676"/>
      <c r="N1327" s="676"/>
      <c r="O1327" s="676"/>
      <c r="P1327" s="676"/>
      <c r="Q1327" s="676"/>
      <c r="R1327" s="280"/>
      <c r="S1327" s="280"/>
    </row>
    <row r="1328" spans="3:19" ht="10.5" x14ac:dyDescent="0.25">
      <c r="C1328" s="280"/>
      <c r="D1328" s="392"/>
      <c r="E1328" s="280"/>
      <c r="F1328" s="438"/>
      <c r="G1328" s="439"/>
      <c r="H1328" s="438"/>
      <c r="I1328" s="440"/>
      <c r="J1328" s="438"/>
      <c r="K1328" s="438"/>
      <c r="L1328" s="438"/>
      <c r="M1328" s="438"/>
      <c r="N1328" s="438"/>
      <c r="O1328" s="438"/>
      <c r="P1328" s="438"/>
      <c r="Q1328" s="280"/>
      <c r="R1328" s="280"/>
      <c r="S1328" s="280"/>
    </row>
    <row r="1329" spans="3:19" x14ac:dyDescent="0.2">
      <c r="C1329" s="280"/>
      <c r="D1329" s="282"/>
      <c r="E1329" s="676"/>
      <c r="F1329" s="676"/>
      <c r="G1329" s="676"/>
      <c r="H1329" s="676"/>
      <c r="I1329" s="676"/>
      <c r="J1329" s="676"/>
      <c r="K1329" s="676"/>
      <c r="L1329" s="676"/>
      <c r="M1329" s="676"/>
      <c r="N1329" s="676"/>
      <c r="O1329" s="676"/>
      <c r="P1329" s="676"/>
      <c r="Q1329" s="676"/>
      <c r="R1329" s="280"/>
      <c r="S1329" s="280"/>
    </row>
    <row r="1330" spans="3:19" x14ac:dyDescent="0.2">
      <c r="C1330" s="280"/>
      <c r="D1330" s="282"/>
      <c r="E1330" s="676"/>
      <c r="F1330" s="676"/>
      <c r="G1330" s="676"/>
      <c r="H1330" s="676"/>
      <c r="I1330" s="676"/>
      <c r="J1330" s="676"/>
      <c r="K1330" s="676"/>
      <c r="L1330" s="676"/>
      <c r="M1330" s="676"/>
      <c r="N1330" s="676"/>
      <c r="O1330" s="676"/>
      <c r="P1330" s="676"/>
      <c r="Q1330" s="676"/>
      <c r="R1330" s="280"/>
      <c r="S1330" s="280"/>
    </row>
    <row r="1331" spans="3:19" x14ac:dyDescent="0.2">
      <c r="C1331" s="280"/>
      <c r="D1331" s="282"/>
      <c r="E1331" s="676"/>
      <c r="F1331" s="676"/>
      <c r="G1331" s="676"/>
      <c r="H1331" s="676"/>
      <c r="I1331" s="676"/>
      <c r="J1331" s="676"/>
      <c r="K1331" s="676"/>
      <c r="L1331" s="676"/>
      <c r="M1331" s="676"/>
      <c r="N1331" s="676"/>
      <c r="O1331" s="676"/>
      <c r="P1331" s="676"/>
      <c r="Q1331" s="676"/>
      <c r="R1331" s="280"/>
      <c r="S1331" s="280"/>
    </row>
    <row r="1332" spans="3:19" x14ac:dyDescent="0.2">
      <c r="C1332" s="280"/>
      <c r="D1332" s="282"/>
      <c r="E1332" s="676"/>
      <c r="F1332" s="676"/>
      <c r="G1332" s="676"/>
      <c r="H1332" s="676"/>
      <c r="I1332" s="676"/>
      <c r="J1332" s="676"/>
      <c r="K1332" s="676"/>
      <c r="L1332" s="676"/>
      <c r="M1332" s="676"/>
      <c r="N1332" s="676"/>
      <c r="O1332" s="676"/>
      <c r="P1332" s="676"/>
      <c r="Q1332" s="676"/>
      <c r="R1332" s="280"/>
      <c r="S1332" s="280"/>
    </row>
    <row r="1333" spans="3:19" x14ac:dyDescent="0.2">
      <c r="C1333" s="280"/>
      <c r="D1333" s="282"/>
      <c r="E1333" s="676"/>
      <c r="F1333" s="676"/>
      <c r="G1333" s="676"/>
      <c r="H1333" s="676"/>
      <c r="I1333" s="676"/>
      <c r="J1333" s="676"/>
      <c r="K1333" s="676"/>
      <c r="L1333" s="676"/>
      <c r="M1333" s="676"/>
      <c r="N1333" s="676"/>
      <c r="O1333" s="676"/>
      <c r="P1333" s="676"/>
      <c r="Q1333" s="676"/>
      <c r="R1333" s="280"/>
      <c r="S1333" s="280"/>
    </row>
    <row r="1334" spans="3:19" x14ac:dyDescent="0.2">
      <c r="C1334" s="280"/>
      <c r="D1334" s="280"/>
      <c r="E1334" s="676"/>
      <c r="F1334" s="676"/>
      <c r="G1334" s="676"/>
      <c r="H1334" s="676"/>
      <c r="I1334" s="676"/>
      <c r="J1334" s="676"/>
      <c r="K1334" s="676"/>
      <c r="L1334" s="676"/>
      <c r="M1334" s="676"/>
      <c r="N1334" s="676"/>
      <c r="O1334" s="676"/>
      <c r="P1334" s="676"/>
      <c r="Q1334" s="676"/>
      <c r="R1334" s="280"/>
      <c r="S1334" s="280"/>
    </row>
    <row r="1335" spans="3:19" ht="11.5" x14ac:dyDescent="0.35">
      <c r="C1335" s="280"/>
      <c r="D1335" s="280"/>
      <c r="E1335" s="755"/>
      <c r="F1335" s="755"/>
      <c r="G1335" s="755"/>
      <c r="H1335" s="755"/>
      <c r="I1335" s="755"/>
      <c r="J1335" s="755"/>
      <c r="K1335" s="755"/>
      <c r="L1335" s="755"/>
      <c r="M1335" s="755"/>
      <c r="N1335" s="755"/>
      <c r="O1335" s="755"/>
      <c r="P1335" s="755"/>
      <c r="Q1335" s="755"/>
      <c r="R1335" s="280"/>
      <c r="S1335" s="280"/>
    </row>
    <row r="1336" spans="3:19" x14ac:dyDescent="0.2">
      <c r="C1336" s="280"/>
      <c r="D1336" s="280"/>
      <c r="E1336" s="676"/>
      <c r="F1336" s="676"/>
      <c r="G1336" s="676"/>
      <c r="H1336" s="676"/>
      <c r="I1336" s="676"/>
      <c r="J1336" s="676"/>
      <c r="K1336" s="676"/>
      <c r="L1336" s="676"/>
      <c r="M1336" s="676"/>
      <c r="N1336" s="676"/>
      <c r="O1336" s="676"/>
      <c r="P1336" s="676"/>
      <c r="Q1336" s="676"/>
      <c r="R1336" s="676"/>
      <c r="S1336" s="280"/>
    </row>
    <row r="1337" spans="3:19" x14ac:dyDescent="0.2">
      <c r="C1337" s="280"/>
      <c r="D1337" s="280"/>
      <c r="E1337" s="676"/>
      <c r="F1337" s="676"/>
      <c r="G1337" s="676"/>
      <c r="H1337" s="676"/>
      <c r="I1337" s="676"/>
      <c r="J1337" s="676"/>
      <c r="K1337" s="676"/>
      <c r="L1337" s="676"/>
      <c r="M1337" s="676"/>
      <c r="N1337" s="676"/>
      <c r="O1337" s="676"/>
      <c r="P1337" s="676"/>
      <c r="Q1337" s="676"/>
      <c r="R1337" s="280"/>
      <c r="S1337" s="280"/>
    </row>
    <row r="1338" spans="3:19" ht="10.5" x14ac:dyDescent="0.25">
      <c r="C1338" s="280"/>
      <c r="D1338" s="392"/>
      <c r="E1338" s="280"/>
      <c r="F1338" s="438"/>
      <c r="G1338" s="439"/>
      <c r="H1338" s="438"/>
      <c r="I1338" s="440"/>
      <c r="J1338" s="438"/>
      <c r="K1338" s="438"/>
      <c r="L1338" s="438"/>
      <c r="M1338" s="438"/>
      <c r="N1338" s="438"/>
      <c r="O1338" s="438"/>
      <c r="P1338" s="438"/>
      <c r="Q1338" s="280"/>
      <c r="R1338" s="280"/>
      <c r="S1338" s="280"/>
    </row>
    <row r="1339" spans="3:19" x14ac:dyDescent="0.2">
      <c r="C1339" s="280"/>
      <c r="D1339" s="282"/>
      <c r="E1339" s="676"/>
      <c r="F1339" s="676"/>
      <c r="G1339" s="676"/>
      <c r="H1339" s="676"/>
      <c r="I1339" s="676"/>
      <c r="J1339" s="676"/>
      <c r="K1339" s="676"/>
      <c r="L1339" s="676"/>
      <c r="M1339" s="676"/>
      <c r="N1339" s="676"/>
      <c r="O1339" s="676"/>
      <c r="P1339" s="676"/>
      <c r="Q1339" s="676"/>
      <c r="R1339" s="280"/>
      <c r="S1339" s="280"/>
    </row>
    <row r="1340" spans="3:19" x14ac:dyDescent="0.2">
      <c r="C1340" s="280"/>
      <c r="D1340" s="282"/>
      <c r="E1340" s="676"/>
      <c r="F1340" s="676"/>
      <c r="G1340" s="676"/>
      <c r="H1340" s="676"/>
      <c r="I1340" s="676"/>
      <c r="J1340" s="676"/>
      <c r="K1340" s="676"/>
      <c r="L1340" s="676"/>
      <c r="M1340" s="676"/>
      <c r="N1340" s="676"/>
      <c r="O1340" s="676"/>
      <c r="P1340" s="676"/>
      <c r="Q1340" s="676"/>
      <c r="R1340" s="280"/>
      <c r="S1340" s="280"/>
    </row>
    <row r="1341" spans="3:19" x14ac:dyDescent="0.2">
      <c r="C1341" s="280"/>
      <c r="D1341" s="282"/>
      <c r="E1341" s="676"/>
      <c r="F1341" s="676"/>
      <c r="G1341" s="676"/>
      <c r="H1341" s="676"/>
      <c r="I1341" s="676"/>
      <c r="J1341" s="676"/>
      <c r="K1341" s="676"/>
      <c r="L1341" s="676"/>
      <c r="M1341" s="676"/>
      <c r="N1341" s="676"/>
      <c r="O1341" s="676"/>
      <c r="P1341" s="676"/>
      <c r="Q1341" s="676"/>
      <c r="R1341" s="280"/>
      <c r="S1341" s="280"/>
    </row>
    <row r="1342" spans="3:19" x14ac:dyDescent="0.2">
      <c r="C1342" s="280"/>
      <c r="D1342" s="282"/>
      <c r="E1342" s="676"/>
      <c r="F1342" s="676"/>
      <c r="G1342" s="676"/>
      <c r="H1342" s="676"/>
      <c r="I1342" s="676"/>
      <c r="J1342" s="676"/>
      <c r="K1342" s="676"/>
      <c r="L1342" s="676"/>
      <c r="M1342" s="676"/>
      <c r="N1342" s="676"/>
      <c r="O1342" s="676"/>
      <c r="P1342" s="676"/>
      <c r="Q1342" s="676"/>
      <c r="R1342" s="280"/>
      <c r="S1342" s="280"/>
    </row>
    <row r="1343" spans="3:19" ht="11.5" x14ac:dyDescent="0.35">
      <c r="C1343" s="280"/>
      <c r="D1343" s="282"/>
      <c r="E1343" s="761"/>
      <c r="F1343" s="755"/>
      <c r="G1343" s="755"/>
      <c r="H1343" s="755"/>
      <c r="I1343" s="755"/>
      <c r="J1343" s="755"/>
      <c r="K1343" s="755"/>
      <c r="L1343" s="755"/>
      <c r="M1343" s="755"/>
      <c r="N1343" s="755"/>
      <c r="O1343" s="755"/>
      <c r="P1343" s="755"/>
      <c r="Q1343" s="755"/>
      <c r="R1343" s="280"/>
      <c r="S1343" s="280"/>
    </row>
    <row r="1344" spans="3:19" x14ac:dyDescent="0.2">
      <c r="C1344" s="280"/>
      <c r="D1344" s="280"/>
      <c r="E1344" s="676"/>
      <c r="F1344" s="676"/>
      <c r="G1344" s="676"/>
      <c r="H1344" s="676"/>
      <c r="I1344" s="676"/>
      <c r="J1344" s="676"/>
      <c r="K1344" s="676"/>
      <c r="L1344" s="676"/>
      <c r="M1344" s="676"/>
      <c r="N1344" s="676"/>
      <c r="O1344" s="676"/>
      <c r="P1344" s="676"/>
      <c r="Q1344" s="676"/>
      <c r="R1344" s="280"/>
      <c r="S1344" s="280"/>
    </row>
    <row r="1345" spans="3:19" x14ac:dyDescent="0.2">
      <c r="C1345" s="280"/>
      <c r="D1345" s="280"/>
      <c r="E1345" s="676"/>
      <c r="F1345" s="676"/>
      <c r="G1345" s="676"/>
      <c r="H1345" s="676"/>
      <c r="I1345" s="676"/>
      <c r="J1345" s="676"/>
      <c r="K1345" s="676"/>
      <c r="L1345" s="676"/>
      <c r="M1345" s="676"/>
      <c r="N1345" s="676"/>
      <c r="O1345" s="676"/>
      <c r="P1345" s="676"/>
      <c r="Q1345" s="676"/>
      <c r="R1345" s="280"/>
      <c r="S1345" s="280"/>
    </row>
    <row r="1346" spans="3:19" ht="10.5" x14ac:dyDescent="0.25">
      <c r="C1346" s="280"/>
      <c r="D1346" s="392"/>
      <c r="E1346" s="280"/>
      <c r="F1346" s="438"/>
      <c r="G1346" s="439"/>
      <c r="H1346" s="438"/>
      <c r="I1346" s="440"/>
      <c r="J1346" s="438"/>
      <c r="K1346" s="438"/>
      <c r="L1346" s="438"/>
      <c r="M1346" s="438"/>
      <c r="N1346" s="438"/>
      <c r="O1346" s="438"/>
      <c r="P1346" s="438"/>
      <c r="Q1346" s="280"/>
      <c r="R1346" s="280"/>
      <c r="S1346" s="280"/>
    </row>
    <row r="1347" spans="3:19" x14ac:dyDescent="0.2">
      <c r="C1347" s="280"/>
      <c r="D1347" s="282"/>
      <c r="E1347" s="676"/>
      <c r="F1347" s="676"/>
      <c r="G1347" s="676"/>
      <c r="H1347" s="676"/>
      <c r="I1347" s="676"/>
      <c r="J1347" s="676"/>
      <c r="K1347" s="676"/>
      <c r="L1347" s="676"/>
      <c r="M1347" s="676"/>
      <c r="N1347" s="676"/>
      <c r="O1347" s="676"/>
      <c r="P1347" s="676"/>
      <c r="Q1347" s="676"/>
      <c r="R1347" s="280"/>
      <c r="S1347" s="280"/>
    </row>
    <row r="1348" spans="3:19" x14ac:dyDescent="0.2">
      <c r="C1348" s="280"/>
      <c r="D1348" s="282"/>
      <c r="E1348" s="676"/>
      <c r="F1348" s="676"/>
      <c r="G1348" s="676"/>
      <c r="H1348" s="676"/>
      <c r="I1348" s="676"/>
      <c r="J1348" s="676"/>
      <c r="K1348" s="676"/>
      <c r="L1348" s="676"/>
      <c r="M1348" s="676"/>
      <c r="N1348" s="676"/>
      <c r="O1348" s="676"/>
      <c r="P1348" s="676"/>
      <c r="Q1348" s="676"/>
      <c r="R1348" s="280"/>
      <c r="S1348" s="280"/>
    </row>
    <row r="1349" spans="3:19" x14ac:dyDescent="0.2">
      <c r="C1349" s="280"/>
      <c r="D1349" s="282"/>
      <c r="E1349" s="676"/>
      <c r="F1349" s="676"/>
      <c r="G1349" s="676"/>
      <c r="H1349" s="676"/>
      <c r="I1349" s="676"/>
      <c r="J1349" s="676"/>
      <c r="K1349" s="676"/>
      <c r="L1349" s="676"/>
      <c r="M1349" s="676"/>
      <c r="N1349" s="676"/>
      <c r="O1349" s="676"/>
      <c r="P1349" s="676"/>
      <c r="Q1349" s="676"/>
      <c r="R1349" s="280"/>
      <c r="S1349" s="280"/>
    </row>
    <row r="1350" spans="3:19" x14ac:dyDescent="0.2">
      <c r="C1350" s="280"/>
      <c r="D1350" s="282"/>
      <c r="E1350" s="676"/>
      <c r="F1350" s="676"/>
      <c r="G1350" s="676"/>
      <c r="H1350" s="676"/>
      <c r="I1350" s="676"/>
      <c r="J1350" s="676"/>
      <c r="K1350" s="676"/>
      <c r="L1350" s="676"/>
      <c r="M1350" s="676"/>
      <c r="N1350" s="676"/>
      <c r="O1350" s="676"/>
      <c r="P1350" s="676"/>
      <c r="Q1350" s="676"/>
      <c r="R1350" s="280"/>
      <c r="S1350" s="280"/>
    </row>
    <row r="1351" spans="3:19" ht="11.5" x14ac:dyDescent="0.35">
      <c r="C1351" s="280"/>
      <c r="D1351" s="282"/>
      <c r="E1351" s="755"/>
      <c r="F1351" s="755"/>
      <c r="G1351" s="755"/>
      <c r="H1351" s="755"/>
      <c r="I1351" s="755"/>
      <c r="J1351" s="755"/>
      <c r="K1351" s="755"/>
      <c r="L1351" s="755"/>
      <c r="M1351" s="755"/>
      <c r="N1351" s="755"/>
      <c r="O1351" s="755"/>
      <c r="P1351" s="755"/>
      <c r="Q1351" s="755"/>
      <c r="R1351" s="280"/>
      <c r="S1351" s="280"/>
    </row>
    <row r="1352" spans="3:19" x14ac:dyDescent="0.2">
      <c r="C1352" s="280"/>
      <c r="D1352" s="280"/>
      <c r="E1352" s="676"/>
      <c r="F1352" s="676"/>
      <c r="G1352" s="676"/>
      <c r="H1352" s="676"/>
      <c r="I1352" s="676"/>
      <c r="J1352" s="676"/>
      <c r="K1352" s="676"/>
      <c r="L1352" s="676"/>
      <c r="M1352" s="676"/>
      <c r="N1352" s="676"/>
      <c r="O1352" s="676"/>
      <c r="P1352" s="676"/>
      <c r="Q1352" s="676"/>
      <c r="R1352" s="676"/>
      <c r="S1352" s="280"/>
    </row>
    <row r="1353" spans="3:19" x14ac:dyDescent="0.2">
      <c r="C1353" s="280"/>
      <c r="D1353" s="282"/>
      <c r="E1353" s="676"/>
      <c r="F1353" s="676"/>
      <c r="G1353" s="676"/>
      <c r="H1353" s="676"/>
      <c r="I1353" s="676"/>
      <c r="J1353" s="676"/>
      <c r="K1353" s="676"/>
      <c r="L1353" s="676"/>
      <c r="M1353" s="676"/>
      <c r="N1353" s="676"/>
      <c r="O1353" s="676"/>
      <c r="P1353" s="676"/>
      <c r="Q1353" s="676"/>
      <c r="R1353" s="280"/>
      <c r="S1353" s="280"/>
    </row>
    <row r="1354" spans="3:19" ht="10.5" x14ac:dyDescent="0.25">
      <c r="C1354" s="280"/>
      <c r="D1354" s="392"/>
      <c r="E1354" s="280"/>
      <c r="F1354" s="438"/>
      <c r="G1354" s="439"/>
      <c r="H1354" s="438"/>
      <c r="I1354" s="440"/>
      <c r="J1354" s="438"/>
      <c r="K1354" s="438"/>
      <c r="L1354" s="438"/>
      <c r="M1354" s="438"/>
      <c r="N1354" s="438"/>
      <c r="O1354" s="438"/>
      <c r="P1354" s="438"/>
      <c r="Q1354" s="280"/>
      <c r="R1354" s="280"/>
      <c r="S1354" s="280"/>
    </row>
    <row r="1355" spans="3:19" x14ac:dyDescent="0.2">
      <c r="C1355" s="280"/>
      <c r="D1355" s="282"/>
      <c r="E1355" s="676"/>
      <c r="F1355" s="676"/>
      <c r="G1355" s="676"/>
      <c r="H1355" s="676"/>
      <c r="I1355" s="676"/>
      <c r="J1355" s="676"/>
      <c r="K1355" s="676"/>
      <c r="L1355" s="676"/>
      <c r="M1355" s="676"/>
      <c r="N1355" s="676"/>
      <c r="O1355" s="676"/>
      <c r="P1355" s="676"/>
      <c r="Q1355" s="676"/>
      <c r="R1355" s="280"/>
      <c r="S1355" s="280"/>
    </row>
    <row r="1356" spans="3:19" x14ac:dyDescent="0.2">
      <c r="C1356" s="280"/>
      <c r="D1356" s="282"/>
      <c r="E1356" s="676"/>
      <c r="F1356" s="676"/>
      <c r="G1356" s="676"/>
      <c r="H1356" s="676"/>
      <c r="I1356" s="676"/>
      <c r="J1356" s="676"/>
      <c r="K1356" s="676"/>
      <c r="L1356" s="676"/>
      <c r="M1356" s="676"/>
      <c r="N1356" s="676"/>
      <c r="O1356" s="676"/>
      <c r="P1356" s="676"/>
      <c r="Q1356" s="676"/>
      <c r="R1356" s="280"/>
      <c r="S1356" s="280"/>
    </row>
    <row r="1357" spans="3:19" x14ac:dyDescent="0.2">
      <c r="C1357" s="280"/>
      <c r="D1357" s="282"/>
      <c r="E1357" s="676"/>
      <c r="F1357" s="676"/>
      <c r="G1357" s="676"/>
      <c r="H1357" s="676"/>
      <c r="I1357" s="676"/>
      <c r="J1357" s="676"/>
      <c r="K1357" s="676"/>
      <c r="L1357" s="676"/>
      <c r="M1357" s="676"/>
      <c r="N1357" s="676"/>
      <c r="O1357" s="676"/>
      <c r="P1357" s="676"/>
      <c r="Q1357" s="676"/>
      <c r="R1357" s="280"/>
      <c r="S1357" s="280"/>
    </row>
    <row r="1358" spans="3:19" x14ac:dyDescent="0.2">
      <c r="C1358" s="280"/>
      <c r="D1358" s="282"/>
      <c r="E1358" s="676"/>
      <c r="F1358" s="676"/>
      <c r="G1358" s="676"/>
      <c r="H1358" s="676"/>
      <c r="I1358" s="676"/>
      <c r="J1358" s="676"/>
      <c r="K1358" s="676"/>
      <c r="L1358" s="676"/>
      <c r="M1358" s="676"/>
      <c r="N1358" s="676"/>
      <c r="O1358" s="676"/>
      <c r="P1358" s="676"/>
      <c r="Q1358" s="676"/>
      <c r="R1358" s="676"/>
      <c r="S1358" s="280"/>
    </row>
    <row r="1359" spans="3:19" x14ac:dyDescent="0.2">
      <c r="C1359" s="280"/>
      <c r="D1359" s="282"/>
      <c r="E1359" s="676"/>
      <c r="F1359" s="676"/>
      <c r="G1359" s="676"/>
      <c r="H1359" s="676"/>
      <c r="I1359" s="676"/>
      <c r="J1359" s="676"/>
      <c r="K1359" s="676"/>
      <c r="L1359" s="676"/>
      <c r="M1359" s="676"/>
      <c r="N1359" s="676"/>
      <c r="O1359" s="676"/>
      <c r="P1359" s="676"/>
      <c r="Q1359" s="676"/>
      <c r="R1359" s="676"/>
      <c r="S1359" s="280"/>
    </row>
    <row r="1360" spans="3:19" x14ac:dyDescent="0.2">
      <c r="C1360" s="280"/>
      <c r="D1360" s="280"/>
      <c r="E1360" s="676"/>
      <c r="F1360" s="676"/>
      <c r="G1360" s="676"/>
      <c r="H1360" s="676"/>
      <c r="I1360" s="676"/>
      <c r="J1360" s="676"/>
      <c r="K1360" s="676"/>
      <c r="L1360" s="676"/>
      <c r="M1360" s="676"/>
      <c r="N1360" s="676"/>
      <c r="O1360" s="676"/>
      <c r="P1360" s="676"/>
      <c r="Q1360" s="676"/>
      <c r="R1360" s="280"/>
      <c r="S1360" s="280"/>
    </row>
    <row r="1361" spans="3:19" ht="11.5" x14ac:dyDescent="0.35">
      <c r="C1361" s="280"/>
      <c r="D1361" s="280"/>
      <c r="E1361" s="755"/>
      <c r="F1361" s="755"/>
      <c r="G1361" s="755"/>
      <c r="H1361" s="755"/>
      <c r="I1361" s="755"/>
      <c r="J1361" s="755"/>
      <c r="K1361" s="755"/>
      <c r="L1361" s="755"/>
      <c r="M1361" s="755"/>
      <c r="N1361" s="755"/>
      <c r="O1361" s="755"/>
      <c r="P1361" s="755"/>
      <c r="Q1361" s="755"/>
      <c r="R1361" s="280"/>
      <c r="S1361" s="280"/>
    </row>
    <row r="1362" spans="3:19" x14ac:dyDescent="0.2">
      <c r="C1362" s="280"/>
      <c r="D1362" s="280"/>
      <c r="E1362" s="676"/>
      <c r="F1362" s="676"/>
      <c r="G1362" s="676"/>
      <c r="H1362" s="676"/>
      <c r="I1362" s="676"/>
      <c r="J1362" s="676"/>
      <c r="K1362" s="676"/>
      <c r="L1362" s="676"/>
      <c r="M1362" s="676"/>
      <c r="N1362" s="676"/>
      <c r="O1362" s="676"/>
      <c r="P1362" s="676"/>
      <c r="Q1362" s="676"/>
      <c r="R1362" s="676"/>
      <c r="S1362" s="280"/>
    </row>
    <row r="1363" spans="3:19" x14ac:dyDescent="0.2">
      <c r="C1363" s="280"/>
      <c r="D1363" s="280"/>
      <c r="E1363" s="676"/>
      <c r="F1363" s="676"/>
      <c r="G1363" s="676"/>
      <c r="H1363" s="676"/>
      <c r="I1363" s="676"/>
      <c r="J1363" s="676"/>
      <c r="K1363" s="676"/>
      <c r="L1363" s="676"/>
      <c r="M1363" s="676"/>
      <c r="N1363" s="676"/>
      <c r="O1363" s="676"/>
      <c r="P1363" s="676"/>
      <c r="Q1363" s="676"/>
      <c r="R1363" s="280"/>
      <c r="S1363" s="280"/>
    </row>
    <row r="1364" spans="3:19" x14ac:dyDescent="0.2">
      <c r="C1364" s="280"/>
      <c r="D1364" s="280"/>
      <c r="E1364" s="676"/>
      <c r="F1364" s="676"/>
      <c r="G1364" s="676"/>
      <c r="H1364" s="676"/>
      <c r="I1364" s="676"/>
      <c r="J1364" s="676"/>
      <c r="K1364" s="676"/>
      <c r="L1364" s="676"/>
      <c r="M1364" s="676"/>
      <c r="N1364" s="676"/>
      <c r="O1364" s="676"/>
      <c r="P1364" s="676"/>
      <c r="Q1364" s="676"/>
      <c r="R1364" s="280"/>
      <c r="S1364" s="280"/>
    </row>
    <row r="1365" spans="3:19" x14ac:dyDescent="0.2">
      <c r="C1365" s="280"/>
      <c r="D1365" s="282"/>
      <c r="E1365" s="676"/>
      <c r="F1365" s="676"/>
      <c r="G1365" s="676"/>
      <c r="H1365" s="676"/>
      <c r="I1365" s="676"/>
      <c r="J1365" s="676"/>
      <c r="K1365" s="676"/>
      <c r="L1365" s="676"/>
      <c r="M1365" s="676"/>
      <c r="N1365" s="676"/>
      <c r="O1365" s="676"/>
      <c r="P1365" s="676"/>
      <c r="Q1365" s="676"/>
      <c r="R1365" s="280"/>
      <c r="S1365" s="280"/>
    </row>
    <row r="1366" spans="3:19" x14ac:dyDescent="0.2">
      <c r="C1366" s="280"/>
      <c r="D1366" s="282"/>
      <c r="E1366" s="676"/>
      <c r="F1366" s="676"/>
      <c r="G1366" s="676"/>
      <c r="H1366" s="676"/>
      <c r="I1366" s="676"/>
      <c r="J1366" s="676"/>
      <c r="K1366" s="676"/>
      <c r="L1366" s="676"/>
      <c r="M1366" s="676"/>
      <c r="N1366" s="676"/>
      <c r="O1366" s="676"/>
      <c r="P1366" s="676"/>
      <c r="Q1366" s="676"/>
      <c r="R1366" s="280"/>
      <c r="S1366" s="280"/>
    </row>
    <row r="1367" spans="3:19" x14ac:dyDescent="0.2">
      <c r="C1367" s="792"/>
      <c r="D1367" s="282"/>
      <c r="E1367" s="676"/>
      <c r="F1367" s="676"/>
      <c r="G1367" s="676"/>
      <c r="H1367" s="676"/>
      <c r="I1367" s="676"/>
      <c r="J1367" s="676"/>
      <c r="K1367" s="676"/>
      <c r="L1367" s="676"/>
      <c r="M1367" s="676"/>
      <c r="N1367" s="676"/>
      <c r="O1367" s="676"/>
      <c r="P1367" s="676"/>
      <c r="Q1367" s="676"/>
      <c r="R1367" s="280"/>
      <c r="S1367" s="280"/>
    </row>
    <row r="1368" spans="3:19" x14ac:dyDescent="0.2">
      <c r="C1368" s="792"/>
      <c r="D1368" s="282"/>
      <c r="E1368" s="676"/>
      <c r="F1368" s="676"/>
      <c r="G1368" s="676"/>
      <c r="H1368" s="676"/>
      <c r="I1368" s="676"/>
      <c r="J1368" s="676"/>
      <c r="K1368" s="676"/>
      <c r="L1368" s="676"/>
      <c r="M1368" s="676"/>
      <c r="N1368" s="676"/>
      <c r="O1368" s="676"/>
      <c r="P1368" s="676"/>
      <c r="Q1368" s="676"/>
      <c r="R1368" s="280"/>
      <c r="S1368" s="280"/>
    </row>
    <row r="1369" spans="3:19" x14ac:dyDescent="0.2">
      <c r="C1369" s="792"/>
      <c r="D1369" s="282"/>
      <c r="E1369" s="676"/>
      <c r="F1369" s="676"/>
      <c r="G1369" s="676"/>
      <c r="H1369" s="676"/>
      <c r="I1369" s="676"/>
      <c r="J1369" s="676"/>
      <c r="K1369" s="676"/>
      <c r="L1369" s="676"/>
      <c r="M1369" s="676"/>
      <c r="N1369" s="676"/>
      <c r="O1369" s="676"/>
      <c r="P1369" s="676"/>
      <c r="Q1369" s="676"/>
      <c r="R1369" s="280"/>
      <c r="S1369" s="280"/>
    </row>
    <row r="1370" spans="3:19" ht="11.5" x14ac:dyDescent="0.35">
      <c r="C1370" s="792"/>
      <c r="D1370" s="282"/>
      <c r="E1370" s="676"/>
      <c r="F1370" s="676"/>
      <c r="G1370" s="676"/>
      <c r="H1370" s="676"/>
      <c r="I1370" s="676"/>
      <c r="J1370" s="676"/>
      <c r="K1370" s="676"/>
      <c r="L1370" s="676"/>
      <c r="M1370" s="676"/>
      <c r="N1370" s="676"/>
      <c r="O1370" s="676"/>
      <c r="P1370" s="676"/>
      <c r="Q1370" s="755"/>
      <c r="R1370" s="280"/>
      <c r="S1370" s="280"/>
    </row>
    <row r="1371" spans="3:19" x14ac:dyDescent="0.2">
      <c r="C1371" s="792"/>
      <c r="D1371" s="282"/>
      <c r="E1371" s="676"/>
      <c r="F1371" s="676"/>
      <c r="G1371" s="676"/>
      <c r="H1371" s="676"/>
      <c r="I1371" s="676"/>
      <c r="J1371" s="676"/>
      <c r="K1371" s="676"/>
      <c r="L1371" s="676"/>
      <c r="M1371" s="676"/>
      <c r="N1371" s="676"/>
      <c r="O1371" s="676"/>
      <c r="P1371" s="676"/>
      <c r="Q1371" s="676"/>
      <c r="R1371" s="280"/>
      <c r="S1371" s="280"/>
    </row>
    <row r="1372" spans="3:19" x14ac:dyDescent="0.2">
      <c r="C1372" s="792"/>
      <c r="D1372" s="282"/>
      <c r="E1372" s="676"/>
      <c r="F1372" s="676"/>
      <c r="G1372" s="676"/>
      <c r="H1372" s="676"/>
      <c r="I1372" s="676"/>
      <c r="J1372" s="676"/>
      <c r="K1372" s="676"/>
      <c r="L1372" s="676"/>
      <c r="M1372" s="676"/>
      <c r="N1372" s="676"/>
      <c r="O1372" s="676"/>
      <c r="P1372" s="676"/>
      <c r="Q1372" s="676"/>
      <c r="R1372" s="280"/>
      <c r="S1372" s="280"/>
    </row>
    <row r="1373" spans="3:19" x14ac:dyDescent="0.2">
      <c r="C1373" s="792"/>
      <c r="D1373" s="282"/>
      <c r="E1373" s="676"/>
      <c r="F1373" s="676"/>
      <c r="G1373" s="676"/>
      <c r="H1373" s="676"/>
      <c r="I1373" s="676"/>
      <c r="J1373" s="676"/>
      <c r="K1373" s="676"/>
      <c r="L1373" s="676"/>
      <c r="M1373" s="676"/>
      <c r="N1373" s="676"/>
      <c r="O1373" s="676"/>
      <c r="P1373" s="676"/>
      <c r="Q1373" s="676"/>
      <c r="R1373" s="280"/>
      <c r="S1373" s="280"/>
    </row>
    <row r="1374" spans="3:19" x14ac:dyDescent="0.2">
      <c r="C1374" s="792"/>
      <c r="D1374" s="282"/>
      <c r="E1374" s="676"/>
      <c r="F1374" s="676"/>
      <c r="G1374" s="676"/>
      <c r="H1374" s="676"/>
      <c r="I1374" s="676"/>
      <c r="J1374" s="676"/>
      <c r="K1374" s="676"/>
      <c r="L1374" s="676"/>
      <c r="M1374" s="676"/>
      <c r="N1374" s="676"/>
      <c r="O1374" s="676"/>
      <c r="P1374" s="676"/>
      <c r="Q1374" s="676"/>
      <c r="R1374" s="280"/>
      <c r="S1374" s="280"/>
    </row>
    <row r="1375" spans="3:19" x14ac:dyDescent="0.2">
      <c r="C1375" s="282"/>
      <c r="D1375" s="282"/>
      <c r="E1375" s="280"/>
      <c r="F1375" s="438"/>
      <c r="G1375" s="439"/>
      <c r="H1375" s="438"/>
      <c r="I1375" s="440"/>
      <c r="J1375" s="438"/>
      <c r="K1375" s="438"/>
      <c r="L1375" s="438"/>
      <c r="M1375" s="438"/>
      <c r="N1375" s="438"/>
      <c r="O1375" s="438"/>
      <c r="P1375" s="438"/>
      <c r="Q1375" s="280"/>
      <c r="R1375" s="280"/>
      <c r="S1375" s="280"/>
    </row>
    <row r="1376" spans="3:19" x14ac:dyDescent="0.2">
      <c r="C1376" s="280"/>
      <c r="D1376" s="282"/>
      <c r="E1376" s="280"/>
      <c r="F1376" s="438"/>
      <c r="G1376" s="439"/>
      <c r="H1376" s="438"/>
      <c r="I1376" s="440"/>
      <c r="J1376" s="438"/>
      <c r="K1376" s="438"/>
      <c r="L1376" s="438"/>
      <c r="M1376" s="438"/>
      <c r="N1376" s="438"/>
      <c r="O1376" s="438"/>
      <c r="P1376" s="438"/>
      <c r="Q1376" s="280"/>
      <c r="R1376" s="280"/>
      <c r="S1376" s="280"/>
    </row>
    <row r="1377" spans="3:19" x14ac:dyDescent="0.2">
      <c r="C1377" s="280"/>
      <c r="D1377" s="280"/>
      <c r="E1377" s="282"/>
      <c r="F1377" s="280"/>
      <c r="G1377" s="438"/>
      <c r="H1377" s="439"/>
      <c r="I1377" s="438"/>
      <c r="J1377" s="440"/>
      <c r="K1377" s="438"/>
      <c r="L1377" s="438"/>
      <c r="M1377" s="438"/>
      <c r="N1377" s="438"/>
      <c r="O1377" s="438"/>
      <c r="P1377" s="438"/>
      <c r="Q1377" s="438"/>
      <c r="R1377" s="280"/>
      <c r="S1377" s="280"/>
    </row>
    <row r="1378" spans="3:19" x14ac:dyDescent="0.2">
      <c r="C1378" s="280"/>
      <c r="D1378" s="280"/>
      <c r="E1378" s="282"/>
      <c r="F1378" s="676"/>
      <c r="G1378" s="676"/>
      <c r="H1378" s="676"/>
      <c r="I1378" s="676"/>
      <c r="J1378" s="676"/>
      <c r="K1378" s="676"/>
      <c r="L1378" s="676"/>
      <c r="M1378" s="676"/>
      <c r="N1378" s="676"/>
      <c r="O1378" s="676"/>
      <c r="P1378" s="676"/>
      <c r="Q1378" s="676"/>
      <c r="R1378" s="676"/>
      <c r="S1378" s="280"/>
    </row>
    <row r="1379" spans="3:19" x14ac:dyDescent="0.2">
      <c r="C1379" s="280"/>
      <c r="D1379" s="280"/>
      <c r="E1379" s="282"/>
      <c r="F1379" s="676"/>
      <c r="G1379" s="676"/>
      <c r="H1379" s="676"/>
      <c r="I1379" s="676"/>
      <c r="J1379" s="676"/>
      <c r="K1379" s="676"/>
      <c r="L1379" s="676"/>
      <c r="M1379" s="676"/>
      <c r="N1379" s="676"/>
      <c r="O1379" s="676"/>
      <c r="P1379" s="676"/>
      <c r="Q1379" s="676"/>
      <c r="R1379" s="676"/>
      <c r="S1379" s="280"/>
    </row>
    <row r="1380" spans="3:19" x14ac:dyDescent="0.2">
      <c r="C1380" s="280"/>
      <c r="D1380" s="280"/>
      <c r="E1380" s="282"/>
      <c r="F1380" s="676"/>
      <c r="G1380" s="676"/>
      <c r="H1380" s="676"/>
      <c r="I1380" s="676"/>
      <c r="J1380" s="676"/>
      <c r="K1380" s="676"/>
      <c r="L1380" s="676"/>
      <c r="M1380" s="676"/>
      <c r="N1380" s="676"/>
      <c r="O1380" s="676"/>
      <c r="P1380" s="676"/>
      <c r="Q1380" s="676"/>
      <c r="R1380" s="676"/>
      <c r="S1380" s="280"/>
    </row>
    <row r="1381" spans="3:19" x14ac:dyDescent="0.2">
      <c r="C1381" s="280"/>
      <c r="D1381" s="280"/>
      <c r="E1381" s="282"/>
      <c r="F1381" s="676"/>
      <c r="G1381" s="676"/>
      <c r="H1381" s="676"/>
      <c r="I1381" s="676"/>
      <c r="J1381" s="676"/>
      <c r="K1381" s="676"/>
      <c r="L1381" s="676"/>
      <c r="M1381" s="676"/>
      <c r="N1381" s="676"/>
      <c r="O1381" s="676"/>
      <c r="P1381" s="676"/>
      <c r="Q1381" s="676"/>
      <c r="R1381" s="676"/>
      <c r="S1381" s="280"/>
    </row>
    <row r="1382" spans="3:19" x14ac:dyDescent="0.2">
      <c r="C1382" s="280"/>
      <c r="D1382" s="280"/>
      <c r="E1382" s="282"/>
      <c r="F1382" s="676"/>
      <c r="G1382" s="676"/>
      <c r="H1382" s="676"/>
      <c r="I1382" s="676"/>
      <c r="J1382" s="676"/>
      <c r="K1382" s="676"/>
      <c r="L1382" s="676"/>
      <c r="M1382" s="676"/>
      <c r="N1382" s="676"/>
      <c r="O1382" s="676"/>
      <c r="P1382" s="676"/>
      <c r="Q1382" s="676"/>
      <c r="R1382" s="676"/>
      <c r="S1382" s="280"/>
    </row>
    <row r="1383" spans="3:19" ht="11.5" x14ac:dyDescent="0.35">
      <c r="C1383" s="280"/>
      <c r="D1383" s="280"/>
      <c r="E1383" s="282"/>
      <c r="F1383" s="755"/>
      <c r="G1383" s="755"/>
      <c r="H1383" s="755"/>
      <c r="I1383" s="755"/>
      <c r="J1383" s="755"/>
      <c r="K1383" s="755"/>
      <c r="L1383" s="755"/>
      <c r="M1383" s="755"/>
      <c r="N1383" s="755"/>
      <c r="O1383" s="755"/>
      <c r="P1383" s="755"/>
      <c r="Q1383" s="755"/>
      <c r="R1383" s="755"/>
      <c r="S1383" s="280"/>
    </row>
    <row r="1384" spans="3:19" x14ac:dyDescent="0.2">
      <c r="C1384" s="280"/>
      <c r="D1384" s="280"/>
      <c r="E1384" s="282"/>
      <c r="F1384" s="676"/>
      <c r="G1384" s="676"/>
      <c r="H1384" s="676"/>
      <c r="I1384" s="676"/>
      <c r="J1384" s="676"/>
      <c r="K1384" s="676"/>
      <c r="L1384" s="676"/>
      <c r="M1384" s="676"/>
      <c r="N1384" s="676"/>
      <c r="O1384" s="676"/>
      <c r="P1384" s="676"/>
      <c r="Q1384" s="676"/>
      <c r="R1384" s="676"/>
      <c r="S1384" s="280"/>
    </row>
    <row r="1385" spans="3:19" x14ac:dyDescent="0.2">
      <c r="C1385" s="280"/>
      <c r="D1385" s="280"/>
      <c r="E1385" s="282"/>
      <c r="F1385" s="676"/>
      <c r="G1385" s="438"/>
      <c r="H1385" s="439"/>
      <c r="I1385" s="438"/>
      <c r="J1385" s="440"/>
      <c r="K1385" s="438"/>
      <c r="L1385" s="438"/>
      <c r="M1385" s="438"/>
      <c r="N1385" s="438"/>
      <c r="O1385" s="438"/>
      <c r="P1385" s="438"/>
      <c r="Q1385" s="438"/>
      <c r="R1385" s="280"/>
      <c r="S1385" s="280"/>
    </row>
    <row r="1386" spans="3:19" x14ac:dyDescent="0.2">
      <c r="C1386" s="280"/>
      <c r="D1386" s="280"/>
      <c r="E1386" s="282"/>
      <c r="F1386" s="676"/>
      <c r="G1386" s="676"/>
      <c r="H1386" s="676"/>
      <c r="I1386" s="676"/>
      <c r="J1386" s="676"/>
      <c r="K1386" s="676"/>
      <c r="L1386" s="676"/>
      <c r="M1386" s="676"/>
      <c r="N1386" s="676"/>
      <c r="O1386" s="676"/>
      <c r="P1386" s="676"/>
      <c r="Q1386" s="676"/>
      <c r="R1386" s="676"/>
      <c r="S1386" s="280"/>
    </row>
    <row r="1387" spans="3:19" x14ac:dyDescent="0.2">
      <c r="C1387" s="280"/>
      <c r="D1387" s="280"/>
      <c r="E1387" s="282"/>
      <c r="F1387" s="676"/>
      <c r="G1387" s="676"/>
      <c r="H1387" s="676"/>
      <c r="I1387" s="676"/>
      <c r="J1387" s="676"/>
      <c r="K1387" s="676"/>
      <c r="L1387" s="676"/>
      <c r="M1387" s="676"/>
      <c r="N1387" s="676"/>
      <c r="O1387" s="676"/>
      <c r="P1387" s="676"/>
      <c r="Q1387" s="676"/>
      <c r="R1387" s="676"/>
      <c r="S1387" s="280"/>
    </row>
    <row r="1388" spans="3:19" x14ac:dyDescent="0.2">
      <c r="C1388" s="280"/>
      <c r="D1388" s="280"/>
      <c r="E1388" s="282"/>
      <c r="F1388" s="676"/>
      <c r="G1388" s="676"/>
      <c r="H1388" s="676"/>
      <c r="I1388" s="676"/>
      <c r="J1388" s="676"/>
      <c r="K1388" s="676"/>
      <c r="L1388" s="676"/>
      <c r="M1388" s="676"/>
      <c r="N1388" s="676"/>
      <c r="O1388" s="676"/>
      <c r="P1388" s="676"/>
      <c r="Q1388" s="676"/>
      <c r="R1388" s="676"/>
      <c r="S1388" s="280"/>
    </row>
    <row r="1389" spans="3:19" x14ac:dyDescent="0.2">
      <c r="C1389" s="280"/>
      <c r="D1389" s="280"/>
      <c r="E1389" s="282"/>
      <c r="F1389" s="676"/>
      <c r="G1389" s="676"/>
      <c r="H1389" s="676"/>
      <c r="I1389" s="676"/>
      <c r="J1389" s="676"/>
      <c r="K1389" s="676"/>
      <c r="L1389" s="676"/>
      <c r="M1389" s="676"/>
      <c r="N1389" s="676"/>
      <c r="O1389" s="676"/>
      <c r="P1389" s="676"/>
      <c r="Q1389" s="676"/>
      <c r="R1389" s="676"/>
      <c r="S1389" s="280"/>
    </row>
    <row r="1390" spans="3:19" x14ac:dyDescent="0.2">
      <c r="C1390" s="280"/>
      <c r="D1390" s="280"/>
      <c r="E1390" s="282"/>
      <c r="F1390" s="676"/>
      <c r="G1390" s="676"/>
      <c r="H1390" s="676"/>
      <c r="I1390" s="676"/>
      <c r="J1390" s="676"/>
      <c r="K1390" s="676"/>
      <c r="L1390" s="676"/>
      <c r="M1390" s="676"/>
      <c r="N1390" s="676"/>
      <c r="O1390" s="676"/>
      <c r="P1390" s="676"/>
      <c r="Q1390" s="676"/>
      <c r="R1390" s="676"/>
      <c r="S1390" s="280"/>
    </row>
    <row r="1391" spans="3:19" ht="11.5" x14ac:dyDescent="0.35">
      <c r="C1391" s="280"/>
      <c r="D1391" s="280"/>
      <c r="E1391" s="282"/>
      <c r="F1391" s="755"/>
      <c r="G1391" s="755"/>
      <c r="H1391" s="755"/>
      <c r="I1391" s="755"/>
      <c r="J1391" s="755"/>
      <c r="K1391" s="755"/>
      <c r="L1391" s="755"/>
      <c r="M1391" s="755"/>
      <c r="N1391" s="755"/>
      <c r="O1391" s="755"/>
      <c r="P1391" s="755"/>
      <c r="Q1391" s="755"/>
      <c r="R1391" s="755"/>
      <c r="S1391" s="280"/>
    </row>
    <row r="1392" spans="3:19" x14ac:dyDescent="0.2">
      <c r="C1392" s="280"/>
      <c r="D1392" s="280"/>
      <c r="E1392" s="282"/>
      <c r="F1392" s="676"/>
      <c r="G1392" s="676"/>
      <c r="H1392" s="676"/>
      <c r="I1392" s="676"/>
      <c r="J1392" s="676"/>
      <c r="K1392" s="676"/>
      <c r="L1392" s="676"/>
      <c r="M1392" s="676"/>
      <c r="N1392" s="676"/>
      <c r="O1392" s="676"/>
      <c r="P1392" s="676"/>
      <c r="Q1392" s="676"/>
      <c r="R1392" s="676"/>
      <c r="S1392" s="280"/>
    </row>
    <row r="1393" spans="3:19" x14ac:dyDescent="0.2">
      <c r="C1393" s="280"/>
      <c r="D1393" s="280"/>
      <c r="E1393" s="282"/>
      <c r="F1393" s="676"/>
      <c r="G1393" s="438"/>
      <c r="H1393" s="439"/>
      <c r="I1393" s="438"/>
      <c r="J1393" s="440"/>
      <c r="K1393" s="438"/>
      <c r="L1393" s="438"/>
      <c r="M1393" s="438"/>
      <c r="N1393" s="438"/>
      <c r="O1393" s="438"/>
      <c r="P1393" s="438"/>
      <c r="Q1393" s="438"/>
      <c r="R1393" s="280"/>
      <c r="S1393" s="280"/>
    </row>
    <row r="1394" spans="3:19" x14ac:dyDescent="0.2">
      <c r="C1394" s="280"/>
      <c r="D1394" s="280"/>
      <c r="E1394" s="282"/>
      <c r="F1394" s="676"/>
      <c r="G1394" s="676"/>
      <c r="H1394" s="676"/>
      <c r="I1394" s="676"/>
      <c r="J1394" s="676"/>
      <c r="K1394" s="676"/>
      <c r="L1394" s="676"/>
      <c r="M1394" s="676"/>
      <c r="N1394" s="676"/>
      <c r="O1394" s="676"/>
      <c r="P1394" s="676"/>
      <c r="Q1394" s="676"/>
      <c r="R1394" s="676"/>
      <c r="S1394" s="280"/>
    </row>
    <row r="1395" spans="3:19" x14ac:dyDescent="0.2">
      <c r="C1395" s="280"/>
      <c r="D1395" s="280"/>
      <c r="E1395" s="282"/>
      <c r="F1395" s="676"/>
      <c r="G1395" s="676"/>
      <c r="H1395" s="676"/>
      <c r="I1395" s="676"/>
      <c r="J1395" s="676"/>
      <c r="K1395" s="676"/>
      <c r="L1395" s="676"/>
      <c r="M1395" s="676"/>
      <c r="N1395" s="676"/>
      <c r="O1395" s="676"/>
      <c r="P1395" s="676"/>
      <c r="Q1395" s="676"/>
      <c r="R1395" s="676"/>
      <c r="S1395" s="280"/>
    </row>
    <row r="1396" spans="3:19" x14ac:dyDescent="0.2">
      <c r="C1396" s="280"/>
      <c r="D1396" s="280"/>
      <c r="E1396" s="282"/>
      <c r="F1396" s="676"/>
      <c r="G1396" s="676"/>
      <c r="H1396" s="676"/>
      <c r="I1396" s="676"/>
      <c r="J1396" s="676"/>
      <c r="K1396" s="676"/>
      <c r="L1396" s="676"/>
      <c r="M1396" s="676"/>
      <c r="N1396" s="676"/>
      <c r="O1396" s="676"/>
      <c r="P1396" s="676"/>
      <c r="Q1396" s="676"/>
      <c r="R1396" s="676"/>
      <c r="S1396" s="280"/>
    </row>
    <row r="1397" spans="3:19" x14ac:dyDescent="0.2">
      <c r="C1397" s="280"/>
      <c r="D1397" s="280"/>
      <c r="E1397" s="282"/>
      <c r="F1397" s="676"/>
      <c r="G1397" s="676"/>
      <c r="H1397" s="676"/>
      <c r="I1397" s="676"/>
      <c r="J1397" s="676"/>
      <c r="K1397" s="676"/>
      <c r="L1397" s="676"/>
      <c r="M1397" s="676"/>
      <c r="N1397" s="676"/>
      <c r="O1397" s="676"/>
      <c r="P1397" s="676"/>
      <c r="Q1397" s="676"/>
      <c r="R1397" s="676"/>
      <c r="S1397" s="280"/>
    </row>
    <row r="1398" spans="3:19" x14ac:dyDescent="0.2">
      <c r="C1398" s="280"/>
      <c r="D1398" s="280"/>
      <c r="E1398" s="282"/>
      <c r="F1398" s="676"/>
      <c r="G1398" s="676"/>
      <c r="H1398" s="676"/>
      <c r="I1398" s="676"/>
      <c r="J1398" s="676"/>
      <c r="K1398" s="676"/>
      <c r="L1398" s="676"/>
      <c r="M1398" s="676"/>
      <c r="N1398" s="676"/>
      <c r="O1398" s="676"/>
      <c r="P1398" s="676"/>
      <c r="Q1398" s="676"/>
      <c r="R1398" s="676"/>
      <c r="S1398" s="280"/>
    </row>
    <row r="1399" spans="3:19" x14ac:dyDescent="0.2">
      <c r="C1399" s="280"/>
      <c r="D1399" s="280"/>
      <c r="E1399" s="282"/>
      <c r="F1399" s="676"/>
      <c r="G1399" s="676"/>
      <c r="H1399" s="676"/>
      <c r="I1399" s="676"/>
      <c r="J1399" s="676"/>
      <c r="K1399" s="676"/>
      <c r="L1399" s="676"/>
      <c r="M1399" s="676"/>
      <c r="N1399" s="676"/>
      <c r="O1399" s="676"/>
      <c r="P1399" s="676"/>
      <c r="Q1399" s="676"/>
      <c r="R1399" s="676"/>
      <c r="S1399" s="280"/>
    </row>
    <row r="1400" spans="3:19" x14ac:dyDescent="0.2">
      <c r="C1400" s="280"/>
      <c r="D1400" s="280"/>
      <c r="E1400" s="282"/>
      <c r="F1400" s="676"/>
      <c r="G1400" s="676"/>
      <c r="H1400" s="676"/>
      <c r="I1400" s="676"/>
      <c r="J1400" s="676"/>
      <c r="K1400" s="676"/>
      <c r="L1400" s="676"/>
      <c r="M1400" s="676"/>
      <c r="N1400" s="676"/>
      <c r="O1400" s="676"/>
      <c r="P1400" s="676"/>
      <c r="Q1400" s="676"/>
      <c r="R1400" s="676"/>
      <c r="S1400" s="280"/>
    </row>
    <row r="1401" spans="3:19" x14ac:dyDescent="0.2">
      <c r="C1401" s="280"/>
      <c r="D1401" s="280"/>
      <c r="E1401" s="282"/>
      <c r="F1401" s="676"/>
      <c r="G1401" s="676"/>
      <c r="H1401" s="676"/>
      <c r="I1401" s="676"/>
      <c r="J1401" s="676"/>
      <c r="K1401" s="676"/>
      <c r="L1401" s="676"/>
      <c r="M1401" s="676"/>
      <c r="N1401" s="676"/>
      <c r="O1401" s="676"/>
      <c r="P1401" s="676"/>
      <c r="Q1401" s="676"/>
      <c r="R1401" s="676"/>
      <c r="S1401" s="280"/>
    </row>
    <row r="1402" spans="3:19" x14ac:dyDescent="0.2">
      <c r="C1402" s="280"/>
      <c r="D1402" s="282"/>
      <c r="E1402" s="676"/>
      <c r="F1402" s="676"/>
      <c r="G1402" s="676"/>
      <c r="H1402" s="676"/>
      <c r="I1402" s="676"/>
      <c r="J1402" s="676"/>
      <c r="K1402" s="676"/>
      <c r="L1402" s="676"/>
      <c r="M1402" s="676"/>
      <c r="N1402" s="676"/>
      <c r="O1402" s="676"/>
      <c r="P1402" s="676"/>
      <c r="Q1402" s="676"/>
      <c r="R1402" s="280"/>
      <c r="S1402" s="280"/>
    </row>
    <row r="1403" spans="3:19" x14ac:dyDescent="0.2">
      <c r="C1403" s="280"/>
      <c r="D1403" s="282"/>
      <c r="E1403" s="676"/>
      <c r="F1403" s="676"/>
      <c r="G1403" s="676"/>
      <c r="H1403" s="676"/>
      <c r="I1403" s="676"/>
      <c r="J1403" s="676"/>
      <c r="K1403" s="676"/>
      <c r="L1403" s="676"/>
      <c r="M1403" s="676"/>
      <c r="N1403" s="676"/>
      <c r="O1403" s="676"/>
      <c r="P1403" s="676"/>
      <c r="Q1403" s="676"/>
      <c r="R1403" s="280"/>
      <c r="S1403" s="280"/>
    </row>
    <row r="1404" spans="3:19" x14ac:dyDescent="0.2">
      <c r="E1404" s="453"/>
      <c r="F1404" s="453"/>
      <c r="G1404" s="453"/>
      <c r="H1404" s="453"/>
      <c r="I1404" s="453"/>
      <c r="J1404" s="453"/>
      <c r="K1404" s="453"/>
      <c r="L1404" s="453"/>
      <c r="M1404" s="453"/>
      <c r="N1404" s="453"/>
      <c r="O1404" s="453"/>
      <c r="P1404" s="453"/>
      <c r="Q1404" s="453"/>
    </row>
    <row r="1405" spans="3:19" x14ac:dyDescent="0.2">
      <c r="E1405" s="453"/>
      <c r="F1405" s="453"/>
      <c r="G1405" s="453"/>
      <c r="H1405" s="453"/>
      <c r="I1405" s="453"/>
      <c r="J1405" s="453"/>
      <c r="K1405" s="453"/>
      <c r="L1405" s="453"/>
      <c r="M1405" s="453"/>
      <c r="N1405" s="453"/>
      <c r="O1405" s="453"/>
      <c r="P1405" s="453"/>
      <c r="Q1405" s="453"/>
    </row>
    <row r="1406" spans="3:19" x14ac:dyDescent="0.2">
      <c r="E1406" s="453"/>
      <c r="F1406" s="453"/>
      <c r="G1406" s="453"/>
      <c r="H1406" s="453"/>
      <c r="I1406" s="453"/>
      <c r="J1406" s="453"/>
      <c r="K1406" s="453"/>
      <c r="L1406" s="453"/>
      <c r="M1406" s="453"/>
      <c r="N1406" s="453"/>
      <c r="O1406" s="453"/>
      <c r="P1406" s="453"/>
      <c r="Q1406" s="453"/>
    </row>
  </sheetData>
  <mergeCells count="128">
    <mergeCell ref="T18:U18"/>
    <mergeCell ref="T35:U35"/>
    <mergeCell ref="A938:Q938"/>
    <mergeCell ref="A930:Q930"/>
    <mergeCell ref="A929:Q929"/>
    <mergeCell ref="A511:Q511"/>
    <mergeCell ref="A510:Q510"/>
    <mergeCell ref="A813:Q813"/>
    <mergeCell ref="A812:Q812"/>
    <mergeCell ref="A747:Q747"/>
    <mergeCell ref="A738:Q738"/>
    <mergeCell ref="A739:Q739"/>
    <mergeCell ref="A740:Q740"/>
    <mergeCell ref="A580:Q580"/>
    <mergeCell ref="A581:Q581"/>
    <mergeCell ref="A586:Q586"/>
    <mergeCell ref="A741:Q741"/>
    <mergeCell ref="A742:Q742"/>
    <mergeCell ref="A686:Q686"/>
    <mergeCell ref="A685:Q685"/>
    <mergeCell ref="A688:Q688"/>
    <mergeCell ref="A694:Q694"/>
    <mergeCell ref="A884:Q884"/>
    <mergeCell ref="A885:Q885"/>
    <mergeCell ref="A892:Q892"/>
    <mergeCell ref="A886:Q886"/>
    <mergeCell ref="A887:Q887"/>
    <mergeCell ref="A1002:Q1002"/>
    <mergeCell ref="A932:Q932"/>
    <mergeCell ref="A1001:Q1001"/>
    <mergeCell ref="A689:Q689"/>
    <mergeCell ref="A687:Q687"/>
    <mergeCell ref="A115:Q115"/>
    <mergeCell ref="A381:Q381"/>
    <mergeCell ref="A218:Q218"/>
    <mergeCell ref="A120:Q120"/>
    <mergeCell ref="A213:Q213"/>
    <mergeCell ref="A212:Q212"/>
    <mergeCell ref="A211:Q211"/>
    <mergeCell ref="A210:Q210"/>
    <mergeCell ref="A209:Q209"/>
    <mergeCell ref="A276:Q276"/>
    <mergeCell ref="A275:Q275"/>
    <mergeCell ref="A274:Q274"/>
    <mergeCell ref="A273:Q273"/>
    <mergeCell ref="A272:Q272"/>
    <mergeCell ref="A385:Q385"/>
    <mergeCell ref="A633:Q633"/>
    <mergeCell ref="A1081:Q1081"/>
    <mergeCell ref="A1080:Q1080"/>
    <mergeCell ref="A1079:Q1079"/>
    <mergeCell ref="A1078:Q1078"/>
    <mergeCell ref="A1077:Q1077"/>
    <mergeCell ref="A1005:Q1005"/>
    <mergeCell ref="A1004:Q1004"/>
    <mergeCell ref="A1010:Q1010"/>
    <mergeCell ref="A1003:Q1003"/>
    <mergeCell ref="A114:Q114"/>
    <mergeCell ref="A384:Q384"/>
    <mergeCell ref="A383:Q383"/>
    <mergeCell ref="A382:Q382"/>
    <mergeCell ref="A514:Q514"/>
    <mergeCell ref="A1214:Q1214"/>
    <mergeCell ref="A1209:Q1209"/>
    <mergeCell ref="A1208:Q1208"/>
    <mergeCell ref="A1207:Q1207"/>
    <mergeCell ref="A1206:Q1206"/>
    <mergeCell ref="A820:Q820"/>
    <mergeCell ref="A1156:Q1156"/>
    <mergeCell ref="A1149:Q1149"/>
    <mergeCell ref="A1148:Q1148"/>
    <mergeCell ref="A1147:Q1147"/>
    <mergeCell ref="A1151:Q1151"/>
    <mergeCell ref="A1150:Q1150"/>
    <mergeCell ref="A931:Q931"/>
    <mergeCell ref="A1086:Q1086"/>
    <mergeCell ref="A933:Q933"/>
    <mergeCell ref="A1205:Q1205"/>
    <mergeCell ref="A883:Q883"/>
    <mergeCell ref="A815:Q815"/>
    <mergeCell ref="A814:Q814"/>
    <mergeCell ref="A167:Q167"/>
    <mergeCell ref="A168:Q168"/>
    <mergeCell ref="A169:Q169"/>
    <mergeCell ref="A390:Q390"/>
    <mergeCell ref="A443:Q443"/>
    <mergeCell ref="A442:Q442"/>
    <mergeCell ref="A451:Q451"/>
    <mergeCell ref="A444:Q444"/>
    <mergeCell ref="A445:Q445"/>
    <mergeCell ref="A446:Q446"/>
    <mergeCell ref="A281:Q281"/>
    <mergeCell ref="A170:Q170"/>
    <mergeCell ref="A171:Q171"/>
    <mergeCell ref="A176:Q176"/>
    <mergeCell ref="A334:Q334"/>
    <mergeCell ref="A335:Q335"/>
    <mergeCell ref="A336:Q336"/>
    <mergeCell ref="A337:Q337"/>
    <mergeCell ref="A338:Q338"/>
    <mergeCell ref="A343:Q343"/>
    <mergeCell ref="A1:Q1"/>
    <mergeCell ref="A2:Q2"/>
    <mergeCell ref="A3:Q3"/>
    <mergeCell ref="A4:Q4"/>
    <mergeCell ref="A47:Q47"/>
    <mergeCell ref="A48:Q48"/>
    <mergeCell ref="A113:Q113"/>
    <mergeCell ref="A112:Q112"/>
    <mergeCell ref="A111:Q111"/>
    <mergeCell ref="A49:Q49"/>
    <mergeCell ref="A50:Q50"/>
    <mergeCell ref="A51:Q51"/>
    <mergeCell ref="A5:Q5"/>
    <mergeCell ref="A10:Q10"/>
    <mergeCell ref="A56:Q56"/>
    <mergeCell ref="A579:Q579"/>
    <mergeCell ref="A512:Q512"/>
    <mergeCell ref="A519:Q519"/>
    <mergeCell ref="A513:Q513"/>
    <mergeCell ref="A577:Q577"/>
    <mergeCell ref="A578:Q578"/>
    <mergeCell ref="A635:Q635"/>
    <mergeCell ref="A634:Q634"/>
    <mergeCell ref="A811:Q811"/>
    <mergeCell ref="A637:Q637"/>
    <mergeCell ref="A636:Q636"/>
    <mergeCell ref="A642:Q642"/>
  </mergeCells>
  <phoneticPr fontId="0" type="noConversion"/>
  <pageMargins left="0.5" right="0.25" top="0.5" bottom="0.25" header="0.25" footer="0.5"/>
  <pageSetup scale="68" orientation="landscape" r:id="rId1"/>
  <headerFooter alignWithMargins="0"/>
  <rowBreaks count="20" manualBreakCount="20">
    <brk id="46" max="17" man="1"/>
    <brk id="110" max="16" man="1"/>
    <brk id="166" max="16" man="1"/>
    <brk id="208" max="16383" man="1"/>
    <brk id="271" max="16383" man="1"/>
    <brk id="333" max="16" man="1"/>
    <brk id="380" max="16383" man="1"/>
    <brk id="441" max="16383" man="1"/>
    <brk id="509" max="16383" man="1"/>
    <brk id="576" max="16383" man="1"/>
    <brk id="632" max="16383" man="1"/>
    <brk id="684" max="16383" man="1"/>
    <brk id="737" max="16383" man="1"/>
    <brk id="810" max="16383" man="1"/>
    <brk id="881" max="16" man="1"/>
    <brk id="927" max="16" man="1"/>
    <brk id="1000" max="16383" man="1"/>
    <brk id="1075" max="17" man="1"/>
    <brk id="1146" max="16383" man="1"/>
    <brk id="120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>
    <tabColor rgb="FFFFFF00"/>
  </sheetPr>
  <dimension ref="A1:Y1390"/>
  <sheetViews>
    <sheetView zoomScaleNormal="100" workbookViewId="0">
      <selection activeCell="S1277" sqref="S1277"/>
    </sheetView>
  </sheetViews>
  <sheetFormatPr defaultColWidth="10" defaultRowHeight="10" x14ac:dyDescent="0.2"/>
  <cols>
    <col min="1" max="1" width="6.125" style="242" customWidth="1"/>
    <col min="2" max="2" width="7.625" style="213" customWidth="1"/>
    <col min="3" max="3" width="40.625" style="213" customWidth="1"/>
    <col min="4" max="4" width="12.375" style="231" bestFit="1" customWidth="1"/>
    <col min="5" max="5" width="14.375" style="213" hidden="1" customWidth="1"/>
    <col min="6" max="6" width="14.375" style="270" hidden="1" customWidth="1"/>
    <col min="7" max="7" width="14.375" style="371" hidden="1" customWidth="1"/>
    <col min="8" max="8" width="14.625" style="270" hidden="1" customWidth="1"/>
    <col min="9" max="9" width="13.125" style="234" hidden="1" customWidth="1"/>
    <col min="10" max="14" width="13.125" style="270" hidden="1" customWidth="1"/>
    <col min="15" max="15" width="13.625" style="270" hidden="1" customWidth="1"/>
    <col min="16" max="16" width="14.375" style="270" hidden="1" customWidth="1"/>
    <col min="17" max="17" width="26.375" style="213" bestFit="1" customWidth="1"/>
    <col min="18" max="18" width="10" style="213"/>
    <col min="19" max="19" width="31" style="213" bestFit="1" customWidth="1"/>
    <col min="20" max="20" width="16.125" style="213" bestFit="1" customWidth="1"/>
    <col min="21" max="21" width="15.625" style="213" bestFit="1" customWidth="1"/>
    <col min="22" max="22" width="15" style="213" bestFit="1" customWidth="1"/>
    <col min="23" max="23" width="15.625" style="213" bestFit="1" customWidth="1"/>
    <col min="24" max="16384" width="10" style="213"/>
  </cols>
  <sheetData>
    <row r="1" spans="1:17" ht="10.5" x14ac:dyDescent="0.25">
      <c r="A1" s="819" t="str">
        <f>CONAME</f>
        <v>Columbia Gas of Kentucky, Inc.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</row>
    <row r="2" spans="1:17" ht="10.5" x14ac:dyDescent="0.25">
      <c r="A2" s="803" t="str">
        <f>case</f>
        <v>Case No. 2021-00183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</row>
    <row r="3" spans="1:17" ht="10.5" x14ac:dyDescent="0.25">
      <c r="A3" s="820" t="s">
        <v>197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</row>
    <row r="4" spans="1:17" ht="10.5" x14ac:dyDescent="0.25">
      <c r="A4" s="819" t="str">
        <f>TYDESC</f>
        <v>For the 12 Months Ended December 31, 2022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</row>
    <row r="5" spans="1:17" ht="10.5" x14ac:dyDescent="0.25">
      <c r="A5" s="821" t="s">
        <v>39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</row>
    <row r="6" spans="1:17" ht="10.5" x14ac:dyDescent="0.25">
      <c r="A6" s="575" t="str">
        <f>$A$52</f>
        <v>Data: __ Base Period _X_ Forecasted Period</v>
      </c>
    </row>
    <row r="7" spans="1:17" ht="10.5" x14ac:dyDescent="0.25">
      <c r="A7" s="575" t="str">
        <f>$A$53</f>
        <v>Type of Filing: X Original _ Update _ Revised</v>
      </c>
      <c r="Q7" s="372" t="str">
        <f>$Q$53</f>
        <v>Schedule M-2.3</v>
      </c>
    </row>
    <row r="8" spans="1:17" ht="10.5" x14ac:dyDescent="0.25">
      <c r="A8" s="575" t="str">
        <f>$A$54</f>
        <v>Work Paper Reference No(s):</v>
      </c>
      <c r="Q8" s="372" t="s">
        <v>416</v>
      </c>
    </row>
    <row r="9" spans="1:17" ht="10.5" x14ac:dyDescent="0.25">
      <c r="A9" s="576" t="str">
        <f>$A$55</f>
        <v>12 Months Forecasted</v>
      </c>
      <c r="Q9" s="372" t="str">
        <f>Witness</f>
        <v>Witness:  Judith L. Siegler</v>
      </c>
    </row>
    <row r="10" spans="1:17" ht="10.5" x14ac:dyDescent="0.25">
      <c r="A10" s="822" t="s">
        <v>291</v>
      </c>
      <c r="B10" s="822"/>
      <c r="C10" s="822"/>
      <c r="D10" s="822"/>
      <c r="E10" s="822"/>
      <c r="F10" s="822"/>
      <c r="G10" s="822"/>
      <c r="H10" s="822"/>
      <c r="I10" s="822"/>
      <c r="J10" s="822"/>
      <c r="K10" s="822"/>
      <c r="L10" s="822"/>
      <c r="M10" s="822"/>
      <c r="N10" s="822"/>
      <c r="O10" s="822"/>
      <c r="P10" s="822"/>
      <c r="Q10" s="822"/>
    </row>
    <row r="11" spans="1:17" ht="10.5" x14ac:dyDescent="0.25">
      <c r="B11" s="216"/>
      <c r="C11" s="216"/>
      <c r="D11" s="721"/>
      <c r="P11" s="374"/>
      <c r="Q11" s="374"/>
    </row>
    <row r="12" spans="1:17" ht="10.5" x14ac:dyDescent="0.25">
      <c r="A12" s="717" t="s">
        <v>1</v>
      </c>
      <c r="B12" s="718" t="s">
        <v>221</v>
      </c>
      <c r="C12" s="718" t="s">
        <v>41</v>
      </c>
      <c r="D12" s="721" t="s">
        <v>30</v>
      </c>
      <c r="E12" s="376"/>
      <c r="F12" s="377"/>
      <c r="G12" s="376"/>
      <c r="H12" s="720"/>
      <c r="I12" s="376"/>
      <c r="J12" s="376"/>
      <c r="K12" s="376"/>
      <c r="L12" s="376"/>
      <c r="M12" s="376"/>
      <c r="N12" s="376"/>
      <c r="O12" s="719"/>
      <c r="P12" s="719"/>
      <c r="Q12" s="719"/>
    </row>
    <row r="13" spans="1:17" ht="10.5" x14ac:dyDescent="0.25">
      <c r="A13" s="263" t="s">
        <v>3</v>
      </c>
      <c r="B13" s="220" t="s">
        <v>222</v>
      </c>
      <c r="C13" s="220" t="s">
        <v>4</v>
      </c>
      <c r="D13" s="379" t="s">
        <v>48</v>
      </c>
      <c r="E13" s="380" t="str">
        <f>B!$D$11</f>
        <v>Jan-22</v>
      </c>
      <c r="F13" s="380" t="str">
        <f>B!$E$11</f>
        <v>Feb-22</v>
      </c>
      <c r="G13" s="380" t="str">
        <f>B!$F$11</f>
        <v>Mar-22</v>
      </c>
      <c r="H13" s="380" t="str">
        <f>B!$G$11</f>
        <v>Apr-22</v>
      </c>
      <c r="I13" s="380" t="str">
        <f>B!$H$11</f>
        <v>May-22</v>
      </c>
      <c r="J13" s="380" t="str">
        <f>B!$I$11</f>
        <v>Jun-22</v>
      </c>
      <c r="K13" s="380" t="str">
        <f>B!$J$11</f>
        <v>Jul-22</v>
      </c>
      <c r="L13" s="380" t="str">
        <f>B!$K$11</f>
        <v>Aug-22</v>
      </c>
      <c r="M13" s="380" t="str">
        <f>B!$L$11</f>
        <v>Sep-22</v>
      </c>
      <c r="N13" s="380" t="str">
        <f>B!$M$11</f>
        <v>Oct-22</v>
      </c>
      <c r="O13" s="380" t="str">
        <f>B!$N$11</f>
        <v>Nov-22</v>
      </c>
      <c r="P13" s="380" t="str">
        <f>B!$O$11</f>
        <v>Dec-22</v>
      </c>
      <c r="Q13" s="381" t="s">
        <v>9</v>
      </c>
    </row>
    <row r="14" spans="1:17" ht="10.5" x14ac:dyDescent="0.25">
      <c r="A14" s="717"/>
      <c r="B14" s="719" t="s">
        <v>42</v>
      </c>
      <c r="C14" s="719" t="s">
        <v>43</v>
      </c>
      <c r="D14" s="382" t="s">
        <v>45</v>
      </c>
      <c r="E14" s="383" t="s">
        <v>46</v>
      </c>
      <c r="F14" s="383" t="s">
        <v>49</v>
      </c>
      <c r="G14" s="383" t="s">
        <v>50</v>
      </c>
      <c r="H14" s="383" t="s">
        <v>51</v>
      </c>
      <c r="I14" s="383" t="s">
        <v>52</v>
      </c>
      <c r="J14" s="384" t="s">
        <v>53</v>
      </c>
      <c r="K14" s="384" t="s">
        <v>54</v>
      </c>
      <c r="L14" s="384" t="s">
        <v>55</v>
      </c>
      <c r="M14" s="384" t="s">
        <v>56</v>
      </c>
      <c r="N14" s="384" t="s">
        <v>57</v>
      </c>
      <c r="O14" s="384" t="s">
        <v>58</v>
      </c>
      <c r="P14" s="384" t="s">
        <v>59</v>
      </c>
      <c r="Q14" s="384" t="s">
        <v>200</v>
      </c>
    </row>
    <row r="15" spans="1:17" ht="10.5" x14ac:dyDescent="0.25">
      <c r="B15" s="216"/>
      <c r="C15" s="216"/>
      <c r="P15" s="381"/>
      <c r="Q15" s="381"/>
    </row>
    <row r="16" spans="1:17" ht="10.5" x14ac:dyDescent="0.25">
      <c r="A16" s="242">
        <v>1</v>
      </c>
      <c r="B16" s="216"/>
      <c r="C16" s="385" t="s">
        <v>223</v>
      </c>
      <c r="P16" s="384"/>
      <c r="Q16" s="384"/>
    </row>
    <row r="17" spans="1:22" x14ac:dyDescent="0.2">
      <c r="B17" s="216"/>
      <c r="C17" s="385"/>
      <c r="P17" s="374"/>
      <c r="Q17" s="374"/>
    </row>
    <row r="18" spans="1:22" x14ac:dyDescent="0.2">
      <c r="A18" s="242">
        <f>A16+1</f>
        <v>2</v>
      </c>
      <c r="B18" s="216"/>
      <c r="C18" s="385" t="s">
        <v>224</v>
      </c>
      <c r="T18" s="818"/>
      <c r="U18" s="818"/>
      <c r="V18" s="758"/>
    </row>
    <row r="19" spans="1:22" x14ac:dyDescent="0.2">
      <c r="A19" s="242">
        <f>A18+1</f>
        <v>3</v>
      </c>
      <c r="B19" s="242">
        <v>480</v>
      </c>
      <c r="C19" s="216" t="s">
        <v>226</v>
      </c>
      <c r="E19" s="386">
        <f t="shared" ref="E19:P19" si="0">E69+E83+E90+E97+E104+E131+E145+E152</f>
        <v>16105108.82</v>
      </c>
      <c r="F19" s="386">
        <f t="shared" si="0"/>
        <v>16271205.74</v>
      </c>
      <c r="G19" s="386">
        <f t="shared" si="0"/>
        <v>13375229.820000002</v>
      </c>
      <c r="H19" s="386">
        <f t="shared" si="0"/>
        <v>9020689.5700000003</v>
      </c>
      <c r="I19" s="386">
        <f t="shared" si="0"/>
        <v>5720474.2399999993</v>
      </c>
      <c r="J19" s="386">
        <f t="shared" si="0"/>
        <v>4518957.46</v>
      </c>
      <c r="K19" s="386">
        <f t="shared" si="0"/>
        <v>3954924.24</v>
      </c>
      <c r="L19" s="386">
        <f>L69+L83+L90+L97+L104+L131+L145+L152</f>
        <v>3988838.33</v>
      </c>
      <c r="M19" s="386">
        <f t="shared" si="0"/>
        <v>4101507.23</v>
      </c>
      <c r="N19" s="386">
        <f t="shared" si="0"/>
        <v>4757196.4100000011</v>
      </c>
      <c r="O19" s="386">
        <f t="shared" si="0"/>
        <v>7251853.9099999992</v>
      </c>
      <c r="P19" s="386">
        <f t="shared" si="0"/>
        <v>12756317.230000002</v>
      </c>
      <c r="Q19" s="386">
        <f>SUM(E19:P19)</f>
        <v>101822303</v>
      </c>
      <c r="T19" s="758"/>
      <c r="U19" s="758"/>
      <c r="V19" s="758"/>
    </row>
    <row r="20" spans="1:22" x14ac:dyDescent="0.2">
      <c r="A20" s="242">
        <f>A19+1</f>
        <v>4</v>
      </c>
      <c r="B20" s="242">
        <v>481.1</v>
      </c>
      <c r="C20" s="216" t="s">
        <v>227</v>
      </c>
      <c r="E20" s="388">
        <f>E76+E138+E159</f>
        <v>6479228.6700000009</v>
      </c>
      <c r="F20" s="388">
        <f t="shared" ref="F20:P20" si="1">F76+F138+F159</f>
        <v>6259762.2000000002</v>
      </c>
      <c r="G20" s="388">
        <f t="shared" si="1"/>
        <v>5389058.9800000004</v>
      </c>
      <c r="H20" s="388">
        <f t="shared" si="1"/>
        <v>3245486.2300000004</v>
      </c>
      <c r="I20" s="388">
        <f t="shared" si="1"/>
        <v>2345630.7599999998</v>
      </c>
      <c r="J20" s="388">
        <f t="shared" si="1"/>
        <v>1931201.91</v>
      </c>
      <c r="K20" s="388">
        <f t="shared" si="1"/>
        <v>1759912.1999999997</v>
      </c>
      <c r="L20" s="388">
        <f t="shared" si="1"/>
        <v>1683596.0800000003</v>
      </c>
      <c r="M20" s="388">
        <f t="shared" si="1"/>
        <v>1720461.3</v>
      </c>
      <c r="N20" s="388">
        <f t="shared" si="1"/>
        <v>1895442.18</v>
      </c>
      <c r="O20" s="388">
        <f t="shared" si="1"/>
        <v>2803904.71</v>
      </c>
      <c r="P20" s="388">
        <f t="shared" si="1"/>
        <v>4902290.41</v>
      </c>
      <c r="Q20" s="231">
        <f>SUM(E20:P20)</f>
        <v>40415975.63000001</v>
      </c>
      <c r="T20" s="758"/>
      <c r="U20" s="758"/>
      <c r="V20" s="758"/>
    </row>
    <row r="21" spans="1:22" x14ac:dyDescent="0.2">
      <c r="A21" s="242">
        <f>A20+1</f>
        <v>5</v>
      </c>
      <c r="B21" s="389">
        <v>481.2</v>
      </c>
      <c r="C21" s="216" t="s">
        <v>228</v>
      </c>
      <c r="E21" s="231">
        <f t="shared" ref="E21:P21" si="2">E186+E193</f>
        <v>342485.52999999997</v>
      </c>
      <c r="F21" s="231">
        <f t="shared" si="2"/>
        <v>327060.07</v>
      </c>
      <c r="G21" s="231">
        <f t="shared" si="2"/>
        <v>219835.14</v>
      </c>
      <c r="H21" s="231">
        <f t="shared" si="2"/>
        <v>75860.06</v>
      </c>
      <c r="I21" s="231">
        <f t="shared" si="2"/>
        <v>74933.87999999999</v>
      </c>
      <c r="J21" s="231">
        <f t="shared" si="2"/>
        <v>54582.74</v>
      </c>
      <c r="K21" s="231">
        <f t="shared" si="2"/>
        <v>47694.21</v>
      </c>
      <c r="L21" s="231">
        <f t="shared" si="2"/>
        <v>60908.13</v>
      </c>
      <c r="M21" s="231">
        <f t="shared" si="2"/>
        <v>68175.72</v>
      </c>
      <c r="N21" s="231">
        <f t="shared" si="2"/>
        <v>98324.08</v>
      </c>
      <c r="O21" s="231">
        <f t="shared" si="2"/>
        <v>198197.70999999996</v>
      </c>
      <c r="P21" s="231">
        <f t="shared" si="2"/>
        <v>289755.88999999996</v>
      </c>
      <c r="Q21" s="231">
        <f>SUM(E21:P21)</f>
        <v>1857813.16</v>
      </c>
      <c r="T21" s="758"/>
      <c r="U21" s="758"/>
      <c r="V21" s="758"/>
    </row>
    <row r="22" spans="1:22" x14ac:dyDescent="0.2">
      <c r="A22" s="242">
        <f>A25+1</f>
        <v>8</v>
      </c>
      <c r="B22" s="242">
        <v>483</v>
      </c>
      <c r="C22" s="216" t="s">
        <v>230</v>
      </c>
      <c r="E22" s="390">
        <f t="shared" ref="E22:P22" si="3">E200</f>
        <v>13110.52</v>
      </c>
      <c r="F22" s="390">
        <f t="shared" si="3"/>
        <v>11586.72</v>
      </c>
      <c r="G22" s="390">
        <f t="shared" si="3"/>
        <v>12604.88</v>
      </c>
      <c r="H22" s="390">
        <f t="shared" si="3"/>
        <v>6083.2</v>
      </c>
      <c r="I22" s="390">
        <f t="shared" si="3"/>
        <v>5291.17</v>
      </c>
      <c r="J22" s="390">
        <f t="shared" si="3"/>
        <v>4794.13</v>
      </c>
      <c r="K22" s="390">
        <f t="shared" si="3"/>
        <v>3943.56</v>
      </c>
      <c r="L22" s="390">
        <f t="shared" si="3"/>
        <v>4143.8499999999995</v>
      </c>
      <c r="M22" s="390">
        <f t="shared" si="3"/>
        <v>3740.37</v>
      </c>
      <c r="N22" s="390">
        <f t="shared" si="3"/>
        <v>5210.8100000000004</v>
      </c>
      <c r="O22" s="390">
        <f t="shared" si="3"/>
        <v>7355.62</v>
      </c>
      <c r="P22" s="390">
        <f t="shared" si="3"/>
        <v>10499.1</v>
      </c>
      <c r="Q22" s="390">
        <f>SUM(E22:P22)</f>
        <v>88363.93</v>
      </c>
      <c r="T22" s="793"/>
      <c r="U22" s="793"/>
      <c r="V22" s="758"/>
    </row>
    <row r="23" spans="1:22" x14ac:dyDescent="0.2">
      <c r="A23" s="242">
        <f>A21+1</f>
        <v>6</v>
      </c>
      <c r="B23" s="389"/>
      <c r="C23" s="216" t="s">
        <v>229</v>
      </c>
      <c r="E23" s="386">
        <f t="shared" ref="E23:P23" si="4">SUM(E19:E22)</f>
        <v>22939933.540000003</v>
      </c>
      <c r="F23" s="386">
        <f t="shared" si="4"/>
        <v>22869614.73</v>
      </c>
      <c r="G23" s="386">
        <f t="shared" si="4"/>
        <v>18996728.820000004</v>
      </c>
      <c r="H23" s="386">
        <f t="shared" si="4"/>
        <v>12348119.060000001</v>
      </c>
      <c r="I23" s="386">
        <f t="shared" si="4"/>
        <v>8146330.0499999989</v>
      </c>
      <c r="J23" s="386">
        <f t="shared" si="4"/>
        <v>6509536.2400000002</v>
      </c>
      <c r="K23" s="386">
        <f t="shared" si="4"/>
        <v>5766474.209999999</v>
      </c>
      <c r="L23" s="386">
        <f t="shared" si="4"/>
        <v>5737486.3899999997</v>
      </c>
      <c r="M23" s="386">
        <f t="shared" si="4"/>
        <v>5893884.6200000001</v>
      </c>
      <c r="N23" s="386">
        <f t="shared" si="4"/>
        <v>6756173.4800000004</v>
      </c>
      <c r="O23" s="386">
        <f t="shared" si="4"/>
        <v>10261311.949999997</v>
      </c>
      <c r="P23" s="386">
        <f t="shared" si="4"/>
        <v>17958862.630000003</v>
      </c>
      <c r="Q23" s="386">
        <f>SUM(E23:P23)</f>
        <v>144184455.72</v>
      </c>
      <c r="T23" s="280"/>
      <c r="U23" s="280"/>
      <c r="V23" s="280"/>
    </row>
    <row r="24" spans="1:22" x14ac:dyDescent="0.2">
      <c r="B24" s="389"/>
      <c r="C24" s="216"/>
      <c r="T24" s="280"/>
      <c r="U24" s="280"/>
      <c r="V24" s="280"/>
    </row>
    <row r="25" spans="1:22" x14ac:dyDescent="0.2">
      <c r="A25" s="242">
        <f>A23+1</f>
        <v>7</v>
      </c>
      <c r="B25" s="389"/>
      <c r="C25" s="385" t="s">
        <v>282</v>
      </c>
      <c r="T25" s="280"/>
      <c r="U25" s="280"/>
      <c r="V25" s="280"/>
    </row>
    <row r="26" spans="1:22" x14ac:dyDescent="0.2">
      <c r="A26" s="242">
        <f>A22+1</f>
        <v>9</v>
      </c>
      <c r="B26" s="242">
        <v>489</v>
      </c>
      <c r="C26" s="216" t="s">
        <v>231</v>
      </c>
      <c r="E26" s="386">
        <f t="shared" ref="E26:P26" si="5">E227</f>
        <v>1331225.6243199999</v>
      </c>
      <c r="F26" s="386">
        <f t="shared" si="5"/>
        <v>1335351.0732799999</v>
      </c>
      <c r="G26" s="386">
        <f t="shared" si="5"/>
        <v>1120950.3622400002</v>
      </c>
      <c r="H26" s="386">
        <f t="shared" si="5"/>
        <v>826410.84447999997</v>
      </c>
      <c r="I26" s="386">
        <f t="shared" si="5"/>
        <v>594434.13584</v>
      </c>
      <c r="J26" s="386">
        <f t="shared" si="5"/>
        <v>502057.65528000001</v>
      </c>
      <c r="K26" s="386">
        <f t="shared" si="5"/>
        <v>459950.44624000002</v>
      </c>
      <c r="L26" s="386">
        <f t="shared" si="5"/>
        <v>461455.74407999997</v>
      </c>
      <c r="M26" s="386">
        <f t="shared" si="5"/>
        <v>463993.68935999996</v>
      </c>
      <c r="N26" s="386">
        <f t="shared" si="5"/>
        <v>510072.59591999999</v>
      </c>
      <c r="O26" s="386">
        <f t="shared" si="5"/>
        <v>677462.22464000003</v>
      </c>
      <c r="P26" s="386">
        <f t="shared" si="5"/>
        <v>1027938.024</v>
      </c>
      <c r="Q26" s="386">
        <f>SUM(E26:P26)</f>
        <v>9311302.4196799994</v>
      </c>
      <c r="T26" s="758"/>
      <c r="U26" s="758"/>
      <c r="V26" s="758"/>
    </row>
    <row r="27" spans="1:22" x14ac:dyDescent="0.2">
      <c r="A27" s="242">
        <f t="shared" ref="A27:A34" si="6">A26+1</f>
        <v>10</v>
      </c>
      <c r="B27" s="242">
        <v>489</v>
      </c>
      <c r="C27" s="216" t="s">
        <v>232</v>
      </c>
      <c r="E27" s="231">
        <f t="shared" ref="E27:P27" si="7">E234+E248+E262+E304+E352</f>
        <v>1625180.06</v>
      </c>
      <c r="F27" s="231">
        <f t="shared" si="7"/>
        <v>1582009.39</v>
      </c>
      <c r="G27" s="231">
        <f t="shared" si="7"/>
        <v>1351551.3399999999</v>
      </c>
      <c r="H27" s="231">
        <f t="shared" si="7"/>
        <v>1047440.34</v>
      </c>
      <c r="I27" s="231">
        <f t="shared" si="7"/>
        <v>831258.1</v>
      </c>
      <c r="J27" s="231">
        <f t="shared" si="7"/>
        <v>727091.56</v>
      </c>
      <c r="K27" s="231">
        <f t="shared" si="7"/>
        <v>688271.66999999993</v>
      </c>
      <c r="L27" s="231">
        <f t="shared" si="7"/>
        <v>684446.04999999993</v>
      </c>
      <c r="M27" s="231">
        <f t="shared" si="7"/>
        <v>696527.26</v>
      </c>
      <c r="N27" s="231">
        <f t="shared" si="7"/>
        <v>743023.22</v>
      </c>
      <c r="O27" s="231">
        <f t="shared" si="7"/>
        <v>979396.71</v>
      </c>
      <c r="P27" s="231">
        <f t="shared" si="7"/>
        <v>1359016.82</v>
      </c>
      <c r="Q27" s="231">
        <f t="shared" ref="Q27:Q33" si="8">SUM(E27:P27)</f>
        <v>12315212.52</v>
      </c>
      <c r="T27" s="758"/>
      <c r="U27" s="758"/>
      <c r="V27" s="758"/>
    </row>
    <row r="28" spans="1:22" x14ac:dyDescent="0.2">
      <c r="A28" s="242">
        <f t="shared" si="6"/>
        <v>11</v>
      </c>
      <c r="B28" s="242">
        <v>489</v>
      </c>
      <c r="C28" s="216" t="s">
        <v>233</v>
      </c>
      <c r="E28" s="231">
        <f t="shared" ref="E28:P28" si="9">E241+E255+E290+E297+E311+E318+E325+E359</f>
        <v>684609.59</v>
      </c>
      <c r="F28" s="231">
        <f t="shared" si="9"/>
        <v>623188.53999999992</v>
      </c>
      <c r="G28" s="231">
        <f t="shared" si="9"/>
        <v>670027.02999999991</v>
      </c>
      <c r="H28" s="231">
        <f t="shared" si="9"/>
        <v>575745.55999999994</v>
      </c>
      <c r="I28" s="231">
        <f t="shared" si="9"/>
        <v>531152.31999999995</v>
      </c>
      <c r="J28" s="231">
        <f t="shared" si="9"/>
        <v>487858.54999999993</v>
      </c>
      <c r="K28" s="231">
        <f t="shared" si="9"/>
        <v>445789.59</v>
      </c>
      <c r="L28" s="231">
        <f t="shared" si="9"/>
        <v>516929.22</v>
      </c>
      <c r="M28" s="231">
        <f t="shared" si="9"/>
        <v>524199.14999999991</v>
      </c>
      <c r="N28" s="231">
        <f t="shared" si="9"/>
        <v>589241.07000000007</v>
      </c>
      <c r="O28" s="231">
        <f t="shared" si="9"/>
        <v>641351.4</v>
      </c>
      <c r="P28" s="231">
        <f t="shared" si="9"/>
        <v>660671.19999999995</v>
      </c>
      <c r="Q28" s="231">
        <f t="shared" si="8"/>
        <v>6950763.2199999997</v>
      </c>
      <c r="T28" s="759"/>
      <c r="U28" s="759"/>
      <c r="V28" s="758"/>
    </row>
    <row r="29" spans="1:22" x14ac:dyDescent="0.2">
      <c r="A29" s="242">
        <f t="shared" si="6"/>
        <v>12</v>
      </c>
      <c r="B29" s="242">
        <v>487</v>
      </c>
      <c r="C29" s="216" t="s">
        <v>234</v>
      </c>
      <c r="E29" s="231">
        <f t="shared" ref="E29:P29" si="10">E365</f>
        <v>67578.209999999992</v>
      </c>
      <c r="F29" s="231">
        <f t="shared" si="10"/>
        <v>83481.47</v>
      </c>
      <c r="G29" s="231">
        <f t="shared" si="10"/>
        <v>70610.760000000009</v>
      </c>
      <c r="H29" s="231">
        <f t="shared" si="10"/>
        <v>43579.116666666676</v>
      </c>
      <c r="I29" s="231">
        <f t="shared" si="10"/>
        <v>29753.186666666661</v>
      </c>
      <c r="J29" s="231">
        <f t="shared" si="10"/>
        <v>28810.896666666667</v>
      </c>
      <c r="K29" s="231">
        <f t="shared" si="10"/>
        <v>21254.97</v>
      </c>
      <c r="L29" s="231">
        <f t="shared" si="10"/>
        <v>18780.786666666667</v>
      </c>
      <c r="M29" s="231">
        <f t="shared" si="10"/>
        <v>19824.786666666667</v>
      </c>
      <c r="N29" s="231">
        <f t="shared" si="10"/>
        <v>19942.410000000003</v>
      </c>
      <c r="O29" s="231">
        <f t="shared" si="10"/>
        <v>19331.786666666667</v>
      </c>
      <c r="P29" s="231">
        <f t="shared" si="10"/>
        <v>37689.259999999995</v>
      </c>
      <c r="Q29" s="231">
        <f t="shared" si="8"/>
        <v>460637.64000000007</v>
      </c>
      <c r="T29" s="758"/>
      <c r="U29" s="758"/>
      <c r="V29" s="758"/>
    </row>
    <row r="30" spans="1:22" x14ac:dyDescent="0.2">
      <c r="A30" s="242">
        <f t="shared" si="6"/>
        <v>13</v>
      </c>
      <c r="B30" s="242">
        <v>488</v>
      </c>
      <c r="C30" s="216" t="s">
        <v>235</v>
      </c>
      <c r="E30" s="231">
        <f t="shared" ref="E30:P30" si="11">E366</f>
        <v>5942.6066666666666</v>
      </c>
      <c r="F30" s="231">
        <f t="shared" si="11"/>
        <v>11364.44</v>
      </c>
      <c r="G30" s="231">
        <f t="shared" si="11"/>
        <v>8098.21</v>
      </c>
      <c r="H30" s="231">
        <f t="shared" si="11"/>
        <v>7979.916666666667</v>
      </c>
      <c r="I30" s="231">
        <f t="shared" si="11"/>
        <v>12876.963333333335</v>
      </c>
      <c r="J30" s="231">
        <f t="shared" si="11"/>
        <v>-6927.8566666666666</v>
      </c>
      <c r="K30" s="231">
        <f t="shared" si="11"/>
        <v>6255.206666666666</v>
      </c>
      <c r="L30" s="231">
        <f t="shared" si="11"/>
        <v>20702.363333333331</v>
      </c>
      <c r="M30" s="231">
        <f t="shared" si="11"/>
        <v>-7827.2333333333327</v>
      </c>
      <c r="N30" s="231">
        <f t="shared" si="11"/>
        <v>31071.313333333335</v>
      </c>
      <c r="O30" s="231">
        <f t="shared" si="11"/>
        <v>14409.32</v>
      </c>
      <c r="P30" s="231">
        <f t="shared" si="11"/>
        <v>13556.096666666666</v>
      </c>
      <c r="Q30" s="231">
        <f t="shared" si="8"/>
        <v>117501.34666666666</v>
      </c>
      <c r="T30" s="280"/>
      <c r="U30" s="280"/>
      <c r="V30" s="280"/>
    </row>
    <row r="31" spans="1:22" x14ac:dyDescent="0.2">
      <c r="A31" s="242">
        <f t="shared" si="6"/>
        <v>14</v>
      </c>
      <c r="B31" s="242">
        <v>493</v>
      </c>
      <c r="C31" s="213" t="s">
        <v>312</v>
      </c>
      <c r="E31" s="231">
        <f t="shared" ref="E31:P31" si="12">E367</f>
        <v>4169.666666666667</v>
      </c>
      <c r="F31" s="231">
        <f t="shared" si="12"/>
        <v>2762.3333333333335</v>
      </c>
      <c r="G31" s="231">
        <f t="shared" si="12"/>
        <v>3466</v>
      </c>
      <c r="H31" s="231">
        <f t="shared" si="12"/>
        <v>3466</v>
      </c>
      <c r="I31" s="231">
        <f t="shared" si="12"/>
        <v>3466</v>
      </c>
      <c r="J31" s="231">
        <f t="shared" si="12"/>
        <v>3466</v>
      </c>
      <c r="K31" s="231">
        <f t="shared" si="12"/>
        <v>3466</v>
      </c>
      <c r="L31" s="231">
        <f t="shared" si="12"/>
        <v>3466</v>
      </c>
      <c r="M31" s="231">
        <f t="shared" si="12"/>
        <v>3466</v>
      </c>
      <c r="N31" s="231">
        <f t="shared" si="12"/>
        <v>3466</v>
      </c>
      <c r="O31" s="231">
        <f t="shared" si="12"/>
        <v>3466</v>
      </c>
      <c r="P31" s="231">
        <f t="shared" si="12"/>
        <v>3466</v>
      </c>
      <c r="Q31" s="231">
        <f t="shared" si="8"/>
        <v>41592</v>
      </c>
      <c r="T31" s="280"/>
      <c r="U31" s="758"/>
      <c r="V31" s="280"/>
    </row>
    <row r="32" spans="1:22" x14ac:dyDescent="0.2">
      <c r="A32" s="242">
        <f t="shared" si="6"/>
        <v>15</v>
      </c>
      <c r="B32" s="242">
        <v>495</v>
      </c>
      <c r="C32" s="216" t="s">
        <v>236</v>
      </c>
      <c r="E32" s="231">
        <f t="shared" ref="E32:P32" si="13">E368</f>
        <v>0</v>
      </c>
      <c r="F32" s="231">
        <f t="shared" si="13"/>
        <v>0</v>
      </c>
      <c r="G32" s="231">
        <f t="shared" si="13"/>
        <v>0</v>
      </c>
      <c r="H32" s="231">
        <f t="shared" si="13"/>
        <v>0</v>
      </c>
      <c r="I32" s="231">
        <f t="shared" si="13"/>
        <v>0</v>
      </c>
      <c r="J32" s="231">
        <f t="shared" si="13"/>
        <v>0</v>
      </c>
      <c r="K32" s="231">
        <f t="shared" si="13"/>
        <v>0</v>
      </c>
      <c r="L32" s="231">
        <f t="shared" si="13"/>
        <v>0</v>
      </c>
      <c r="M32" s="231">
        <f t="shared" si="13"/>
        <v>0</v>
      </c>
      <c r="N32" s="231">
        <f t="shared" si="13"/>
        <v>0</v>
      </c>
      <c r="O32" s="231">
        <f t="shared" si="13"/>
        <v>0</v>
      </c>
      <c r="P32" s="231">
        <f t="shared" si="13"/>
        <v>0</v>
      </c>
      <c r="Q32" s="231">
        <f t="shared" si="8"/>
        <v>0</v>
      </c>
      <c r="T32" s="280"/>
      <c r="U32" s="280"/>
      <c r="V32" s="280"/>
    </row>
    <row r="33" spans="1:22" x14ac:dyDescent="0.2">
      <c r="A33" s="242">
        <f t="shared" si="6"/>
        <v>16</v>
      </c>
      <c r="B33" s="242">
        <v>495</v>
      </c>
      <c r="C33" s="216" t="s">
        <v>237</v>
      </c>
      <c r="E33" s="390">
        <f t="shared" ref="E33:P33" si="14">E369</f>
        <v>38507.726666666662</v>
      </c>
      <c r="F33" s="390">
        <f t="shared" si="14"/>
        <v>102473.7</v>
      </c>
      <c r="G33" s="390">
        <f t="shared" si="14"/>
        <v>48446.93</v>
      </c>
      <c r="H33" s="390">
        <f t="shared" si="14"/>
        <v>31408.923333333329</v>
      </c>
      <c r="I33" s="390">
        <f t="shared" si="14"/>
        <v>22219.25</v>
      </c>
      <c r="J33" s="390">
        <f t="shared" si="14"/>
        <v>29995.97</v>
      </c>
      <c r="K33" s="390">
        <f t="shared" si="14"/>
        <v>32668.956666666665</v>
      </c>
      <c r="L33" s="390">
        <f t="shared" si="14"/>
        <v>11055.753333333334</v>
      </c>
      <c r="M33" s="390">
        <f t="shared" si="14"/>
        <v>94743.723333333328</v>
      </c>
      <c r="N33" s="390">
        <f t="shared" si="14"/>
        <v>136060.20666666667</v>
      </c>
      <c r="O33" s="390">
        <f t="shared" si="14"/>
        <v>35411.036666666667</v>
      </c>
      <c r="P33" s="390">
        <f t="shared" si="14"/>
        <v>95390.256666666668</v>
      </c>
      <c r="Q33" s="390">
        <f t="shared" si="8"/>
        <v>678382.43333333335</v>
      </c>
      <c r="T33" s="280"/>
      <c r="U33" s="280"/>
      <c r="V33" s="280"/>
    </row>
    <row r="34" spans="1:22" x14ac:dyDescent="0.2">
      <c r="A34" s="242">
        <f t="shared" si="6"/>
        <v>17</v>
      </c>
      <c r="B34" s="216"/>
      <c r="C34" s="216" t="s">
        <v>283</v>
      </c>
      <c r="E34" s="386">
        <f t="shared" ref="E34:Q34" si="15">SUM(E26:E33)</f>
        <v>3757213.4843199993</v>
      </c>
      <c r="F34" s="386">
        <f t="shared" si="15"/>
        <v>3740630.9466133337</v>
      </c>
      <c r="G34" s="386">
        <f t="shared" si="15"/>
        <v>3273150.6322399997</v>
      </c>
      <c r="H34" s="386">
        <f t="shared" si="15"/>
        <v>2536030.7011466664</v>
      </c>
      <c r="I34" s="386">
        <f t="shared" si="15"/>
        <v>2025159.9558400002</v>
      </c>
      <c r="J34" s="386">
        <f t="shared" si="15"/>
        <v>1772352.7752799999</v>
      </c>
      <c r="K34" s="386">
        <f t="shared" si="15"/>
        <v>1657656.8395733335</v>
      </c>
      <c r="L34" s="386">
        <f t="shared" si="15"/>
        <v>1716835.9174133332</v>
      </c>
      <c r="M34" s="386">
        <f t="shared" si="15"/>
        <v>1794927.3760266665</v>
      </c>
      <c r="N34" s="386">
        <f t="shared" si="15"/>
        <v>2032876.81592</v>
      </c>
      <c r="O34" s="386">
        <f t="shared" si="15"/>
        <v>2370828.4779733331</v>
      </c>
      <c r="P34" s="386">
        <f t="shared" si="15"/>
        <v>3197727.657333333</v>
      </c>
      <c r="Q34" s="386">
        <f t="shared" si="15"/>
        <v>29875391.57968</v>
      </c>
      <c r="T34" s="280"/>
      <c r="U34" s="280"/>
      <c r="V34" s="280"/>
    </row>
    <row r="35" spans="1:22" x14ac:dyDescent="0.2">
      <c r="B35" s="216"/>
      <c r="C35" s="216"/>
      <c r="T35" s="818"/>
      <c r="U35" s="818"/>
      <c r="V35" s="280"/>
    </row>
    <row r="36" spans="1:22" x14ac:dyDescent="0.2">
      <c r="A36" s="242">
        <f>A34+1</f>
        <v>18</v>
      </c>
      <c r="B36" s="216"/>
      <c r="C36" s="216" t="s">
        <v>225</v>
      </c>
      <c r="E36" s="386">
        <f t="shared" ref="E36:P36" si="16">E23+E34</f>
        <v>26697147.024320003</v>
      </c>
      <c r="F36" s="386">
        <f t="shared" si="16"/>
        <v>26610245.676613335</v>
      </c>
      <c r="G36" s="386">
        <f t="shared" si="16"/>
        <v>22269879.452240005</v>
      </c>
      <c r="H36" s="386">
        <f t="shared" si="16"/>
        <v>14884149.761146666</v>
      </c>
      <c r="I36" s="386">
        <f t="shared" si="16"/>
        <v>10171490.00584</v>
      </c>
      <c r="J36" s="386">
        <f t="shared" si="16"/>
        <v>8281889.0152799999</v>
      </c>
      <c r="K36" s="386">
        <f t="shared" si="16"/>
        <v>7424131.0495733321</v>
      </c>
      <c r="L36" s="386">
        <f t="shared" si="16"/>
        <v>7454322.3074133331</v>
      </c>
      <c r="M36" s="386">
        <f t="shared" si="16"/>
        <v>7688811.9960266668</v>
      </c>
      <c r="N36" s="386">
        <f t="shared" si="16"/>
        <v>8789050.2959199995</v>
      </c>
      <c r="O36" s="386">
        <f t="shared" si="16"/>
        <v>12632140.42797333</v>
      </c>
      <c r="P36" s="386">
        <f t="shared" si="16"/>
        <v>21156590.287333336</v>
      </c>
      <c r="Q36" s="386">
        <f>SUM(E36:P36)</f>
        <v>174059847.29968002</v>
      </c>
      <c r="T36" s="672"/>
      <c r="U36" s="758"/>
      <c r="V36" s="280"/>
    </row>
    <row r="37" spans="1:22" x14ac:dyDescent="0.2">
      <c r="B37" s="216"/>
      <c r="C37" s="216"/>
      <c r="T37" s="280"/>
      <c r="U37" s="280"/>
      <c r="V37" s="280"/>
    </row>
    <row r="38" spans="1:22" x14ac:dyDescent="0.2">
      <c r="B38" s="216"/>
      <c r="C38" s="216"/>
      <c r="T38" s="280"/>
      <c r="U38" s="280"/>
      <c r="V38" s="280"/>
    </row>
    <row r="39" spans="1:22" x14ac:dyDescent="0.2">
      <c r="B39" s="216"/>
      <c r="C39" s="216"/>
      <c r="T39" s="280"/>
      <c r="U39" s="280"/>
      <c r="V39" s="280"/>
    </row>
    <row r="40" spans="1:22" x14ac:dyDescent="0.2">
      <c r="B40" s="216"/>
      <c r="C40" s="216"/>
    </row>
    <row r="41" spans="1:22" x14ac:dyDescent="0.2">
      <c r="B41" s="216"/>
      <c r="C41" s="216"/>
    </row>
    <row r="42" spans="1:22" x14ac:dyDescent="0.2">
      <c r="B42" s="216"/>
      <c r="C42" s="216"/>
    </row>
    <row r="43" spans="1:22" x14ac:dyDescent="0.2">
      <c r="B43" s="216"/>
      <c r="C43" s="216"/>
    </row>
    <row r="44" spans="1:22" x14ac:dyDescent="0.2">
      <c r="B44" s="216"/>
      <c r="C44" s="216"/>
    </row>
    <row r="45" spans="1:22" x14ac:dyDescent="0.2">
      <c r="B45" s="216"/>
      <c r="C45" s="216"/>
    </row>
    <row r="46" spans="1:22" x14ac:dyDescent="0.2">
      <c r="B46" s="216"/>
      <c r="C46" s="216"/>
    </row>
    <row r="47" spans="1:22" ht="10.5" x14ac:dyDescent="0.25">
      <c r="A47" s="819" t="str">
        <f>CONAME</f>
        <v>Columbia Gas of Kentucky, Inc.</v>
      </c>
      <c r="B47" s="819"/>
      <c r="C47" s="819"/>
      <c r="D47" s="819"/>
      <c r="E47" s="819"/>
      <c r="F47" s="819"/>
      <c r="G47" s="819"/>
      <c r="H47" s="819"/>
      <c r="I47" s="819"/>
      <c r="J47" s="819"/>
      <c r="K47" s="819"/>
      <c r="L47" s="819"/>
      <c r="M47" s="819"/>
      <c r="N47" s="819"/>
      <c r="O47" s="819"/>
      <c r="P47" s="819"/>
      <c r="Q47" s="819"/>
    </row>
    <row r="48" spans="1:22" ht="10.5" x14ac:dyDescent="0.25">
      <c r="A48" s="803" t="str">
        <f>case</f>
        <v>Case No. 2021-00183</v>
      </c>
      <c r="B48" s="803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3"/>
      <c r="P48" s="803"/>
      <c r="Q48" s="803"/>
    </row>
    <row r="49" spans="1:25" ht="10.5" x14ac:dyDescent="0.25">
      <c r="A49" s="820" t="s">
        <v>197</v>
      </c>
      <c r="B49" s="820"/>
      <c r="C49" s="820"/>
      <c r="D49" s="820"/>
      <c r="E49" s="820"/>
      <c r="F49" s="820"/>
      <c r="G49" s="820"/>
      <c r="H49" s="820"/>
      <c r="I49" s="820"/>
      <c r="J49" s="820"/>
      <c r="K49" s="820"/>
      <c r="L49" s="820"/>
      <c r="M49" s="820"/>
      <c r="N49" s="820"/>
      <c r="O49" s="820"/>
      <c r="P49" s="820"/>
      <c r="Q49" s="820"/>
    </row>
    <row r="50" spans="1:25" ht="10.5" x14ac:dyDescent="0.25">
      <c r="A50" s="819" t="str">
        <f>TYDESC</f>
        <v>For the 12 Months Ended December 31, 2022</v>
      </c>
      <c r="B50" s="819"/>
      <c r="C50" s="819"/>
      <c r="D50" s="819"/>
      <c r="E50" s="819"/>
      <c r="F50" s="819"/>
      <c r="G50" s="819"/>
      <c r="H50" s="819"/>
      <c r="I50" s="819"/>
      <c r="J50" s="819"/>
      <c r="K50" s="819"/>
      <c r="L50" s="819"/>
      <c r="M50" s="819"/>
      <c r="N50" s="819"/>
      <c r="O50" s="819"/>
      <c r="P50" s="819"/>
      <c r="Q50" s="819"/>
    </row>
    <row r="51" spans="1:25" ht="10.5" x14ac:dyDescent="0.25">
      <c r="A51" s="821" t="s">
        <v>39</v>
      </c>
      <c r="B51" s="821"/>
      <c r="C51" s="821"/>
      <c r="D51" s="821"/>
      <c r="E51" s="821"/>
      <c r="F51" s="821"/>
      <c r="G51" s="821"/>
      <c r="H51" s="821"/>
      <c r="I51" s="821"/>
      <c r="J51" s="821"/>
      <c r="K51" s="821"/>
      <c r="L51" s="821"/>
      <c r="M51" s="821"/>
      <c r="N51" s="821"/>
      <c r="O51" s="821"/>
      <c r="P51" s="821"/>
      <c r="Q51" s="821"/>
    </row>
    <row r="52" spans="1:25" ht="10.5" x14ac:dyDescent="0.25">
      <c r="A52" s="575" t="s">
        <v>445</v>
      </c>
    </row>
    <row r="53" spans="1:25" ht="10.5" x14ac:dyDescent="0.25">
      <c r="A53" s="575" t="s">
        <v>446</v>
      </c>
      <c r="Q53" s="372" t="s">
        <v>65</v>
      </c>
    </row>
    <row r="54" spans="1:25" ht="10.5" x14ac:dyDescent="0.25">
      <c r="A54" s="575" t="s">
        <v>63</v>
      </c>
      <c r="Q54" s="372" t="s">
        <v>417</v>
      </c>
    </row>
    <row r="55" spans="1:25" ht="10.5" x14ac:dyDescent="0.25">
      <c r="A55" s="576" t="s">
        <v>299</v>
      </c>
      <c r="Q55" s="372" t="str">
        <f>Witness</f>
        <v>Witness:  Judith L. Siegler</v>
      </c>
    </row>
    <row r="56" spans="1:25" ht="10.5" x14ac:dyDescent="0.25">
      <c r="A56" s="822" t="s">
        <v>291</v>
      </c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</row>
    <row r="57" spans="1:25" ht="10.5" x14ac:dyDescent="0.25">
      <c r="A57" s="219"/>
      <c r="B57" s="279"/>
      <c r="C57" s="279"/>
      <c r="D57" s="278"/>
      <c r="E57" s="279"/>
      <c r="F57" s="374"/>
      <c r="G57" s="393"/>
      <c r="H57" s="374"/>
      <c r="I57" s="394"/>
      <c r="J57" s="374"/>
      <c r="K57" s="374"/>
      <c r="L57" s="374"/>
      <c r="M57" s="374"/>
      <c r="N57" s="374"/>
      <c r="O57" s="374"/>
      <c r="P57" s="374"/>
      <c r="Q57" s="279"/>
    </row>
    <row r="58" spans="1:25" ht="10.5" x14ac:dyDescent="0.25">
      <c r="A58" s="717" t="s">
        <v>1</v>
      </c>
      <c r="B58" s="718" t="s">
        <v>0</v>
      </c>
      <c r="C58" s="718" t="s">
        <v>41</v>
      </c>
      <c r="D58" s="721" t="s">
        <v>30</v>
      </c>
      <c r="E58" s="376"/>
      <c r="F58" s="377"/>
      <c r="G58" s="376"/>
      <c r="H58" s="720"/>
      <c r="I58" s="376"/>
      <c r="J58" s="376"/>
      <c r="K58" s="376"/>
      <c r="L58" s="376"/>
      <c r="M58" s="376"/>
      <c r="N58" s="376"/>
      <c r="O58" s="719"/>
      <c r="P58" s="719"/>
      <c r="Q58" s="719"/>
    </row>
    <row r="59" spans="1:25" ht="10.5" x14ac:dyDescent="0.25">
      <c r="A59" s="263" t="s">
        <v>3</v>
      </c>
      <c r="B59" s="220" t="s">
        <v>40</v>
      </c>
      <c r="C59" s="220" t="s">
        <v>4</v>
      </c>
      <c r="D59" s="379" t="s">
        <v>48</v>
      </c>
      <c r="E59" s="380" t="str">
        <f>B!$D$11</f>
        <v>Jan-22</v>
      </c>
      <c r="F59" s="380" t="str">
        <f>B!$E$11</f>
        <v>Feb-22</v>
      </c>
      <c r="G59" s="380" t="str">
        <f>B!$F$11</f>
        <v>Mar-22</v>
      </c>
      <c r="H59" s="380" t="str">
        <f>B!$G$11</f>
        <v>Apr-22</v>
      </c>
      <c r="I59" s="380" t="str">
        <f>B!$H$11</f>
        <v>May-22</v>
      </c>
      <c r="J59" s="380" t="str">
        <f>B!$I$11</f>
        <v>Jun-22</v>
      </c>
      <c r="K59" s="380" t="str">
        <f>B!$J$11</f>
        <v>Jul-22</v>
      </c>
      <c r="L59" s="380" t="str">
        <f>B!$K$11</f>
        <v>Aug-22</v>
      </c>
      <c r="M59" s="380" t="str">
        <f>B!$L$11</f>
        <v>Sep-22</v>
      </c>
      <c r="N59" s="380" t="str">
        <f>B!$M$11</f>
        <v>Oct-22</v>
      </c>
      <c r="O59" s="380" t="str">
        <f>B!$N$11</f>
        <v>Nov-22</v>
      </c>
      <c r="P59" s="380" t="str">
        <f>B!$O$11</f>
        <v>Dec-22</v>
      </c>
      <c r="Q59" s="381" t="s">
        <v>9</v>
      </c>
      <c r="R59" s="264"/>
    </row>
    <row r="60" spans="1:25" ht="10.5" x14ac:dyDescent="0.25">
      <c r="A60" s="717"/>
      <c r="B60" s="719" t="s">
        <v>42</v>
      </c>
      <c r="C60" s="719" t="s">
        <v>43</v>
      </c>
      <c r="D60" s="382" t="s">
        <v>45</v>
      </c>
      <c r="E60" s="383" t="s">
        <v>46</v>
      </c>
      <c r="F60" s="383" t="s">
        <v>49</v>
      </c>
      <c r="G60" s="383" t="s">
        <v>50</v>
      </c>
      <c r="H60" s="383" t="s">
        <v>51</v>
      </c>
      <c r="I60" s="383" t="s">
        <v>52</v>
      </c>
      <c r="J60" s="384" t="s">
        <v>53</v>
      </c>
      <c r="K60" s="384" t="s">
        <v>54</v>
      </c>
      <c r="L60" s="384" t="s">
        <v>55</v>
      </c>
      <c r="M60" s="384" t="s">
        <v>56</v>
      </c>
      <c r="N60" s="384" t="s">
        <v>57</v>
      </c>
      <c r="O60" s="384" t="s">
        <v>58</v>
      </c>
      <c r="P60" s="384" t="s">
        <v>59</v>
      </c>
      <c r="Q60" s="384" t="s">
        <v>200</v>
      </c>
      <c r="R60" s="223"/>
    </row>
    <row r="61" spans="1:25" ht="10.5" x14ac:dyDescent="0.25">
      <c r="E61" s="719"/>
      <c r="F61" s="384"/>
      <c r="G61" s="395"/>
      <c r="H61" s="384"/>
      <c r="I61" s="383"/>
      <c r="J61" s="384"/>
      <c r="K61" s="384"/>
      <c r="L61" s="384"/>
      <c r="M61" s="384"/>
      <c r="N61" s="384"/>
      <c r="O61" s="384"/>
      <c r="P61" s="384"/>
      <c r="Q61" s="719"/>
    </row>
    <row r="62" spans="1:25" ht="10.5" x14ac:dyDescent="0.25">
      <c r="A62" s="242">
        <v>1</v>
      </c>
      <c r="C62" s="396" t="s">
        <v>94</v>
      </c>
      <c r="S62" s="279"/>
      <c r="T62" s="279"/>
      <c r="U62" s="279"/>
      <c r="V62" s="279"/>
      <c r="W62" s="279"/>
      <c r="X62" s="279"/>
      <c r="Y62" s="279"/>
    </row>
    <row r="63" spans="1:25" x14ac:dyDescent="0.2">
      <c r="S63" s="280"/>
      <c r="T63" s="280"/>
      <c r="U63" s="280"/>
      <c r="V63" s="280"/>
      <c r="W63" s="280"/>
      <c r="X63" s="279"/>
      <c r="Y63" s="279"/>
    </row>
    <row r="64" spans="1:25" ht="10.5" x14ac:dyDescent="0.25">
      <c r="A64" s="242">
        <f>A62+1</f>
        <v>2</v>
      </c>
      <c r="B64" s="213" t="str">
        <f>Input!A16</f>
        <v>GSR</v>
      </c>
      <c r="C64" s="213" t="str">
        <f>'Sch M 2.1'!B19</f>
        <v>General Service - Residential</v>
      </c>
      <c r="G64" s="270"/>
      <c r="H64" s="269"/>
      <c r="Q64" s="270"/>
      <c r="S64" s="392"/>
      <c r="T64" s="280"/>
      <c r="U64" s="280"/>
      <c r="V64" s="280"/>
      <c r="W64" s="280"/>
      <c r="X64" s="279"/>
      <c r="Y64" s="279"/>
    </row>
    <row r="65" spans="1:25" x14ac:dyDescent="0.2">
      <c r="A65" s="242">
        <f>A64+1</f>
        <v>3</v>
      </c>
      <c r="C65" s="400" t="s">
        <v>216</v>
      </c>
      <c r="E65" s="231">
        <f t="shared" ref="E65:P65" si="17">E397</f>
        <v>110183</v>
      </c>
      <c r="F65" s="231">
        <f t="shared" si="17"/>
        <v>110452</v>
      </c>
      <c r="G65" s="231">
        <f t="shared" si="17"/>
        <v>110749</v>
      </c>
      <c r="H65" s="231">
        <f t="shared" si="17"/>
        <v>109941</v>
      </c>
      <c r="I65" s="231">
        <f t="shared" si="17"/>
        <v>109375</v>
      </c>
      <c r="J65" s="231">
        <f t="shared" si="17"/>
        <v>108720</v>
      </c>
      <c r="K65" s="231">
        <f t="shared" si="17"/>
        <v>108575</v>
      </c>
      <c r="L65" s="231">
        <f t="shared" si="17"/>
        <v>108485</v>
      </c>
      <c r="M65" s="231">
        <f t="shared" si="17"/>
        <v>108035</v>
      </c>
      <c r="N65" s="231">
        <f t="shared" si="17"/>
        <v>108160</v>
      </c>
      <c r="O65" s="231">
        <f t="shared" si="17"/>
        <v>109559</v>
      </c>
      <c r="P65" s="231">
        <f t="shared" si="17"/>
        <v>111027</v>
      </c>
      <c r="Q65" s="231">
        <f>SUM(E65:P65)</f>
        <v>1313261</v>
      </c>
      <c r="S65" s="280"/>
      <c r="T65" s="282"/>
      <c r="U65" s="282"/>
      <c r="V65" s="441"/>
      <c r="W65" s="280"/>
      <c r="X65" s="279"/>
      <c r="Y65" s="279"/>
    </row>
    <row r="66" spans="1:25" x14ac:dyDescent="0.2">
      <c r="A66" s="242">
        <f>A65+1</f>
        <v>4</v>
      </c>
      <c r="C66" s="400" t="s">
        <v>483</v>
      </c>
      <c r="E66" s="234">
        <f t="shared" ref="E66:P66" si="18">E401</f>
        <v>1484059.2</v>
      </c>
      <c r="F66" s="234">
        <f t="shared" si="18"/>
        <v>1502349.6</v>
      </c>
      <c r="G66" s="234">
        <f t="shared" si="18"/>
        <v>1166162.7</v>
      </c>
      <c r="H66" s="234">
        <f t="shared" si="18"/>
        <v>664959.6</v>
      </c>
      <c r="I66" s="234">
        <f t="shared" si="18"/>
        <v>284958.40000000002</v>
      </c>
      <c r="J66" s="234">
        <f t="shared" si="18"/>
        <v>148158.1</v>
      </c>
      <c r="K66" s="234">
        <f t="shared" si="18"/>
        <v>83378.5</v>
      </c>
      <c r="L66" s="234">
        <f t="shared" si="18"/>
        <v>87613.7</v>
      </c>
      <c r="M66" s="234">
        <f t="shared" si="18"/>
        <v>102204</v>
      </c>
      <c r="N66" s="234">
        <f t="shared" si="18"/>
        <v>177653.4</v>
      </c>
      <c r="O66" s="234">
        <f t="shared" si="18"/>
        <v>461545.8</v>
      </c>
      <c r="P66" s="234">
        <f t="shared" si="18"/>
        <v>1093564.7</v>
      </c>
      <c r="Q66" s="234">
        <f>SUM(E66:P66)</f>
        <v>7256607.7000000002</v>
      </c>
      <c r="S66" s="280"/>
      <c r="T66" s="440"/>
      <c r="U66" s="440"/>
      <c r="V66" s="282"/>
      <c r="W66" s="280"/>
      <c r="X66" s="279"/>
      <c r="Y66" s="279"/>
    </row>
    <row r="67" spans="1:25" x14ac:dyDescent="0.2">
      <c r="A67" s="242">
        <f>A66+1</f>
        <v>5</v>
      </c>
      <c r="C67" s="400" t="s">
        <v>218</v>
      </c>
      <c r="E67" s="386">
        <f>E405+E416</f>
        <v>9593461.7200000007</v>
      </c>
      <c r="F67" s="386">
        <f t="shared" ref="F67:P67" si="19">F405+F416</f>
        <v>9679256.9800000004</v>
      </c>
      <c r="G67" s="386">
        <f t="shared" si="19"/>
        <v>8258436.21</v>
      </c>
      <c r="H67" s="386">
        <f t="shared" si="19"/>
        <v>6102949.5899999999</v>
      </c>
      <c r="I67" s="386">
        <f t="shared" si="19"/>
        <v>4470095.34</v>
      </c>
      <c r="J67" s="386">
        <f t="shared" si="19"/>
        <v>3868825.94</v>
      </c>
      <c r="K67" s="386">
        <f t="shared" si="19"/>
        <v>3589024.65</v>
      </c>
      <c r="L67" s="386">
        <f>L405+L416</f>
        <v>3604354.1700000004</v>
      </c>
      <c r="M67" s="386">
        <f t="shared" si="19"/>
        <v>3652995.39</v>
      </c>
      <c r="N67" s="386">
        <f t="shared" si="19"/>
        <v>3977575.25</v>
      </c>
      <c r="O67" s="386">
        <f t="shared" si="19"/>
        <v>5226532.2799999993</v>
      </c>
      <c r="P67" s="386">
        <f t="shared" si="19"/>
        <v>7957987.5700000003</v>
      </c>
      <c r="Q67" s="386">
        <f>SUM(E67:P67)</f>
        <v>69981495.090000004</v>
      </c>
      <c r="S67" s="280"/>
      <c r="T67" s="282"/>
      <c r="U67" s="282"/>
      <c r="V67" s="758"/>
      <c r="W67" s="793"/>
      <c r="X67" s="279"/>
      <c r="Y67" s="279"/>
    </row>
    <row r="68" spans="1:25" x14ac:dyDescent="0.2">
      <c r="A68" s="242">
        <f>A67+1</f>
        <v>6</v>
      </c>
      <c r="C68" s="400" t="s">
        <v>219</v>
      </c>
      <c r="E68" s="386">
        <f t="shared" ref="E68:P68" si="20">E407</f>
        <v>6510567.71</v>
      </c>
      <c r="F68" s="386">
        <f t="shared" si="20"/>
        <v>6590807.7000000002</v>
      </c>
      <c r="G68" s="386">
        <f t="shared" si="20"/>
        <v>5115955.76</v>
      </c>
      <c r="H68" s="386">
        <f t="shared" si="20"/>
        <v>2917177.77</v>
      </c>
      <c r="I68" s="386">
        <f t="shared" si="20"/>
        <v>1250112.5</v>
      </c>
      <c r="J68" s="386">
        <f t="shared" si="20"/>
        <v>649969.57999999996</v>
      </c>
      <c r="K68" s="386">
        <f t="shared" si="20"/>
        <v>365781.48</v>
      </c>
      <c r="L68" s="386">
        <f t="shared" si="20"/>
        <v>384361.3</v>
      </c>
      <c r="M68" s="386">
        <f t="shared" si="20"/>
        <v>448368.95</v>
      </c>
      <c r="N68" s="386">
        <f t="shared" si="20"/>
        <v>779365.47</v>
      </c>
      <c r="O68" s="386">
        <f t="shared" si="20"/>
        <v>2024801.42</v>
      </c>
      <c r="P68" s="386">
        <f t="shared" si="20"/>
        <v>4797468.34</v>
      </c>
      <c r="Q68" s="386">
        <f>SUM(E68:P68)</f>
        <v>31834737.98</v>
      </c>
      <c r="S68" s="280"/>
      <c r="T68" s="282"/>
      <c r="U68" s="282"/>
      <c r="V68" s="758"/>
      <c r="W68" s="280"/>
      <c r="X68" s="279"/>
      <c r="Y68" s="279"/>
    </row>
    <row r="69" spans="1:25" x14ac:dyDescent="0.2">
      <c r="A69" s="577">
        <f>A68+1</f>
        <v>7</v>
      </c>
      <c r="B69" s="403"/>
      <c r="C69" s="404" t="s">
        <v>484</v>
      </c>
      <c r="D69" s="405"/>
      <c r="E69" s="406">
        <f t="shared" ref="E69:P69" si="21">E418</f>
        <v>16104029.430000002</v>
      </c>
      <c r="F69" s="406">
        <f t="shared" si="21"/>
        <v>16270064.680000002</v>
      </c>
      <c r="G69" s="406">
        <f t="shared" si="21"/>
        <v>13374391.970000001</v>
      </c>
      <c r="H69" s="406">
        <f t="shared" si="21"/>
        <v>9020127.3600000013</v>
      </c>
      <c r="I69" s="406">
        <f t="shared" si="21"/>
        <v>5720207.8399999999</v>
      </c>
      <c r="J69" s="406">
        <f t="shared" si="21"/>
        <v>4518795.5200000005</v>
      </c>
      <c r="K69" s="406">
        <f t="shared" si="21"/>
        <v>3954806.13</v>
      </c>
      <c r="L69" s="406">
        <f t="shared" si="21"/>
        <v>3988715.47</v>
      </c>
      <c r="M69" s="406">
        <f t="shared" si="21"/>
        <v>4101364.3400000003</v>
      </c>
      <c r="N69" s="406">
        <f t="shared" si="21"/>
        <v>4756940.7200000007</v>
      </c>
      <c r="O69" s="406">
        <f t="shared" si="21"/>
        <v>7251333.6999999993</v>
      </c>
      <c r="P69" s="406">
        <f t="shared" si="21"/>
        <v>12755455.91</v>
      </c>
      <c r="Q69" s="715">
        <f>SUM(E69:P69)</f>
        <v>101816233.07000001</v>
      </c>
      <c r="S69" s="280"/>
      <c r="T69" s="282"/>
      <c r="U69" s="282"/>
      <c r="V69" s="676"/>
      <c r="W69" s="280"/>
      <c r="X69" s="279"/>
      <c r="Y69" s="279"/>
    </row>
    <row r="70" spans="1:25" x14ac:dyDescent="0.2">
      <c r="G70" s="270"/>
      <c r="H70" s="269"/>
      <c r="Q70" s="270"/>
      <c r="S70" s="280"/>
      <c r="T70" s="282"/>
      <c r="U70" s="280"/>
      <c r="V70" s="280"/>
      <c r="W70" s="280"/>
      <c r="X70" s="279"/>
      <c r="Y70" s="279"/>
    </row>
    <row r="71" spans="1:25" x14ac:dyDescent="0.2">
      <c r="A71" s="242">
        <f>A69+1</f>
        <v>8</v>
      </c>
      <c r="B71" s="213" t="str">
        <f>Input!A17</f>
        <v>G1C</v>
      </c>
      <c r="C71" s="213" t="str">
        <f>'Sch M 2.1'!B20</f>
        <v>LG&amp;E Commercial</v>
      </c>
      <c r="G71" s="270"/>
      <c r="Q71" s="270"/>
      <c r="S71" s="280"/>
      <c r="T71" s="282"/>
      <c r="U71" s="280"/>
      <c r="V71" s="280"/>
      <c r="W71" s="280"/>
      <c r="X71" s="279"/>
      <c r="Y71" s="279"/>
    </row>
    <row r="72" spans="1:25" x14ac:dyDescent="0.2">
      <c r="A72" s="242">
        <f>A71+1</f>
        <v>9</v>
      </c>
      <c r="C72" s="400" t="s">
        <v>216</v>
      </c>
      <c r="E72" s="231">
        <f t="shared" ref="E72:P72" si="22">E425</f>
        <v>0</v>
      </c>
      <c r="F72" s="231">
        <f t="shared" si="22"/>
        <v>0</v>
      </c>
      <c r="G72" s="231">
        <f t="shared" si="22"/>
        <v>0</v>
      </c>
      <c r="H72" s="231">
        <f t="shared" si="22"/>
        <v>0</v>
      </c>
      <c r="I72" s="231">
        <f t="shared" si="22"/>
        <v>0</v>
      </c>
      <c r="J72" s="231">
        <f t="shared" si="22"/>
        <v>0</v>
      </c>
      <c r="K72" s="231">
        <f t="shared" si="22"/>
        <v>0</v>
      </c>
      <c r="L72" s="231">
        <f t="shared" si="22"/>
        <v>0</v>
      </c>
      <c r="M72" s="231">
        <f t="shared" si="22"/>
        <v>0</v>
      </c>
      <c r="N72" s="231">
        <f t="shared" si="22"/>
        <v>0</v>
      </c>
      <c r="O72" s="231">
        <f t="shared" si="22"/>
        <v>0</v>
      </c>
      <c r="P72" s="231">
        <f t="shared" si="22"/>
        <v>0</v>
      </c>
      <c r="Q72" s="231">
        <f>SUM(E72:P72)</f>
        <v>0</v>
      </c>
      <c r="S72" s="280"/>
      <c r="T72" s="282"/>
      <c r="U72" s="280"/>
      <c r="V72" s="280"/>
      <c r="W72" s="280"/>
      <c r="X72" s="279"/>
      <c r="Y72" s="279"/>
    </row>
    <row r="73" spans="1:25" x14ac:dyDescent="0.2">
      <c r="A73" s="242">
        <f>A72+1</f>
        <v>10</v>
      </c>
      <c r="C73" s="400" t="s">
        <v>483</v>
      </c>
      <c r="E73" s="234">
        <f t="shared" ref="E73:P73" si="23">E428</f>
        <v>0</v>
      </c>
      <c r="F73" s="234">
        <f t="shared" si="23"/>
        <v>0</v>
      </c>
      <c r="G73" s="234">
        <f t="shared" si="23"/>
        <v>0</v>
      </c>
      <c r="H73" s="234">
        <f t="shared" si="23"/>
        <v>0</v>
      </c>
      <c r="I73" s="234">
        <f t="shared" si="23"/>
        <v>0</v>
      </c>
      <c r="J73" s="234">
        <f t="shared" si="23"/>
        <v>0</v>
      </c>
      <c r="K73" s="234">
        <f t="shared" si="23"/>
        <v>0</v>
      </c>
      <c r="L73" s="234">
        <f t="shared" si="23"/>
        <v>0</v>
      </c>
      <c r="M73" s="234">
        <f t="shared" si="23"/>
        <v>0</v>
      </c>
      <c r="N73" s="234">
        <f t="shared" si="23"/>
        <v>0</v>
      </c>
      <c r="O73" s="234">
        <f t="shared" si="23"/>
        <v>0</v>
      </c>
      <c r="P73" s="234">
        <f t="shared" si="23"/>
        <v>0</v>
      </c>
      <c r="Q73" s="234">
        <f>SUM(E73:P73)</f>
        <v>0</v>
      </c>
      <c r="S73" s="280"/>
      <c r="T73" s="282"/>
      <c r="U73" s="280"/>
      <c r="V73" s="280"/>
      <c r="W73" s="280"/>
      <c r="X73" s="279"/>
      <c r="Y73" s="279"/>
    </row>
    <row r="74" spans="1:25" x14ac:dyDescent="0.2">
      <c r="A74" s="242">
        <f>A73+1</f>
        <v>11</v>
      </c>
      <c r="C74" s="400" t="s">
        <v>218</v>
      </c>
      <c r="E74" s="386">
        <f t="shared" ref="E74:P74" si="24">E431</f>
        <v>0</v>
      </c>
      <c r="F74" s="386">
        <f t="shared" si="24"/>
        <v>0</v>
      </c>
      <c r="G74" s="386">
        <f t="shared" si="24"/>
        <v>0</v>
      </c>
      <c r="H74" s="386">
        <f t="shared" si="24"/>
        <v>0</v>
      </c>
      <c r="I74" s="386">
        <f t="shared" si="24"/>
        <v>0</v>
      </c>
      <c r="J74" s="386">
        <f t="shared" si="24"/>
        <v>0</v>
      </c>
      <c r="K74" s="386">
        <f t="shared" si="24"/>
        <v>0</v>
      </c>
      <c r="L74" s="386">
        <f t="shared" si="24"/>
        <v>0</v>
      </c>
      <c r="M74" s="386">
        <f t="shared" si="24"/>
        <v>0</v>
      </c>
      <c r="N74" s="386">
        <f t="shared" si="24"/>
        <v>0</v>
      </c>
      <c r="O74" s="386">
        <f t="shared" si="24"/>
        <v>0</v>
      </c>
      <c r="P74" s="386">
        <f t="shared" si="24"/>
        <v>0</v>
      </c>
      <c r="Q74" s="386">
        <f>SUM(E74:P74)</f>
        <v>0</v>
      </c>
      <c r="S74" s="280"/>
      <c r="T74" s="282"/>
      <c r="U74" s="280"/>
      <c r="V74" s="280"/>
      <c r="W74" s="280"/>
      <c r="X74" s="279"/>
      <c r="Y74" s="279"/>
    </row>
    <row r="75" spans="1:25" x14ac:dyDescent="0.2">
      <c r="A75" s="242">
        <f>A74+1</f>
        <v>12</v>
      </c>
      <c r="C75" s="400" t="s">
        <v>219</v>
      </c>
      <c r="E75" s="386">
        <f t="shared" ref="E75:P75" si="25">E433</f>
        <v>0</v>
      </c>
      <c r="F75" s="386">
        <f t="shared" si="25"/>
        <v>0</v>
      </c>
      <c r="G75" s="386">
        <f t="shared" si="25"/>
        <v>0</v>
      </c>
      <c r="H75" s="386">
        <f t="shared" si="25"/>
        <v>0</v>
      </c>
      <c r="I75" s="386">
        <f t="shared" si="25"/>
        <v>0</v>
      </c>
      <c r="J75" s="386">
        <f t="shared" si="25"/>
        <v>0</v>
      </c>
      <c r="K75" s="386">
        <f t="shared" si="25"/>
        <v>0</v>
      </c>
      <c r="L75" s="386">
        <f t="shared" si="25"/>
        <v>0</v>
      </c>
      <c r="M75" s="386">
        <f t="shared" si="25"/>
        <v>0</v>
      </c>
      <c r="N75" s="386">
        <f t="shared" si="25"/>
        <v>0</v>
      </c>
      <c r="O75" s="386">
        <f t="shared" si="25"/>
        <v>0</v>
      </c>
      <c r="P75" s="386">
        <f t="shared" si="25"/>
        <v>0</v>
      </c>
      <c r="Q75" s="386">
        <f>SUM(E75:P75)</f>
        <v>0</v>
      </c>
      <c r="S75" s="280"/>
      <c r="T75" s="280"/>
      <c r="U75" s="280"/>
      <c r="V75" s="280"/>
      <c r="W75" s="280"/>
      <c r="X75" s="279"/>
      <c r="Y75" s="279"/>
    </row>
    <row r="76" spans="1:25" x14ac:dyDescent="0.2">
      <c r="A76" s="577">
        <f>A75+1</f>
        <v>13</v>
      </c>
      <c r="B76" s="403"/>
      <c r="C76" s="404" t="s">
        <v>484</v>
      </c>
      <c r="D76" s="405"/>
      <c r="E76" s="406">
        <f t="shared" ref="E76:P76" si="26">E435</f>
        <v>0</v>
      </c>
      <c r="F76" s="406">
        <f t="shared" si="26"/>
        <v>0</v>
      </c>
      <c r="G76" s="406">
        <f t="shared" si="26"/>
        <v>0</v>
      </c>
      <c r="H76" s="406">
        <f t="shared" si="26"/>
        <v>0</v>
      </c>
      <c r="I76" s="406">
        <f t="shared" si="26"/>
        <v>0</v>
      </c>
      <c r="J76" s="406">
        <f t="shared" si="26"/>
        <v>0</v>
      </c>
      <c r="K76" s="406">
        <f t="shared" si="26"/>
        <v>0</v>
      </c>
      <c r="L76" s="406">
        <f t="shared" si="26"/>
        <v>0</v>
      </c>
      <c r="M76" s="406">
        <f t="shared" si="26"/>
        <v>0</v>
      </c>
      <c r="N76" s="406">
        <f t="shared" si="26"/>
        <v>0</v>
      </c>
      <c r="O76" s="406">
        <f t="shared" si="26"/>
        <v>0</v>
      </c>
      <c r="P76" s="406">
        <f t="shared" si="26"/>
        <v>0</v>
      </c>
      <c r="Q76" s="406">
        <f>SUM(E76:P76)</f>
        <v>0</v>
      </c>
      <c r="S76" s="280"/>
      <c r="T76" s="280"/>
      <c r="U76" s="280"/>
      <c r="V76" s="280"/>
      <c r="W76" s="280"/>
      <c r="X76" s="279"/>
      <c r="Y76" s="279"/>
    </row>
    <row r="77" spans="1:25" x14ac:dyDescent="0.2">
      <c r="G77" s="270"/>
      <c r="Q77" s="270"/>
      <c r="S77" s="280"/>
      <c r="T77" s="280"/>
      <c r="U77" s="280"/>
      <c r="V77" s="280"/>
      <c r="W77" s="280"/>
      <c r="X77" s="279"/>
      <c r="Y77" s="279"/>
    </row>
    <row r="78" spans="1:25" x14ac:dyDescent="0.2">
      <c r="A78" s="242">
        <f>A76+1</f>
        <v>14</v>
      </c>
      <c r="B78" s="213" t="str">
        <f>Input!A18</f>
        <v>G1R</v>
      </c>
      <c r="C78" s="213" t="str">
        <f>'Sch M 2.1'!B21</f>
        <v>LG&amp;E Residential</v>
      </c>
      <c r="G78" s="270"/>
      <c r="Q78" s="270"/>
      <c r="S78" s="280"/>
      <c r="T78" s="282"/>
      <c r="U78" s="280"/>
      <c r="V78" s="280"/>
      <c r="W78" s="280"/>
      <c r="X78" s="279"/>
      <c r="Y78" s="279"/>
    </row>
    <row r="79" spans="1:25" x14ac:dyDescent="0.2">
      <c r="A79" s="242">
        <f>A78+1</f>
        <v>15</v>
      </c>
      <c r="C79" s="400" t="s">
        <v>216</v>
      </c>
      <c r="E79" s="231">
        <f t="shared" ref="E79:P79" si="27">E460</f>
        <v>4</v>
      </c>
      <c r="F79" s="231">
        <f t="shared" si="27"/>
        <v>4</v>
      </c>
      <c r="G79" s="231">
        <f t="shared" si="27"/>
        <v>4</v>
      </c>
      <c r="H79" s="231">
        <f t="shared" si="27"/>
        <v>4</v>
      </c>
      <c r="I79" s="231">
        <f t="shared" si="27"/>
        <v>4</v>
      </c>
      <c r="J79" s="231">
        <f t="shared" si="27"/>
        <v>4</v>
      </c>
      <c r="K79" s="231">
        <f t="shared" si="27"/>
        <v>4</v>
      </c>
      <c r="L79" s="231">
        <f t="shared" si="27"/>
        <v>4</v>
      </c>
      <c r="M79" s="231">
        <f t="shared" si="27"/>
        <v>4</v>
      </c>
      <c r="N79" s="231">
        <f t="shared" si="27"/>
        <v>4</v>
      </c>
      <c r="O79" s="231">
        <f t="shared" si="27"/>
        <v>4</v>
      </c>
      <c r="P79" s="231">
        <f t="shared" si="27"/>
        <v>4</v>
      </c>
      <c r="Q79" s="231">
        <f>SUM(E79:P79)</f>
        <v>48</v>
      </c>
      <c r="S79" s="280"/>
      <c r="T79" s="282"/>
      <c r="U79" s="280"/>
      <c r="V79" s="280"/>
      <c r="W79" s="280"/>
      <c r="X79" s="279"/>
      <c r="Y79" s="279"/>
    </row>
    <row r="80" spans="1:25" x14ac:dyDescent="0.2">
      <c r="A80" s="242">
        <f>A79+1</f>
        <v>16</v>
      </c>
      <c r="C80" s="400" t="s">
        <v>483</v>
      </c>
      <c r="E80" s="234">
        <f t="shared" ref="E80:P80" si="28">E463</f>
        <v>90.7</v>
      </c>
      <c r="F80" s="234">
        <f t="shared" si="28"/>
        <v>99.9</v>
      </c>
      <c r="G80" s="234">
        <f t="shared" si="28"/>
        <v>67.7</v>
      </c>
      <c r="H80" s="234">
        <f t="shared" si="28"/>
        <v>41.7</v>
      </c>
      <c r="I80" s="234">
        <f t="shared" si="28"/>
        <v>15.5</v>
      </c>
      <c r="J80" s="234">
        <f t="shared" si="28"/>
        <v>6.8</v>
      </c>
      <c r="K80" s="234">
        <f t="shared" si="28"/>
        <v>2</v>
      </c>
      <c r="L80" s="234">
        <f t="shared" si="28"/>
        <v>2.2000000000000002</v>
      </c>
      <c r="M80" s="234">
        <f t="shared" si="28"/>
        <v>3.5</v>
      </c>
      <c r="N80" s="234">
        <f t="shared" si="28"/>
        <v>14.4</v>
      </c>
      <c r="O80" s="234">
        <f t="shared" si="28"/>
        <v>39.299999999999997</v>
      </c>
      <c r="P80" s="234">
        <f t="shared" si="28"/>
        <v>68.7</v>
      </c>
      <c r="Q80" s="234">
        <f>SUM(E80:P80)</f>
        <v>452.4</v>
      </c>
      <c r="S80" s="280"/>
      <c r="T80" s="282"/>
      <c r="U80" s="280"/>
      <c r="V80" s="280"/>
      <c r="W80" s="280"/>
      <c r="X80" s="279"/>
      <c r="Y80" s="279"/>
    </row>
    <row r="81" spans="1:25" x14ac:dyDescent="0.2">
      <c r="A81" s="242">
        <f>A80+1</f>
        <v>17</v>
      </c>
      <c r="C81" s="400" t="s">
        <v>218</v>
      </c>
      <c r="E81" s="386">
        <f t="shared" ref="E81:P81" si="29">E466</f>
        <v>443.1</v>
      </c>
      <c r="F81" s="386">
        <f t="shared" si="29"/>
        <v>478.99</v>
      </c>
      <c r="G81" s="386">
        <f t="shared" si="29"/>
        <v>353.38</v>
      </c>
      <c r="H81" s="386">
        <f t="shared" si="29"/>
        <v>251.95</v>
      </c>
      <c r="I81" s="386">
        <f t="shared" si="29"/>
        <v>149.75</v>
      </c>
      <c r="J81" s="386">
        <f t="shared" si="29"/>
        <v>115.81</v>
      </c>
      <c r="K81" s="386">
        <f t="shared" si="29"/>
        <v>97.08</v>
      </c>
      <c r="L81" s="386">
        <f>L466</f>
        <v>97.86</v>
      </c>
      <c r="M81" s="386">
        <f t="shared" si="29"/>
        <v>102.93</v>
      </c>
      <c r="N81" s="386">
        <f t="shared" si="29"/>
        <v>145.44999999999999</v>
      </c>
      <c r="O81" s="386">
        <f t="shared" si="29"/>
        <v>242.59</v>
      </c>
      <c r="P81" s="386">
        <f t="shared" si="29"/>
        <v>357.28</v>
      </c>
      <c r="Q81" s="386">
        <f>SUM(E81:P81)</f>
        <v>2836.17</v>
      </c>
      <c r="S81" s="280"/>
      <c r="T81" s="282"/>
      <c r="U81" s="280"/>
      <c r="V81" s="280"/>
      <c r="W81" s="280"/>
      <c r="X81" s="279"/>
      <c r="Y81" s="279"/>
    </row>
    <row r="82" spans="1:25" x14ac:dyDescent="0.2">
      <c r="A82" s="242">
        <f>A81+1</f>
        <v>18</v>
      </c>
      <c r="C82" s="400" t="s">
        <v>219</v>
      </c>
      <c r="E82" s="386">
        <f t="shared" ref="E82:P82" si="30">E468</f>
        <v>397.9</v>
      </c>
      <c r="F82" s="386">
        <f t="shared" si="30"/>
        <v>438.26</v>
      </c>
      <c r="G82" s="386">
        <f t="shared" si="30"/>
        <v>297</v>
      </c>
      <c r="H82" s="386">
        <f t="shared" si="30"/>
        <v>182.94</v>
      </c>
      <c r="I82" s="386">
        <f t="shared" si="30"/>
        <v>68</v>
      </c>
      <c r="J82" s="386">
        <f t="shared" si="30"/>
        <v>29.83</v>
      </c>
      <c r="K82" s="386">
        <f t="shared" si="30"/>
        <v>8.77</v>
      </c>
      <c r="L82" s="386">
        <f t="shared" si="30"/>
        <v>9.65</v>
      </c>
      <c r="M82" s="386">
        <f t="shared" si="30"/>
        <v>15.35</v>
      </c>
      <c r="N82" s="386">
        <f t="shared" si="30"/>
        <v>63.17</v>
      </c>
      <c r="O82" s="386">
        <f t="shared" si="30"/>
        <v>172.41</v>
      </c>
      <c r="P82" s="386">
        <f t="shared" si="30"/>
        <v>301.39</v>
      </c>
      <c r="Q82" s="386">
        <f>SUM(E82:P82)</f>
        <v>1984.67</v>
      </c>
      <c r="S82" s="280"/>
      <c r="T82" s="282"/>
      <c r="U82" s="280"/>
      <c r="V82" s="280"/>
      <c r="W82" s="280"/>
      <c r="X82" s="279"/>
      <c r="Y82" s="279"/>
    </row>
    <row r="83" spans="1:25" x14ac:dyDescent="0.2">
      <c r="A83" s="577">
        <f>A82+1</f>
        <v>19</v>
      </c>
      <c r="B83" s="403"/>
      <c r="C83" s="404" t="s">
        <v>484</v>
      </c>
      <c r="D83" s="405"/>
      <c r="E83" s="406">
        <f t="shared" ref="E83:P83" si="31">E470</f>
        <v>841</v>
      </c>
      <c r="F83" s="406">
        <f t="shared" si="31"/>
        <v>917.25</v>
      </c>
      <c r="G83" s="406">
        <f t="shared" si="31"/>
        <v>650.38</v>
      </c>
      <c r="H83" s="406">
        <f t="shared" si="31"/>
        <v>434.89</v>
      </c>
      <c r="I83" s="406">
        <f t="shared" si="31"/>
        <v>217.75</v>
      </c>
      <c r="J83" s="406">
        <f t="shared" si="31"/>
        <v>145.63999999999999</v>
      </c>
      <c r="K83" s="406">
        <f t="shared" si="31"/>
        <v>105.85</v>
      </c>
      <c r="L83" s="406">
        <f t="shared" si="31"/>
        <v>107.51</v>
      </c>
      <c r="M83" s="406">
        <f t="shared" si="31"/>
        <v>118.28</v>
      </c>
      <c r="N83" s="406">
        <f t="shared" si="31"/>
        <v>208.62</v>
      </c>
      <c r="O83" s="406">
        <f t="shared" si="31"/>
        <v>415</v>
      </c>
      <c r="P83" s="406">
        <f t="shared" si="31"/>
        <v>658.67</v>
      </c>
      <c r="Q83" s="715">
        <f>SUM(E83:P83)</f>
        <v>4820.84</v>
      </c>
      <c r="S83" s="280"/>
      <c r="T83" s="280"/>
      <c r="U83" s="280"/>
      <c r="V83" s="280"/>
      <c r="W83" s="280"/>
      <c r="X83" s="279"/>
      <c r="Y83" s="279"/>
    </row>
    <row r="84" spans="1:25" x14ac:dyDescent="0.2">
      <c r="G84" s="270"/>
      <c r="Q84" s="270"/>
      <c r="S84" s="280"/>
      <c r="T84" s="280"/>
      <c r="U84" s="280"/>
      <c r="V84" s="280"/>
      <c r="W84" s="280"/>
      <c r="X84" s="279"/>
      <c r="Y84" s="279"/>
    </row>
    <row r="85" spans="1:25" x14ac:dyDescent="0.2">
      <c r="A85" s="242">
        <f>A83+1</f>
        <v>20</v>
      </c>
      <c r="B85" s="213" t="str">
        <f>Input!A19</f>
        <v>IN3</v>
      </c>
      <c r="C85" s="213" t="str">
        <f>'Sch M 2.1'!B22</f>
        <v>Inland Gas General Service - Residential</v>
      </c>
      <c r="G85" s="270"/>
      <c r="Q85" s="270"/>
      <c r="S85" s="279"/>
      <c r="T85" s="279"/>
      <c r="U85" s="279"/>
      <c r="V85" s="279"/>
      <c r="W85" s="279"/>
      <c r="X85" s="279"/>
      <c r="Y85" s="279"/>
    </row>
    <row r="86" spans="1:25" x14ac:dyDescent="0.2">
      <c r="A86" s="242">
        <f>A85+1</f>
        <v>21</v>
      </c>
      <c r="C86" s="400" t="s">
        <v>216</v>
      </c>
      <c r="E86" s="231">
        <f t="shared" ref="E86:P86" si="32">E477</f>
        <v>10</v>
      </c>
      <c r="F86" s="231">
        <f t="shared" si="32"/>
        <v>10</v>
      </c>
      <c r="G86" s="231">
        <f t="shared" si="32"/>
        <v>10</v>
      </c>
      <c r="H86" s="231">
        <f t="shared" si="32"/>
        <v>10</v>
      </c>
      <c r="I86" s="231">
        <f t="shared" si="32"/>
        <v>10</v>
      </c>
      <c r="J86" s="231">
        <f t="shared" si="32"/>
        <v>10</v>
      </c>
      <c r="K86" s="231">
        <f t="shared" si="32"/>
        <v>10</v>
      </c>
      <c r="L86" s="231">
        <f t="shared" si="32"/>
        <v>10</v>
      </c>
      <c r="M86" s="231">
        <f t="shared" si="32"/>
        <v>10</v>
      </c>
      <c r="N86" s="231">
        <f t="shared" si="32"/>
        <v>10</v>
      </c>
      <c r="O86" s="231">
        <f t="shared" si="32"/>
        <v>10</v>
      </c>
      <c r="P86" s="231">
        <f t="shared" si="32"/>
        <v>10</v>
      </c>
      <c r="Q86" s="231">
        <f>SUM(E86:P86)</f>
        <v>120</v>
      </c>
      <c r="S86" s="279"/>
      <c r="T86" s="279"/>
      <c r="U86" s="279"/>
      <c r="V86" s="279"/>
      <c r="W86" s="279"/>
      <c r="X86" s="279"/>
      <c r="Y86" s="279"/>
    </row>
    <row r="87" spans="1:25" x14ac:dyDescent="0.2">
      <c r="A87" s="242">
        <f>A86+1</f>
        <v>22</v>
      </c>
      <c r="C87" s="400" t="s">
        <v>483</v>
      </c>
      <c r="E87" s="234">
        <f t="shared" ref="E87:P87" si="33">E480</f>
        <v>277.89999999999998</v>
      </c>
      <c r="F87" s="234">
        <f t="shared" si="33"/>
        <v>245</v>
      </c>
      <c r="G87" s="234">
        <f t="shared" si="33"/>
        <v>198.6</v>
      </c>
      <c r="H87" s="234">
        <f t="shared" si="33"/>
        <v>145.4</v>
      </c>
      <c r="I87" s="234">
        <f t="shared" si="33"/>
        <v>58.8</v>
      </c>
      <c r="J87" s="234">
        <f t="shared" si="33"/>
        <v>19.399999999999999</v>
      </c>
      <c r="K87" s="234">
        <f t="shared" si="33"/>
        <v>11.6</v>
      </c>
      <c r="L87" s="234">
        <f t="shared" si="33"/>
        <v>12.1</v>
      </c>
      <c r="M87" s="234">
        <f t="shared" si="33"/>
        <v>15.1</v>
      </c>
      <c r="N87" s="234">
        <f t="shared" si="33"/>
        <v>45.2</v>
      </c>
      <c r="O87" s="234">
        <f t="shared" si="33"/>
        <v>118.1</v>
      </c>
      <c r="P87" s="234">
        <f t="shared" si="33"/>
        <v>235.4</v>
      </c>
      <c r="Q87" s="234">
        <f>SUM(E87:P87)</f>
        <v>1382.6</v>
      </c>
    </row>
    <row r="88" spans="1:25" x14ac:dyDescent="0.2">
      <c r="A88" s="242">
        <f>A87+1</f>
        <v>23</v>
      </c>
      <c r="C88" s="400" t="s">
        <v>218</v>
      </c>
      <c r="E88" s="386">
        <f t="shared" ref="E88:P88" si="34">E483</f>
        <v>115.16</v>
      </c>
      <c r="F88" s="386">
        <f t="shared" si="34"/>
        <v>101.53</v>
      </c>
      <c r="G88" s="386">
        <f t="shared" si="34"/>
        <v>82.3</v>
      </c>
      <c r="H88" s="386">
        <f t="shared" si="34"/>
        <v>60.25</v>
      </c>
      <c r="I88" s="386">
        <f t="shared" si="34"/>
        <v>24.37</v>
      </c>
      <c r="J88" s="386">
        <f t="shared" si="34"/>
        <v>8.0399999999999991</v>
      </c>
      <c r="K88" s="386">
        <f t="shared" si="34"/>
        <v>4.8099999999999996</v>
      </c>
      <c r="L88" s="386">
        <f t="shared" si="34"/>
        <v>5.01</v>
      </c>
      <c r="M88" s="386">
        <f t="shared" si="34"/>
        <v>6.26</v>
      </c>
      <c r="N88" s="386">
        <f t="shared" si="34"/>
        <v>18.729999999999997</v>
      </c>
      <c r="O88" s="386">
        <f t="shared" si="34"/>
        <v>48.940000000000005</v>
      </c>
      <c r="P88" s="386">
        <f t="shared" si="34"/>
        <v>97.55</v>
      </c>
      <c r="Q88" s="386">
        <f>SUM(E88:P88)</f>
        <v>572.95000000000005</v>
      </c>
    </row>
    <row r="89" spans="1:25" x14ac:dyDescent="0.2">
      <c r="A89" s="242">
        <f>A88+1</f>
        <v>24</v>
      </c>
      <c r="C89" s="400" t="s">
        <v>219</v>
      </c>
      <c r="E89" s="386">
        <f t="shared" ref="E89:P89" si="35">E485</f>
        <v>0</v>
      </c>
      <c r="F89" s="386">
        <f t="shared" si="35"/>
        <v>0</v>
      </c>
      <c r="G89" s="386">
        <f t="shared" si="35"/>
        <v>0</v>
      </c>
      <c r="H89" s="386">
        <f t="shared" si="35"/>
        <v>0</v>
      </c>
      <c r="I89" s="386">
        <f t="shared" si="35"/>
        <v>0</v>
      </c>
      <c r="J89" s="386">
        <f t="shared" si="35"/>
        <v>0</v>
      </c>
      <c r="K89" s="386">
        <f t="shared" si="35"/>
        <v>0</v>
      </c>
      <c r="L89" s="386">
        <f t="shared" si="35"/>
        <v>0</v>
      </c>
      <c r="M89" s="386">
        <f t="shared" si="35"/>
        <v>0</v>
      </c>
      <c r="N89" s="386">
        <f t="shared" si="35"/>
        <v>0</v>
      </c>
      <c r="O89" s="386">
        <f t="shared" si="35"/>
        <v>0</v>
      </c>
      <c r="P89" s="386">
        <f t="shared" si="35"/>
        <v>0</v>
      </c>
      <c r="Q89" s="386">
        <f>SUM(E89:P89)</f>
        <v>0</v>
      </c>
    </row>
    <row r="90" spans="1:25" x14ac:dyDescent="0.2">
      <c r="A90" s="577">
        <f>A89+1</f>
        <v>25</v>
      </c>
      <c r="B90" s="403"/>
      <c r="C90" s="404" t="s">
        <v>484</v>
      </c>
      <c r="D90" s="405"/>
      <c r="E90" s="406">
        <f t="shared" ref="E90:P90" si="36">E487</f>
        <v>115.16</v>
      </c>
      <c r="F90" s="406">
        <f t="shared" si="36"/>
        <v>101.53</v>
      </c>
      <c r="G90" s="406">
        <f t="shared" si="36"/>
        <v>82.3</v>
      </c>
      <c r="H90" s="406">
        <f t="shared" si="36"/>
        <v>60.25</v>
      </c>
      <c r="I90" s="406">
        <f t="shared" si="36"/>
        <v>24.37</v>
      </c>
      <c r="J90" s="406">
        <f t="shared" si="36"/>
        <v>8.0399999999999991</v>
      </c>
      <c r="K90" s="406">
        <f t="shared" si="36"/>
        <v>4.8099999999999996</v>
      </c>
      <c r="L90" s="406">
        <f t="shared" si="36"/>
        <v>5.01</v>
      </c>
      <c r="M90" s="406">
        <f t="shared" si="36"/>
        <v>6.26</v>
      </c>
      <c r="N90" s="406">
        <f t="shared" si="36"/>
        <v>18.729999999999997</v>
      </c>
      <c r="O90" s="406">
        <f t="shared" si="36"/>
        <v>48.940000000000005</v>
      </c>
      <c r="P90" s="406">
        <f t="shared" si="36"/>
        <v>97.55</v>
      </c>
      <c r="Q90" s="715">
        <f>SUM(E90:P90)</f>
        <v>572.95000000000005</v>
      </c>
    </row>
    <row r="91" spans="1:25" x14ac:dyDescent="0.2">
      <c r="G91" s="270"/>
      <c r="Q91" s="270"/>
    </row>
    <row r="92" spans="1:25" x14ac:dyDescent="0.2">
      <c r="A92" s="242">
        <f>A90+1</f>
        <v>26</v>
      </c>
      <c r="B92" s="213" t="str">
        <f>Input!A21</f>
        <v>IN4</v>
      </c>
      <c r="C92" s="213" t="str">
        <f>'Sch M 2.1'!B23</f>
        <v>Inland Gas General Service - Residential</v>
      </c>
      <c r="G92" s="270"/>
      <c r="Q92" s="270"/>
    </row>
    <row r="93" spans="1:25" x14ac:dyDescent="0.2">
      <c r="A93" s="242">
        <f>A92+1</f>
        <v>27</v>
      </c>
      <c r="C93" s="400" t="s">
        <v>216</v>
      </c>
      <c r="E93" s="231">
        <f t="shared" ref="E93:P93" si="37">E494</f>
        <v>0</v>
      </c>
      <c r="F93" s="231">
        <f t="shared" si="37"/>
        <v>0</v>
      </c>
      <c r="G93" s="231">
        <f t="shared" si="37"/>
        <v>0</v>
      </c>
      <c r="H93" s="231">
        <f t="shared" si="37"/>
        <v>0</v>
      </c>
      <c r="I93" s="231">
        <f t="shared" si="37"/>
        <v>0</v>
      </c>
      <c r="J93" s="231">
        <f t="shared" si="37"/>
        <v>0</v>
      </c>
      <c r="K93" s="231">
        <f t="shared" si="37"/>
        <v>0</v>
      </c>
      <c r="L93" s="231">
        <f t="shared" si="37"/>
        <v>0</v>
      </c>
      <c r="M93" s="231">
        <f t="shared" si="37"/>
        <v>0</v>
      </c>
      <c r="N93" s="231">
        <f t="shared" si="37"/>
        <v>0</v>
      </c>
      <c r="O93" s="231">
        <f t="shared" si="37"/>
        <v>0</v>
      </c>
      <c r="P93" s="231">
        <f t="shared" si="37"/>
        <v>0</v>
      </c>
      <c r="Q93" s="231">
        <f>SUM(E93:P93)</f>
        <v>0</v>
      </c>
    </row>
    <row r="94" spans="1:25" x14ac:dyDescent="0.2">
      <c r="A94" s="242">
        <f>A93+1</f>
        <v>28</v>
      </c>
      <c r="C94" s="400" t="s">
        <v>483</v>
      </c>
      <c r="E94" s="234">
        <f t="shared" ref="E94:P94" si="38">E497</f>
        <v>0</v>
      </c>
      <c r="F94" s="234">
        <f t="shared" si="38"/>
        <v>0</v>
      </c>
      <c r="G94" s="234">
        <f t="shared" si="38"/>
        <v>0</v>
      </c>
      <c r="H94" s="234">
        <f t="shared" si="38"/>
        <v>0</v>
      </c>
      <c r="I94" s="234">
        <f t="shared" si="38"/>
        <v>0</v>
      </c>
      <c r="J94" s="234">
        <f t="shared" si="38"/>
        <v>0</v>
      </c>
      <c r="K94" s="234">
        <f t="shared" si="38"/>
        <v>0</v>
      </c>
      <c r="L94" s="234">
        <f t="shared" si="38"/>
        <v>0</v>
      </c>
      <c r="M94" s="234">
        <f t="shared" si="38"/>
        <v>0</v>
      </c>
      <c r="N94" s="234">
        <f t="shared" si="38"/>
        <v>0</v>
      </c>
      <c r="O94" s="234">
        <f t="shared" si="38"/>
        <v>0</v>
      </c>
      <c r="P94" s="234">
        <f t="shared" si="38"/>
        <v>0</v>
      </c>
      <c r="Q94" s="234">
        <f>SUM(E94:P94)</f>
        <v>0</v>
      </c>
    </row>
    <row r="95" spans="1:25" x14ac:dyDescent="0.2">
      <c r="A95" s="242">
        <f>A94+1</f>
        <v>29</v>
      </c>
      <c r="C95" s="400" t="s">
        <v>218</v>
      </c>
      <c r="E95" s="386">
        <f t="shared" ref="E95:P95" si="39">E500</f>
        <v>0</v>
      </c>
      <c r="F95" s="386">
        <f t="shared" si="39"/>
        <v>0</v>
      </c>
      <c r="G95" s="386">
        <f t="shared" si="39"/>
        <v>0</v>
      </c>
      <c r="H95" s="386">
        <f t="shared" si="39"/>
        <v>0</v>
      </c>
      <c r="I95" s="386">
        <f t="shared" si="39"/>
        <v>0</v>
      </c>
      <c r="J95" s="386">
        <f t="shared" si="39"/>
        <v>0</v>
      </c>
      <c r="K95" s="386">
        <f t="shared" si="39"/>
        <v>0</v>
      </c>
      <c r="L95" s="386">
        <f t="shared" si="39"/>
        <v>0</v>
      </c>
      <c r="M95" s="386">
        <f t="shared" si="39"/>
        <v>0</v>
      </c>
      <c r="N95" s="386">
        <f t="shared" si="39"/>
        <v>0</v>
      </c>
      <c r="O95" s="386">
        <f t="shared" si="39"/>
        <v>0</v>
      </c>
      <c r="P95" s="386">
        <f t="shared" si="39"/>
        <v>0</v>
      </c>
      <c r="Q95" s="386">
        <f>SUM(E95:P95)</f>
        <v>0</v>
      </c>
    </row>
    <row r="96" spans="1:25" x14ac:dyDescent="0.2">
      <c r="A96" s="242">
        <f>A95+1</f>
        <v>30</v>
      </c>
      <c r="C96" s="400" t="s">
        <v>219</v>
      </c>
      <c r="E96" s="386">
        <f t="shared" ref="E96:P96" si="40">E502</f>
        <v>0</v>
      </c>
      <c r="F96" s="386">
        <f t="shared" si="40"/>
        <v>0</v>
      </c>
      <c r="G96" s="386">
        <f t="shared" si="40"/>
        <v>0</v>
      </c>
      <c r="H96" s="386">
        <f t="shared" si="40"/>
        <v>0</v>
      </c>
      <c r="I96" s="386">
        <f t="shared" si="40"/>
        <v>0</v>
      </c>
      <c r="J96" s="386">
        <f t="shared" si="40"/>
        <v>0</v>
      </c>
      <c r="K96" s="386">
        <f t="shared" si="40"/>
        <v>0</v>
      </c>
      <c r="L96" s="386">
        <f t="shared" si="40"/>
        <v>0</v>
      </c>
      <c r="M96" s="386">
        <f t="shared" si="40"/>
        <v>0</v>
      </c>
      <c r="N96" s="386">
        <f t="shared" si="40"/>
        <v>0</v>
      </c>
      <c r="O96" s="386">
        <f t="shared" si="40"/>
        <v>0</v>
      </c>
      <c r="P96" s="386">
        <f t="shared" si="40"/>
        <v>0</v>
      </c>
      <c r="Q96" s="386">
        <f>SUM(E96:P96)</f>
        <v>0</v>
      </c>
    </row>
    <row r="97" spans="1:18" x14ac:dyDescent="0.2">
      <c r="A97" s="577">
        <f>A96+1</f>
        <v>31</v>
      </c>
      <c r="B97" s="403"/>
      <c r="C97" s="404" t="s">
        <v>484</v>
      </c>
      <c r="D97" s="405"/>
      <c r="E97" s="406">
        <f t="shared" ref="E97:P97" si="41">E504</f>
        <v>0</v>
      </c>
      <c r="F97" s="406">
        <f t="shared" si="41"/>
        <v>0</v>
      </c>
      <c r="G97" s="406">
        <f t="shared" si="41"/>
        <v>0</v>
      </c>
      <c r="H97" s="406">
        <f t="shared" si="41"/>
        <v>0</v>
      </c>
      <c r="I97" s="406">
        <f t="shared" si="41"/>
        <v>0</v>
      </c>
      <c r="J97" s="406">
        <f t="shared" si="41"/>
        <v>0</v>
      </c>
      <c r="K97" s="406">
        <f t="shared" si="41"/>
        <v>0</v>
      </c>
      <c r="L97" s="406">
        <f t="shared" si="41"/>
        <v>0</v>
      </c>
      <c r="M97" s="406">
        <f t="shared" si="41"/>
        <v>0</v>
      </c>
      <c r="N97" s="406">
        <f t="shared" si="41"/>
        <v>0</v>
      </c>
      <c r="O97" s="406">
        <f t="shared" si="41"/>
        <v>0</v>
      </c>
      <c r="P97" s="406">
        <f t="shared" si="41"/>
        <v>0</v>
      </c>
      <c r="Q97" s="406">
        <f>SUM(E97:P97)</f>
        <v>0</v>
      </c>
    </row>
    <row r="98" spans="1:18" x14ac:dyDescent="0.2">
      <c r="G98" s="270"/>
      <c r="Q98" s="270"/>
    </row>
    <row r="99" spans="1:18" x14ac:dyDescent="0.2">
      <c r="A99" s="242">
        <f>A97+1</f>
        <v>32</v>
      </c>
      <c r="B99" s="213" t="str">
        <f>Input!A22</f>
        <v>IN5</v>
      </c>
      <c r="C99" s="213" t="str">
        <f>'Sch M 2.1'!B24</f>
        <v>Inland Gas General Service - Residential</v>
      </c>
      <c r="G99" s="270"/>
      <c r="Q99" s="270"/>
    </row>
    <row r="100" spans="1:18" x14ac:dyDescent="0.2">
      <c r="A100" s="242">
        <f>A99+1</f>
        <v>33</v>
      </c>
      <c r="C100" s="400" t="s">
        <v>216</v>
      </c>
      <c r="E100" s="231">
        <f t="shared" ref="E100:P100" si="42">E528</f>
        <v>3</v>
      </c>
      <c r="F100" s="231">
        <f t="shared" si="42"/>
        <v>3</v>
      </c>
      <c r="G100" s="231">
        <f t="shared" si="42"/>
        <v>3</v>
      </c>
      <c r="H100" s="231">
        <f t="shared" si="42"/>
        <v>3</v>
      </c>
      <c r="I100" s="231">
        <f t="shared" si="42"/>
        <v>3</v>
      </c>
      <c r="J100" s="231">
        <f t="shared" si="42"/>
        <v>3</v>
      </c>
      <c r="K100" s="231">
        <f t="shared" si="42"/>
        <v>3</v>
      </c>
      <c r="L100" s="231">
        <f t="shared" si="42"/>
        <v>3</v>
      </c>
      <c r="M100" s="231">
        <f t="shared" si="42"/>
        <v>3</v>
      </c>
      <c r="N100" s="231">
        <f t="shared" si="42"/>
        <v>3</v>
      </c>
      <c r="O100" s="231">
        <f t="shared" si="42"/>
        <v>3</v>
      </c>
      <c r="P100" s="231">
        <f t="shared" si="42"/>
        <v>3</v>
      </c>
      <c r="Q100" s="231">
        <f>SUM(E100:P100)</f>
        <v>36</v>
      </c>
    </row>
    <row r="101" spans="1:18" x14ac:dyDescent="0.2">
      <c r="A101" s="242">
        <f>A100+1</f>
        <v>34</v>
      </c>
      <c r="C101" s="400" t="s">
        <v>483</v>
      </c>
      <c r="E101" s="234">
        <f t="shared" ref="E101:P101" si="43">E531</f>
        <v>52.6</v>
      </c>
      <c r="F101" s="234">
        <f t="shared" si="43"/>
        <v>46.7</v>
      </c>
      <c r="G101" s="234">
        <f t="shared" si="43"/>
        <v>43.2</v>
      </c>
      <c r="H101" s="234">
        <f t="shared" si="43"/>
        <v>28</v>
      </c>
      <c r="I101" s="234">
        <f t="shared" si="43"/>
        <v>11.2</v>
      </c>
      <c r="J101" s="234">
        <f t="shared" si="43"/>
        <v>2.9</v>
      </c>
      <c r="K101" s="234">
        <f t="shared" si="43"/>
        <v>2.4</v>
      </c>
      <c r="L101" s="234">
        <f t="shared" si="43"/>
        <v>2.7</v>
      </c>
      <c r="M101" s="234">
        <f t="shared" si="43"/>
        <v>2.9</v>
      </c>
      <c r="N101" s="234">
        <f t="shared" si="43"/>
        <v>4.7</v>
      </c>
      <c r="O101" s="234">
        <f t="shared" si="43"/>
        <v>21.8</v>
      </c>
      <c r="P101" s="234">
        <f t="shared" si="43"/>
        <v>44.7</v>
      </c>
      <c r="Q101" s="234">
        <f>SUM(E101:P101)</f>
        <v>263.8</v>
      </c>
    </row>
    <row r="102" spans="1:18" x14ac:dyDescent="0.2">
      <c r="A102" s="242">
        <f>A101+1</f>
        <v>35</v>
      </c>
      <c r="C102" s="400" t="s">
        <v>218</v>
      </c>
      <c r="E102" s="386">
        <f t="shared" ref="E102:P102" si="44">E534</f>
        <v>32.32</v>
      </c>
      <c r="F102" s="386">
        <f t="shared" si="44"/>
        <v>28.69</v>
      </c>
      <c r="G102" s="386">
        <f t="shared" si="44"/>
        <v>26.540000000000003</v>
      </c>
      <c r="H102" s="386">
        <f t="shared" si="44"/>
        <v>17.2</v>
      </c>
      <c r="I102" s="386">
        <f t="shared" si="44"/>
        <v>6.88</v>
      </c>
      <c r="J102" s="386">
        <f t="shared" si="44"/>
        <v>1.78</v>
      </c>
      <c r="K102" s="386">
        <f t="shared" si="44"/>
        <v>1.47</v>
      </c>
      <c r="L102" s="386">
        <f t="shared" si="44"/>
        <v>1.6600000000000001</v>
      </c>
      <c r="M102" s="386">
        <f t="shared" si="44"/>
        <v>1.78</v>
      </c>
      <c r="N102" s="386">
        <f t="shared" si="44"/>
        <v>2.8899999999999997</v>
      </c>
      <c r="O102" s="386">
        <f t="shared" si="44"/>
        <v>13.39</v>
      </c>
      <c r="P102" s="386">
        <f t="shared" si="44"/>
        <v>27.46</v>
      </c>
      <c r="Q102" s="386">
        <f>SUM(E102:P102)</f>
        <v>162.06000000000003</v>
      </c>
    </row>
    <row r="103" spans="1:18" x14ac:dyDescent="0.2">
      <c r="A103" s="242">
        <f>A102+1</f>
        <v>36</v>
      </c>
      <c r="C103" s="400" t="s">
        <v>219</v>
      </c>
      <c r="E103" s="386">
        <f t="shared" ref="E103:P103" si="45">E536</f>
        <v>0</v>
      </c>
      <c r="F103" s="386">
        <f t="shared" si="45"/>
        <v>0</v>
      </c>
      <c r="G103" s="386">
        <f t="shared" si="45"/>
        <v>0</v>
      </c>
      <c r="H103" s="386">
        <f t="shared" si="45"/>
        <v>0</v>
      </c>
      <c r="I103" s="386">
        <f t="shared" si="45"/>
        <v>0</v>
      </c>
      <c r="J103" s="386">
        <f t="shared" si="45"/>
        <v>0</v>
      </c>
      <c r="K103" s="386">
        <f t="shared" si="45"/>
        <v>0</v>
      </c>
      <c r="L103" s="386">
        <f t="shared" si="45"/>
        <v>0</v>
      </c>
      <c r="M103" s="386">
        <f t="shared" si="45"/>
        <v>0</v>
      </c>
      <c r="N103" s="386">
        <f t="shared" si="45"/>
        <v>0</v>
      </c>
      <c r="O103" s="386">
        <f t="shared" si="45"/>
        <v>0</v>
      </c>
      <c r="P103" s="386">
        <f t="shared" si="45"/>
        <v>0</v>
      </c>
      <c r="Q103" s="386">
        <f>SUM(E103:P103)</f>
        <v>0</v>
      </c>
    </row>
    <row r="104" spans="1:18" x14ac:dyDescent="0.2">
      <c r="A104" s="577">
        <f>A103+1</f>
        <v>37</v>
      </c>
      <c r="B104" s="403"/>
      <c r="C104" s="404" t="s">
        <v>484</v>
      </c>
      <c r="D104" s="405"/>
      <c r="E104" s="406">
        <f t="shared" ref="E104:P104" si="46">E538</f>
        <v>32.32</v>
      </c>
      <c r="F104" s="406">
        <f t="shared" si="46"/>
        <v>28.69</v>
      </c>
      <c r="G104" s="406">
        <f t="shared" si="46"/>
        <v>26.540000000000003</v>
      </c>
      <c r="H104" s="406">
        <f t="shared" si="46"/>
        <v>17.2</v>
      </c>
      <c r="I104" s="406">
        <f t="shared" si="46"/>
        <v>6.88</v>
      </c>
      <c r="J104" s="406">
        <f t="shared" si="46"/>
        <v>1.78</v>
      </c>
      <c r="K104" s="406">
        <f t="shared" si="46"/>
        <v>1.47</v>
      </c>
      <c r="L104" s="406">
        <f t="shared" si="46"/>
        <v>1.6600000000000001</v>
      </c>
      <c r="M104" s="406">
        <f t="shared" si="46"/>
        <v>1.78</v>
      </c>
      <c r="N104" s="406">
        <f t="shared" si="46"/>
        <v>2.8899999999999997</v>
      </c>
      <c r="O104" s="406">
        <f t="shared" si="46"/>
        <v>13.39</v>
      </c>
      <c r="P104" s="406">
        <f t="shared" si="46"/>
        <v>27.46</v>
      </c>
      <c r="Q104" s="715">
        <f>SUM(E104:P104)</f>
        <v>162.06000000000003</v>
      </c>
    </row>
    <row r="107" spans="1:18" x14ac:dyDescent="0.2">
      <c r="A107" s="504" t="s">
        <v>113</v>
      </c>
    </row>
    <row r="108" spans="1:18" x14ac:dyDescent="0.2">
      <c r="A108" s="504" t="s">
        <v>488</v>
      </c>
    </row>
    <row r="109" spans="1:18" ht="10.5" x14ac:dyDescent="0.25">
      <c r="A109" s="819" t="str">
        <f>CONAME</f>
        <v>Columbia Gas of Kentucky, Inc.</v>
      </c>
      <c r="B109" s="819"/>
      <c r="C109" s="819"/>
      <c r="D109" s="819"/>
      <c r="E109" s="819"/>
      <c r="F109" s="819"/>
      <c r="G109" s="819"/>
      <c r="H109" s="819"/>
      <c r="I109" s="819"/>
      <c r="J109" s="819"/>
      <c r="K109" s="819"/>
      <c r="L109" s="819"/>
      <c r="M109" s="819"/>
      <c r="N109" s="819"/>
      <c r="O109" s="819"/>
      <c r="P109" s="819"/>
      <c r="Q109" s="819"/>
      <c r="R109" s="410"/>
    </row>
    <row r="110" spans="1:18" ht="10.5" x14ac:dyDescent="0.25">
      <c r="A110" s="803" t="str">
        <f>case</f>
        <v>Case No. 2021-00183</v>
      </c>
      <c r="B110" s="803"/>
      <c r="C110" s="803"/>
      <c r="D110" s="803"/>
      <c r="E110" s="803"/>
      <c r="F110" s="803"/>
      <c r="G110" s="803"/>
      <c r="H110" s="803"/>
      <c r="I110" s="803"/>
      <c r="J110" s="803"/>
      <c r="K110" s="803"/>
      <c r="L110" s="803"/>
      <c r="M110" s="803"/>
      <c r="N110" s="803"/>
      <c r="O110" s="803"/>
      <c r="P110" s="803"/>
      <c r="Q110" s="803"/>
      <c r="R110" s="410"/>
    </row>
    <row r="111" spans="1:18" ht="10.5" x14ac:dyDescent="0.25">
      <c r="A111" s="820" t="s">
        <v>197</v>
      </c>
      <c r="B111" s="820"/>
      <c r="C111" s="820"/>
      <c r="D111" s="820"/>
      <c r="E111" s="820"/>
      <c r="F111" s="820"/>
      <c r="G111" s="820"/>
      <c r="H111" s="820"/>
      <c r="I111" s="820"/>
      <c r="J111" s="820"/>
      <c r="K111" s="820"/>
      <c r="L111" s="820"/>
      <c r="M111" s="820"/>
      <c r="N111" s="820"/>
      <c r="O111" s="820"/>
      <c r="P111" s="820"/>
      <c r="Q111" s="820"/>
      <c r="R111" s="410"/>
    </row>
    <row r="112" spans="1:18" ht="10.5" x14ac:dyDescent="0.25">
      <c r="A112" s="819" t="str">
        <f>TYDESC</f>
        <v>For the 12 Months Ended December 31, 2022</v>
      </c>
      <c r="B112" s="819"/>
      <c r="C112" s="819"/>
      <c r="D112" s="819"/>
      <c r="E112" s="819"/>
      <c r="F112" s="819"/>
      <c r="G112" s="819"/>
      <c r="H112" s="819"/>
      <c r="I112" s="819"/>
      <c r="J112" s="819"/>
      <c r="K112" s="819"/>
      <c r="L112" s="819"/>
      <c r="M112" s="819"/>
      <c r="N112" s="819"/>
      <c r="O112" s="819"/>
      <c r="P112" s="819"/>
      <c r="Q112" s="819"/>
      <c r="R112" s="410"/>
    </row>
    <row r="113" spans="1:18" ht="10.5" x14ac:dyDescent="0.25">
      <c r="A113" s="821" t="s">
        <v>39</v>
      </c>
      <c r="B113" s="821"/>
      <c r="C113" s="821"/>
      <c r="D113" s="821"/>
      <c r="E113" s="821"/>
      <c r="F113" s="821"/>
      <c r="G113" s="821"/>
      <c r="H113" s="821"/>
      <c r="I113" s="821"/>
      <c r="J113" s="821"/>
      <c r="K113" s="821"/>
      <c r="L113" s="821"/>
      <c r="M113" s="821"/>
      <c r="N113" s="821"/>
      <c r="O113" s="821"/>
      <c r="P113" s="821"/>
      <c r="Q113" s="821"/>
      <c r="R113" s="410"/>
    </row>
    <row r="114" spans="1:18" ht="10.5" x14ac:dyDescent="0.25">
      <c r="A114" s="575" t="str">
        <f>$A$52</f>
        <v>Data: __ Base Period _X_ Forecasted Period</v>
      </c>
    </row>
    <row r="115" spans="1:18" ht="10.5" x14ac:dyDescent="0.25">
      <c r="A115" s="575" t="str">
        <f>$A$53</f>
        <v>Type of Filing: X Original _ Update _ Revised</v>
      </c>
      <c r="Q115" s="372" t="str">
        <f>$Q$53</f>
        <v>Schedule M-2.3</v>
      </c>
    </row>
    <row r="116" spans="1:18" ht="10.5" x14ac:dyDescent="0.25">
      <c r="A116" s="575" t="str">
        <f>$A$54</f>
        <v>Work Paper Reference No(s):</v>
      </c>
      <c r="Q116" s="372" t="s">
        <v>418</v>
      </c>
    </row>
    <row r="117" spans="1:18" ht="10.5" x14ac:dyDescent="0.25">
      <c r="A117" s="576" t="str">
        <f>$A$55</f>
        <v>12 Months Forecasted</v>
      </c>
      <c r="Q117" s="372" t="str">
        <f>Witness</f>
        <v>Witness:  Judith L. Siegler</v>
      </c>
    </row>
    <row r="118" spans="1:18" ht="10.5" x14ac:dyDescent="0.25">
      <c r="A118" s="822" t="s">
        <v>291</v>
      </c>
      <c r="B118" s="822"/>
      <c r="C118" s="822"/>
      <c r="D118" s="822"/>
      <c r="E118" s="822"/>
      <c r="F118" s="822"/>
      <c r="G118" s="822"/>
      <c r="H118" s="822"/>
      <c r="I118" s="822"/>
      <c r="J118" s="822"/>
      <c r="K118" s="822"/>
      <c r="L118" s="822"/>
      <c r="M118" s="822"/>
      <c r="N118" s="822"/>
      <c r="O118" s="822"/>
      <c r="P118" s="822"/>
      <c r="Q118" s="822"/>
    </row>
    <row r="119" spans="1:18" x14ac:dyDescent="0.2">
      <c r="C119" s="408"/>
      <c r="G119" s="270"/>
      <c r="Q119" s="270"/>
    </row>
    <row r="120" spans="1:18" ht="10.5" x14ac:dyDescent="0.25">
      <c r="A120" s="717" t="s">
        <v>1</v>
      </c>
      <c r="B120" s="718" t="s">
        <v>0</v>
      </c>
      <c r="C120" s="718" t="s">
        <v>41</v>
      </c>
      <c r="D120" s="721" t="s">
        <v>30</v>
      </c>
      <c r="E120" s="376"/>
      <c r="F120" s="377"/>
      <c r="G120" s="376"/>
      <c r="H120" s="720"/>
      <c r="I120" s="376"/>
      <c r="J120" s="376"/>
      <c r="K120" s="376"/>
      <c r="L120" s="376"/>
      <c r="M120" s="376"/>
      <c r="N120" s="376"/>
      <c r="O120" s="719"/>
      <c r="P120" s="719"/>
      <c r="Q120" s="719"/>
    </row>
    <row r="121" spans="1:18" ht="10.5" x14ac:dyDescent="0.25">
      <c r="A121" s="263" t="s">
        <v>3</v>
      </c>
      <c r="B121" s="220" t="s">
        <v>40</v>
      </c>
      <c r="C121" s="220" t="s">
        <v>4</v>
      </c>
      <c r="D121" s="379" t="s">
        <v>48</v>
      </c>
      <c r="E121" s="380" t="str">
        <f>B!$D$11</f>
        <v>Jan-22</v>
      </c>
      <c r="F121" s="380" t="str">
        <f>B!$E$11</f>
        <v>Feb-22</v>
      </c>
      <c r="G121" s="380" t="str">
        <f>B!$F$11</f>
        <v>Mar-22</v>
      </c>
      <c r="H121" s="380" t="str">
        <f>B!$G$11</f>
        <v>Apr-22</v>
      </c>
      <c r="I121" s="380" t="str">
        <f>B!$H$11</f>
        <v>May-22</v>
      </c>
      <c r="J121" s="380" t="str">
        <f>B!$I$11</f>
        <v>Jun-22</v>
      </c>
      <c r="K121" s="380" t="str">
        <f>B!$J$11</f>
        <v>Jul-22</v>
      </c>
      <c r="L121" s="380" t="str">
        <f>B!$K$11</f>
        <v>Aug-22</v>
      </c>
      <c r="M121" s="380" t="str">
        <f>B!$L$11</f>
        <v>Sep-22</v>
      </c>
      <c r="N121" s="380" t="str">
        <f>B!$M$11</f>
        <v>Oct-22</v>
      </c>
      <c r="O121" s="380" t="str">
        <f>B!$N$11</f>
        <v>Nov-22</v>
      </c>
      <c r="P121" s="380" t="str">
        <f>B!$O$11</f>
        <v>Dec-22</v>
      </c>
      <c r="Q121" s="381" t="s">
        <v>9</v>
      </c>
    </row>
    <row r="122" spans="1:18" ht="10.5" x14ac:dyDescent="0.25">
      <c r="A122" s="717"/>
      <c r="B122" s="719" t="s">
        <v>42</v>
      </c>
      <c r="C122" s="719" t="s">
        <v>43</v>
      </c>
      <c r="D122" s="382" t="s">
        <v>45</v>
      </c>
      <c r="E122" s="383" t="s">
        <v>46</v>
      </c>
      <c r="F122" s="383" t="s">
        <v>49</v>
      </c>
      <c r="G122" s="383" t="s">
        <v>50</v>
      </c>
      <c r="H122" s="383" t="s">
        <v>51</v>
      </c>
      <c r="I122" s="383" t="s">
        <v>52</v>
      </c>
      <c r="J122" s="384" t="s">
        <v>53</v>
      </c>
      <c r="K122" s="384" t="s">
        <v>54</v>
      </c>
      <c r="L122" s="384" t="s">
        <v>55</v>
      </c>
      <c r="M122" s="384" t="s">
        <v>56</v>
      </c>
      <c r="N122" s="384" t="s">
        <v>57</v>
      </c>
      <c r="O122" s="384" t="s">
        <v>58</v>
      </c>
      <c r="P122" s="384" t="s">
        <v>59</v>
      </c>
      <c r="Q122" s="384" t="s">
        <v>200</v>
      </c>
    </row>
    <row r="123" spans="1:18" x14ac:dyDescent="0.2">
      <c r="C123" s="408"/>
      <c r="G123" s="270"/>
      <c r="Q123" s="270"/>
    </row>
    <row r="124" spans="1:18" ht="10.5" x14ac:dyDescent="0.25">
      <c r="A124" s="242">
        <v>1</v>
      </c>
      <c r="C124" s="396" t="s">
        <v>94</v>
      </c>
      <c r="G124" s="270"/>
      <c r="Q124" s="270"/>
    </row>
    <row r="125" spans="1:18" x14ac:dyDescent="0.2">
      <c r="C125" s="408"/>
      <c r="G125" s="270"/>
      <c r="Q125" s="270"/>
    </row>
    <row r="126" spans="1:18" x14ac:dyDescent="0.2">
      <c r="A126" s="242">
        <f>A124+1</f>
        <v>2</v>
      </c>
      <c r="B126" s="213" t="str">
        <f>Input!A23</f>
        <v>LG2</v>
      </c>
      <c r="C126" s="213" t="str">
        <f>'Sch M 2.1'!B25</f>
        <v xml:space="preserve">LG&amp;E Residential </v>
      </c>
      <c r="G126" s="270"/>
      <c r="Q126" s="270"/>
    </row>
    <row r="127" spans="1:18" x14ac:dyDescent="0.2">
      <c r="A127" s="242">
        <f>A126+1</f>
        <v>3</v>
      </c>
      <c r="C127" s="400" t="s">
        <v>216</v>
      </c>
      <c r="E127" s="231">
        <f t="shared" ref="E127:P127" si="47">E545</f>
        <v>1</v>
      </c>
      <c r="F127" s="231">
        <f t="shared" si="47"/>
        <v>1</v>
      </c>
      <c r="G127" s="231">
        <f t="shared" si="47"/>
        <v>1</v>
      </c>
      <c r="H127" s="231">
        <f t="shared" si="47"/>
        <v>1</v>
      </c>
      <c r="I127" s="231">
        <f t="shared" si="47"/>
        <v>1</v>
      </c>
      <c r="J127" s="231">
        <f t="shared" si="47"/>
        <v>1</v>
      </c>
      <c r="K127" s="231">
        <f t="shared" si="47"/>
        <v>1</v>
      </c>
      <c r="L127" s="231">
        <f t="shared" si="47"/>
        <v>1</v>
      </c>
      <c r="M127" s="231">
        <f t="shared" si="47"/>
        <v>1</v>
      </c>
      <c r="N127" s="231">
        <f t="shared" si="47"/>
        <v>1</v>
      </c>
      <c r="O127" s="231">
        <f t="shared" si="47"/>
        <v>1</v>
      </c>
      <c r="P127" s="231">
        <f t="shared" si="47"/>
        <v>1</v>
      </c>
      <c r="Q127" s="231">
        <f>SUM(E127:P127)</f>
        <v>12</v>
      </c>
    </row>
    <row r="128" spans="1:18" x14ac:dyDescent="0.2">
      <c r="A128" s="242">
        <f>A127+1</f>
        <v>4</v>
      </c>
      <c r="C128" s="400" t="s">
        <v>483</v>
      </c>
      <c r="E128" s="234">
        <f t="shared" ref="E128:P128" si="48">E548</f>
        <v>138.19999999999999</v>
      </c>
      <c r="F128" s="234">
        <f t="shared" si="48"/>
        <v>141.5</v>
      </c>
      <c r="G128" s="234">
        <f t="shared" si="48"/>
        <v>113</v>
      </c>
      <c r="H128" s="234">
        <f t="shared" si="48"/>
        <v>73.099999999999994</v>
      </c>
      <c r="I128" s="234">
        <f t="shared" si="48"/>
        <v>18.100000000000001</v>
      </c>
      <c r="J128" s="234">
        <f t="shared" si="48"/>
        <v>3.1</v>
      </c>
      <c r="K128" s="234">
        <f t="shared" si="48"/>
        <v>2.9</v>
      </c>
      <c r="L128" s="234">
        <f t="shared" si="48"/>
        <v>2.9</v>
      </c>
      <c r="M128" s="234">
        <f t="shared" si="48"/>
        <v>3.9</v>
      </c>
      <c r="N128" s="234">
        <f t="shared" si="48"/>
        <v>22.1</v>
      </c>
      <c r="O128" s="234">
        <f t="shared" si="48"/>
        <v>57.2</v>
      </c>
      <c r="P128" s="234">
        <f t="shared" si="48"/>
        <v>96.3</v>
      </c>
      <c r="Q128" s="234">
        <f>SUM(E128:P128)</f>
        <v>672.3</v>
      </c>
    </row>
    <row r="129" spans="1:17" x14ac:dyDescent="0.2">
      <c r="A129" s="242">
        <f>A128+1</f>
        <v>5</v>
      </c>
      <c r="C129" s="400" t="s">
        <v>218</v>
      </c>
      <c r="E129" s="386">
        <f t="shared" ref="E129:P129" si="49">E551</f>
        <v>48.37</v>
      </c>
      <c r="F129" s="386">
        <f t="shared" si="49"/>
        <v>49.53</v>
      </c>
      <c r="G129" s="386">
        <f t="shared" si="49"/>
        <v>39.549999999999997</v>
      </c>
      <c r="H129" s="386">
        <f t="shared" si="49"/>
        <v>25.59</v>
      </c>
      <c r="I129" s="386">
        <f t="shared" si="49"/>
        <v>6.34</v>
      </c>
      <c r="J129" s="386">
        <f t="shared" si="49"/>
        <v>1.0900000000000001</v>
      </c>
      <c r="K129" s="386">
        <f t="shared" si="49"/>
        <v>1.02</v>
      </c>
      <c r="L129" s="386">
        <f t="shared" si="49"/>
        <v>1.02</v>
      </c>
      <c r="M129" s="386">
        <f t="shared" si="49"/>
        <v>1.37</v>
      </c>
      <c r="N129" s="386">
        <f>N551</f>
        <v>7.74</v>
      </c>
      <c r="O129" s="386">
        <f t="shared" si="49"/>
        <v>20.02</v>
      </c>
      <c r="P129" s="386">
        <f t="shared" si="49"/>
        <v>33.71</v>
      </c>
      <c r="Q129" s="386">
        <f>SUM(E129:P129)</f>
        <v>235.35000000000005</v>
      </c>
    </row>
    <row r="130" spans="1:17" x14ac:dyDescent="0.2">
      <c r="A130" s="242">
        <f>A129+1</f>
        <v>6</v>
      </c>
      <c r="C130" s="400" t="s">
        <v>219</v>
      </c>
      <c r="E130" s="386">
        <f t="shared" ref="E130:P130" si="50">E553</f>
        <v>0</v>
      </c>
      <c r="F130" s="386">
        <f t="shared" si="50"/>
        <v>0</v>
      </c>
      <c r="G130" s="386">
        <f t="shared" si="50"/>
        <v>0</v>
      </c>
      <c r="H130" s="386">
        <f t="shared" si="50"/>
        <v>0</v>
      </c>
      <c r="I130" s="386">
        <f t="shared" si="50"/>
        <v>0</v>
      </c>
      <c r="J130" s="386">
        <f t="shared" si="50"/>
        <v>0</v>
      </c>
      <c r="K130" s="386">
        <f t="shared" si="50"/>
        <v>0</v>
      </c>
      <c r="L130" s="386">
        <f t="shared" si="50"/>
        <v>0</v>
      </c>
      <c r="M130" s="386">
        <f t="shared" si="50"/>
        <v>0</v>
      </c>
      <c r="N130" s="386">
        <f t="shared" si="50"/>
        <v>0</v>
      </c>
      <c r="O130" s="386">
        <f t="shared" si="50"/>
        <v>0</v>
      </c>
      <c r="P130" s="386">
        <f t="shared" si="50"/>
        <v>0</v>
      </c>
      <c r="Q130" s="386">
        <f>SUM(E130:P130)</f>
        <v>0</v>
      </c>
    </row>
    <row r="131" spans="1:17" x14ac:dyDescent="0.2">
      <c r="A131" s="577">
        <f>A130+1</f>
        <v>7</v>
      </c>
      <c r="B131" s="403"/>
      <c r="C131" s="404" t="s">
        <v>484</v>
      </c>
      <c r="D131" s="405"/>
      <c r="E131" s="406">
        <f t="shared" ref="E131:P131" si="51">E555</f>
        <v>48.37</v>
      </c>
      <c r="F131" s="406">
        <f t="shared" si="51"/>
        <v>49.53</v>
      </c>
      <c r="G131" s="406">
        <f t="shared" si="51"/>
        <v>39.549999999999997</v>
      </c>
      <c r="H131" s="406">
        <f t="shared" si="51"/>
        <v>25.59</v>
      </c>
      <c r="I131" s="406">
        <f t="shared" si="51"/>
        <v>6.34</v>
      </c>
      <c r="J131" s="406">
        <f t="shared" si="51"/>
        <v>1.0900000000000001</v>
      </c>
      <c r="K131" s="406">
        <f t="shared" si="51"/>
        <v>1.02</v>
      </c>
      <c r="L131" s="406">
        <f t="shared" si="51"/>
        <v>1.02</v>
      </c>
      <c r="M131" s="406">
        <f t="shared" si="51"/>
        <v>1.37</v>
      </c>
      <c r="N131" s="406">
        <f t="shared" si="51"/>
        <v>7.74</v>
      </c>
      <c r="O131" s="406">
        <f t="shared" si="51"/>
        <v>20.02</v>
      </c>
      <c r="P131" s="406">
        <f t="shared" si="51"/>
        <v>33.71</v>
      </c>
      <c r="Q131" s="715">
        <f>SUM(E131:P131)</f>
        <v>235.35000000000005</v>
      </c>
    </row>
    <row r="132" spans="1:17" x14ac:dyDescent="0.2">
      <c r="C132" s="408"/>
      <c r="G132" s="270"/>
      <c r="Q132" s="270"/>
    </row>
    <row r="133" spans="1:17" x14ac:dyDescent="0.2">
      <c r="A133" s="242">
        <f>A131+1</f>
        <v>8</v>
      </c>
      <c r="B133" s="213" t="str">
        <f>Input!A24</f>
        <v>LG2</v>
      </c>
      <c r="C133" s="213" t="str">
        <f>'Sch M 2.1'!B26</f>
        <v>LG&amp;E Commercial</v>
      </c>
      <c r="G133" s="270"/>
      <c r="Q133" s="270"/>
    </row>
    <row r="134" spans="1:17" x14ac:dyDescent="0.2">
      <c r="A134" s="242">
        <f>A133+1</f>
        <v>9</v>
      </c>
      <c r="C134" s="400" t="s">
        <v>216</v>
      </c>
      <c r="E134" s="231">
        <f t="shared" ref="E134:P134" si="52">E562</f>
        <v>0</v>
      </c>
      <c r="F134" s="231">
        <f t="shared" si="52"/>
        <v>0</v>
      </c>
      <c r="G134" s="231">
        <f t="shared" si="52"/>
        <v>0</v>
      </c>
      <c r="H134" s="231">
        <f t="shared" si="52"/>
        <v>0</v>
      </c>
      <c r="I134" s="231">
        <f t="shared" si="52"/>
        <v>0</v>
      </c>
      <c r="J134" s="231">
        <f t="shared" si="52"/>
        <v>0</v>
      </c>
      <c r="K134" s="231">
        <f t="shared" si="52"/>
        <v>0</v>
      </c>
      <c r="L134" s="231">
        <f t="shared" si="52"/>
        <v>0</v>
      </c>
      <c r="M134" s="231">
        <f t="shared" si="52"/>
        <v>0</v>
      </c>
      <c r="N134" s="231">
        <f t="shared" si="52"/>
        <v>0</v>
      </c>
      <c r="O134" s="231">
        <f t="shared" si="52"/>
        <v>0</v>
      </c>
      <c r="P134" s="231">
        <f t="shared" si="52"/>
        <v>0</v>
      </c>
      <c r="Q134" s="231">
        <f>SUM(E134:P134)</f>
        <v>0</v>
      </c>
    </row>
    <row r="135" spans="1:17" x14ac:dyDescent="0.2">
      <c r="A135" s="242">
        <f>A134+1</f>
        <v>10</v>
      </c>
      <c r="C135" s="400" t="s">
        <v>483</v>
      </c>
      <c r="E135" s="234">
        <f t="shared" ref="E135:P135" si="53">E565</f>
        <v>0</v>
      </c>
      <c r="F135" s="234">
        <f t="shared" si="53"/>
        <v>0</v>
      </c>
      <c r="G135" s="234">
        <f t="shared" si="53"/>
        <v>0</v>
      </c>
      <c r="H135" s="234">
        <f t="shared" si="53"/>
        <v>0</v>
      </c>
      <c r="I135" s="234">
        <f t="shared" si="53"/>
        <v>0</v>
      </c>
      <c r="J135" s="234">
        <f t="shared" si="53"/>
        <v>0</v>
      </c>
      <c r="K135" s="234">
        <f t="shared" si="53"/>
        <v>0</v>
      </c>
      <c r="L135" s="234">
        <f t="shared" si="53"/>
        <v>0</v>
      </c>
      <c r="M135" s="234">
        <f t="shared" si="53"/>
        <v>0</v>
      </c>
      <c r="N135" s="234">
        <f t="shared" si="53"/>
        <v>0</v>
      </c>
      <c r="O135" s="234">
        <f t="shared" si="53"/>
        <v>0</v>
      </c>
      <c r="P135" s="234">
        <f t="shared" si="53"/>
        <v>0</v>
      </c>
      <c r="Q135" s="234">
        <f>SUM(E135:P135)</f>
        <v>0</v>
      </c>
    </row>
    <row r="136" spans="1:17" x14ac:dyDescent="0.2">
      <c r="A136" s="242">
        <f>A135+1</f>
        <v>11</v>
      </c>
      <c r="C136" s="400" t="s">
        <v>218</v>
      </c>
      <c r="E136" s="386">
        <f t="shared" ref="E136:P136" si="54">E568</f>
        <v>0</v>
      </c>
      <c r="F136" s="386">
        <f t="shared" si="54"/>
        <v>0</v>
      </c>
      <c r="G136" s="386">
        <f t="shared" si="54"/>
        <v>0</v>
      </c>
      <c r="H136" s="386">
        <f t="shared" si="54"/>
        <v>0</v>
      </c>
      <c r="I136" s="386">
        <f t="shared" si="54"/>
        <v>0</v>
      </c>
      <c r="J136" s="386">
        <f t="shared" si="54"/>
        <v>0</v>
      </c>
      <c r="K136" s="386">
        <f t="shared" si="54"/>
        <v>0</v>
      </c>
      <c r="L136" s="386">
        <f t="shared" si="54"/>
        <v>0</v>
      </c>
      <c r="M136" s="386">
        <f t="shared" si="54"/>
        <v>0</v>
      </c>
      <c r="N136" s="386">
        <f t="shared" si="54"/>
        <v>0</v>
      </c>
      <c r="O136" s="386">
        <f t="shared" si="54"/>
        <v>0</v>
      </c>
      <c r="P136" s="386">
        <f t="shared" si="54"/>
        <v>0</v>
      </c>
      <c r="Q136" s="386">
        <f>SUM(E136:P136)</f>
        <v>0</v>
      </c>
    </row>
    <row r="137" spans="1:17" x14ac:dyDescent="0.2">
      <c r="A137" s="242">
        <f>A136+1</f>
        <v>12</v>
      </c>
      <c r="C137" s="400" t="s">
        <v>219</v>
      </c>
      <c r="E137" s="386">
        <f t="shared" ref="E137:P137" si="55">E570</f>
        <v>0</v>
      </c>
      <c r="F137" s="386">
        <f t="shared" si="55"/>
        <v>0</v>
      </c>
      <c r="G137" s="386">
        <f t="shared" si="55"/>
        <v>0</v>
      </c>
      <c r="H137" s="386">
        <f t="shared" si="55"/>
        <v>0</v>
      </c>
      <c r="I137" s="386">
        <f t="shared" si="55"/>
        <v>0</v>
      </c>
      <c r="J137" s="386">
        <f t="shared" si="55"/>
        <v>0</v>
      </c>
      <c r="K137" s="386">
        <f t="shared" si="55"/>
        <v>0</v>
      </c>
      <c r="L137" s="386">
        <f t="shared" si="55"/>
        <v>0</v>
      </c>
      <c r="M137" s="386">
        <f t="shared" si="55"/>
        <v>0</v>
      </c>
      <c r="N137" s="386">
        <f t="shared" si="55"/>
        <v>0</v>
      </c>
      <c r="O137" s="386">
        <f t="shared" si="55"/>
        <v>0</v>
      </c>
      <c r="P137" s="386">
        <f t="shared" si="55"/>
        <v>0</v>
      </c>
      <c r="Q137" s="386">
        <f>SUM(E137:P137)</f>
        <v>0</v>
      </c>
    </row>
    <row r="138" spans="1:17" x14ac:dyDescent="0.2">
      <c r="A138" s="577">
        <f>A137+1</f>
        <v>13</v>
      </c>
      <c r="B138" s="403"/>
      <c r="C138" s="404" t="s">
        <v>484</v>
      </c>
      <c r="D138" s="405"/>
      <c r="E138" s="406">
        <f t="shared" ref="E138:P138" si="56">E572</f>
        <v>0</v>
      </c>
      <c r="F138" s="406">
        <f t="shared" si="56"/>
        <v>0</v>
      </c>
      <c r="G138" s="406">
        <f t="shared" si="56"/>
        <v>0</v>
      </c>
      <c r="H138" s="406">
        <f t="shared" si="56"/>
        <v>0</v>
      </c>
      <c r="I138" s="406">
        <f t="shared" si="56"/>
        <v>0</v>
      </c>
      <c r="J138" s="406">
        <f t="shared" si="56"/>
        <v>0</v>
      </c>
      <c r="K138" s="406">
        <f t="shared" si="56"/>
        <v>0</v>
      </c>
      <c r="L138" s="406">
        <f t="shared" si="56"/>
        <v>0</v>
      </c>
      <c r="M138" s="406">
        <f t="shared" si="56"/>
        <v>0</v>
      </c>
      <c r="N138" s="406">
        <f t="shared" si="56"/>
        <v>0</v>
      </c>
      <c r="O138" s="406">
        <f t="shared" si="56"/>
        <v>0</v>
      </c>
      <c r="P138" s="406">
        <f t="shared" si="56"/>
        <v>0</v>
      </c>
      <c r="Q138" s="406">
        <f>SUM(E138:P138)</f>
        <v>0</v>
      </c>
    </row>
    <row r="139" spans="1:17" x14ac:dyDescent="0.2">
      <c r="A139" s="497"/>
      <c r="B139" s="279"/>
      <c r="C139" s="408"/>
      <c r="D139" s="278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</row>
    <row r="140" spans="1:17" x14ac:dyDescent="0.2">
      <c r="A140" s="242">
        <f>A124+1</f>
        <v>2</v>
      </c>
      <c r="B140" s="213" t="str">
        <f>Input!A25</f>
        <v>LG3</v>
      </c>
      <c r="C140" s="213" t="str">
        <f>'Sch M 2.1'!B27</f>
        <v>LG&amp;E Residential</v>
      </c>
      <c r="G140" s="270"/>
      <c r="Q140" s="270"/>
    </row>
    <row r="141" spans="1:17" x14ac:dyDescent="0.2">
      <c r="A141" s="242">
        <f>A140+1</f>
        <v>3</v>
      </c>
      <c r="C141" s="400" t="s">
        <v>216</v>
      </c>
      <c r="E141" s="231">
        <f t="shared" ref="E141:P141" si="57">E595</f>
        <v>1</v>
      </c>
      <c r="F141" s="231">
        <f t="shared" si="57"/>
        <v>1</v>
      </c>
      <c r="G141" s="231">
        <f t="shared" si="57"/>
        <v>1</v>
      </c>
      <c r="H141" s="231">
        <f t="shared" si="57"/>
        <v>1</v>
      </c>
      <c r="I141" s="231">
        <f t="shared" si="57"/>
        <v>1</v>
      </c>
      <c r="J141" s="231">
        <f t="shared" si="57"/>
        <v>1</v>
      </c>
      <c r="K141" s="231">
        <f t="shared" si="57"/>
        <v>1</v>
      </c>
      <c r="L141" s="231">
        <f t="shared" si="57"/>
        <v>1</v>
      </c>
      <c r="M141" s="231">
        <f t="shared" si="57"/>
        <v>1</v>
      </c>
      <c r="N141" s="231">
        <f t="shared" si="57"/>
        <v>1</v>
      </c>
      <c r="O141" s="231">
        <f t="shared" si="57"/>
        <v>1</v>
      </c>
      <c r="P141" s="231">
        <f t="shared" si="57"/>
        <v>1</v>
      </c>
      <c r="Q141" s="231">
        <f>SUM(E141:P141)</f>
        <v>12</v>
      </c>
    </row>
    <row r="142" spans="1:17" x14ac:dyDescent="0.2">
      <c r="A142" s="242">
        <f>A141+1</f>
        <v>4</v>
      </c>
      <c r="C142" s="400" t="s">
        <v>483</v>
      </c>
      <c r="E142" s="234">
        <f t="shared" ref="E142:P142" si="58">E601</f>
        <v>82.4</v>
      </c>
      <c r="F142" s="234">
        <f t="shared" si="58"/>
        <v>88.1</v>
      </c>
      <c r="G142" s="234">
        <f t="shared" si="58"/>
        <v>75.599999999999994</v>
      </c>
      <c r="H142" s="234">
        <f t="shared" si="58"/>
        <v>50</v>
      </c>
      <c r="I142" s="234">
        <f t="shared" si="58"/>
        <v>20.100000000000001</v>
      </c>
      <c r="J142" s="234">
        <f t="shared" si="58"/>
        <v>11.5</v>
      </c>
      <c r="K142" s="234">
        <f t="shared" si="58"/>
        <v>10</v>
      </c>
      <c r="L142" s="234">
        <f t="shared" si="58"/>
        <v>17.7</v>
      </c>
      <c r="M142" s="234">
        <f t="shared" si="58"/>
        <v>38.799999999999997</v>
      </c>
      <c r="N142" s="234">
        <f t="shared" si="58"/>
        <v>44.7</v>
      </c>
      <c r="O142" s="234">
        <f t="shared" si="58"/>
        <v>52.1</v>
      </c>
      <c r="P142" s="234">
        <f t="shared" si="58"/>
        <v>97.9</v>
      </c>
      <c r="Q142" s="234">
        <f>SUM(E142:P142)</f>
        <v>588.90000000000009</v>
      </c>
    </row>
    <row r="143" spans="1:17" x14ac:dyDescent="0.2">
      <c r="A143" s="242">
        <f>A142+1</f>
        <v>5</v>
      </c>
      <c r="C143" s="400" t="s">
        <v>218</v>
      </c>
      <c r="E143" s="386">
        <f t="shared" ref="E143:P143" si="59">E607</f>
        <v>29.34</v>
      </c>
      <c r="F143" s="386">
        <f t="shared" si="59"/>
        <v>31.34</v>
      </c>
      <c r="G143" s="386">
        <f t="shared" si="59"/>
        <v>26.96</v>
      </c>
      <c r="H143" s="386">
        <f t="shared" si="59"/>
        <v>18</v>
      </c>
      <c r="I143" s="386">
        <f t="shared" si="59"/>
        <v>7.54</v>
      </c>
      <c r="J143" s="386">
        <f t="shared" si="59"/>
        <v>4.3899999999999997</v>
      </c>
      <c r="K143" s="386">
        <f t="shared" si="59"/>
        <v>4</v>
      </c>
      <c r="L143" s="386">
        <f t="shared" si="59"/>
        <v>6.7</v>
      </c>
      <c r="M143" s="386">
        <f t="shared" si="59"/>
        <v>14.08</v>
      </c>
      <c r="N143" s="386">
        <f>N607</f>
        <v>16.149999999999999</v>
      </c>
      <c r="O143" s="386">
        <f t="shared" si="59"/>
        <v>18.739999999999998</v>
      </c>
      <c r="P143" s="386">
        <f t="shared" si="59"/>
        <v>34.770000000000003</v>
      </c>
      <c r="Q143" s="386">
        <f>SUM(E143:P143)</f>
        <v>212.01000000000005</v>
      </c>
    </row>
    <row r="144" spans="1:17" x14ac:dyDescent="0.2">
      <c r="A144" s="242">
        <f>A143+1</f>
        <v>6</v>
      </c>
      <c r="C144" s="400" t="s">
        <v>219</v>
      </c>
      <c r="E144" s="386">
        <f t="shared" ref="E144:P144" si="60">E609</f>
        <v>0</v>
      </c>
      <c r="F144" s="386">
        <f t="shared" si="60"/>
        <v>0</v>
      </c>
      <c r="G144" s="386">
        <f t="shared" si="60"/>
        <v>0</v>
      </c>
      <c r="H144" s="386">
        <f t="shared" si="60"/>
        <v>0</v>
      </c>
      <c r="I144" s="386">
        <f t="shared" si="60"/>
        <v>0</v>
      </c>
      <c r="J144" s="386">
        <f t="shared" si="60"/>
        <v>0</v>
      </c>
      <c r="K144" s="386">
        <f t="shared" si="60"/>
        <v>0</v>
      </c>
      <c r="L144" s="386">
        <f t="shared" si="60"/>
        <v>0</v>
      </c>
      <c r="M144" s="386">
        <f t="shared" si="60"/>
        <v>0</v>
      </c>
      <c r="N144" s="386">
        <f t="shared" si="60"/>
        <v>0</v>
      </c>
      <c r="O144" s="386">
        <f t="shared" si="60"/>
        <v>0</v>
      </c>
      <c r="P144" s="386">
        <f t="shared" si="60"/>
        <v>0</v>
      </c>
      <c r="Q144" s="386">
        <f>SUM(E144:P144)</f>
        <v>0</v>
      </c>
    </row>
    <row r="145" spans="1:17" x14ac:dyDescent="0.2">
      <c r="A145" s="577">
        <f>A144+1</f>
        <v>7</v>
      </c>
      <c r="B145" s="403"/>
      <c r="C145" s="404" t="s">
        <v>484</v>
      </c>
      <c r="D145" s="405"/>
      <c r="E145" s="406">
        <f t="shared" ref="E145:P145" si="61">E611</f>
        <v>29.34</v>
      </c>
      <c r="F145" s="406">
        <f t="shared" si="61"/>
        <v>31.34</v>
      </c>
      <c r="G145" s="406">
        <f t="shared" si="61"/>
        <v>26.96</v>
      </c>
      <c r="H145" s="406">
        <f t="shared" si="61"/>
        <v>18</v>
      </c>
      <c r="I145" s="406">
        <f t="shared" si="61"/>
        <v>7.54</v>
      </c>
      <c r="J145" s="406">
        <f t="shared" si="61"/>
        <v>4.3899999999999997</v>
      </c>
      <c r="K145" s="406">
        <f t="shared" si="61"/>
        <v>4</v>
      </c>
      <c r="L145" s="406">
        <f t="shared" si="61"/>
        <v>6.7</v>
      </c>
      <c r="M145" s="406">
        <f t="shared" si="61"/>
        <v>14.08</v>
      </c>
      <c r="N145" s="406">
        <f t="shared" si="61"/>
        <v>16.149999999999999</v>
      </c>
      <c r="O145" s="406">
        <f t="shared" si="61"/>
        <v>18.739999999999998</v>
      </c>
      <c r="P145" s="406">
        <f t="shared" si="61"/>
        <v>34.770000000000003</v>
      </c>
      <c r="Q145" s="715">
        <f>SUM(E145:P145)</f>
        <v>212.01000000000005</v>
      </c>
    </row>
    <row r="146" spans="1:17" x14ac:dyDescent="0.2">
      <c r="G146" s="270"/>
      <c r="Q146" s="270"/>
    </row>
    <row r="147" spans="1:17" x14ac:dyDescent="0.2">
      <c r="A147" s="242">
        <f>A145+1</f>
        <v>8</v>
      </c>
      <c r="B147" s="213" t="str">
        <f>Input!A26</f>
        <v>LG4</v>
      </c>
      <c r="C147" s="213" t="str">
        <f>'Sch M 2.1'!B28</f>
        <v>LG&amp;E Residential</v>
      </c>
      <c r="G147" s="270"/>
      <c r="Q147" s="270"/>
    </row>
    <row r="148" spans="1:17" x14ac:dyDescent="0.2">
      <c r="A148" s="242">
        <f>A147+1</f>
        <v>9</v>
      </c>
      <c r="C148" s="400" t="s">
        <v>216</v>
      </c>
      <c r="E148" s="231">
        <f t="shared" ref="E148:P148" si="62">E617</f>
        <v>1</v>
      </c>
      <c r="F148" s="231">
        <f t="shared" si="62"/>
        <v>1</v>
      </c>
      <c r="G148" s="231">
        <f t="shared" si="62"/>
        <v>1</v>
      </c>
      <c r="H148" s="231">
        <f t="shared" si="62"/>
        <v>1</v>
      </c>
      <c r="I148" s="231">
        <f t="shared" si="62"/>
        <v>1</v>
      </c>
      <c r="J148" s="231">
        <f t="shared" si="62"/>
        <v>1</v>
      </c>
      <c r="K148" s="231">
        <f t="shared" si="62"/>
        <v>1</v>
      </c>
      <c r="L148" s="231">
        <f t="shared" si="62"/>
        <v>1</v>
      </c>
      <c r="M148" s="231">
        <f t="shared" si="62"/>
        <v>1</v>
      </c>
      <c r="N148" s="231">
        <f t="shared" si="62"/>
        <v>1</v>
      </c>
      <c r="O148" s="231">
        <f t="shared" si="62"/>
        <v>1</v>
      </c>
      <c r="P148" s="231">
        <f t="shared" si="62"/>
        <v>1</v>
      </c>
      <c r="Q148" s="231">
        <f>SUM(E148:P148)</f>
        <v>12</v>
      </c>
    </row>
    <row r="149" spans="1:17" x14ac:dyDescent="0.2">
      <c r="A149" s="242">
        <f>A148+1</f>
        <v>10</v>
      </c>
      <c r="C149" s="400" t="s">
        <v>483</v>
      </c>
      <c r="E149" s="234">
        <f t="shared" ref="E149:P149" si="63">E620</f>
        <v>33</v>
      </c>
      <c r="F149" s="234">
        <f t="shared" si="63"/>
        <v>31.8</v>
      </c>
      <c r="G149" s="234">
        <f t="shared" si="63"/>
        <v>30.3</v>
      </c>
      <c r="H149" s="234">
        <f t="shared" si="63"/>
        <v>15.7</v>
      </c>
      <c r="I149" s="234">
        <f t="shared" si="63"/>
        <v>8.8000000000000007</v>
      </c>
      <c r="J149" s="234">
        <f t="shared" si="63"/>
        <v>2.5</v>
      </c>
      <c r="K149" s="234">
        <f t="shared" si="63"/>
        <v>2.4</v>
      </c>
      <c r="L149" s="234">
        <f t="shared" si="63"/>
        <v>2.4</v>
      </c>
      <c r="M149" s="234">
        <f t="shared" si="63"/>
        <v>2.8</v>
      </c>
      <c r="N149" s="234">
        <f t="shared" si="63"/>
        <v>3.9</v>
      </c>
      <c r="O149" s="234">
        <f t="shared" si="63"/>
        <v>10.3</v>
      </c>
      <c r="P149" s="234">
        <f t="shared" si="63"/>
        <v>22.9</v>
      </c>
      <c r="Q149" s="234">
        <f>SUM(E149:P149)</f>
        <v>166.80000000000004</v>
      </c>
    </row>
    <row r="150" spans="1:17" x14ac:dyDescent="0.2">
      <c r="A150" s="242">
        <f>A149+1</f>
        <v>11</v>
      </c>
      <c r="C150" s="400" t="s">
        <v>218</v>
      </c>
      <c r="E150" s="386">
        <f t="shared" ref="E150:P150" si="64">E623</f>
        <v>13.2</v>
      </c>
      <c r="F150" s="386">
        <f t="shared" si="64"/>
        <v>12.72</v>
      </c>
      <c r="G150" s="386">
        <f t="shared" si="64"/>
        <v>12.12</v>
      </c>
      <c r="H150" s="386">
        <f t="shared" si="64"/>
        <v>6.28</v>
      </c>
      <c r="I150" s="386">
        <f t="shared" si="64"/>
        <v>3.52</v>
      </c>
      <c r="J150" s="386">
        <f t="shared" si="64"/>
        <v>1</v>
      </c>
      <c r="K150" s="386">
        <f t="shared" si="64"/>
        <v>0.96</v>
      </c>
      <c r="L150" s="386">
        <f t="shared" si="64"/>
        <v>0.96</v>
      </c>
      <c r="M150" s="386">
        <f t="shared" si="64"/>
        <v>1.1200000000000001</v>
      </c>
      <c r="N150" s="386">
        <f t="shared" si="64"/>
        <v>1.56</v>
      </c>
      <c r="O150" s="386">
        <f t="shared" si="64"/>
        <v>4.12</v>
      </c>
      <c r="P150" s="386">
        <f t="shared" si="64"/>
        <v>9.16</v>
      </c>
      <c r="Q150" s="386">
        <f>SUM(E150:P150)</f>
        <v>66.72</v>
      </c>
    </row>
    <row r="151" spans="1:17" x14ac:dyDescent="0.2">
      <c r="A151" s="242">
        <f>A150+1</f>
        <v>12</v>
      </c>
      <c r="C151" s="400" t="s">
        <v>219</v>
      </c>
      <c r="E151" s="386">
        <f t="shared" ref="E151:P151" si="65">E625</f>
        <v>0</v>
      </c>
      <c r="F151" s="386">
        <f t="shared" si="65"/>
        <v>0</v>
      </c>
      <c r="G151" s="386">
        <f t="shared" si="65"/>
        <v>0</v>
      </c>
      <c r="H151" s="386">
        <f t="shared" si="65"/>
        <v>0</v>
      </c>
      <c r="I151" s="386">
        <f t="shared" si="65"/>
        <v>0</v>
      </c>
      <c r="J151" s="386">
        <f t="shared" si="65"/>
        <v>0</v>
      </c>
      <c r="K151" s="386">
        <f t="shared" si="65"/>
        <v>0</v>
      </c>
      <c r="L151" s="386">
        <f t="shared" si="65"/>
        <v>0</v>
      </c>
      <c r="M151" s="386">
        <f t="shared" si="65"/>
        <v>0</v>
      </c>
      <c r="N151" s="386">
        <f t="shared" si="65"/>
        <v>0</v>
      </c>
      <c r="O151" s="386">
        <f t="shared" si="65"/>
        <v>0</v>
      </c>
      <c r="P151" s="386">
        <f t="shared" si="65"/>
        <v>0</v>
      </c>
      <c r="Q151" s="386">
        <f>SUM(E151:P151)</f>
        <v>0</v>
      </c>
    </row>
    <row r="152" spans="1:17" x14ac:dyDescent="0.2">
      <c r="A152" s="577">
        <f>A151+1</f>
        <v>13</v>
      </c>
      <c r="B152" s="403"/>
      <c r="C152" s="404" t="s">
        <v>484</v>
      </c>
      <c r="D152" s="405"/>
      <c r="E152" s="406">
        <f t="shared" ref="E152:P152" si="66">E627</f>
        <v>13.2</v>
      </c>
      <c r="F152" s="406">
        <f t="shared" si="66"/>
        <v>12.72</v>
      </c>
      <c r="G152" s="406">
        <f t="shared" si="66"/>
        <v>12.12</v>
      </c>
      <c r="H152" s="406">
        <f t="shared" si="66"/>
        <v>6.28</v>
      </c>
      <c r="I152" s="406">
        <f t="shared" si="66"/>
        <v>3.52</v>
      </c>
      <c r="J152" s="406">
        <f t="shared" si="66"/>
        <v>1</v>
      </c>
      <c r="K152" s="406">
        <f t="shared" si="66"/>
        <v>0.96</v>
      </c>
      <c r="L152" s="406">
        <f t="shared" si="66"/>
        <v>0.96</v>
      </c>
      <c r="M152" s="406">
        <f t="shared" si="66"/>
        <v>1.1200000000000001</v>
      </c>
      <c r="N152" s="406">
        <f t="shared" si="66"/>
        <v>1.56</v>
      </c>
      <c r="O152" s="406">
        <f t="shared" si="66"/>
        <v>4.12</v>
      </c>
      <c r="P152" s="406">
        <f t="shared" si="66"/>
        <v>9.16</v>
      </c>
      <c r="Q152" s="715">
        <f>SUM(E152:P152)</f>
        <v>66.72</v>
      </c>
    </row>
    <row r="153" spans="1:17" x14ac:dyDescent="0.2">
      <c r="C153" s="408"/>
      <c r="G153" s="270"/>
      <c r="Q153" s="270"/>
    </row>
    <row r="154" spans="1:17" x14ac:dyDescent="0.2">
      <c r="A154" s="242">
        <f>A152+1</f>
        <v>14</v>
      </c>
      <c r="B154" s="213" t="str">
        <f>Input!A27</f>
        <v>GSO</v>
      </c>
      <c r="C154" s="213" t="str">
        <f>'Sch M 2.1'!B29</f>
        <v>General Service - Commercial</v>
      </c>
      <c r="G154" s="270"/>
      <c r="Q154" s="270"/>
    </row>
    <row r="155" spans="1:17" x14ac:dyDescent="0.2">
      <c r="A155" s="242">
        <f>A154+1</f>
        <v>15</v>
      </c>
      <c r="C155" s="400" t="s">
        <v>216</v>
      </c>
      <c r="E155" s="231">
        <f t="shared" ref="E155:P155" si="67">E650</f>
        <v>11642</v>
      </c>
      <c r="F155" s="231">
        <f t="shared" si="67"/>
        <v>11663</v>
      </c>
      <c r="G155" s="231">
        <f t="shared" si="67"/>
        <v>11728</v>
      </c>
      <c r="H155" s="231">
        <f t="shared" si="67"/>
        <v>11667</v>
      </c>
      <c r="I155" s="231">
        <f t="shared" si="67"/>
        <v>11584</v>
      </c>
      <c r="J155" s="231">
        <f t="shared" si="67"/>
        <v>11516</v>
      </c>
      <c r="K155" s="231">
        <f t="shared" si="67"/>
        <v>11467</v>
      </c>
      <c r="L155" s="231">
        <f t="shared" si="67"/>
        <v>11414</v>
      </c>
      <c r="M155" s="231">
        <f t="shared" si="67"/>
        <v>11412</v>
      </c>
      <c r="N155" s="231">
        <f t="shared" si="67"/>
        <v>11433</v>
      </c>
      <c r="O155" s="231">
        <f t="shared" si="67"/>
        <v>11622</v>
      </c>
      <c r="P155" s="231">
        <f t="shared" si="67"/>
        <v>11778</v>
      </c>
      <c r="Q155" s="231">
        <f>SUM(E155:P155)</f>
        <v>138926</v>
      </c>
    </row>
    <row r="156" spans="1:17" x14ac:dyDescent="0.2">
      <c r="A156" s="242">
        <f>A155+1</f>
        <v>16</v>
      </c>
      <c r="C156" s="400" t="s">
        <v>483</v>
      </c>
      <c r="E156" s="234">
        <f t="shared" ref="E156:P156" si="68">E659</f>
        <v>733043</v>
      </c>
      <c r="F156" s="234">
        <f t="shared" si="68"/>
        <v>700984.00000000012</v>
      </c>
      <c r="G156" s="234">
        <f t="shared" si="68"/>
        <v>582736.80000000005</v>
      </c>
      <c r="H156" s="234">
        <f t="shared" si="68"/>
        <v>294143</v>
      </c>
      <c r="I156" s="234">
        <f t="shared" si="68"/>
        <v>174296.9</v>
      </c>
      <c r="J156" s="234">
        <f t="shared" si="68"/>
        <v>121730.50000000001</v>
      </c>
      <c r="K156" s="234">
        <f t="shared" si="68"/>
        <v>100026.30000000002</v>
      </c>
      <c r="L156" s="234">
        <f t="shared" si="68"/>
        <v>90381.5</v>
      </c>
      <c r="M156" s="234">
        <f t="shared" si="68"/>
        <v>95393.799999999988</v>
      </c>
      <c r="N156" s="234">
        <f t="shared" si="68"/>
        <v>118125.7</v>
      </c>
      <c r="O156" s="234">
        <f t="shared" si="68"/>
        <v>236468.69999999995</v>
      </c>
      <c r="P156" s="234">
        <f t="shared" si="68"/>
        <v>516678.9</v>
      </c>
      <c r="Q156" s="234">
        <f>SUM(E156:P156)</f>
        <v>3764009.0999999992</v>
      </c>
    </row>
    <row r="157" spans="1:17" x14ac:dyDescent="0.2">
      <c r="A157" s="242">
        <f>A156+1</f>
        <v>17</v>
      </c>
      <c r="C157" s="400" t="s">
        <v>218</v>
      </c>
      <c r="E157" s="386">
        <f>E667+E676</f>
        <v>3263369.03</v>
      </c>
      <c r="F157" s="386">
        <f t="shared" ref="F157:L157" si="69">F667+F676</f>
        <v>3184545.3899999997</v>
      </c>
      <c r="G157" s="386">
        <f t="shared" si="69"/>
        <v>2832592.64</v>
      </c>
      <c r="H157" s="386">
        <f t="shared" si="69"/>
        <v>1955080.8900000001</v>
      </c>
      <c r="I157" s="386">
        <f t="shared" si="69"/>
        <v>1580990.26</v>
      </c>
      <c r="J157" s="386">
        <f t="shared" si="69"/>
        <v>1397170.21</v>
      </c>
      <c r="K157" s="386">
        <f t="shared" si="69"/>
        <v>1321096.8199999998</v>
      </c>
      <c r="L157" s="386">
        <f t="shared" si="69"/>
        <v>1287092.4400000002</v>
      </c>
      <c r="M157" s="386">
        <f>M667+M676</f>
        <v>1301968.7000000002</v>
      </c>
      <c r="N157" s="386">
        <f t="shared" ref="N157:P157" si="70">N667+N676</f>
        <v>1377224.73</v>
      </c>
      <c r="O157" s="386">
        <f t="shared" si="70"/>
        <v>1766516.52</v>
      </c>
      <c r="P157" s="386">
        <f t="shared" si="70"/>
        <v>2635620.08</v>
      </c>
      <c r="Q157" s="386">
        <f>SUM(E157:P157)</f>
        <v>23903267.710000001</v>
      </c>
    </row>
    <row r="158" spans="1:17" x14ac:dyDescent="0.2">
      <c r="A158" s="242">
        <f>A157+1</f>
        <v>18</v>
      </c>
      <c r="C158" s="400" t="s">
        <v>219</v>
      </c>
      <c r="E158" s="386">
        <f t="shared" ref="E158:P158" si="71">E669</f>
        <v>3215859.64</v>
      </c>
      <c r="F158" s="386">
        <f t="shared" si="71"/>
        <v>3075216.81</v>
      </c>
      <c r="G158" s="386">
        <f t="shared" si="71"/>
        <v>2556466.34</v>
      </c>
      <c r="H158" s="386">
        <f t="shared" si="71"/>
        <v>1290405.3400000001</v>
      </c>
      <c r="I158" s="386">
        <f t="shared" si="71"/>
        <v>764640.5</v>
      </c>
      <c r="J158" s="386">
        <f t="shared" si="71"/>
        <v>534031.69999999995</v>
      </c>
      <c r="K158" s="386">
        <f t="shared" si="71"/>
        <v>438815.38</v>
      </c>
      <c r="L158" s="386">
        <f t="shared" si="71"/>
        <v>396503.64</v>
      </c>
      <c r="M158" s="386">
        <f t="shared" si="71"/>
        <v>418492.6</v>
      </c>
      <c r="N158" s="386">
        <f t="shared" si="71"/>
        <v>518217.45</v>
      </c>
      <c r="O158" s="386">
        <f t="shared" si="71"/>
        <v>1037388.19</v>
      </c>
      <c r="P158" s="386">
        <f t="shared" si="71"/>
        <v>2266670.33</v>
      </c>
      <c r="Q158" s="386">
        <f>SUM(E158:P158)</f>
        <v>16512707.919999998</v>
      </c>
    </row>
    <row r="159" spans="1:17" x14ac:dyDescent="0.2">
      <c r="A159" s="577">
        <f>A158+1</f>
        <v>19</v>
      </c>
      <c r="B159" s="403"/>
      <c r="C159" s="404" t="s">
        <v>484</v>
      </c>
      <c r="D159" s="405"/>
      <c r="E159" s="406">
        <f t="shared" ref="E159:P159" si="72">E678</f>
        <v>6479228.6700000009</v>
      </c>
      <c r="F159" s="406">
        <f t="shared" si="72"/>
        <v>6259762.2000000002</v>
      </c>
      <c r="G159" s="406">
        <f t="shared" si="72"/>
        <v>5389058.9800000004</v>
      </c>
      <c r="H159" s="406">
        <f t="shared" si="72"/>
        <v>3245486.2300000004</v>
      </c>
      <c r="I159" s="406">
        <f t="shared" si="72"/>
        <v>2345630.7599999998</v>
      </c>
      <c r="J159" s="406">
        <f t="shared" si="72"/>
        <v>1931201.91</v>
      </c>
      <c r="K159" s="406">
        <f t="shared" si="72"/>
        <v>1759912.1999999997</v>
      </c>
      <c r="L159" s="406">
        <f t="shared" si="72"/>
        <v>1683596.0800000003</v>
      </c>
      <c r="M159" s="406">
        <f t="shared" si="72"/>
        <v>1720461.3</v>
      </c>
      <c r="N159" s="406">
        <f t="shared" si="72"/>
        <v>1895442.18</v>
      </c>
      <c r="O159" s="406">
        <f t="shared" si="72"/>
        <v>2803904.71</v>
      </c>
      <c r="P159" s="406">
        <f t="shared" si="72"/>
        <v>4902290.41</v>
      </c>
      <c r="Q159" s="715">
        <f>SUM(E159:P159)</f>
        <v>40415975.63000001</v>
      </c>
    </row>
    <row r="160" spans="1:17" x14ac:dyDescent="0.2">
      <c r="G160" s="270"/>
      <c r="Q160" s="270"/>
    </row>
    <row r="161" spans="1:17" x14ac:dyDescent="0.2">
      <c r="A161" s="213"/>
      <c r="D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</row>
    <row r="162" spans="1:17" x14ac:dyDescent="0.2">
      <c r="A162" s="504" t="str">
        <f>$A$107</f>
        <v>[1] Reflects Normalized Volumes.</v>
      </c>
      <c r="D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</row>
    <row r="163" spans="1:17" x14ac:dyDescent="0.2">
      <c r="A163" s="504" t="str">
        <f>$A$108</f>
        <v>[2] See Schedule M-2.2 Pages 8 through 21 for detail.</v>
      </c>
      <c r="D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</row>
    <row r="164" spans="1:17" ht="10.5" x14ac:dyDescent="0.25">
      <c r="A164" s="819" t="str">
        <f>CONAME</f>
        <v>Columbia Gas of Kentucky, Inc.</v>
      </c>
      <c r="B164" s="819"/>
      <c r="C164" s="819"/>
      <c r="D164" s="819"/>
      <c r="E164" s="819"/>
      <c r="F164" s="819"/>
      <c r="G164" s="819"/>
      <c r="H164" s="819"/>
      <c r="I164" s="819"/>
      <c r="J164" s="819"/>
      <c r="K164" s="819"/>
      <c r="L164" s="819"/>
      <c r="M164" s="819"/>
      <c r="N164" s="819"/>
      <c r="O164" s="819"/>
      <c r="P164" s="819"/>
      <c r="Q164" s="819"/>
    </row>
    <row r="165" spans="1:17" ht="10.5" x14ac:dyDescent="0.25">
      <c r="A165" s="803" t="str">
        <f>case</f>
        <v>Case No. 2021-00183</v>
      </c>
      <c r="B165" s="803"/>
      <c r="C165" s="803"/>
      <c r="D165" s="803"/>
      <c r="E165" s="803"/>
      <c r="F165" s="803"/>
      <c r="G165" s="803"/>
      <c r="H165" s="803"/>
      <c r="I165" s="803"/>
      <c r="J165" s="803"/>
      <c r="K165" s="803"/>
      <c r="L165" s="803"/>
      <c r="M165" s="803"/>
      <c r="N165" s="803"/>
      <c r="O165" s="803"/>
      <c r="P165" s="803"/>
      <c r="Q165" s="803"/>
    </row>
    <row r="166" spans="1:17" ht="10.5" x14ac:dyDescent="0.25">
      <c r="A166" s="820" t="s">
        <v>197</v>
      </c>
      <c r="B166" s="820"/>
      <c r="C166" s="820"/>
      <c r="D166" s="820"/>
      <c r="E166" s="820"/>
      <c r="F166" s="820"/>
      <c r="G166" s="820"/>
      <c r="H166" s="820"/>
      <c r="I166" s="820"/>
      <c r="J166" s="820"/>
      <c r="K166" s="820"/>
      <c r="L166" s="820"/>
      <c r="M166" s="820"/>
      <c r="N166" s="820"/>
      <c r="O166" s="820"/>
      <c r="P166" s="820"/>
      <c r="Q166" s="820"/>
    </row>
    <row r="167" spans="1:17" ht="10.5" x14ac:dyDescent="0.25">
      <c r="A167" s="819" t="str">
        <f>TYDESC</f>
        <v>For the 12 Months Ended December 31, 2022</v>
      </c>
      <c r="B167" s="819"/>
      <c r="C167" s="819"/>
      <c r="D167" s="819"/>
      <c r="E167" s="819"/>
      <c r="F167" s="819"/>
      <c r="G167" s="819"/>
      <c r="H167" s="819"/>
      <c r="I167" s="819"/>
      <c r="J167" s="819"/>
      <c r="K167" s="819"/>
      <c r="L167" s="819"/>
      <c r="M167" s="819"/>
      <c r="N167" s="819"/>
      <c r="O167" s="819"/>
      <c r="P167" s="819"/>
      <c r="Q167" s="819"/>
    </row>
    <row r="168" spans="1:17" ht="10.5" x14ac:dyDescent="0.25">
      <c r="A168" s="821" t="s">
        <v>39</v>
      </c>
      <c r="B168" s="821"/>
      <c r="C168" s="821"/>
      <c r="D168" s="821"/>
      <c r="E168" s="821"/>
      <c r="F168" s="821"/>
      <c r="G168" s="821"/>
      <c r="H168" s="821"/>
      <c r="I168" s="821"/>
      <c r="J168" s="821"/>
      <c r="K168" s="821"/>
      <c r="L168" s="821"/>
      <c r="M168" s="821"/>
      <c r="N168" s="821"/>
      <c r="O168" s="821"/>
      <c r="P168" s="821"/>
      <c r="Q168" s="821"/>
    </row>
    <row r="169" spans="1:17" ht="10.5" x14ac:dyDescent="0.25">
      <c r="A169" s="575" t="str">
        <f>$A$52</f>
        <v>Data: __ Base Period _X_ Forecasted Period</v>
      </c>
    </row>
    <row r="170" spans="1:17" ht="10.5" x14ac:dyDescent="0.25">
      <c r="A170" s="575" t="str">
        <f>$A$53</f>
        <v>Type of Filing: X Original _ Update _ Revised</v>
      </c>
      <c r="Q170" s="372" t="str">
        <f>$Q$53</f>
        <v>Schedule M-2.3</v>
      </c>
    </row>
    <row r="171" spans="1:17" ht="10.5" x14ac:dyDescent="0.25">
      <c r="A171" s="575" t="str">
        <f>$A$54</f>
        <v>Work Paper Reference No(s):</v>
      </c>
      <c r="Q171" s="372" t="s">
        <v>436</v>
      </c>
    </row>
    <row r="172" spans="1:17" ht="10.5" x14ac:dyDescent="0.25">
      <c r="A172" s="576" t="str">
        <f>$A$55</f>
        <v>12 Months Forecasted</v>
      </c>
      <c r="Q172" s="372" t="str">
        <f>Witness</f>
        <v>Witness:  Judith L. Siegler</v>
      </c>
    </row>
    <row r="173" spans="1:17" ht="10.5" x14ac:dyDescent="0.25">
      <c r="A173" s="822" t="s">
        <v>291</v>
      </c>
      <c r="B173" s="822"/>
      <c r="C173" s="822"/>
      <c r="D173" s="822"/>
      <c r="E173" s="822"/>
      <c r="F173" s="822"/>
      <c r="G173" s="822"/>
      <c r="H173" s="822"/>
      <c r="I173" s="822"/>
      <c r="J173" s="822"/>
      <c r="K173" s="822"/>
      <c r="L173" s="822"/>
      <c r="M173" s="822"/>
      <c r="N173" s="822"/>
      <c r="O173" s="822"/>
      <c r="P173" s="822"/>
      <c r="Q173" s="822"/>
    </row>
    <row r="174" spans="1:17" x14ac:dyDescent="0.2">
      <c r="C174" s="408"/>
      <c r="G174" s="270"/>
      <c r="Q174" s="270"/>
    </row>
    <row r="175" spans="1:17" ht="10.5" x14ac:dyDescent="0.25">
      <c r="A175" s="717" t="s">
        <v>1</v>
      </c>
      <c r="B175" s="718" t="s">
        <v>0</v>
      </c>
      <c r="C175" s="718" t="s">
        <v>41</v>
      </c>
      <c r="D175" s="721" t="s">
        <v>30</v>
      </c>
      <c r="E175" s="376"/>
      <c r="F175" s="377"/>
      <c r="G175" s="376"/>
      <c r="H175" s="720"/>
      <c r="I175" s="376"/>
      <c r="J175" s="376"/>
      <c r="K175" s="376"/>
      <c r="L175" s="376"/>
      <c r="M175" s="376"/>
      <c r="N175" s="376"/>
      <c r="O175" s="719"/>
      <c r="P175" s="719"/>
      <c r="Q175" s="719"/>
    </row>
    <row r="176" spans="1:17" ht="10.5" x14ac:dyDescent="0.25">
      <c r="A176" s="263" t="s">
        <v>3</v>
      </c>
      <c r="B176" s="220" t="s">
        <v>40</v>
      </c>
      <c r="C176" s="220" t="s">
        <v>4</v>
      </c>
      <c r="D176" s="379" t="s">
        <v>48</v>
      </c>
      <c r="E176" s="380" t="str">
        <f>B!$D$11</f>
        <v>Jan-22</v>
      </c>
      <c r="F176" s="380" t="str">
        <f>B!$E$11</f>
        <v>Feb-22</v>
      </c>
      <c r="G176" s="380" t="str">
        <f>B!$F$11</f>
        <v>Mar-22</v>
      </c>
      <c r="H176" s="380" t="str">
        <f>B!$G$11</f>
        <v>Apr-22</v>
      </c>
      <c r="I176" s="380" t="str">
        <f>B!$H$11</f>
        <v>May-22</v>
      </c>
      <c r="J176" s="380" t="str">
        <f>B!$I$11</f>
        <v>Jun-22</v>
      </c>
      <c r="K176" s="380" t="str">
        <f>B!$J$11</f>
        <v>Jul-22</v>
      </c>
      <c r="L176" s="380" t="str">
        <f>B!$K$11</f>
        <v>Aug-22</v>
      </c>
      <c r="M176" s="380" t="str">
        <f>B!$L$11</f>
        <v>Sep-22</v>
      </c>
      <c r="N176" s="380" t="str">
        <f>B!$M$11</f>
        <v>Oct-22</v>
      </c>
      <c r="O176" s="380" t="str">
        <f>B!$N$11</f>
        <v>Nov-22</v>
      </c>
      <c r="P176" s="380" t="str">
        <f>B!$O$11</f>
        <v>Dec-22</v>
      </c>
      <c r="Q176" s="381" t="s">
        <v>9</v>
      </c>
    </row>
    <row r="177" spans="1:17" ht="10.5" x14ac:dyDescent="0.25">
      <c r="A177" s="717"/>
      <c r="B177" s="719" t="s">
        <v>42</v>
      </c>
      <c r="C177" s="719" t="s">
        <v>43</v>
      </c>
      <c r="D177" s="382" t="s">
        <v>45</v>
      </c>
      <c r="E177" s="383" t="s">
        <v>46</v>
      </c>
      <c r="F177" s="383" t="s">
        <v>49</v>
      </c>
      <c r="G177" s="383" t="s">
        <v>50</v>
      </c>
      <c r="H177" s="383" t="s">
        <v>51</v>
      </c>
      <c r="I177" s="383" t="s">
        <v>52</v>
      </c>
      <c r="J177" s="384" t="s">
        <v>53</v>
      </c>
      <c r="K177" s="384" t="s">
        <v>54</v>
      </c>
      <c r="L177" s="384" t="s">
        <v>55</v>
      </c>
      <c r="M177" s="384" t="s">
        <v>56</v>
      </c>
      <c r="N177" s="384" t="s">
        <v>57</v>
      </c>
      <c r="O177" s="384" t="s">
        <v>58</v>
      </c>
      <c r="P177" s="384" t="s">
        <v>59</v>
      </c>
      <c r="Q177" s="384" t="s">
        <v>200</v>
      </c>
    </row>
    <row r="178" spans="1:17" x14ac:dyDescent="0.2">
      <c r="G178" s="270"/>
      <c r="Q178" s="270"/>
    </row>
    <row r="179" spans="1:17" ht="10.5" x14ac:dyDescent="0.25">
      <c r="A179" s="242">
        <v>1</v>
      </c>
      <c r="C179" s="396" t="s">
        <v>94</v>
      </c>
      <c r="G179" s="270"/>
      <c r="Q179" s="270"/>
    </row>
    <row r="180" spans="1:17" ht="10.5" x14ac:dyDescent="0.25">
      <c r="C180" s="396"/>
      <c r="G180" s="270"/>
      <c r="Q180" s="270"/>
    </row>
    <row r="181" spans="1:17" x14ac:dyDescent="0.2">
      <c r="A181" s="242">
        <f>A179+1</f>
        <v>2</v>
      </c>
      <c r="B181" s="213" t="str">
        <f>Input!A28</f>
        <v>GSO</v>
      </c>
      <c r="C181" s="213" t="str">
        <f>'Sch M 2.1'!B30</f>
        <v>General Service - Industrial</v>
      </c>
      <c r="G181" s="270"/>
      <c r="Q181" s="270"/>
    </row>
    <row r="182" spans="1:17" x14ac:dyDescent="0.2">
      <c r="A182" s="242">
        <f>A181+1</f>
        <v>3</v>
      </c>
      <c r="C182" s="400" t="s">
        <v>216</v>
      </c>
      <c r="E182" s="231">
        <f t="shared" ref="E182:P182" si="73">E703</f>
        <v>52</v>
      </c>
      <c r="F182" s="231">
        <f t="shared" si="73"/>
        <v>52</v>
      </c>
      <c r="G182" s="231">
        <f t="shared" si="73"/>
        <v>51</v>
      </c>
      <c r="H182" s="231">
        <f t="shared" si="73"/>
        <v>51</v>
      </c>
      <c r="I182" s="231">
        <f t="shared" si="73"/>
        <v>50</v>
      </c>
      <c r="J182" s="231">
        <f t="shared" si="73"/>
        <v>51</v>
      </c>
      <c r="K182" s="231">
        <f t="shared" si="73"/>
        <v>51</v>
      </c>
      <c r="L182" s="231">
        <f t="shared" si="73"/>
        <v>51</v>
      </c>
      <c r="M182" s="231">
        <f t="shared" si="73"/>
        <v>51</v>
      </c>
      <c r="N182" s="231">
        <f t="shared" si="73"/>
        <v>52</v>
      </c>
      <c r="O182" s="231">
        <f t="shared" si="73"/>
        <v>53</v>
      </c>
      <c r="P182" s="231">
        <f t="shared" si="73"/>
        <v>53</v>
      </c>
      <c r="Q182" s="231">
        <f>SUM(E182:P182)</f>
        <v>618</v>
      </c>
    </row>
    <row r="183" spans="1:17" x14ac:dyDescent="0.2">
      <c r="A183" s="242">
        <f>A182+1</f>
        <v>4</v>
      </c>
      <c r="C183" s="400" t="s">
        <v>483</v>
      </c>
      <c r="E183" s="234">
        <f t="shared" ref="E183:P183" si="74">E712</f>
        <v>48458.8</v>
      </c>
      <c r="F183" s="234">
        <f t="shared" si="74"/>
        <v>46186.400000000001</v>
      </c>
      <c r="G183" s="234">
        <f t="shared" si="74"/>
        <v>30488.199999999997</v>
      </c>
      <c r="H183" s="234">
        <f t="shared" si="74"/>
        <v>9871.6</v>
      </c>
      <c r="I183" s="234">
        <f t="shared" si="74"/>
        <v>9771.9</v>
      </c>
      <c r="J183" s="234">
        <f t="shared" si="74"/>
        <v>6949.4</v>
      </c>
      <c r="K183" s="234">
        <f t="shared" si="74"/>
        <v>6025.1</v>
      </c>
      <c r="L183" s="234">
        <f t="shared" si="74"/>
        <v>7880.1</v>
      </c>
      <c r="M183" s="234">
        <f t="shared" si="74"/>
        <v>8890.2999999999993</v>
      </c>
      <c r="N183" s="234">
        <f t="shared" si="74"/>
        <v>13143.4</v>
      </c>
      <c r="O183" s="234">
        <f t="shared" si="74"/>
        <v>27525.699999999997</v>
      </c>
      <c r="P183" s="234">
        <f t="shared" si="74"/>
        <v>40778.5</v>
      </c>
      <c r="Q183" s="234">
        <f>SUM(E183:P183)</f>
        <v>255969.39999999997</v>
      </c>
    </row>
    <row r="184" spans="1:17" x14ac:dyDescent="0.2">
      <c r="A184" s="242">
        <f>A183+1</f>
        <v>5</v>
      </c>
      <c r="C184" s="400" t="s">
        <v>218</v>
      </c>
      <c r="E184" s="386">
        <f t="shared" ref="E184:L184" si="75">E720+E729</f>
        <v>129896.77</v>
      </c>
      <c r="F184" s="386">
        <f t="shared" si="75"/>
        <v>124440.32999999999</v>
      </c>
      <c r="G184" s="386">
        <f t="shared" si="75"/>
        <v>86083.41</v>
      </c>
      <c r="H184" s="386">
        <f t="shared" si="75"/>
        <v>32553.350000000002</v>
      </c>
      <c r="I184" s="386">
        <f t="shared" si="75"/>
        <v>32064.549999999996</v>
      </c>
      <c r="J184" s="386">
        <f t="shared" si="75"/>
        <v>24095.720000000005</v>
      </c>
      <c r="K184" s="386">
        <f t="shared" si="75"/>
        <v>21262.1</v>
      </c>
      <c r="L184" s="386">
        <f t="shared" si="75"/>
        <v>26338.13</v>
      </c>
      <c r="M184" s="386">
        <f>M720+M729</f>
        <v>29173.970000000005</v>
      </c>
      <c r="N184" s="386">
        <f>N720+N729</f>
        <v>40663.979999999996</v>
      </c>
      <c r="O184" s="386">
        <f t="shared" ref="O184:P184" si="76">O720+O729</f>
        <v>77442.459999999977</v>
      </c>
      <c r="P184" s="386">
        <f t="shared" si="76"/>
        <v>110860.61</v>
      </c>
      <c r="Q184" s="386">
        <f>SUM(E184:P184)</f>
        <v>734875.38</v>
      </c>
    </row>
    <row r="185" spans="1:17" x14ac:dyDescent="0.2">
      <c r="A185" s="242">
        <f>A184+1</f>
        <v>6</v>
      </c>
      <c r="C185" s="400" t="s">
        <v>219</v>
      </c>
      <c r="E185" s="386">
        <f t="shared" ref="E185:P185" si="77">E722</f>
        <v>212588.76</v>
      </c>
      <c r="F185" s="386">
        <f t="shared" si="77"/>
        <v>202619.74</v>
      </c>
      <c r="G185" s="386">
        <f t="shared" si="77"/>
        <v>133751.73000000001</v>
      </c>
      <c r="H185" s="386">
        <f t="shared" si="77"/>
        <v>43306.71</v>
      </c>
      <c r="I185" s="386">
        <f t="shared" si="77"/>
        <v>42869.33</v>
      </c>
      <c r="J185" s="386">
        <f t="shared" si="77"/>
        <v>30487.02</v>
      </c>
      <c r="K185" s="386">
        <f t="shared" si="77"/>
        <v>26432.11</v>
      </c>
      <c r="L185" s="386">
        <f t="shared" si="77"/>
        <v>34570</v>
      </c>
      <c r="M185" s="386">
        <f t="shared" si="77"/>
        <v>39001.75</v>
      </c>
      <c r="N185" s="386">
        <f t="shared" si="77"/>
        <v>57660.1</v>
      </c>
      <c r="O185" s="386">
        <f t="shared" si="77"/>
        <v>120755.25</v>
      </c>
      <c r="P185" s="386">
        <f t="shared" si="77"/>
        <v>178895.28</v>
      </c>
      <c r="Q185" s="386">
        <f>SUM(E185:P185)</f>
        <v>1122937.7799999998</v>
      </c>
    </row>
    <row r="186" spans="1:17" x14ac:dyDescent="0.2">
      <c r="A186" s="577">
        <f>A185+1</f>
        <v>7</v>
      </c>
      <c r="B186" s="403"/>
      <c r="C186" s="404" t="s">
        <v>484</v>
      </c>
      <c r="D186" s="405"/>
      <c r="E186" s="406">
        <f t="shared" ref="E186:P186" si="78">E731</f>
        <v>342485.52999999997</v>
      </c>
      <c r="F186" s="406">
        <f t="shared" si="78"/>
        <v>327060.07</v>
      </c>
      <c r="G186" s="406">
        <f t="shared" si="78"/>
        <v>219835.14</v>
      </c>
      <c r="H186" s="406">
        <f t="shared" si="78"/>
        <v>75860.06</v>
      </c>
      <c r="I186" s="406">
        <f t="shared" si="78"/>
        <v>74933.87999999999</v>
      </c>
      <c r="J186" s="406">
        <f t="shared" si="78"/>
        <v>54582.74</v>
      </c>
      <c r="K186" s="406">
        <f t="shared" si="78"/>
        <v>47694.21</v>
      </c>
      <c r="L186" s="406">
        <f t="shared" si="78"/>
        <v>60908.13</v>
      </c>
      <c r="M186" s="406">
        <f t="shared" si="78"/>
        <v>68175.72</v>
      </c>
      <c r="N186" s="406">
        <f t="shared" si="78"/>
        <v>98324.08</v>
      </c>
      <c r="O186" s="406">
        <f t="shared" si="78"/>
        <v>198197.70999999996</v>
      </c>
      <c r="P186" s="406">
        <f t="shared" si="78"/>
        <v>289755.88999999996</v>
      </c>
      <c r="Q186" s="715">
        <f>SUM(E186:P186)</f>
        <v>1857813.16</v>
      </c>
    </row>
    <row r="187" spans="1:17" x14ac:dyDescent="0.2">
      <c r="G187" s="270"/>
      <c r="Q187" s="270"/>
    </row>
    <row r="188" spans="1:17" x14ac:dyDescent="0.2">
      <c r="A188" s="242">
        <f>A186+1</f>
        <v>8</v>
      </c>
      <c r="B188" s="213" t="str">
        <f>Input!A33</f>
        <v xml:space="preserve">IS </v>
      </c>
      <c r="C188" s="213" t="str">
        <f>'Sch M 2.1'!B31</f>
        <v>Interruptible Service - Industrial</v>
      </c>
      <c r="G188" s="270"/>
      <c r="Q188" s="270"/>
    </row>
    <row r="189" spans="1:17" x14ac:dyDescent="0.2">
      <c r="A189" s="242">
        <f>A188+1</f>
        <v>9</v>
      </c>
      <c r="C189" s="400" t="s">
        <v>216</v>
      </c>
      <c r="E189" s="231">
        <f t="shared" ref="E189:P189" si="79">E755</f>
        <v>0</v>
      </c>
      <c r="F189" s="231">
        <f t="shared" si="79"/>
        <v>0</v>
      </c>
      <c r="G189" s="231">
        <f t="shared" si="79"/>
        <v>0</v>
      </c>
      <c r="H189" s="231">
        <f t="shared" si="79"/>
        <v>0</v>
      </c>
      <c r="I189" s="231">
        <f t="shared" si="79"/>
        <v>0</v>
      </c>
      <c r="J189" s="231">
        <f t="shared" si="79"/>
        <v>0</v>
      </c>
      <c r="K189" s="231">
        <f t="shared" si="79"/>
        <v>0</v>
      </c>
      <c r="L189" s="231">
        <f t="shared" si="79"/>
        <v>0</v>
      </c>
      <c r="M189" s="231">
        <f t="shared" si="79"/>
        <v>0</v>
      </c>
      <c r="N189" s="231">
        <f t="shared" si="79"/>
        <v>0</v>
      </c>
      <c r="O189" s="231">
        <f t="shared" si="79"/>
        <v>0</v>
      </c>
      <c r="P189" s="231">
        <f t="shared" si="79"/>
        <v>0</v>
      </c>
      <c r="Q189" s="231">
        <f>SUM(E189:P189)</f>
        <v>0</v>
      </c>
    </row>
    <row r="190" spans="1:17" x14ac:dyDescent="0.2">
      <c r="A190" s="242">
        <f>A189+1</f>
        <v>10</v>
      </c>
      <c r="C190" s="400" t="s">
        <v>483</v>
      </c>
      <c r="E190" s="234">
        <f t="shared" ref="E190:P190" si="80">E762</f>
        <v>0</v>
      </c>
      <c r="F190" s="234">
        <f t="shared" si="80"/>
        <v>0</v>
      </c>
      <c r="G190" s="234">
        <f t="shared" si="80"/>
        <v>0</v>
      </c>
      <c r="H190" s="234">
        <f t="shared" si="80"/>
        <v>0</v>
      </c>
      <c r="I190" s="234">
        <f t="shared" si="80"/>
        <v>0</v>
      </c>
      <c r="J190" s="234">
        <f t="shared" si="80"/>
        <v>0</v>
      </c>
      <c r="K190" s="234">
        <f t="shared" si="80"/>
        <v>0</v>
      </c>
      <c r="L190" s="234">
        <f t="shared" si="80"/>
        <v>0</v>
      </c>
      <c r="M190" s="234">
        <f t="shared" si="80"/>
        <v>0</v>
      </c>
      <c r="N190" s="234">
        <f t="shared" si="80"/>
        <v>0</v>
      </c>
      <c r="O190" s="234">
        <f t="shared" si="80"/>
        <v>0</v>
      </c>
      <c r="P190" s="234">
        <f t="shared" si="80"/>
        <v>0</v>
      </c>
      <c r="Q190" s="234">
        <f>SUM(E190:P190)</f>
        <v>0</v>
      </c>
    </row>
    <row r="191" spans="1:17" x14ac:dyDescent="0.2">
      <c r="A191" s="242">
        <f>A190+1</f>
        <v>11</v>
      </c>
      <c r="C191" s="400" t="s">
        <v>218</v>
      </c>
      <c r="E191" s="386">
        <f t="shared" ref="E191:L191" si="81">E768+E777</f>
        <v>0</v>
      </c>
      <c r="F191" s="386">
        <f t="shared" si="81"/>
        <v>0</v>
      </c>
      <c r="G191" s="386">
        <f t="shared" si="81"/>
        <v>0</v>
      </c>
      <c r="H191" s="386">
        <f t="shared" si="81"/>
        <v>0</v>
      </c>
      <c r="I191" s="386">
        <f t="shared" si="81"/>
        <v>0</v>
      </c>
      <c r="J191" s="386">
        <f t="shared" si="81"/>
        <v>0</v>
      </c>
      <c r="K191" s="386">
        <f t="shared" si="81"/>
        <v>0</v>
      </c>
      <c r="L191" s="386">
        <f t="shared" si="81"/>
        <v>0</v>
      </c>
      <c r="M191" s="386">
        <f>M768+M777</f>
        <v>0</v>
      </c>
      <c r="N191" s="386">
        <f t="shared" ref="N191:P191" si="82">N768+N777</f>
        <v>0</v>
      </c>
      <c r="O191" s="386">
        <f t="shared" si="82"/>
        <v>0</v>
      </c>
      <c r="P191" s="386">
        <f t="shared" si="82"/>
        <v>0</v>
      </c>
      <c r="Q191" s="386">
        <f>SUM(E191:P191)</f>
        <v>0</v>
      </c>
    </row>
    <row r="192" spans="1:17" x14ac:dyDescent="0.2">
      <c r="A192" s="242">
        <f>A191+1</f>
        <v>12</v>
      </c>
      <c r="C192" s="400" t="s">
        <v>219</v>
      </c>
      <c r="E192" s="386">
        <f t="shared" ref="E192:P192" si="83">E770</f>
        <v>0</v>
      </c>
      <c r="F192" s="386">
        <f t="shared" si="83"/>
        <v>0</v>
      </c>
      <c r="G192" s="386">
        <f t="shared" si="83"/>
        <v>0</v>
      </c>
      <c r="H192" s="386">
        <f t="shared" si="83"/>
        <v>0</v>
      </c>
      <c r="I192" s="386">
        <f t="shared" si="83"/>
        <v>0</v>
      </c>
      <c r="J192" s="386">
        <f t="shared" si="83"/>
        <v>0</v>
      </c>
      <c r="K192" s="386">
        <f t="shared" si="83"/>
        <v>0</v>
      </c>
      <c r="L192" s="386">
        <f t="shared" si="83"/>
        <v>0</v>
      </c>
      <c r="M192" s="386">
        <f t="shared" si="83"/>
        <v>0</v>
      </c>
      <c r="N192" s="386">
        <f t="shared" si="83"/>
        <v>0</v>
      </c>
      <c r="O192" s="386">
        <f t="shared" si="83"/>
        <v>0</v>
      </c>
      <c r="P192" s="386">
        <f t="shared" si="83"/>
        <v>0</v>
      </c>
      <c r="Q192" s="386">
        <f>SUM(E192:P192)</f>
        <v>0</v>
      </c>
    </row>
    <row r="193" spans="1:17" x14ac:dyDescent="0.2">
      <c r="A193" s="577">
        <f>A192+1</f>
        <v>13</v>
      </c>
      <c r="B193" s="403"/>
      <c r="C193" s="404" t="s">
        <v>484</v>
      </c>
      <c r="D193" s="405"/>
      <c r="E193" s="406">
        <f t="shared" ref="E193:P193" si="84">E779</f>
        <v>0</v>
      </c>
      <c r="F193" s="406">
        <f t="shared" si="84"/>
        <v>0</v>
      </c>
      <c r="G193" s="406">
        <f t="shared" si="84"/>
        <v>0</v>
      </c>
      <c r="H193" s="406">
        <f t="shared" si="84"/>
        <v>0</v>
      </c>
      <c r="I193" s="406">
        <f t="shared" si="84"/>
        <v>0</v>
      </c>
      <c r="J193" s="406">
        <f t="shared" si="84"/>
        <v>0</v>
      </c>
      <c r="K193" s="406">
        <f t="shared" si="84"/>
        <v>0</v>
      </c>
      <c r="L193" s="406">
        <f t="shared" si="84"/>
        <v>0</v>
      </c>
      <c r="M193" s="406">
        <f t="shared" si="84"/>
        <v>0</v>
      </c>
      <c r="N193" s="406">
        <f t="shared" si="84"/>
        <v>0</v>
      </c>
      <c r="O193" s="406">
        <f t="shared" si="84"/>
        <v>0</v>
      </c>
      <c r="P193" s="406">
        <f t="shared" si="84"/>
        <v>0</v>
      </c>
      <c r="Q193" s="406">
        <f>SUM(E193:P193)</f>
        <v>0</v>
      </c>
    </row>
    <row r="194" spans="1:17" x14ac:dyDescent="0.2">
      <c r="G194" s="270"/>
      <c r="Q194" s="270"/>
    </row>
    <row r="195" spans="1:17" x14ac:dyDescent="0.2">
      <c r="A195" s="242">
        <f>A193+1</f>
        <v>14</v>
      </c>
      <c r="B195" s="213" t="str">
        <f>Input!A34</f>
        <v>IUS</v>
      </c>
      <c r="C195" s="213" t="str">
        <f>'Sch M 2.1'!B32</f>
        <v>Intrastate Utility Service - Wholesale</v>
      </c>
      <c r="G195" s="270"/>
      <c r="Q195" s="270"/>
    </row>
    <row r="196" spans="1:17" x14ac:dyDescent="0.2">
      <c r="A196" s="242">
        <f>A195+1</f>
        <v>15</v>
      </c>
      <c r="C196" s="400" t="s">
        <v>216</v>
      </c>
      <c r="E196" s="231">
        <f t="shared" ref="E196:P196" si="85">E786</f>
        <v>2</v>
      </c>
      <c r="F196" s="231">
        <f t="shared" si="85"/>
        <v>2</v>
      </c>
      <c r="G196" s="231">
        <f t="shared" si="85"/>
        <v>2</v>
      </c>
      <c r="H196" s="231">
        <f t="shared" si="85"/>
        <v>2</v>
      </c>
      <c r="I196" s="231">
        <f t="shared" si="85"/>
        <v>2</v>
      </c>
      <c r="J196" s="231">
        <f t="shared" si="85"/>
        <v>2</v>
      </c>
      <c r="K196" s="231">
        <f t="shared" si="85"/>
        <v>2</v>
      </c>
      <c r="L196" s="231">
        <f t="shared" si="85"/>
        <v>2</v>
      </c>
      <c r="M196" s="231">
        <f t="shared" si="85"/>
        <v>2</v>
      </c>
      <c r="N196" s="231">
        <f t="shared" si="85"/>
        <v>2</v>
      </c>
      <c r="O196" s="231">
        <f t="shared" si="85"/>
        <v>2</v>
      </c>
      <c r="P196" s="231">
        <f t="shared" si="85"/>
        <v>2</v>
      </c>
      <c r="Q196" s="231">
        <f>SUM(E196:P196)</f>
        <v>24</v>
      </c>
    </row>
    <row r="197" spans="1:17" x14ac:dyDescent="0.2">
      <c r="A197" s="242">
        <f>A196+1</f>
        <v>16</v>
      </c>
      <c r="C197" s="400" t="s">
        <v>483</v>
      </c>
      <c r="E197" s="234">
        <f t="shared" ref="E197:P197" si="86">E790</f>
        <v>1938.9</v>
      </c>
      <c r="F197" s="234">
        <f t="shared" si="86"/>
        <v>1673.4</v>
      </c>
      <c r="G197" s="234">
        <f t="shared" si="86"/>
        <v>1850.8</v>
      </c>
      <c r="H197" s="234">
        <f t="shared" si="86"/>
        <v>714.5</v>
      </c>
      <c r="I197" s="234">
        <f t="shared" si="86"/>
        <v>576.5</v>
      </c>
      <c r="J197" s="234">
        <f t="shared" si="86"/>
        <v>489.9</v>
      </c>
      <c r="K197" s="234">
        <f t="shared" si="86"/>
        <v>341.7</v>
      </c>
      <c r="L197" s="234">
        <f t="shared" si="86"/>
        <v>376.6</v>
      </c>
      <c r="M197" s="234">
        <f t="shared" si="86"/>
        <v>306.3</v>
      </c>
      <c r="N197" s="234">
        <f t="shared" si="86"/>
        <v>562.5</v>
      </c>
      <c r="O197" s="234">
        <f t="shared" si="86"/>
        <v>936.2</v>
      </c>
      <c r="P197" s="234">
        <f t="shared" si="86"/>
        <v>1483.9</v>
      </c>
      <c r="Q197" s="234">
        <f>SUM(E197:P197)</f>
        <v>11251.2</v>
      </c>
    </row>
    <row r="198" spans="1:17" x14ac:dyDescent="0.2">
      <c r="A198" s="242">
        <f>A197+1</f>
        <v>17</v>
      </c>
      <c r="C198" s="400" t="s">
        <v>218</v>
      </c>
      <c r="E198" s="386">
        <f t="shared" ref="E198:L198" si="87">E793+E802</f>
        <v>4604.57</v>
      </c>
      <c r="F198" s="386">
        <f t="shared" si="87"/>
        <v>4245.51</v>
      </c>
      <c r="G198" s="386">
        <f t="shared" si="87"/>
        <v>4485.42</v>
      </c>
      <c r="H198" s="386">
        <f t="shared" si="87"/>
        <v>2948.69</v>
      </c>
      <c r="I198" s="386">
        <f t="shared" si="87"/>
        <v>2762.06</v>
      </c>
      <c r="J198" s="386">
        <f t="shared" si="87"/>
        <v>2644.94</v>
      </c>
      <c r="K198" s="386">
        <f t="shared" si="87"/>
        <v>2444.52</v>
      </c>
      <c r="L198" s="386">
        <f t="shared" si="87"/>
        <v>2491.71</v>
      </c>
      <c r="M198" s="386">
        <f>M793+M802</f>
        <v>2396.63</v>
      </c>
      <c r="N198" s="386">
        <f>N793+N802</f>
        <v>2743.12</v>
      </c>
      <c r="O198" s="386">
        <f t="shared" ref="O198:P198" si="88">O793+O802</f>
        <v>3248.51</v>
      </c>
      <c r="P198" s="386">
        <f t="shared" si="88"/>
        <v>3989.23</v>
      </c>
      <c r="Q198" s="386">
        <f>SUM(E198:P198)</f>
        <v>39004.910000000003</v>
      </c>
    </row>
    <row r="199" spans="1:17" x14ac:dyDescent="0.2">
      <c r="A199" s="242">
        <f>A198+1</f>
        <v>18</v>
      </c>
      <c r="C199" s="400" t="s">
        <v>219</v>
      </c>
      <c r="E199" s="386">
        <f t="shared" ref="E199:P199" si="89">E795</f>
        <v>8505.9500000000007</v>
      </c>
      <c r="F199" s="386">
        <f t="shared" si="89"/>
        <v>7341.21</v>
      </c>
      <c r="G199" s="386">
        <f t="shared" si="89"/>
        <v>8119.46</v>
      </c>
      <c r="H199" s="386">
        <f t="shared" si="89"/>
        <v>3134.51</v>
      </c>
      <c r="I199" s="386">
        <f t="shared" si="89"/>
        <v>2529.11</v>
      </c>
      <c r="J199" s="386">
        <f t="shared" si="89"/>
        <v>2149.19</v>
      </c>
      <c r="K199" s="386">
        <f t="shared" si="89"/>
        <v>1499.04</v>
      </c>
      <c r="L199" s="386">
        <f t="shared" si="89"/>
        <v>1652.14</v>
      </c>
      <c r="M199" s="386">
        <f t="shared" si="89"/>
        <v>1343.74</v>
      </c>
      <c r="N199" s="386">
        <f t="shared" si="89"/>
        <v>2467.69</v>
      </c>
      <c r="O199" s="386">
        <f t="shared" si="89"/>
        <v>4107.1099999999997</v>
      </c>
      <c r="P199" s="386">
        <f t="shared" si="89"/>
        <v>6509.87</v>
      </c>
      <c r="Q199" s="386">
        <f>SUM(E199:P199)</f>
        <v>49359.02</v>
      </c>
    </row>
    <row r="200" spans="1:17" x14ac:dyDescent="0.2">
      <c r="A200" s="577">
        <f>A199+1</f>
        <v>19</v>
      </c>
      <c r="B200" s="403"/>
      <c r="C200" s="404" t="s">
        <v>484</v>
      </c>
      <c r="D200" s="405"/>
      <c r="E200" s="406">
        <f t="shared" ref="E200:P200" si="90">E804</f>
        <v>13110.52</v>
      </c>
      <c r="F200" s="406">
        <f t="shared" si="90"/>
        <v>11586.72</v>
      </c>
      <c r="G200" s="406">
        <f t="shared" si="90"/>
        <v>12604.88</v>
      </c>
      <c r="H200" s="406">
        <f t="shared" si="90"/>
        <v>6083.2</v>
      </c>
      <c r="I200" s="406">
        <f t="shared" si="90"/>
        <v>5291.17</v>
      </c>
      <c r="J200" s="406">
        <f t="shared" si="90"/>
        <v>4794.13</v>
      </c>
      <c r="K200" s="406">
        <f t="shared" si="90"/>
        <v>3943.56</v>
      </c>
      <c r="L200" s="406">
        <f t="shared" si="90"/>
        <v>4143.8499999999995</v>
      </c>
      <c r="M200" s="406">
        <f t="shared" si="90"/>
        <v>3740.37</v>
      </c>
      <c r="N200" s="406">
        <f t="shared" si="90"/>
        <v>5210.8100000000004</v>
      </c>
      <c r="O200" s="406">
        <f t="shared" si="90"/>
        <v>7355.62</v>
      </c>
      <c r="P200" s="406">
        <f t="shared" si="90"/>
        <v>10499.1</v>
      </c>
      <c r="Q200" s="715">
        <f>SUM(E200:P200)</f>
        <v>88363.93</v>
      </c>
    </row>
    <row r="201" spans="1:17" x14ac:dyDescent="0.2">
      <c r="A201" s="497"/>
      <c r="B201" s="279"/>
      <c r="C201" s="408"/>
      <c r="D201" s="278"/>
      <c r="E201" s="374"/>
      <c r="F201" s="374"/>
      <c r="G201" s="374"/>
      <c r="H201" s="374"/>
      <c r="I201" s="374"/>
      <c r="J201" s="374"/>
      <c r="K201" s="374"/>
      <c r="L201" s="374"/>
      <c r="M201" s="374"/>
      <c r="N201" s="374"/>
      <c r="O201" s="374"/>
      <c r="P201" s="374"/>
      <c r="Q201" s="374"/>
    </row>
    <row r="202" spans="1:17" x14ac:dyDescent="0.2">
      <c r="G202" s="270"/>
      <c r="Q202" s="270"/>
    </row>
    <row r="203" spans="1:17" x14ac:dyDescent="0.2">
      <c r="A203" s="504" t="str">
        <f>$A$107</f>
        <v>[1] Reflects Normalized Volumes.</v>
      </c>
      <c r="G203" s="270"/>
      <c r="Q203" s="270"/>
    </row>
    <row r="204" spans="1:17" x14ac:dyDescent="0.2">
      <c r="A204" s="504" t="str">
        <f>$A$108</f>
        <v>[2] See Schedule M-2.2 Pages 8 through 21 for detail.</v>
      </c>
      <c r="G204" s="270"/>
      <c r="Q204" s="270"/>
    </row>
    <row r="205" spans="1:17" ht="10.5" x14ac:dyDescent="0.25">
      <c r="A205" s="819" t="str">
        <f>CONAME</f>
        <v>Columbia Gas of Kentucky, Inc.</v>
      </c>
      <c r="B205" s="819"/>
      <c r="C205" s="819"/>
      <c r="D205" s="819"/>
      <c r="E205" s="819"/>
      <c r="F205" s="819"/>
      <c r="G205" s="819"/>
      <c r="H205" s="819"/>
      <c r="I205" s="819"/>
      <c r="J205" s="819"/>
      <c r="K205" s="819"/>
      <c r="L205" s="819"/>
      <c r="M205" s="819"/>
      <c r="N205" s="819"/>
      <c r="O205" s="819"/>
      <c r="P205" s="819"/>
      <c r="Q205" s="819"/>
    </row>
    <row r="206" spans="1:17" ht="10.5" x14ac:dyDescent="0.25">
      <c r="A206" s="803" t="str">
        <f>case</f>
        <v>Case No. 2021-00183</v>
      </c>
      <c r="B206" s="803"/>
      <c r="C206" s="803"/>
      <c r="D206" s="803"/>
      <c r="E206" s="803"/>
      <c r="F206" s="803"/>
      <c r="G206" s="803"/>
      <c r="H206" s="803"/>
      <c r="I206" s="803"/>
      <c r="J206" s="803"/>
      <c r="K206" s="803"/>
      <c r="L206" s="803"/>
      <c r="M206" s="803"/>
      <c r="N206" s="803"/>
      <c r="O206" s="803"/>
      <c r="P206" s="803"/>
      <c r="Q206" s="803"/>
    </row>
    <row r="207" spans="1:17" ht="10.5" x14ac:dyDescent="0.25">
      <c r="A207" s="820" t="s">
        <v>197</v>
      </c>
      <c r="B207" s="820"/>
      <c r="C207" s="820"/>
      <c r="D207" s="820"/>
      <c r="E207" s="820"/>
      <c r="F207" s="820"/>
      <c r="G207" s="820"/>
      <c r="H207" s="820"/>
      <c r="I207" s="820"/>
      <c r="J207" s="820"/>
      <c r="K207" s="820"/>
      <c r="L207" s="820"/>
      <c r="M207" s="820"/>
      <c r="N207" s="820"/>
      <c r="O207" s="820"/>
      <c r="P207" s="820"/>
      <c r="Q207" s="820"/>
    </row>
    <row r="208" spans="1:17" ht="10.5" x14ac:dyDescent="0.25">
      <c r="A208" s="819" t="str">
        <f>TYDESC</f>
        <v>For the 12 Months Ended December 31, 2022</v>
      </c>
      <c r="B208" s="819"/>
      <c r="C208" s="819"/>
      <c r="D208" s="819"/>
      <c r="E208" s="819"/>
      <c r="F208" s="819"/>
      <c r="G208" s="819"/>
      <c r="H208" s="819"/>
      <c r="I208" s="819"/>
      <c r="J208" s="819"/>
      <c r="K208" s="819"/>
      <c r="L208" s="819"/>
      <c r="M208" s="819"/>
      <c r="N208" s="819"/>
      <c r="O208" s="819"/>
      <c r="P208" s="819"/>
      <c r="Q208" s="819"/>
    </row>
    <row r="209" spans="1:17" ht="10.5" x14ac:dyDescent="0.25">
      <c r="A209" s="821" t="s">
        <v>39</v>
      </c>
      <c r="B209" s="821"/>
      <c r="C209" s="821"/>
      <c r="D209" s="821"/>
      <c r="E209" s="821"/>
      <c r="F209" s="821"/>
      <c r="G209" s="821"/>
      <c r="H209" s="821"/>
      <c r="I209" s="821"/>
      <c r="J209" s="821"/>
      <c r="K209" s="821"/>
      <c r="L209" s="821"/>
      <c r="M209" s="821"/>
      <c r="N209" s="821"/>
      <c r="O209" s="821"/>
      <c r="P209" s="821"/>
      <c r="Q209" s="821"/>
    </row>
    <row r="210" spans="1:17" ht="10.5" x14ac:dyDescent="0.25">
      <c r="A210" s="575" t="str">
        <f>$A$52</f>
        <v>Data: __ Base Period _X_ Forecasted Period</v>
      </c>
    </row>
    <row r="211" spans="1:17" ht="10.5" x14ac:dyDescent="0.25">
      <c r="A211" s="575" t="str">
        <f>$A$53</f>
        <v>Type of Filing: X Original _ Update _ Revised</v>
      </c>
      <c r="Q211" s="372" t="str">
        <f>$Q$53</f>
        <v>Schedule M-2.3</v>
      </c>
    </row>
    <row r="212" spans="1:17" ht="10.5" x14ac:dyDescent="0.25">
      <c r="A212" s="575" t="str">
        <f>$A$54</f>
        <v>Work Paper Reference No(s):</v>
      </c>
      <c r="Q212" s="372" t="s">
        <v>419</v>
      </c>
    </row>
    <row r="213" spans="1:17" ht="10.5" x14ac:dyDescent="0.25">
      <c r="A213" s="576" t="str">
        <f>$A$55</f>
        <v>12 Months Forecasted</v>
      </c>
      <c r="Q213" s="372" t="str">
        <f>Witness</f>
        <v>Witness:  Judith L. Siegler</v>
      </c>
    </row>
    <row r="214" spans="1:17" ht="10.5" x14ac:dyDescent="0.25">
      <c r="A214" s="822" t="s">
        <v>291</v>
      </c>
      <c r="B214" s="822"/>
      <c r="C214" s="822"/>
      <c r="D214" s="822"/>
      <c r="E214" s="822"/>
      <c r="F214" s="822"/>
      <c r="G214" s="822"/>
      <c r="H214" s="822"/>
      <c r="I214" s="822"/>
      <c r="J214" s="822"/>
      <c r="K214" s="822"/>
      <c r="L214" s="822"/>
      <c r="M214" s="822"/>
      <c r="N214" s="822"/>
      <c r="O214" s="822"/>
      <c r="P214" s="822"/>
      <c r="Q214" s="822"/>
    </row>
    <row r="215" spans="1:17" ht="10.5" x14ac:dyDescent="0.25">
      <c r="A215" s="723"/>
      <c r="B215" s="719"/>
      <c r="C215" s="719"/>
      <c r="D215" s="719"/>
      <c r="E215" s="719"/>
      <c r="F215" s="719"/>
      <c r="G215" s="719"/>
      <c r="H215" s="719"/>
      <c r="I215" s="719"/>
      <c r="J215" s="719"/>
      <c r="K215" s="719"/>
      <c r="L215" s="719"/>
      <c r="M215" s="719"/>
      <c r="N215" s="719"/>
      <c r="O215" s="719"/>
      <c r="P215" s="719"/>
      <c r="Q215" s="719"/>
    </row>
    <row r="216" spans="1:17" ht="10.5" x14ac:dyDescent="0.25">
      <c r="A216" s="717" t="s">
        <v>1</v>
      </c>
      <c r="B216" s="718" t="s">
        <v>0</v>
      </c>
      <c r="C216" s="718" t="s">
        <v>41</v>
      </c>
      <c r="D216" s="721" t="s">
        <v>30</v>
      </c>
      <c r="E216" s="376"/>
      <c r="F216" s="377"/>
      <c r="G216" s="376"/>
      <c r="H216" s="720"/>
      <c r="I216" s="376"/>
      <c r="J216" s="376"/>
      <c r="K216" s="376"/>
      <c r="L216" s="376"/>
      <c r="M216" s="376"/>
      <c r="N216" s="376"/>
      <c r="O216" s="719"/>
      <c r="P216" s="719"/>
      <c r="Q216" s="719"/>
    </row>
    <row r="217" spans="1:17" ht="10.5" x14ac:dyDescent="0.25">
      <c r="A217" s="263" t="s">
        <v>3</v>
      </c>
      <c r="B217" s="220" t="s">
        <v>40</v>
      </c>
      <c r="C217" s="220" t="s">
        <v>4</v>
      </c>
      <c r="D217" s="379" t="s">
        <v>48</v>
      </c>
      <c r="E217" s="380" t="str">
        <f>B!$D$11</f>
        <v>Jan-22</v>
      </c>
      <c r="F217" s="380" t="str">
        <f>B!$E$11</f>
        <v>Feb-22</v>
      </c>
      <c r="G217" s="380" t="str">
        <f>B!$F$11</f>
        <v>Mar-22</v>
      </c>
      <c r="H217" s="380" t="str">
        <f>B!$G$11</f>
        <v>Apr-22</v>
      </c>
      <c r="I217" s="380" t="str">
        <f>B!$H$11</f>
        <v>May-22</v>
      </c>
      <c r="J217" s="380" t="str">
        <f>B!$I$11</f>
        <v>Jun-22</v>
      </c>
      <c r="K217" s="380" t="str">
        <f>B!$J$11</f>
        <v>Jul-22</v>
      </c>
      <c r="L217" s="380" t="str">
        <f>B!$K$11</f>
        <v>Aug-22</v>
      </c>
      <c r="M217" s="380" t="str">
        <f>B!$L$11</f>
        <v>Sep-22</v>
      </c>
      <c r="N217" s="380" t="str">
        <f>B!$M$11</f>
        <v>Oct-22</v>
      </c>
      <c r="O217" s="380" t="str">
        <f>B!$N$11</f>
        <v>Nov-22</v>
      </c>
      <c r="P217" s="380" t="str">
        <f>B!$O$11</f>
        <v>Dec-22</v>
      </c>
      <c r="Q217" s="381" t="s">
        <v>9</v>
      </c>
    </row>
    <row r="218" spans="1:17" ht="10.5" x14ac:dyDescent="0.25">
      <c r="A218" s="717"/>
      <c r="B218" s="719" t="s">
        <v>42</v>
      </c>
      <c r="C218" s="719" t="s">
        <v>43</v>
      </c>
      <c r="D218" s="382" t="s">
        <v>45</v>
      </c>
      <c r="E218" s="383" t="s">
        <v>46</v>
      </c>
      <c r="F218" s="383" t="s">
        <v>49</v>
      </c>
      <c r="G218" s="383" t="s">
        <v>50</v>
      </c>
      <c r="H218" s="383" t="s">
        <v>51</v>
      </c>
      <c r="I218" s="383" t="s">
        <v>52</v>
      </c>
      <c r="J218" s="384" t="s">
        <v>53</v>
      </c>
      <c r="K218" s="384" t="s">
        <v>54</v>
      </c>
      <c r="L218" s="384" t="s">
        <v>55</v>
      </c>
      <c r="M218" s="384" t="s">
        <v>56</v>
      </c>
      <c r="N218" s="384" t="s">
        <v>57</v>
      </c>
      <c r="O218" s="384" t="s">
        <v>58</v>
      </c>
      <c r="P218" s="384" t="s">
        <v>59</v>
      </c>
      <c r="Q218" s="384" t="s">
        <v>200</v>
      </c>
    </row>
    <row r="219" spans="1:17" ht="10.5" x14ac:dyDescent="0.25">
      <c r="A219" s="717"/>
      <c r="B219" s="719"/>
      <c r="C219" s="719"/>
      <c r="D219" s="382"/>
      <c r="E219" s="383"/>
      <c r="F219" s="383"/>
      <c r="G219" s="383"/>
      <c r="H219" s="383"/>
      <c r="I219" s="383"/>
      <c r="J219" s="384"/>
      <c r="K219" s="384"/>
      <c r="L219" s="384"/>
      <c r="M219" s="384"/>
      <c r="N219" s="384"/>
      <c r="O219" s="384"/>
      <c r="P219" s="384"/>
      <c r="Q219" s="384"/>
    </row>
    <row r="220" spans="1:17" ht="10.5" x14ac:dyDescent="0.25">
      <c r="A220" s="242">
        <v>1</v>
      </c>
      <c r="C220" s="396" t="s">
        <v>95</v>
      </c>
    </row>
    <row r="222" spans="1:17" x14ac:dyDescent="0.2">
      <c r="A222" s="242">
        <f>A220+1</f>
        <v>2</v>
      </c>
      <c r="B222" s="213" t="str">
        <f>Input!A38</f>
        <v>GTR</v>
      </c>
      <c r="C222" s="213" t="str">
        <f>'Sch M 2.1'!B36</f>
        <v xml:space="preserve">GTS Choice - Residential </v>
      </c>
      <c r="G222" s="270"/>
      <c r="Q222" s="270"/>
    </row>
    <row r="223" spans="1:17" x14ac:dyDescent="0.2">
      <c r="A223" s="242">
        <f>A222+1</f>
        <v>3</v>
      </c>
      <c r="C223" s="400" t="s">
        <v>216</v>
      </c>
      <c r="E223" s="231">
        <f t="shared" ref="E223:P223" si="91">E830</f>
        <v>14412</v>
      </c>
      <c r="F223" s="231">
        <f t="shared" si="91"/>
        <v>14308</v>
      </c>
      <c r="G223" s="231">
        <f t="shared" si="91"/>
        <v>14237</v>
      </c>
      <c r="H223" s="231">
        <f t="shared" si="91"/>
        <v>14116</v>
      </c>
      <c r="I223" s="231">
        <f t="shared" si="91"/>
        <v>14041</v>
      </c>
      <c r="J223" s="231">
        <f t="shared" si="91"/>
        <v>13964</v>
      </c>
      <c r="K223" s="231">
        <f t="shared" si="91"/>
        <v>13875</v>
      </c>
      <c r="L223" s="231">
        <f t="shared" si="91"/>
        <v>13809</v>
      </c>
      <c r="M223" s="231">
        <f t="shared" si="91"/>
        <v>13699</v>
      </c>
      <c r="N223" s="231">
        <f t="shared" si="91"/>
        <v>13597</v>
      </c>
      <c r="O223" s="231">
        <f t="shared" si="91"/>
        <v>13511</v>
      </c>
      <c r="P223" s="231">
        <f t="shared" si="91"/>
        <v>13424</v>
      </c>
      <c r="Q223" s="231">
        <f>SUM(E223:P223)</f>
        <v>166993</v>
      </c>
    </row>
    <row r="224" spans="1:17" x14ac:dyDescent="0.2">
      <c r="A224" s="242">
        <f>A223+1</f>
        <v>4</v>
      </c>
      <c r="C224" s="400" t="s">
        <v>483</v>
      </c>
      <c r="E224" s="234">
        <f t="shared" ref="E224:P224" si="92">E834</f>
        <v>212675.3</v>
      </c>
      <c r="F224" s="234">
        <f t="shared" si="92"/>
        <v>214378.7</v>
      </c>
      <c r="G224" s="234">
        <f t="shared" si="92"/>
        <v>164319.6</v>
      </c>
      <c r="H224" s="234">
        <f t="shared" si="92"/>
        <v>95714.2</v>
      </c>
      <c r="I224" s="234">
        <f t="shared" si="92"/>
        <v>41538.6</v>
      </c>
      <c r="J224" s="234">
        <f t="shared" si="92"/>
        <v>20296.2</v>
      </c>
      <c r="K224" s="234">
        <f t="shared" si="92"/>
        <v>10992.1</v>
      </c>
      <c r="L224" s="234">
        <f t="shared" si="92"/>
        <v>11810.7</v>
      </c>
      <c r="M224" s="234">
        <f t="shared" si="92"/>
        <v>13181.9</v>
      </c>
      <c r="N224" s="234">
        <f t="shared" si="92"/>
        <v>24764.3</v>
      </c>
      <c r="O224" s="234">
        <f t="shared" si="92"/>
        <v>64840.6</v>
      </c>
      <c r="P224" s="234">
        <f t="shared" si="92"/>
        <v>148097.5</v>
      </c>
      <c r="Q224" s="234">
        <f>SUM(E224:P224)</f>
        <v>1022609.6999999998</v>
      </c>
    </row>
    <row r="225" spans="1:17" x14ac:dyDescent="0.2">
      <c r="A225" s="242">
        <f>A224+1</f>
        <v>5</v>
      </c>
      <c r="C225" s="400" t="s">
        <v>218</v>
      </c>
      <c r="E225" s="386">
        <f>E837+E847</f>
        <v>1331225.6243199999</v>
      </c>
      <c r="F225" s="386">
        <f t="shared" ref="F225:P225" si="93">F837+F847</f>
        <v>1335351.0732799999</v>
      </c>
      <c r="G225" s="386">
        <f t="shared" si="93"/>
        <v>1120950.3622400002</v>
      </c>
      <c r="H225" s="386">
        <f t="shared" si="93"/>
        <v>826410.84447999997</v>
      </c>
      <c r="I225" s="386">
        <f t="shared" si="93"/>
        <v>594434.13584</v>
      </c>
      <c r="J225" s="386">
        <f t="shared" si="93"/>
        <v>502057.65528000001</v>
      </c>
      <c r="K225" s="386">
        <f t="shared" si="93"/>
        <v>459950.44624000002</v>
      </c>
      <c r="L225" s="386">
        <f t="shared" si="93"/>
        <v>461455.74407999997</v>
      </c>
      <c r="M225" s="386">
        <f>M837+M847</f>
        <v>463993.68935999996</v>
      </c>
      <c r="N225" s="386">
        <f t="shared" si="93"/>
        <v>510072.59591999999</v>
      </c>
      <c r="O225" s="386">
        <f t="shared" si="93"/>
        <v>677462.22464000003</v>
      </c>
      <c r="P225" s="386">
        <f t="shared" si="93"/>
        <v>1027938.024</v>
      </c>
      <c r="Q225" s="386">
        <f>SUM(E225:P225)</f>
        <v>9311302.4196799994</v>
      </c>
    </row>
    <row r="226" spans="1:17" x14ac:dyDescent="0.2">
      <c r="A226" s="242">
        <f>A225+1</f>
        <v>6</v>
      </c>
      <c r="C226" s="400" t="s">
        <v>219</v>
      </c>
      <c r="E226" s="386">
        <f t="shared" ref="E226:P226" si="94">E839</f>
        <v>0</v>
      </c>
      <c r="F226" s="386">
        <f t="shared" si="94"/>
        <v>0</v>
      </c>
      <c r="G226" s="386">
        <f t="shared" si="94"/>
        <v>0</v>
      </c>
      <c r="H226" s="386">
        <f t="shared" si="94"/>
        <v>0</v>
      </c>
      <c r="I226" s="386">
        <f t="shared" si="94"/>
        <v>0</v>
      </c>
      <c r="J226" s="386">
        <f t="shared" si="94"/>
        <v>0</v>
      </c>
      <c r="K226" s="386">
        <f t="shared" si="94"/>
        <v>0</v>
      </c>
      <c r="L226" s="386">
        <f t="shared" si="94"/>
        <v>0</v>
      </c>
      <c r="M226" s="386">
        <f t="shared" si="94"/>
        <v>0</v>
      </c>
      <c r="N226" s="386">
        <f t="shared" si="94"/>
        <v>0</v>
      </c>
      <c r="O226" s="386">
        <f t="shared" si="94"/>
        <v>0</v>
      </c>
      <c r="P226" s="386">
        <f t="shared" si="94"/>
        <v>0</v>
      </c>
      <c r="Q226" s="386">
        <f>SUM(E226:P226)</f>
        <v>0</v>
      </c>
    </row>
    <row r="227" spans="1:17" x14ac:dyDescent="0.2">
      <c r="A227" s="577">
        <f>A226+1</f>
        <v>7</v>
      </c>
      <c r="B227" s="403"/>
      <c r="C227" s="404" t="s">
        <v>484</v>
      </c>
      <c r="D227" s="405"/>
      <c r="E227" s="406">
        <f t="shared" ref="E227:P227" si="95">E849</f>
        <v>1331225.6243199999</v>
      </c>
      <c r="F227" s="406">
        <f t="shared" si="95"/>
        <v>1335351.0732799999</v>
      </c>
      <c r="G227" s="406">
        <f t="shared" si="95"/>
        <v>1120950.3622400002</v>
      </c>
      <c r="H227" s="406">
        <f t="shared" si="95"/>
        <v>826410.84447999997</v>
      </c>
      <c r="I227" s="406">
        <f t="shared" si="95"/>
        <v>594434.13584</v>
      </c>
      <c r="J227" s="406">
        <f t="shared" si="95"/>
        <v>502057.65528000001</v>
      </c>
      <c r="K227" s="406">
        <f t="shared" si="95"/>
        <v>459950.44624000002</v>
      </c>
      <c r="L227" s="406">
        <f t="shared" si="95"/>
        <v>461455.74407999997</v>
      </c>
      <c r="M227" s="406">
        <f t="shared" si="95"/>
        <v>463993.68935999996</v>
      </c>
      <c r="N227" s="406">
        <f t="shared" si="95"/>
        <v>510072.59591999999</v>
      </c>
      <c r="O227" s="406">
        <f t="shared" si="95"/>
        <v>677462.22464000003</v>
      </c>
      <c r="P227" s="406">
        <f t="shared" si="95"/>
        <v>1027938.024</v>
      </c>
      <c r="Q227" s="715">
        <f>SUM(E227:P227)</f>
        <v>9311302.4196799994</v>
      </c>
    </row>
    <row r="228" spans="1:17" x14ac:dyDescent="0.2">
      <c r="C228" s="408"/>
      <c r="G228" s="270"/>
      <c r="Q228" s="270"/>
    </row>
    <row r="229" spans="1:17" x14ac:dyDescent="0.2">
      <c r="A229" s="242">
        <f>A227+1</f>
        <v>8</v>
      </c>
      <c r="B229" s="213" t="str">
        <f>Input!A39</f>
        <v>GTO</v>
      </c>
      <c r="C229" s="213" t="str">
        <f>'Sch M 2.1'!B37</f>
        <v>GTS Choice - Commercial</v>
      </c>
      <c r="G229" s="270"/>
      <c r="Q229" s="270"/>
    </row>
    <row r="230" spans="1:17" x14ac:dyDescent="0.2">
      <c r="A230" s="242">
        <f>A229+1</f>
        <v>9</v>
      </c>
      <c r="C230" s="400" t="s">
        <v>216</v>
      </c>
      <c r="E230" s="231">
        <f t="shared" ref="E230:P230" si="96">E856</f>
        <v>2990</v>
      </c>
      <c r="F230" s="231">
        <f t="shared" si="96"/>
        <v>2989</v>
      </c>
      <c r="G230" s="231">
        <f t="shared" si="96"/>
        <v>3221</v>
      </c>
      <c r="H230" s="231">
        <f t="shared" si="96"/>
        <v>3224</v>
      </c>
      <c r="I230" s="231">
        <f t="shared" si="96"/>
        <v>3231</v>
      </c>
      <c r="J230" s="231">
        <f t="shared" si="96"/>
        <v>3234</v>
      </c>
      <c r="K230" s="231">
        <f t="shared" si="96"/>
        <v>3237</v>
      </c>
      <c r="L230" s="231">
        <f t="shared" si="96"/>
        <v>3238</v>
      </c>
      <c r="M230" s="231">
        <f t="shared" si="96"/>
        <v>3227</v>
      </c>
      <c r="N230" s="231">
        <f t="shared" si="96"/>
        <v>3233</v>
      </c>
      <c r="O230" s="231">
        <f t="shared" si="96"/>
        <v>3232</v>
      </c>
      <c r="P230" s="231">
        <f t="shared" si="96"/>
        <v>3230</v>
      </c>
      <c r="Q230" s="231">
        <f>SUM(E230:P230)</f>
        <v>38286</v>
      </c>
    </row>
    <row r="231" spans="1:17" x14ac:dyDescent="0.2">
      <c r="A231" s="242">
        <f>A230+1</f>
        <v>10</v>
      </c>
      <c r="C231" s="400" t="s">
        <v>483</v>
      </c>
      <c r="E231" s="234">
        <f t="shared" ref="E231:P231" si="97">E865</f>
        <v>275894.2</v>
      </c>
      <c r="F231" s="234">
        <f t="shared" si="97"/>
        <v>264119.09999999998</v>
      </c>
      <c r="G231" s="234">
        <f t="shared" si="97"/>
        <v>222962.49999999997</v>
      </c>
      <c r="H231" s="234">
        <f t="shared" si="97"/>
        <v>117802.60000000002</v>
      </c>
      <c r="I231" s="234">
        <f t="shared" si="97"/>
        <v>79632.899999999994</v>
      </c>
      <c r="J231" s="234">
        <f t="shared" si="97"/>
        <v>54193.900000000009</v>
      </c>
      <c r="K231" s="234">
        <f t="shared" si="97"/>
        <v>40601.199999999997</v>
      </c>
      <c r="L231" s="234">
        <f t="shared" si="97"/>
        <v>38563.300000000003</v>
      </c>
      <c r="M231" s="234">
        <f t="shared" si="97"/>
        <v>42788.4</v>
      </c>
      <c r="N231" s="234">
        <f t="shared" si="97"/>
        <v>52457.999999999993</v>
      </c>
      <c r="O231" s="234">
        <f t="shared" si="97"/>
        <v>99717.3</v>
      </c>
      <c r="P231" s="234">
        <f t="shared" si="97"/>
        <v>187534.2</v>
      </c>
      <c r="Q231" s="234">
        <f>SUM(E231:P231)</f>
        <v>1476267.6</v>
      </c>
    </row>
    <row r="232" spans="1:17" x14ac:dyDescent="0.2">
      <c r="A232" s="242">
        <f>A231+1</f>
        <v>11</v>
      </c>
      <c r="C232" s="400" t="s">
        <v>218</v>
      </c>
      <c r="E232" s="386">
        <f t="shared" ref="E232:P232" si="98">E874</f>
        <v>1085556.24</v>
      </c>
      <c r="F232" s="386">
        <f t="shared" si="98"/>
        <v>1054301.49</v>
      </c>
      <c r="G232" s="386">
        <f t="shared" si="98"/>
        <v>956120.25</v>
      </c>
      <c r="H232" s="386">
        <f t="shared" si="98"/>
        <v>649294.13</v>
      </c>
      <c r="I232" s="386">
        <f t="shared" si="98"/>
        <v>535667.30000000005</v>
      </c>
      <c r="J232" s="386">
        <f t="shared" si="98"/>
        <v>453027.15</v>
      </c>
      <c r="K232" s="386">
        <f t="shared" si="98"/>
        <v>410460.94999999995</v>
      </c>
      <c r="L232" s="386">
        <f t="shared" si="98"/>
        <v>404067.42</v>
      </c>
      <c r="M232" s="386">
        <f>M874</f>
        <v>414968.87</v>
      </c>
      <c r="N232" s="386">
        <f t="shared" si="98"/>
        <v>446065.59</v>
      </c>
      <c r="O232" s="386">
        <f t="shared" si="98"/>
        <v>591846.65</v>
      </c>
      <c r="P232" s="386">
        <f t="shared" si="98"/>
        <v>854325.17</v>
      </c>
      <c r="Q232" s="386">
        <f>SUM(E232:P232)</f>
        <v>7855701.2100000009</v>
      </c>
    </row>
    <row r="233" spans="1:17" x14ac:dyDescent="0.2">
      <c r="A233" s="242">
        <f>A232+1</f>
        <v>12</v>
      </c>
      <c r="C233" s="400" t="s">
        <v>219</v>
      </c>
      <c r="E233" s="386">
        <f t="shared" ref="E233:P233" si="99">E876</f>
        <v>0</v>
      </c>
      <c r="F233" s="386">
        <f t="shared" si="99"/>
        <v>0</v>
      </c>
      <c r="G233" s="386">
        <f t="shared" si="99"/>
        <v>0</v>
      </c>
      <c r="H233" s="386">
        <f t="shared" si="99"/>
        <v>0</v>
      </c>
      <c r="I233" s="386">
        <f t="shared" si="99"/>
        <v>0</v>
      </c>
      <c r="J233" s="386">
        <f t="shared" si="99"/>
        <v>0</v>
      </c>
      <c r="K233" s="386">
        <f t="shared" si="99"/>
        <v>0</v>
      </c>
      <c r="L233" s="386">
        <f t="shared" si="99"/>
        <v>0</v>
      </c>
      <c r="M233" s="386">
        <f t="shared" si="99"/>
        <v>0</v>
      </c>
      <c r="N233" s="386">
        <f t="shared" si="99"/>
        <v>0</v>
      </c>
      <c r="O233" s="386">
        <f t="shared" si="99"/>
        <v>0</v>
      </c>
      <c r="P233" s="386">
        <f t="shared" si="99"/>
        <v>0</v>
      </c>
      <c r="Q233" s="386">
        <f>SUM(E233:P233)</f>
        <v>0</v>
      </c>
    </row>
    <row r="234" spans="1:17" x14ac:dyDescent="0.2">
      <c r="A234" s="577">
        <f>A233+1</f>
        <v>13</v>
      </c>
      <c r="B234" s="403"/>
      <c r="C234" s="404" t="s">
        <v>484</v>
      </c>
      <c r="D234" s="405"/>
      <c r="E234" s="406">
        <f t="shared" ref="E234:P234" si="100">E878</f>
        <v>1085556.24</v>
      </c>
      <c r="F234" s="406">
        <f t="shared" si="100"/>
        <v>1054301.49</v>
      </c>
      <c r="G234" s="406">
        <f t="shared" si="100"/>
        <v>956120.25</v>
      </c>
      <c r="H234" s="406">
        <f t="shared" si="100"/>
        <v>649294.13</v>
      </c>
      <c r="I234" s="406">
        <f t="shared" si="100"/>
        <v>535667.30000000005</v>
      </c>
      <c r="J234" s="406">
        <f t="shared" si="100"/>
        <v>453027.15</v>
      </c>
      <c r="K234" s="406">
        <f t="shared" si="100"/>
        <v>410460.94999999995</v>
      </c>
      <c r="L234" s="406">
        <f t="shared" si="100"/>
        <v>404067.42</v>
      </c>
      <c r="M234" s="406">
        <f t="shared" si="100"/>
        <v>414968.87</v>
      </c>
      <c r="N234" s="406">
        <f t="shared" si="100"/>
        <v>446065.59</v>
      </c>
      <c r="O234" s="406">
        <f t="shared" si="100"/>
        <v>591846.65</v>
      </c>
      <c r="P234" s="406">
        <f t="shared" si="100"/>
        <v>854325.17</v>
      </c>
      <c r="Q234" s="715">
        <f>SUM(E234:P234)</f>
        <v>7855701.2100000009</v>
      </c>
    </row>
    <row r="235" spans="1:17" x14ac:dyDescent="0.2">
      <c r="C235" s="408"/>
      <c r="G235" s="270"/>
      <c r="Q235" s="270"/>
    </row>
    <row r="236" spans="1:17" x14ac:dyDescent="0.2">
      <c r="A236" s="242">
        <f>A234+1</f>
        <v>14</v>
      </c>
      <c r="B236" s="213" t="str">
        <f>Input!A40</f>
        <v>GTO</v>
      </c>
      <c r="C236" s="213" t="str">
        <f>'Sch M 2.1'!B38</f>
        <v>GTS Choice - Industrial</v>
      </c>
      <c r="E236" s="231"/>
      <c r="G236" s="270"/>
      <c r="Q236" s="270"/>
    </row>
    <row r="237" spans="1:17" x14ac:dyDescent="0.2">
      <c r="A237" s="242">
        <f>A236+1</f>
        <v>15</v>
      </c>
      <c r="C237" s="400" t="s">
        <v>216</v>
      </c>
      <c r="E237" s="231">
        <f t="shared" ref="E237:P237" si="101">E901</f>
        <v>12</v>
      </c>
      <c r="F237" s="231">
        <f t="shared" si="101"/>
        <v>12</v>
      </c>
      <c r="G237" s="231">
        <f t="shared" si="101"/>
        <v>12</v>
      </c>
      <c r="H237" s="231">
        <f t="shared" si="101"/>
        <v>12</v>
      </c>
      <c r="I237" s="231">
        <f t="shared" si="101"/>
        <v>12</v>
      </c>
      <c r="J237" s="231">
        <f t="shared" si="101"/>
        <v>12</v>
      </c>
      <c r="K237" s="231">
        <f t="shared" si="101"/>
        <v>12</v>
      </c>
      <c r="L237" s="231">
        <f t="shared" si="101"/>
        <v>12</v>
      </c>
      <c r="M237" s="231">
        <f t="shared" si="101"/>
        <v>12</v>
      </c>
      <c r="N237" s="231">
        <f t="shared" si="101"/>
        <v>12</v>
      </c>
      <c r="O237" s="231">
        <f t="shared" si="101"/>
        <v>12</v>
      </c>
      <c r="P237" s="231">
        <f t="shared" si="101"/>
        <v>12</v>
      </c>
      <c r="Q237" s="231">
        <f>SUM(E237:P237)</f>
        <v>144</v>
      </c>
    </row>
    <row r="238" spans="1:17" x14ac:dyDescent="0.2">
      <c r="A238" s="242">
        <f>A237+1</f>
        <v>16</v>
      </c>
      <c r="C238" s="400" t="s">
        <v>483</v>
      </c>
      <c r="E238" s="234">
        <f t="shared" ref="E238:P238" si="102">E910</f>
        <v>5140</v>
      </c>
      <c r="F238" s="234">
        <f t="shared" si="102"/>
        <v>5041.8</v>
      </c>
      <c r="G238" s="234">
        <f t="shared" si="102"/>
        <v>5690</v>
      </c>
      <c r="H238" s="234">
        <f t="shared" si="102"/>
        <v>2420.1</v>
      </c>
      <c r="I238" s="234">
        <f t="shared" si="102"/>
        <v>2488.4000000000005</v>
      </c>
      <c r="J238" s="234">
        <f t="shared" si="102"/>
        <v>2355.7999999999997</v>
      </c>
      <c r="K238" s="234">
        <f t="shared" si="102"/>
        <v>2379.8000000000002</v>
      </c>
      <c r="L238" s="234">
        <f t="shared" si="102"/>
        <v>2916.3</v>
      </c>
      <c r="M238" s="234">
        <f t="shared" si="102"/>
        <v>2849.5</v>
      </c>
      <c r="N238" s="234">
        <f t="shared" si="102"/>
        <v>3294.7</v>
      </c>
      <c r="O238" s="234">
        <f t="shared" si="102"/>
        <v>3973.5</v>
      </c>
      <c r="P238" s="234">
        <f t="shared" si="102"/>
        <v>6536.9</v>
      </c>
      <c r="Q238" s="234">
        <f>SUM(E238:P238)</f>
        <v>45086.799999999996</v>
      </c>
    </row>
    <row r="239" spans="1:17" x14ac:dyDescent="0.2">
      <c r="A239" s="242">
        <f>A238+1</f>
        <v>17</v>
      </c>
      <c r="C239" s="400" t="s">
        <v>218</v>
      </c>
      <c r="E239" s="386">
        <f t="shared" ref="E239:P239" si="103">E919</f>
        <v>15215.19</v>
      </c>
      <c r="F239" s="386">
        <f t="shared" si="103"/>
        <v>14961.72</v>
      </c>
      <c r="G239" s="386">
        <f t="shared" si="103"/>
        <v>16585.580000000002</v>
      </c>
      <c r="H239" s="386">
        <f t="shared" si="103"/>
        <v>7975.81</v>
      </c>
      <c r="I239" s="386">
        <f t="shared" si="103"/>
        <v>8079.55</v>
      </c>
      <c r="J239" s="386">
        <f t="shared" si="103"/>
        <v>7594.57</v>
      </c>
      <c r="K239" s="386">
        <f t="shared" si="103"/>
        <v>7596.26</v>
      </c>
      <c r="L239" s="386">
        <f t="shared" si="103"/>
        <v>9030.0299999999988</v>
      </c>
      <c r="M239" s="386">
        <f>M919</f>
        <v>8971.7900000000009</v>
      </c>
      <c r="N239" s="386">
        <f t="shared" si="103"/>
        <v>10014.109999999999</v>
      </c>
      <c r="O239" s="386">
        <f t="shared" si="103"/>
        <v>11941.799999999997</v>
      </c>
      <c r="P239" s="386">
        <f t="shared" si="103"/>
        <v>18511.63</v>
      </c>
      <c r="Q239" s="386">
        <f>SUM(E239:P239)</f>
        <v>136478.04</v>
      </c>
    </row>
    <row r="240" spans="1:17" x14ac:dyDescent="0.2">
      <c r="A240" s="242">
        <f>A239+1</f>
        <v>18</v>
      </c>
      <c r="C240" s="400" t="s">
        <v>219</v>
      </c>
      <c r="E240" s="386">
        <f t="shared" ref="E240:P240" si="104">E921</f>
        <v>0</v>
      </c>
      <c r="F240" s="386">
        <f t="shared" si="104"/>
        <v>0</v>
      </c>
      <c r="G240" s="386">
        <f t="shared" si="104"/>
        <v>0</v>
      </c>
      <c r="H240" s="386">
        <f t="shared" si="104"/>
        <v>0</v>
      </c>
      <c r="I240" s="386">
        <f t="shared" si="104"/>
        <v>0</v>
      </c>
      <c r="J240" s="386">
        <f t="shared" si="104"/>
        <v>0</v>
      </c>
      <c r="K240" s="386">
        <f t="shared" si="104"/>
        <v>0</v>
      </c>
      <c r="L240" s="386">
        <f t="shared" si="104"/>
        <v>0</v>
      </c>
      <c r="M240" s="386">
        <f t="shared" si="104"/>
        <v>0</v>
      </c>
      <c r="N240" s="386">
        <f t="shared" si="104"/>
        <v>0</v>
      </c>
      <c r="O240" s="386">
        <f t="shared" si="104"/>
        <v>0</v>
      </c>
      <c r="P240" s="386">
        <f t="shared" si="104"/>
        <v>0</v>
      </c>
      <c r="Q240" s="386">
        <f>SUM(E240:P240)</f>
        <v>0</v>
      </c>
    </row>
    <row r="241" spans="1:17" x14ac:dyDescent="0.2">
      <c r="A241" s="577">
        <f>A240+1</f>
        <v>19</v>
      </c>
      <c r="B241" s="403"/>
      <c r="C241" s="404" t="s">
        <v>484</v>
      </c>
      <c r="D241" s="405"/>
      <c r="E241" s="406">
        <f t="shared" ref="E241:P241" si="105">E923</f>
        <v>15215.19</v>
      </c>
      <c r="F241" s="406">
        <f t="shared" si="105"/>
        <v>14961.72</v>
      </c>
      <c r="G241" s="406">
        <f t="shared" si="105"/>
        <v>16585.580000000002</v>
      </c>
      <c r="H241" s="406">
        <f t="shared" si="105"/>
        <v>7975.81</v>
      </c>
      <c r="I241" s="406">
        <f t="shared" si="105"/>
        <v>8079.55</v>
      </c>
      <c r="J241" s="406">
        <f t="shared" si="105"/>
        <v>7594.57</v>
      </c>
      <c r="K241" s="406">
        <f t="shared" si="105"/>
        <v>7596.26</v>
      </c>
      <c r="L241" s="406">
        <f t="shared" si="105"/>
        <v>9030.0299999999988</v>
      </c>
      <c r="M241" s="406">
        <f t="shared" si="105"/>
        <v>8971.7900000000009</v>
      </c>
      <c r="N241" s="406">
        <f t="shared" si="105"/>
        <v>10014.109999999999</v>
      </c>
      <c r="O241" s="406">
        <f t="shared" si="105"/>
        <v>11941.799999999997</v>
      </c>
      <c r="P241" s="406">
        <f t="shared" si="105"/>
        <v>18511.63</v>
      </c>
      <c r="Q241" s="715">
        <f>SUM(E241:P241)</f>
        <v>136478.04</v>
      </c>
    </row>
    <row r="243" spans="1:17" x14ac:dyDescent="0.2">
      <c r="A243" s="242">
        <f>A241+1</f>
        <v>20</v>
      </c>
      <c r="B243" s="213" t="str">
        <f>Input!A41</f>
        <v>DS</v>
      </c>
      <c r="C243" s="213" t="str">
        <f>'Sch M 2.1'!B39</f>
        <v>GTS Delivery Service - Commercial</v>
      </c>
      <c r="G243" s="270"/>
      <c r="Q243" s="270"/>
    </row>
    <row r="244" spans="1:17" x14ac:dyDescent="0.2">
      <c r="A244" s="242">
        <f>A243+1</f>
        <v>21</v>
      </c>
      <c r="C244" s="400" t="s">
        <v>216</v>
      </c>
      <c r="E244" s="231">
        <f t="shared" ref="E244:P244" si="106">E946</f>
        <v>28</v>
      </c>
      <c r="F244" s="231">
        <f t="shared" si="106"/>
        <v>28</v>
      </c>
      <c r="G244" s="231">
        <f t="shared" si="106"/>
        <v>28</v>
      </c>
      <c r="H244" s="231">
        <f t="shared" si="106"/>
        <v>28</v>
      </c>
      <c r="I244" s="231">
        <f t="shared" si="106"/>
        <v>28</v>
      </c>
      <c r="J244" s="231">
        <f t="shared" si="106"/>
        <v>28</v>
      </c>
      <c r="K244" s="231">
        <f t="shared" si="106"/>
        <v>28</v>
      </c>
      <c r="L244" s="231">
        <f t="shared" si="106"/>
        <v>28</v>
      </c>
      <c r="M244" s="231">
        <f t="shared" si="106"/>
        <v>28</v>
      </c>
      <c r="N244" s="231">
        <f t="shared" si="106"/>
        <v>28</v>
      </c>
      <c r="O244" s="231">
        <f t="shared" si="106"/>
        <v>28</v>
      </c>
      <c r="P244" s="231">
        <f t="shared" si="106"/>
        <v>28</v>
      </c>
      <c r="Q244" s="231">
        <f>SUM(E244:P244)</f>
        <v>336</v>
      </c>
    </row>
    <row r="245" spans="1:17" x14ac:dyDescent="0.2">
      <c r="A245" s="242">
        <f>A244+1</f>
        <v>22</v>
      </c>
      <c r="C245" s="400" t="s">
        <v>483</v>
      </c>
      <c r="E245" s="234">
        <f t="shared" ref="E245:P245" si="107">E955</f>
        <v>363010.2</v>
      </c>
      <c r="F245" s="234">
        <f t="shared" si="107"/>
        <v>308161.8</v>
      </c>
      <c r="G245" s="234">
        <f t="shared" si="107"/>
        <v>286122.09999999998</v>
      </c>
      <c r="H245" s="234">
        <f t="shared" si="107"/>
        <v>236391.1</v>
      </c>
      <c r="I245" s="234">
        <f t="shared" si="107"/>
        <v>184735</v>
      </c>
      <c r="J245" s="234">
        <f t="shared" si="107"/>
        <v>156750</v>
      </c>
      <c r="K245" s="234">
        <f t="shared" si="107"/>
        <v>159440.6</v>
      </c>
      <c r="L245" s="234">
        <f t="shared" si="107"/>
        <v>156637.20000000001</v>
      </c>
      <c r="M245" s="234">
        <f t="shared" si="107"/>
        <v>165216.20000000001</v>
      </c>
      <c r="N245" s="234">
        <f t="shared" si="107"/>
        <v>206061.4</v>
      </c>
      <c r="O245" s="234">
        <f t="shared" si="107"/>
        <v>287543.59999999998</v>
      </c>
      <c r="P245" s="234">
        <f t="shared" si="107"/>
        <v>341387.8</v>
      </c>
      <c r="Q245" s="234">
        <f>SUM(E245:P245)</f>
        <v>2851457</v>
      </c>
    </row>
    <row r="246" spans="1:17" x14ac:dyDescent="0.2">
      <c r="A246" s="242">
        <f>A245+1</f>
        <v>23</v>
      </c>
      <c r="C246" s="400" t="s">
        <v>218</v>
      </c>
      <c r="E246" s="386">
        <f t="shared" ref="E246:P246" si="108">E963</f>
        <v>374004.20999999996</v>
      </c>
      <c r="F246" s="386">
        <f t="shared" si="108"/>
        <v>339717.23</v>
      </c>
      <c r="G246" s="386">
        <f t="shared" si="108"/>
        <v>323207.58999999997</v>
      </c>
      <c r="H246" s="386">
        <f t="shared" si="108"/>
        <v>290437.62</v>
      </c>
      <c r="I246" s="386">
        <f t="shared" si="108"/>
        <v>255689.09999999998</v>
      </c>
      <c r="J246" s="386">
        <f t="shared" si="108"/>
        <v>237481.28000000003</v>
      </c>
      <c r="K246" s="386">
        <f t="shared" si="108"/>
        <v>238499.35</v>
      </c>
      <c r="L246" s="386">
        <f t="shared" si="108"/>
        <v>237548.88999999998</v>
      </c>
      <c r="M246" s="386">
        <f>M963</f>
        <v>242562.00999999998</v>
      </c>
      <c r="N246" s="386">
        <f t="shared" si="108"/>
        <v>266956.16000000003</v>
      </c>
      <c r="O246" s="386">
        <f t="shared" si="108"/>
        <v>322293.45999999996</v>
      </c>
      <c r="P246" s="386">
        <f t="shared" si="108"/>
        <v>358602.42</v>
      </c>
      <c r="Q246" s="386">
        <f>SUM(E246:P246)</f>
        <v>3486999.32</v>
      </c>
    </row>
    <row r="247" spans="1:17" x14ac:dyDescent="0.2">
      <c r="A247" s="242">
        <f>A246+1</f>
        <v>24</v>
      </c>
      <c r="C247" s="400" t="s">
        <v>219</v>
      </c>
      <c r="E247" s="386">
        <f t="shared" ref="E247:P247" si="109">E965</f>
        <v>0</v>
      </c>
      <c r="F247" s="386">
        <f t="shared" si="109"/>
        <v>0</v>
      </c>
      <c r="G247" s="386">
        <f t="shared" si="109"/>
        <v>0</v>
      </c>
      <c r="H247" s="386">
        <f t="shared" si="109"/>
        <v>0</v>
      </c>
      <c r="I247" s="386">
        <f t="shared" si="109"/>
        <v>0</v>
      </c>
      <c r="J247" s="386">
        <f t="shared" si="109"/>
        <v>0</v>
      </c>
      <c r="K247" s="386">
        <f t="shared" si="109"/>
        <v>0</v>
      </c>
      <c r="L247" s="386">
        <f t="shared" si="109"/>
        <v>0</v>
      </c>
      <c r="M247" s="386">
        <f t="shared" si="109"/>
        <v>0</v>
      </c>
      <c r="N247" s="386">
        <f t="shared" si="109"/>
        <v>0</v>
      </c>
      <c r="O247" s="386">
        <f t="shared" si="109"/>
        <v>0</v>
      </c>
      <c r="P247" s="386">
        <f t="shared" si="109"/>
        <v>0</v>
      </c>
      <c r="Q247" s="386">
        <f>SUM(E247:P247)</f>
        <v>0</v>
      </c>
    </row>
    <row r="248" spans="1:17" x14ac:dyDescent="0.2">
      <c r="A248" s="577">
        <f>A247+1</f>
        <v>25</v>
      </c>
      <c r="B248" s="403"/>
      <c r="C248" s="404" t="s">
        <v>484</v>
      </c>
      <c r="D248" s="405"/>
      <c r="E248" s="406">
        <f t="shared" ref="E248:P248" si="110">E967</f>
        <v>374004.20999999996</v>
      </c>
      <c r="F248" s="406">
        <f t="shared" si="110"/>
        <v>339717.23</v>
      </c>
      <c r="G248" s="406">
        <f t="shared" si="110"/>
        <v>323207.58999999997</v>
      </c>
      <c r="H248" s="406">
        <f t="shared" si="110"/>
        <v>290437.62</v>
      </c>
      <c r="I248" s="406">
        <f t="shared" si="110"/>
        <v>255689.09999999998</v>
      </c>
      <c r="J248" s="406">
        <f t="shared" si="110"/>
        <v>237481.28000000003</v>
      </c>
      <c r="K248" s="406">
        <f t="shared" si="110"/>
        <v>238499.35</v>
      </c>
      <c r="L248" s="406">
        <f t="shared" si="110"/>
        <v>237548.88999999998</v>
      </c>
      <c r="M248" s="406">
        <f t="shared" si="110"/>
        <v>242562.00999999998</v>
      </c>
      <c r="N248" s="406">
        <f t="shared" si="110"/>
        <v>266956.16000000003</v>
      </c>
      <c r="O248" s="406">
        <f t="shared" si="110"/>
        <v>322293.45999999996</v>
      </c>
      <c r="P248" s="406">
        <f t="shared" si="110"/>
        <v>358602.42</v>
      </c>
      <c r="Q248" s="715">
        <f>SUM(E248:P248)</f>
        <v>3486999.32</v>
      </c>
    </row>
    <row r="249" spans="1:17" x14ac:dyDescent="0.2">
      <c r="A249" s="497"/>
      <c r="C249" s="408"/>
      <c r="G249" s="270"/>
      <c r="Q249" s="270"/>
    </row>
    <row r="250" spans="1:17" x14ac:dyDescent="0.2">
      <c r="A250" s="242">
        <f>A248+1</f>
        <v>26</v>
      </c>
      <c r="B250" s="213" t="str">
        <f>Input!A42</f>
        <v>DS</v>
      </c>
      <c r="C250" s="213" t="str">
        <f>'Sch M 2.1'!B40</f>
        <v>GTS Delivery Service - Industrial</v>
      </c>
      <c r="G250" s="270"/>
      <c r="Q250" s="270"/>
    </row>
    <row r="251" spans="1:17" x14ac:dyDescent="0.2">
      <c r="A251" s="242">
        <f>A250+1</f>
        <v>27</v>
      </c>
      <c r="C251" s="400" t="s">
        <v>216</v>
      </c>
      <c r="E251" s="231">
        <f t="shared" ref="E251:P251" si="111">E974</f>
        <v>41</v>
      </c>
      <c r="F251" s="231">
        <f t="shared" si="111"/>
        <v>41</v>
      </c>
      <c r="G251" s="231">
        <f t="shared" si="111"/>
        <v>41</v>
      </c>
      <c r="H251" s="231">
        <f t="shared" si="111"/>
        <v>41</v>
      </c>
      <c r="I251" s="231">
        <f t="shared" si="111"/>
        <v>41</v>
      </c>
      <c r="J251" s="231">
        <f t="shared" si="111"/>
        <v>41</v>
      </c>
      <c r="K251" s="231">
        <f t="shared" si="111"/>
        <v>42</v>
      </c>
      <c r="L251" s="231">
        <f t="shared" si="111"/>
        <v>41</v>
      </c>
      <c r="M251" s="231">
        <f t="shared" si="111"/>
        <v>42</v>
      </c>
      <c r="N251" s="231">
        <f t="shared" si="111"/>
        <v>41</v>
      </c>
      <c r="O251" s="231">
        <f t="shared" si="111"/>
        <v>41</v>
      </c>
      <c r="P251" s="231">
        <f t="shared" si="111"/>
        <v>41</v>
      </c>
      <c r="Q251" s="231">
        <f>SUM(E251:P251)</f>
        <v>494</v>
      </c>
    </row>
    <row r="252" spans="1:17" x14ac:dyDescent="0.2">
      <c r="A252" s="242">
        <f>A251+1</f>
        <v>28</v>
      </c>
      <c r="C252" s="400" t="s">
        <v>483</v>
      </c>
      <c r="E252" s="234">
        <f t="shared" ref="E252:P252" si="112">E983</f>
        <v>657051</v>
      </c>
      <c r="F252" s="234">
        <f t="shared" si="112"/>
        <v>557545.30000000005</v>
      </c>
      <c r="G252" s="234">
        <f t="shared" si="112"/>
        <v>585929.19999999995</v>
      </c>
      <c r="H252" s="234">
        <f t="shared" si="112"/>
        <v>499357.1</v>
      </c>
      <c r="I252" s="234">
        <f t="shared" si="112"/>
        <v>428059</v>
      </c>
      <c r="J252" s="234">
        <f t="shared" si="112"/>
        <v>356401.7</v>
      </c>
      <c r="K252" s="234">
        <f t="shared" si="112"/>
        <v>280666.5</v>
      </c>
      <c r="L252" s="234">
        <f t="shared" si="112"/>
        <v>401773.1</v>
      </c>
      <c r="M252" s="234">
        <f t="shared" si="112"/>
        <v>406882</v>
      </c>
      <c r="N252" s="234">
        <f t="shared" si="112"/>
        <v>496181.89999999997</v>
      </c>
      <c r="O252" s="234">
        <f t="shared" si="112"/>
        <v>585009.4</v>
      </c>
      <c r="P252" s="234">
        <f t="shared" si="112"/>
        <v>585039.6</v>
      </c>
      <c r="Q252" s="234">
        <f>SUM(E252:P252)</f>
        <v>5839895.8000000007</v>
      </c>
    </row>
    <row r="253" spans="1:17" x14ac:dyDescent="0.2">
      <c r="A253" s="242">
        <f>A252+1</f>
        <v>29</v>
      </c>
      <c r="C253" s="400" t="s">
        <v>218</v>
      </c>
      <c r="E253" s="386">
        <f t="shared" ref="E253:P253" si="113">E991</f>
        <v>581380.28</v>
      </c>
      <c r="F253" s="386">
        <f t="shared" si="113"/>
        <v>530726.59</v>
      </c>
      <c r="G253" s="386">
        <f t="shared" si="113"/>
        <v>545522.06999999995</v>
      </c>
      <c r="H253" s="386">
        <f t="shared" si="113"/>
        <v>503329.26</v>
      </c>
      <c r="I253" s="386">
        <f t="shared" si="113"/>
        <v>469842.29</v>
      </c>
      <c r="J253" s="386">
        <f t="shared" si="113"/>
        <v>431238.76999999996</v>
      </c>
      <c r="K253" s="386">
        <f t="shared" si="113"/>
        <v>386252.51</v>
      </c>
      <c r="L253" s="386">
        <f t="shared" si="113"/>
        <v>454104.98000000004</v>
      </c>
      <c r="M253" s="386">
        <f>M991</f>
        <v>458037.31</v>
      </c>
      <c r="N253" s="386">
        <f t="shared" si="113"/>
        <v>507597.65</v>
      </c>
      <c r="O253" s="386">
        <f t="shared" si="113"/>
        <v>552969.05000000005</v>
      </c>
      <c r="P253" s="386">
        <f t="shared" si="113"/>
        <v>548737.90999999992</v>
      </c>
      <c r="Q253" s="386">
        <f>SUM(E253:P253)</f>
        <v>5969738.6700000009</v>
      </c>
    </row>
    <row r="254" spans="1:17" x14ac:dyDescent="0.2">
      <c r="A254" s="242">
        <f>A253+1</f>
        <v>30</v>
      </c>
      <c r="C254" s="400" t="s">
        <v>219</v>
      </c>
      <c r="E254" s="386">
        <f t="shared" ref="E254:P254" si="114">E993</f>
        <v>0</v>
      </c>
      <c r="F254" s="386">
        <f t="shared" si="114"/>
        <v>0</v>
      </c>
      <c r="G254" s="386">
        <f t="shared" si="114"/>
        <v>0</v>
      </c>
      <c r="H254" s="386">
        <f t="shared" si="114"/>
        <v>0</v>
      </c>
      <c r="I254" s="386">
        <f t="shared" si="114"/>
        <v>0</v>
      </c>
      <c r="J254" s="386">
        <f t="shared" si="114"/>
        <v>0</v>
      </c>
      <c r="K254" s="386">
        <f t="shared" si="114"/>
        <v>0</v>
      </c>
      <c r="L254" s="386">
        <f t="shared" si="114"/>
        <v>0</v>
      </c>
      <c r="M254" s="386">
        <f t="shared" si="114"/>
        <v>0</v>
      </c>
      <c r="N254" s="386">
        <f t="shared" si="114"/>
        <v>0</v>
      </c>
      <c r="O254" s="386">
        <f t="shared" si="114"/>
        <v>0</v>
      </c>
      <c r="P254" s="386">
        <f t="shared" si="114"/>
        <v>0</v>
      </c>
      <c r="Q254" s="386">
        <f>SUM(E254:P254)</f>
        <v>0</v>
      </c>
    </row>
    <row r="255" spans="1:17" x14ac:dyDescent="0.2">
      <c r="A255" s="577">
        <f>A254+1</f>
        <v>31</v>
      </c>
      <c r="B255" s="403"/>
      <c r="C255" s="404" t="s">
        <v>484</v>
      </c>
      <c r="D255" s="405"/>
      <c r="E255" s="406">
        <f t="shared" ref="E255:P255" si="115">E995</f>
        <v>581380.28</v>
      </c>
      <c r="F255" s="406">
        <f t="shared" si="115"/>
        <v>530726.59</v>
      </c>
      <c r="G255" s="406">
        <f t="shared" si="115"/>
        <v>545522.06999999995</v>
      </c>
      <c r="H255" s="406">
        <f t="shared" si="115"/>
        <v>503329.26</v>
      </c>
      <c r="I255" s="406">
        <f t="shared" si="115"/>
        <v>469842.29</v>
      </c>
      <c r="J255" s="406">
        <f t="shared" si="115"/>
        <v>431238.76999999996</v>
      </c>
      <c r="K255" s="406">
        <f t="shared" si="115"/>
        <v>386252.51</v>
      </c>
      <c r="L255" s="406">
        <f t="shared" si="115"/>
        <v>454104.98000000004</v>
      </c>
      <c r="M255" s="406">
        <f t="shared" si="115"/>
        <v>458037.31</v>
      </c>
      <c r="N255" s="406">
        <f t="shared" si="115"/>
        <v>507597.65</v>
      </c>
      <c r="O255" s="406">
        <f t="shared" si="115"/>
        <v>552969.05000000005</v>
      </c>
      <c r="P255" s="406">
        <f t="shared" si="115"/>
        <v>548737.90999999992</v>
      </c>
      <c r="Q255" s="715">
        <f>SUM(E255:P255)</f>
        <v>5969738.6700000009</v>
      </c>
    </row>
    <row r="256" spans="1:17" x14ac:dyDescent="0.2">
      <c r="G256" s="270"/>
      <c r="Q256" s="270"/>
    </row>
    <row r="257" spans="1:17" x14ac:dyDescent="0.2">
      <c r="A257" s="242">
        <f>A255+1</f>
        <v>32</v>
      </c>
      <c r="B257" s="213" t="str">
        <f>Input!A43</f>
        <v>GDS</v>
      </c>
      <c r="C257" s="213" t="str">
        <f>'Sch M 2.1'!B41</f>
        <v>GTS Grandfathered Delivery Service - Commercial</v>
      </c>
      <c r="G257" s="270"/>
      <c r="Q257" s="270"/>
    </row>
    <row r="258" spans="1:17" x14ac:dyDescent="0.2">
      <c r="A258" s="242">
        <f>A257+1</f>
        <v>33</v>
      </c>
      <c r="C258" s="400" t="s">
        <v>216</v>
      </c>
      <c r="E258" s="231">
        <f t="shared" ref="E258:P258" si="116">E1018</f>
        <v>14</v>
      </c>
      <c r="F258" s="231">
        <f t="shared" si="116"/>
        <v>14</v>
      </c>
      <c r="G258" s="231">
        <f t="shared" si="116"/>
        <v>13</v>
      </c>
      <c r="H258" s="231">
        <f t="shared" si="116"/>
        <v>13</v>
      </c>
      <c r="I258" s="231">
        <f t="shared" si="116"/>
        <v>13</v>
      </c>
      <c r="J258" s="231">
        <f t="shared" si="116"/>
        <v>13</v>
      </c>
      <c r="K258" s="231">
        <f t="shared" si="116"/>
        <v>13</v>
      </c>
      <c r="L258" s="231">
        <f t="shared" si="116"/>
        <v>13</v>
      </c>
      <c r="M258" s="231">
        <f t="shared" si="116"/>
        <v>13</v>
      </c>
      <c r="N258" s="231">
        <f t="shared" si="116"/>
        <v>13</v>
      </c>
      <c r="O258" s="231">
        <f t="shared" si="116"/>
        <v>13</v>
      </c>
      <c r="P258" s="231">
        <f t="shared" si="116"/>
        <v>13</v>
      </c>
      <c r="Q258" s="231">
        <f>SUM(E258:P258)</f>
        <v>158</v>
      </c>
    </row>
    <row r="259" spans="1:17" x14ac:dyDescent="0.2">
      <c r="A259" s="242">
        <f>A258+1</f>
        <v>34</v>
      </c>
      <c r="C259" s="400" t="s">
        <v>483</v>
      </c>
      <c r="E259" s="234">
        <f t="shared" ref="E259:P259" si="117">E1028</f>
        <v>66917</v>
      </c>
      <c r="F259" s="234">
        <f t="shared" si="117"/>
        <v>76267.100000000006</v>
      </c>
      <c r="G259" s="234">
        <f t="shared" si="117"/>
        <v>27922.799999999999</v>
      </c>
      <c r="H259" s="234">
        <f t="shared" si="117"/>
        <v>42749.2</v>
      </c>
      <c r="I259" s="234">
        <f t="shared" si="117"/>
        <v>14503.300000000001</v>
      </c>
      <c r="J259" s="234">
        <f t="shared" si="117"/>
        <v>13332.5</v>
      </c>
      <c r="K259" s="234">
        <f t="shared" si="117"/>
        <v>14475.899999999998</v>
      </c>
      <c r="L259" s="234">
        <f t="shared" si="117"/>
        <v>15890.5</v>
      </c>
      <c r="M259" s="234">
        <f t="shared" si="117"/>
        <v>14297.800000000001</v>
      </c>
      <c r="N259" s="234">
        <f t="shared" si="117"/>
        <v>10664.8</v>
      </c>
      <c r="O259" s="234">
        <f t="shared" si="117"/>
        <v>25016</v>
      </c>
      <c r="P259" s="234">
        <f t="shared" si="117"/>
        <v>58790.6</v>
      </c>
      <c r="Q259" s="234">
        <f>SUM(E259:P259)</f>
        <v>380827.49999999988</v>
      </c>
    </row>
    <row r="260" spans="1:17" x14ac:dyDescent="0.2">
      <c r="A260" s="242">
        <f>A259+1</f>
        <v>35</v>
      </c>
      <c r="C260" s="400" t="s">
        <v>218</v>
      </c>
      <c r="E260" s="386">
        <f t="shared" ref="E260:P260" si="118">E1037</f>
        <v>165619.61000000002</v>
      </c>
      <c r="F260" s="386">
        <f t="shared" si="118"/>
        <v>187990.67</v>
      </c>
      <c r="G260" s="386">
        <f t="shared" si="118"/>
        <v>72223.499999999985</v>
      </c>
      <c r="H260" s="386">
        <f t="shared" si="118"/>
        <v>107708.59</v>
      </c>
      <c r="I260" s="386">
        <f t="shared" si="118"/>
        <v>39901.69999999999</v>
      </c>
      <c r="J260" s="386">
        <f t="shared" si="118"/>
        <v>36583.129999999997</v>
      </c>
      <c r="K260" s="386">
        <f t="shared" si="118"/>
        <v>39311.369999999995</v>
      </c>
      <c r="L260" s="386">
        <f t="shared" si="118"/>
        <v>42829.74</v>
      </c>
      <c r="M260" s="386">
        <f>M1037</f>
        <v>38996.379999999997</v>
      </c>
      <c r="N260" s="386">
        <f t="shared" si="118"/>
        <v>30001.469999999998</v>
      </c>
      <c r="O260" s="386">
        <f t="shared" si="118"/>
        <v>65256.6</v>
      </c>
      <c r="P260" s="386">
        <f t="shared" si="118"/>
        <v>146089.23000000001</v>
      </c>
      <c r="Q260" s="386">
        <f>SUM(E260:P260)</f>
        <v>972511.98999999987</v>
      </c>
    </row>
    <row r="261" spans="1:17" x14ac:dyDescent="0.2">
      <c r="A261" s="242">
        <f>A260+1</f>
        <v>36</v>
      </c>
      <c r="C261" s="400" t="s">
        <v>219</v>
      </c>
      <c r="E261" s="386">
        <f t="shared" ref="E261:P261" si="119">E1039</f>
        <v>0</v>
      </c>
      <c r="F261" s="386">
        <f t="shared" si="119"/>
        <v>0</v>
      </c>
      <c r="G261" s="386">
        <f t="shared" si="119"/>
        <v>0</v>
      </c>
      <c r="H261" s="386">
        <f t="shared" si="119"/>
        <v>0</v>
      </c>
      <c r="I261" s="386">
        <f t="shared" si="119"/>
        <v>0</v>
      </c>
      <c r="J261" s="386">
        <f t="shared" si="119"/>
        <v>0</v>
      </c>
      <c r="K261" s="386">
        <f t="shared" si="119"/>
        <v>0</v>
      </c>
      <c r="L261" s="386">
        <f t="shared" si="119"/>
        <v>0</v>
      </c>
      <c r="M261" s="386">
        <f t="shared" si="119"/>
        <v>0</v>
      </c>
      <c r="N261" s="386">
        <f t="shared" si="119"/>
        <v>0</v>
      </c>
      <c r="O261" s="386">
        <f t="shared" si="119"/>
        <v>0</v>
      </c>
      <c r="P261" s="386">
        <f t="shared" si="119"/>
        <v>0</v>
      </c>
      <c r="Q261" s="386">
        <f>SUM(E261:P261)</f>
        <v>0</v>
      </c>
    </row>
    <row r="262" spans="1:17" x14ac:dyDescent="0.2">
      <c r="A262" s="577">
        <f>A261+1</f>
        <v>37</v>
      </c>
      <c r="B262" s="403"/>
      <c r="C262" s="404" t="s">
        <v>484</v>
      </c>
      <c r="D262" s="405"/>
      <c r="E262" s="406">
        <f t="shared" ref="E262:P262" si="120">E1041</f>
        <v>165619.61000000002</v>
      </c>
      <c r="F262" s="406">
        <f t="shared" si="120"/>
        <v>187990.67</v>
      </c>
      <c r="G262" s="406">
        <f t="shared" si="120"/>
        <v>72223.499999999985</v>
      </c>
      <c r="H262" s="406">
        <f t="shared" si="120"/>
        <v>107708.59</v>
      </c>
      <c r="I262" s="406">
        <f t="shared" si="120"/>
        <v>39901.69999999999</v>
      </c>
      <c r="J262" s="406">
        <f t="shared" si="120"/>
        <v>36583.129999999997</v>
      </c>
      <c r="K262" s="406">
        <f t="shared" si="120"/>
        <v>39311.369999999995</v>
      </c>
      <c r="L262" s="406">
        <f t="shared" si="120"/>
        <v>42829.74</v>
      </c>
      <c r="M262" s="406">
        <f t="shared" si="120"/>
        <v>38996.379999999997</v>
      </c>
      <c r="N262" s="406">
        <f t="shared" si="120"/>
        <v>30001.469999999998</v>
      </c>
      <c r="O262" s="406">
        <f t="shared" si="120"/>
        <v>65256.6</v>
      </c>
      <c r="P262" s="406">
        <f t="shared" si="120"/>
        <v>146089.23000000001</v>
      </c>
      <c r="Q262" s="715">
        <f>SUM(E262:P262)</f>
        <v>972511.98999999987</v>
      </c>
    </row>
    <row r="263" spans="1:17" x14ac:dyDescent="0.2">
      <c r="G263" s="270"/>
      <c r="Q263" s="270"/>
    </row>
    <row r="264" spans="1:17" x14ac:dyDescent="0.2">
      <c r="A264" s="213"/>
      <c r="D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3"/>
      <c r="P264" s="213"/>
    </row>
    <row r="265" spans="1:17" x14ac:dyDescent="0.2">
      <c r="A265" s="504" t="str">
        <f>$A$107</f>
        <v>[1] Reflects Normalized Volumes.</v>
      </c>
      <c r="D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</row>
    <row r="266" spans="1:17" x14ac:dyDescent="0.2">
      <c r="A266" s="504" t="str">
        <f>$A$108</f>
        <v>[2] See Schedule M-2.2 Pages 8 through 21 for detail.</v>
      </c>
      <c r="D266" s="213"/>
      <c r="F266" s="213"/>
      <c r="G266" s="213"/>
      <c r="H266" s="213"/>
      <c r="I266" s="213"/>
      <c r="J266" s="213"/>
      <c r="K266" s="213"/>
      <c r="L266" s="213"/>
      <c r="M266" s="213"/>
      <c r="N266" s="213"/>
      <c r="O266" s="213"/>
      <c r="P266" s="213"/>
    </row>
    <row r="267" spans="1:17" ht="10.5" x14ac:dyDescent="0.25">
      <c r="A267" s="819" t="str">
        <f>CONAME</f>
        <v>Columbia Gas of Kentucky, Inc.</v>
      </c>
      <c r="B267" s="819"/>
      <c r="C267" s="819"/>
      <c r="D267" s="819"/>
      <c r="E267" s="819"/>
      <c r="F267" s="819"/>
      <c r="G267" s="819"/>
      <c r="H267" s="819"/>
      <c r="I267" s="819"/>
      <c r="J267" s="819"/>
      <c r="K267" s="819"/>
      <c r="L267" s="819"/>
      <c r="M267" s="819"/>
      <c r="N267" s="819"/>
      <c r="O267" s="819"/>
      <c r="P267" s="819"/>
      <c r="Q267" s="819"/>
    </row>
    <row r="268" spans="1:17" ht="10.5" x14ac:dyDescent="0.25">
      <c r="A268" s="803" t="str">
        <f>case</f>
        <v>Case No. 2021-00183</v>
      </c>
      <c r="B268" s="803"/>
      <c r="C268" s="803"/>
      <c r="D268" s="803"/>
      <c r="E268" s="803"/>
      <c r="F268" s="803"/>
      <c r="G268" s="803"/>
      <c r="H268" s="803"/>
      <c r="I268" s="803"/>
      <c r="J268" s="803"/>
      <c r="K268" s="803"/>
      <c r="L268" s="803"/>
      <c r="M268" s="803"/>
      <c r="N268" s="803"/>
      <c r="O268" s="803"/>
      <c r="P268" s="803"/>
      <c r="Q268" s="803"/>
    </row>
    <row r="269" spans="1:17" ht="10.5" x14ac:dyDescent="0.25">
      <c r="A269" s="820" t="s">
        <v>197</v>
      </c>
      <c r="B269" s="820"/>
      <c r="C269" s="820"/>
      <c r="D269" s="820"/>
      <c r="E269" s="820"/>
      <c r="F269" s="820"/>
      <c r="G269" s="820"/>
      <c r="H269" s="820"/>
      <c r="I269" s="820"/>
      <c r="J269" s="820"/>
      <c r="K269" s="820"/>
      <c r="L269" s="820"/>
      <c r="M269" s="820"/>
      <c r="N269" s="820"/>
      <c r="O269" s="820"/>
      <c r="P269" s="820"/>
      <c r="Q269" s="820"/>
    </row>
    <row r="270" spans="1:17" ht="10.5" x14ac:dyDescent="0.25">
      <c r="A270" s="819" t="str">
        <f>TYDESC</f>
        <v>For the 12 Months Ended December 31, 2022</v>
      </c>
      <c r="B270" s="819"/>
      <c r="C270" s="819"/>
      <c r="D270" s="819"/>
      <c r="E270" s="819"/>
      <c r="F270" s="819"/>
      <c r="G270" s="819"/>
      <c r="H270" s="819"/>
      <c r="I270" s="819"/>
      <c r="J270" s="819"/>
      <c r="K270" s="819"/>
      <c r="L270" s="819"/>
      <c r="M270" s="819"/>
      <c r="N270" s="819"/>
      <c r="O270" s="819"/>
      <c r="P270" s="819"/>
      <c r="Q270" s="819"/>
    </row>
    <row r="271" spans="1:17" ht="10.5" x14ac:dyDescent="0.25">
      <c r="A271" s="821" t="s">
        <v>39</v>
      </c>
      <c r="B271" s="821"/>
      <c r="C271" s="821"/>
      <c r="D271" s="821"/>
      <c r="E271" s="821"/>
      <c r="F271" s="821"/>
      <c r="G271" s="821"/>
      <c r="H271" s="821"/>
      <c r="I271" s="821"/>
      <c r="J271" s="821"/>
      <c r="K271" s="821"/>
      <c r="L271" s="821"/>
      <c r="M271" s="821"/>
      <c r="N271" s="821"/>
      <c r="O271" s="821"/>
      <c r="P271" s="821"/>
      <c r="Q271" s="821"/>
    </row>
    <row r="272" spans="1:17" ht="10.5" x14ac:dyDescent="0.25">
      <c r="A272" s="575" t="str">
        <f>$A$52</f>
        <v>Data: __ Base Period _X_ Forecasted Period</v>
      </c>
    </row>
    <row r="273" spans="1:17" ht="10.5" x14ac:dyDescent="0.25">
      <c r="A273" s="575" t="str">
        <f>$A$53</f>
        <v>Type of Filing: X Original _ Update _ Revised</v>
      </c>
      <c r="Q273" s="372" t="str">
        <f>$Q$53</f>
        <v>Schedule M-2.3</v>
      </c>
    </row>
    <row r="274" spans="1:17" ht="10.5" x14ac:dyDescent="0.25">
      <c r="A274" s="575" t="str">
        <f>$A$54</f>
        <v>Work Paper Reference No(s):</v>
      </c>
      <c r="Q274" s="372" t="s">
        <v>420</v>
      </c>
    </row>
    <row r="275" spans="1:17" ht="10.5" x14ac:dyDescent="0.25">
      <c r="A275" s="576" t="str">
        <f>$A$55</f>
        <v>12 Months Forecasted</v>
      </c>
      <c r="Q275" s="372" t="str">
        <f>Witness</f>
        <v>Witness:  Judith L. Siegler</v>
      </c>
    </row>
    <row r="276" spans="1:17" ht="10.5" x14ac:dyDescent="0.25">
      <c r="A276" s="822" t="s">
        <v>291</v>
      </c>
      <c r="B276" s="822"/>
      <c r="C276" s="822"/>
      <c r="D276" s="822"/>
      <c r="E276" s="822"/>
      <c r="F276" s="822"/>
      <c r="G276" s="822"/>
      <c r="H276" s="822"/>
      <c r="I276" s="822"/>
      <c r="J276" s="822"/>
      <c r="K276" s="822"/>
      <c r="L276" s="822"/>
      <c r="M276" s="822"/>
      <c r="N276" s="822"/>
      <c r="O276" s="822"/>
      <c r="P276" s="822"/>
      <c r="Q276" s="822"/>
    </row>
    <row r="277" spans="1:17" ht="10.5" x14ac:dyDescent="0.25">
      <c r="A277" s="219"/>
      <c r="B277" s="279"/>
      <c r="C277" s="279"/>
      <c r="D277" s="278"/>
      <c r="E277" s="279"/>
      <c r="F277" s="374"/>
      <c r="G277" s="393"/>
      <c r="H277" s="374"/>
      <c r="I277" s="394"/>
      <c r="J277" s="374"/>
      <c r="K277" s="374"/>
      <c r="L277" s="374"/>
      <c r="M277" s="374"/>
      <c r="N277" s="374"/>
      <c r="O277" s="374"/>
      <c r="P277" s="374"/>
      <c r="Q277" s="279"/>
    </row>
    <row r="278" spans="1:17" ht="10.5" x14ac:dyDescent="0.25">
      <c r="A278" s="717" t="s">
        <v>1</v>
      </c>
      <c r="B278" s="718" t="s">
        <v>0</v>
      </c>
      <c r="C278" s="718" t="s">
        <v>41</v>
      </c>
      <c r="D278" s="721" t="s">
        <v>30</v>
      </c>
      <c r="E278" s="376"/>
      <c r="F278" s="377"/>
      <c r="G278" s="376"/>
      <c r="H278" s="720"/>
      <c r="I278" s="376"/>
      <c r="J278" s="376"/>
      <c r="K278" s="376"/>
      <c r="L278" s="376"/>
      <c r="M278" s="376"/>
      <c r="N278" s="376"/>
      <c r="O278" s="719"/>
      <c r="P278" s="719"/>
      <c r="Q278" s="719"/>
    </row>
    <row r="279" spans="1:17" ht="10.5" x14ac:dyDescent="0.25">
      <c r="A279" s="263" t="s">
        <v>3</v>
      </c>
      <c r="B279" s="220" t="s">
        <v>40</v>
      </c>
      <c r="C279" s="220" t="s">
        <v>4</v>
      </c>
      <c r="D279" s="379" t="s">
        <v>48</v>
      </c>
      <c r="E279" s="380" t="str">
        <f>B!$D$11</f>
        <v>Jan-22</v>
      </c>
      <c r="F279" s="380" t="str">
        <f>B!$E$11</f>
        <v>Feb-22</v>
      </c>
      <c r="G279" s="380" t="str">
        <f>B!$F$11</f>
        <v>Mar-22</v>
      </c>
      <c r="H279" s="380" t="str">
        <f>B!$G$11</f>
        <v>Apr-22</v>
      </c>
      <c r="I279" s="380" t="str">
        <f>B!$H$11</f>
        <v>May-22</v>
      </c>
      <c r="J279" s="380" t="str">
        <f>B!$I$11</f>
        <v>Jun-22</v>
      </c>
      <c r="K279" s="380" t="str">
        <f>B!$J$11</f>
        <v>Jul-22</v>
      </c>
      <c r="L279" s="380" t="str">
        <f>B!$K$11</f>
        <v>Aug-22</v>
      </c>
      <c r="M279" s="380" t="str">
        <f>B!$L$11</f>
        <v>Sep-22</v>
      </c>
      <c r="N279" s="380" t="str">
        <f>B!$M$11</f>
        <v>Oct-22</v>
      </c>
      <c r="O279" s="380" t="str">
        <f>B!$N$11</f>
        <v>Nov-22</v>
      </c>
      <c r="P279" s="380" t="str">
        <f>B!$O$11</f>
        <v>Dec-22</v>
      </c>
      <c r="Q279" s="381" t="s">
        <v>9</v>
      </c>
    </row>
    <row r="280" spans="1:17" ht="10.5" x14ac:dyDescent="0.25">
      <c r="A280" s="717"/>
      <c r="B280" s="719" t="s">
        <v>42</v>
      </c>
      <c r="C280" s="719" t="s">
        <v>43</v>
      </c>
      <c r="D280" s="382" t="s">
        <v>45</v>
      </c>
      <c r="E280" s="383" t="s">
        <v>46</v>
      </c>
      <c r="F280" s="383" t="s">
        <v>49</v>
      </c>
      <c r="G280" s="383" t="s">
        <v>50</v>
      </c>
      <c r="H280" s="383" t="s">
        <v>51</v>
      </c>
      <c r="I280" s="383" t="s">
        <v>52</v>
      </c>
      <c r="J280" s="384" t="s">
        <v>53</v>
      </c>
      <c r="K280" s="384" t="s">
        <v>54</v>
      </c>
      <c r="L280" s="384" t="s">
        <v>55</v>
      </c>
      <c r="M280" s="384" t="s">
        <v>56</v>
      </c>
      <c r="N280" s="384" t="s">
        <v>57</v>
      </c>
      <c r="O280" s="384" t="s">
        <v>58</v>
      </c>
      <c r="P280" s="384" t="s">
        <v>59</v>
      </c>
      <c r="Q280" s="384" t="s">
        <v>200</v>
      </c>
    </row>
    <row r="281" spans="1:17" ht="10.5" x14ac:dyDescent="0.25">
      <c r="E281" s="719"/>
      <c r="F281" s="384"/>
      <c r="G281" s="395"/>
      <c r="H281" s="384"/>
      <c r="I281" s="383"/>
      <c r="J281" s="384"/>
      <c r="K281" s="384"/>
      <c r="L281" s="384"/>
      <c r="M281" s="384"/>
      <c r="N281" s="384"/>
      <c r="O281" s="384"/>
      <c r="P281" s="384"/>
      <c r="Q281" s="719"/>
    </row>
    <row r="283" spans="1:17" ht="10.5" x14ac:dyDescent="0.25">
      <c r="A283" s="242">
        <v>1</v>
      </c>
      <c r="C283" s="396" t="s">
        <v>95</v>
      </c>
    </row>
    <row r="285" spans="1:17" x14ac:dyDescent="0.2">
      <c r="A285" s="242">
        <f>A283+1</f>
        <v>2</v>
      </c>
      <c r="B285" s="213" t="str">
        <f>Input!A44</f>
        <v>GDS</v>
      </c>
      <c r="C285" s="213" t="str">
        <f>'Sch M 2.1'!B42</f>
        <v>GTS Grandfathered Delivery Service - Industrial</v>
      </c>
      <c r="G285" s="270"/>
      <c r="Q285" s="270"/>
    </row>
    <row r="286" spans="1:17" x14ac:dyDescent="0.2">
      <c r="A286" s="242">
        <f>A285+1</f>
        <v>3</v>
      </c>
      <c r="C286" s="400" t="s">
        <v>216</v>
      </c>
      <c r="E286" s="231">
        <f t="shared" ref="E286:P286" si="121">E1047</f>
        <v>7</v>
      </c>
      <c r="F286" s="231">
        <f t="shared" si="121"/>
        <v>7</v>
      </c>
      <c r="G286" s="231">
        <f t="shared" si="121"/>
        <v>7</v>
      </c>
      <c r="H286" s="231">
        <f t="shared" si="121"/>
        <v>7</v>
      </c>
      <c r="I286" s="231">
        <f t="shared" si="121"/>
        <v>7</v>
      </c>
      <c r="J286" s="231">
        <f t="shared" si="121"/>
        <v>7</v>
      </c>
      <c r="K286" s="231">
        <f t="shared" si="121"/>
        <v>7</v>
      </c>
      <c r="L286" s="231">
        <f t="shared" si="121"/>
        <v>7</v>
      </c>
      <c r="M286" s="231">
        <f t="shared" si="121"/>
        <v>7</v>
      </c>
      <c r="N286" s="231">
        <f t="shared" si="121"/>
        <v>7</v>
      </c>
      <c r="O286" s="231">
        <f t="shared" si="121"/>
        <v>7</v>
      </c>
      <c r="P286" s="231">
        <f t="shared" si="121"/>
        <v>7</v>
      </c>
      <c r="Q286" s="231">
        <f>SUM(E286:P286)</f>
        <v>84</v>
      </c>
    </row>
    <row r="287" spans="1:17" x14ac:dyDescent="0.2">
      <c r="A287" s="242">
        <f>A286+1</f>
        <v>4</v>
      </c>
      <c r="C287" s="400" t="s">
        <v>483</v>
      </c>
      <c r="E287" s="234">
        <f t="shared" ref="E287:P287" si="122">E1057</f>
        <v>7745.1</v>
      </c>
      <c r="F287" s="234">
        <f t="shared" si="122"/>
        <v>6667.2999999999993</v>
      </c>
      <c r="G287" s="234">
        <f t="shared" si="122"/>
        <v>18285.099999999999</v>
      </c>
      <c r="H287" s="234">
        <f t="shared" si="122"/>
        <v>4301</v>
      </c>
      <c r="I287" s="234">
        <f t="shared" si="122"/>
        <v>3388.6000000000004</v>
      </c>
      <c r="J287" s="234">
        <f t="shared" si="122"/>
        <v>2237.3000000000002</v>
      </c>
      <c r="K287" s="234">
        <f t="shared" si="122"/>
        <v>2063.8000000000002</v>
      </c>
      <c r="L287" s="234">
        <f t="shared" si="122"/>
        <v>2674.6</v>
      </c>
      <c r="M287" s="234">
        <f t="shared" si="122"/>
        <v>2159.9</v>
      </c>
      <c r="N287" s="234">
        <f t="shared" si="122"/>
        <v>3806.9999999999995</v>
      </c>
      <c r="O287" s="234">
        <f t="shared" si="122"/>
        <v>5084</v>
      </c>
      <c r="P287" s="234">
        <f t="shared" si="122"/>
        <v>8648.1</v>
      </c>
      <c r="Q287" s="234">
        <f>SUM(E287:P287)</f>
        <v>67061.8</v>
      </c>
    </row>
    <row r="288" spans="1:17" x14ac:dyDescent="0.2">
      <c r="A288" s="242">
        <f>A287+1</f>
        <v>5</v>
      </c>
      <c r="C288" s="400" t="s">
        <v>218</v>
      </c>
      <c r="E288" s="386">
        <f t="shared" ref="E288:P288" si="123">E1066</f>
        <v>20728.379999999997</v>
      </c>
      <c r="F288" s="386">
        <f t="shared" si="123"/>
        <v>18140.349999999999</v>
      </c>
      <c r="G288" s="386">
        <f t="shared" si="123"/>
        <v>46340.78</v>
      </c>
      <c r="H288" s="386">
        <f t="shared" si="123"/>
        <v>12374.349999999999</v>
      </c>
      <c r="I288" s="386">
        <f t="shared" si="123"/>
        <v>9920.5399999999991</v>
      </c>
      <c r="J288" s="386">
        <f t="shared" si="123"/>
        <v>6866.8700000000008</v>
      </c>
      <c r="K288" s="386">
        <f t="shared" si="123"/>
        <v>6388.9600000000009</v>
      </c>
      <c r="L288" s="386">
        <f t="shared" si="123"/>
        <v>8032.05</v>
      </c>
      <c r="M288" s="386">
        <f t="shared" si="123"/>
        <v>6688.2300000000005</v>
      </c>
      <c r="N288" s="386">
        <f t="shared" si="123"/>
        <v>11020.909999999998</v>
      </c>
      <c r="O288" s="386">
        <f t="shared" si="123"/>
        <v>14118.949999999997</v>
      </c>
      <c r="P288" s="386">
        <f t="shared" si="123"/>
        <v>23078.94</v>
      </c>
      <c r="Q288" s="386">
        <f>SUM(E288:P288)</f>
        <v>183699.31</v>
      </c>
    </row>
    <row r="289" spans="1:17" x14ac:dyDescent="0.2">
      <c r="A289" s="242">
        <f>A288+1</f>
        <v>6</v>
      </c>
      <c r="C289" s="400" t="s">
        <v>219</v>
      </c>
      <c r="E289" s="386">
        <f t="shared" ref="E289:P289" si="124">E1068</f>
        <v>0</v>
      </c>
      <c r="F289" s="386">
        <f t="shared" si="124"/>
        <v>0</v>
      </c>
      <c r="G289" s="386">
        <f t="shared" si="124"/>
        <v>0</v>
      </c>
      <c r="H289" s="386">
        <f t="shared" si="124"/>
        <v>0</v>
      </c>
      <c r="I289" s="386">
        <f t="shared" si="124"/>
        <v>0</v>
      </c>
      <c r="J289" s="386">
        <f t="shared" si="124"/>
        <v>0</v>
      </c>
      <c r="K289" s="386">
        <f t="shared" si="124"/>
        <v>0</v>
      </c>
      <c r="L289" s="386">
        <f t="shared" si="124"/>
        <v>0</v>
      </c>
      <c r="M289" s="386">
        <f t="shared" si="124"/>
        <v>0</v>
      </c>
      <c r="N289" s="386">
        <f t="shared" si="124"/>
        <v>0</v>
      </c>
      <c r="O289" s="386">
        <f t="shared" si="124"/>
        <v>0</v>
      </c>
      <c r="P289" s="386">
        <f t="shared" si="124"/>
        <v>0</v>
      </c>
      <c r="Q289" s="386">
        <f>SUM(E289:P289)</f>
        <v>0</v>
      </c>
    </row>
    <row r="290" spans="1:17" x14ac:dyDescent="0.2">
      <c r="A290" s="577">
        <f>A289+1</f>
        <v>7</v>
      </c>
      <c r="B290" s="403"/>
      <c r="C290" s="404" t="s">
        <v>484</v>
      </c>
      <c r="D290" s="405"/>
      <c r="E290" s="406">
        <f t="shared" ref="E290:P290" si="125">E1070</f>
        <v>20728.379999999997</v>
      </c>
      <c r="F290" s="406">
        <f t="shared" si="125"/>
        <v>18140.349999999999</v>
      </c>
      <c r="G290" s="406">
        <f t="shared" si="125"/>
        <v>46340.78</v>
      </c>
      <c r="H290" s="406">
        <f t="shared" si="125"/>
        <v>12374.349999999999</v>
      </c>
      <c r="I290" s="406">
        <f t="shared" si="125"/>
        <v>9920.5399999999991</v>
      </c>
      <c r="J290" s="406">
        <f t="shared" si="125"/>
        <v>6866.8700000000008</v>
      </c>
      <c r="K290" s="406">
        <f t="shared" si="125"/>
        <v>6388.9600000000009</v>
      </c>
      <c r="L290" s="406">
        <f t="shared" si="125"/>
        <v>8032.05</v>
      </c>
      <c r="M290" s="406">
        <f t="shared" si="125"/>
        <v>6688.2300000000005</v>
      </c>
      <c r="N290" s="406">
        <f t="shared" si="125"/>
        <v>11020.909999999998</v>
      </c>
      <c r="O290" s="406">
        <f t="shared" si="125"/>
        <v>14118.949999999997</v>
      </c>
      <c r="P290" s="406">
        <f t="shared" si="125"/>
        <v>23078.94</v>
      </c>
      <c r="Q290" s="715">
        <f>SUM(E290:P290)</f>
        <v>183699.31</v>
      </c>
    </row>
    <row r="291" spans="1:17" x14ac:dyDescent="0.2">
      <c r="A291" s="497"/>
      <c r="B291" s="279"/>
      <c r="C291" s="408"/>
      <c r="D291" s="278"/>
      <c r="E291" s="432"/>
      <c r="F291" s="432"/>
      <c r="G291" s="432"/>
      <c r="H291" s="432"/>
      <c r="I291" s="432"/>
      <c r="J291" s="432"/>
      <c r="K291" s="432"/>
      <c r="L291" s="432"/>
      <c r="M291" s="432"/>
      <c r="N291" s="432"/>
      <c r="O291" s="432"/>
      <c r="P291" s="432"/>
      <c r="Q291" s="432"/>
    </row>
    <row r="292" spans="1:17" x14ac:dyDescent="0.2">
      <c r="A292" s="242">
        <f>A290+1</f>
        <v>8</v>
      </c>
      <c r="B292" s="213" t="str">
        <f>Input!A45</f>
        <v>DS3</v>
      </c>
      <c r="C292" s="213" t="str">
        <f>'Sch M 2.1'!B43</f>
        <v>GTS Main Line Service - Industrial</v>
      </c>
      <c r="G292" s="270"/>
      <c r="Q292" s="270"/>
    </row>
    <row r="293" spans="1:17" x14ac:dyDescent="0.2">
      <c r="A293" s="242">
        <f>A292+1</f>
        <v>9</v>
      </c>
      <c r="C293" s="400" t="s">
        <v>216</v>
      </c>
      <c r="E293" s="231">
        <f t="shared" ref="E293:P293" si="126">E1093</f>
        <v>3</v>
      </c>
      <c r="F293" s="231">
        <f t="shared" si="126"/>
        <v>3</v>
      </c>
      <c r="G293" s="231">
        <f t="shared" si="126"/>
        <v>3</v>
      </c>
      <c r="H293" s="231">
        <f t="shared" si="126"/>
        <v>3</v>
      </c>
      <c r="I293" s="231">
        <f t="shared" si="126"/>
        <v>3</v>
      </c>
      <c r="J293" s="231">
        <f t="shared" si="126"/>
        <v>3</v>
      </c>
      <c r="K293" s="231">
        <f t="shared" si="126"/>
        <v>3</v>
      </c>
      <c r="L293" s="231">
        <f t="shared" si="126"/>
        <v>3</v>
      </c>
      <c r="M293" s="231">
        <f t="shared" si="126"/>
        <v>3</v>
      </c>
      <c r="N293" s="231">
        <f t="shared" si="126"/>
        <v>3</v>
      </c>
      <c r="O293" s="231">
        <f t="shared" si="126"/>
        <v>3</v>
      </c>
      <c r="P293" s="231">
        <f t="shared" si="126"/>
        <v>3</v>
      </c>
      <c r="Q293" s="231">
        <f>SUM(E293:P293)</f>
        <v>36</v>
      </c>
    </row>
    <row r="294" spans="1:17" x14ac:dyDescent="0.2">
      <c r="A294" s="242">
        <f>A293+1</f>
        <v>10</v>
      </c>
      <c r="C294" s="400" t="s">
        <v>483</v>
      </c>
      <c r="E294" s="234">
        <f t="shared" ref="E294:P294" si="127">E1097</f>
        <v>54000</v>
      </c>
      <c r="F294" s="234">
        <f t="shared" si="127"/>
        <v>51500</v>
      </c>
      <c r="G294" s="234">
        <f t="shared" si="127"/>
        <v>49500</v>
      </c>
      <c r="H294" s="234">
        <f t="shared" si="127"/>
        <v>47400</v>
      </c>
      <c r="I294" s="234">
        <f t="shared" si="127"/>
        <v>50900</v>
      </c>
      <c r="J294" s="234">
        <f t="shared" si="127"/>
        <v>48600</v>
      </c>
      <c r="K294" s="234">
        <f t="shared" si="127"/>
        <v>49900</v>
      </c>
      <c r="L294" s="234">
        <f t="shared" si="127"/>
        <v>47500</v>
      </c>
      <c r="M294" s="234">
        <f t="shared" si="127"/>
        <v>49500</v>
      </c>
      <c r="N294" s="234">
        <f t="shared" si="127"/>
        <v>52800</v>
      </c>
      <c r="O294" s="234">
        <f t="shared" si="127"/>
        <v>51200</v>
      </c>
      <c r="P294" s="234">
        <f t="shared" si="127"/>
        <v>49300</v>
      </c>
      <c r="Q294" s="234">
        <f>SUM(E294:P294)</f>
        <v>602100</v>
      </c>
    </row>
    <row r="295" spans="1:17" x14ac:dyDescent="0.2">
      <c r="A295" s="242">
        <f>A294+1</f>
        <v>11</v>
      </c>
      <c r="C295" s="400" t="s">
        <v>218</v>
      </c>
      <c r="E295" s="386">
        <f t="shared" ref="E295:P295" si="128">E1100</f>
        <v>6732.6</v>
      </c>
      <c r="F295" s="386">
        <f t="shared" si="128"/>
        <v>6460.1</v>
      </c>
      <c r="G295" s="386">
        <f t="shared" si="128"/>
        <v>6242.1</v>
      </c>
      <c r="H295" s="386">
        <f t="shared" si="128"/>
        <v>6013.2000000000007</v>
      </c>
      <c r="I295" s="386">
        <f t="shared" si="128"/>
        <v>6394.7000000000007</v>
      </c>
      <c r="J295" s="386">
        <f t="shared" si="128"/>
        <v>6144.0000000000009</v>
      </c>
      <c r="K295" s="386">
        <f t="shared" si="128"/>
        <v>6285.7000000000007</v>
      </c>
      <c r="L295" s="386">
        <f t="shared" si="128"/>
        <v>6024.1</v>
      </c>
      <c r="M295" s="386">
        <f t="shared" si="128"/>
        <v>6242.1</v>
      </c>
      <c r="N295" s="386">
        <f t="shared" si="128"/>
        <v>6601.8</v>
      </c>
      <c r="O295" s="386">
        <f t="shared" si="128"/>
        <v>6427.4000000000005</v>
      </c>
      <c r="P295" s="386">
        <f t="shared" si="128"/>
        <v>6220.3</v>
      </c>
      <c r="Q295" s="386">
        <f>SUM(E295:P295)</f>
        <v>75788.100000000006</v>
      </c>
    </row>
    <row r="296" spans="1:17" x14ac:dyDescent="0.2">
      <c r="A296" s="242">
        <f>A295+1</f>
        <v>12</v>
      </c>
      <c r="C296" s="400" t="s">
        <v>219</v>
      </c>
      <c r="E296" s="386">
        <f t="shared" ref="E296:P296" si="129">E1102</f>
        <v>0</v>
      </c>
      <c r="F296" s="386">
        <f t="shared" si="129"/>
        <v>0</v>
      </c>
      <c r="G296" s="386">
        <f t="shared" si="129"/>
        <v>0</v>
      </c>
      <c r="H296" s="386">
        <f t="shared" si="129"/>
        <v>0</v>
      </c>
      <c r="I296" s="386">
        <f t="shared" si="129"/>
        <v>0</v>
      </c>
      <c r="J296" s="386">
        <f t="shared" si="129"/>
        <v>0</v>
      </c>
      <c r="K296" s="386">
        <f t="shared" si="129"/>
        <v>0</v>
      </c>
      <c r="L296" s="386">
        <f t="shared" si="129"/>
        <v>0</v>
      </c>
      <c r="M296" s="386">
        <f t="shared" si="129"/>
        <v>0</v>
      </c>
      <c r="N296" s="386">
        <f t="shared" si="129"/>
        <v>0</v>
      </c>
      <c r="O296" s="386">
        <f t="shared" si="129"/>
        <v>0</v>
      </c>
      <c r="P296" s="386">
        <f t="shared" si="129"/>
        <v>0</v>
      </c>
      <c r="Q296" s="386">
        <f>SUM(E296:P296)</f>
        <v>0</v>
      </c>
    </row>
    <row r="297" spans="1:17" x14ac:dyDescent="0.2">
      <c r="A297" s="577">
        <f>A296+1</f>
        <v>13</v>
      </c>
      <c r="B297" s="403"/>
      <c r="C297" s="404" t="s">
        <v>484</v>
      </c>
      <c r="D297" s="405"/>
      <c r="E297" s="406">
        <f t="shared" ref="E297:P297" si="130">E1104</f>
        <v>6732.6</v>
      </c>
      <c r="F297" s="406">
        <f t="shared" si="130"/>
        <v>6460.1</v>
      </c>
      <c r="G297" s="406">
        <f t="shared" si="130"/>
        <v>6242.1</v>
      </c>
      <c r="H297" s="406">
        <f t="shared" si="130"/>
        <v>6013.2000000000007</v>
      </c>
      <c r="I297" s="406">
        <f t="shared" si="130"/>
        <v>6394.7000000000007</v>
      </c>
      <c r="J297" s="406">
        <f t="shared" si="130"/>
        <v>6144.0000000000009</v>
      </c>
      <c r="K297" s="406">
        <f t="shared" si="130"/>
        <v>6285.7000000000007</v>
      </c>
      <c r="L297" s="406">
        <f t="shared" si="130"/>
        <v>6024.1</v>
      </c>
      <c r="M297" s="406">
        <f t="shared" si="130"/>
        <v>6242.1</v>
      </c>
      <c r="N297" s="406">
        <f t="shared" si="130"/>
        <v>6601.8</v>
      </c>
      <c r="O297" s="406">
        <f t="shared" si="130"/>
        <v>6427.4000000000005</v>
      </c>
      <c r="P297" s="406">
        <f t="shared" si="130"/>
        <v>6220.3</v>
      </c>
      <c r="Q297" s="715">
        <f>SUM(E297:P297)</f>
        <v>75788.100000000006</v>
      </c>
    </row>
    <row r="299" spans="1:17" x14ac:dyDescent="0.2">
      <c r="A299" s="242">
        <f>A297+1</f>
        <v>14</v>
      </c>
      <c r="B299" s="213" t="str">
        <f>Input!A46</f>
        <v>FX1</v>
      </c>
      <c r="C299" s="213" t="str">
        <f>'Sch M 2.1'!B44</f>
        <v>GTS Flex Rate - Commercial</v>
      </c>
      <c r="G299" s="270"/>
      <c r="Q299" s="270"/>
    </row>
    <row r="300" spans="1:17" x14ac:dyDescent="0.2">
      <c r="A300" s="242">
        <f>A299+1</f>
        <v>15</v>
      </c>
      <c r="C300" s="400" t="s">
        <v>216</v>
      </c>
      <c r="E300" s="231">
        <f t="shared" ref="E300:P300" si="131">E1111</f>
        <v>0</v>
      </c>
      <c r="F300" s="231">
        <f t="shared" si="131"/>
        <v>0</v>
      </c>
      <c r="G300" s="231">
        <f t="shared" si="131"/>
        <v>0</v>
      </c>
      <c r="H300" s="231">
        <f t="shared" si="131"/>
        <v>0</v>
      </c>
      <c r="I300" s="231">
        <f t="shared" si="131"/>
        <v>0</v>
      </c>
      <c r="J300" s="231">
        <f t="shared" si="131"/>
        <v>0</v>
      </c>
      <c r="K300" s="231">
        <f t="shared" si="131"/>
        <v>0</v>
      </c>
      <c r="L300" s="231">
        <f t="shared" si="131"/>
        <v>0</v>
      </c>
      <c r="M300" s="231">
        <f t="shared" si="131"/>
        <v>0</v>
      </c>
      <c r="N300" s="231">
        <f t="shared" si="131"/>
        <v>0</v>
      </c>
      <c r="O300" s="231">
        <f t="shared" si="131"/>
        <v>0</v>
      </c>
      <c r="P300" s="231">
        <f t="shared" si="131"/>
        <v>0</v>
      </c>
      <c r="Q300" s="231">
        <f>SUM(E300:P300)</f>
        <v>0</v>
      </c>
    </row>
    <row r="301" spans="1:17" x14ac:dyDescent="0.2">
      <c r="A301" s="242">
        <f>A300+1</f>
        <v>16</v>
      </c>
      <c r="C301" s="400" t="s">
        <v>483</v>
      </c>
      <c r="E301" s="234">
        <f t="shared" ref="E301:P301" si="132">E1115</f>
        <v>0</v>
      </c>
      <c r="F301" s="234">
        <f t="shared" si="132"/>
        <v>0</v>
      </c>
      <c r="G301" s="234">
        <f t="shared" si="132"/>
        <v>0</v>
      </c>
      <c r="H301" s="234">
        <f t="shared" si="132"/>
        <v>0</v>
      </c>
      <c r="I301" s="234">
        <f t="shared" si="132"/>
        <v>0</v>
      </c>
      <c r="J301" s="234">
        <f t="shared" si="132"/>
        <v>0</v>
      </c>
      <c r="K301" s="234">
        <f t="shared" si="132"/>
        <v>0</v>
      </c>
      <c r="L301" s="234">
        <f t="shared" si="132"/>
        <v>0</v>
      </c>
      <c r="M301" s="234">
        <f t="shared" si="132"/>
        <v>0</v>
      </c>
      <c r="N301" s="234">
        <f t="shared" si="132"/>
        <v>0</v>
      </c>
      <c r="O301" s="234">
        <f t="shared" si="132"/>
        <v>0</v>
      </c>
      <c r="P301" s="234">
        <f t="shared" si="132"/>
        <v>0</v>
      </c>
      <c r="Q301" s="234">
        <f>SUM(E301:P301)</f>
        <v>0</v>
      </c>
    </row>
    <row r="302" spans="1:17" x14ac:dyDescent="0.2">
      <c r="A302" s="242">
        <f>A301+1</f>
        <v>17</v>
      </c>
      <c r="C302" s="400" t="s">
        <v>218</v>
      </c>
      <c r="E302" s="386">
        <f t="shared" ref="E302:P302" si="133">E1118</f>
        <v>0</v>
      </c>
      <c r="F302" s="386">
        <f t="shared" si="133"/>
        <v>0</v>
      </c>
      <c r="G302" s="386">
        <f t="shared" si="133"/>
        <v>0</v>
      </c>
      <c r="H302" s="386">
        <f t="shared" si="133"/>
        <v>0</v>
      </c>
      <c r="I302" s="386">
        <f t="shared" si="133"/>
        <v>0</v>
      </c>
      <c r="J302" s="386">
        <f t="shared" si="133"/>
        <v>0</v>
      </c>
      <c r="K302" s="386">
        <f t="shared" si="133"/>
        <v>0</v>
      </c>
      <c r="L302" s="386">
        <f t="shared" si="133"/>
        <v>0</v>
      </c>
      <c r="M302" s="386">
        <f t="shared" si="133"/>
        <v>0</v>
      </c>
      <c r="N302" s="386">
        <f t="shared" si="133"/>
        <v>0</v>
      </c>
      <c r="O302" s="386">
        <f t="shared" si="133"/>
        <v>0</v>
      </c>
      <c r="P302" s="386">
        <f t="shared" si="133"/>
        <v>0</v>
      </c>
      <c r="Q302" s="386">
        <f>SUM(E302:P302)</f>
        <v>0</v>
      </c>
    </row>
    <row r="303" spans="1:17" x14ac:dyDescent="0.2">
      <c r="A303" s="242">
        <f>A302+1</f>
        <v>18</v>
      </c>
      <c r="C303" s="400" t="s">
        <v>219</v>
      </c>
      <c r="E303" s="386">
        <f t="shared" ref="E303:P303" si="134">E1120</f>
        <v>0</v>
      </c>
      <c r="F303" s="386">
        <f t="shared" si="134"/>
        <v>0</v>
      </c>
      <c r="G303" s="386">
        <f t="shared" si="134"/>
        <v>0</v>
      </c>
      <c r="H303" s="386">
        <f t="shared" si="134"/>
        <v>0</v>
      </c>
      <c r="I303" s="386">
        <f t="shared" si="134"/>
        <v>0</v>
      </c>
      <c r="J303" s="386">
        <f t="shared" si="134"/>
        <v>0</v>
      </c>
      <c r="K303" s="386">
        <f t="shared" si="134"/>
        <v>0</v>
      </c>
      <c r="L303" s="386">
        <f t="shared" si="134"/>
        <v>0</v>
      </c>
      <c r="M303" s="386">
        <f t="shared" si="134"/>
        <v>0</v>
      </c>
      <c r="N303" s="386">
        <f t="shared" si="134"/>
        <v>0</v>
      </c>
      <c r="O303" s="386">
        <f t="shared" si="134"/>
        <v>0</v>
      </c>
      <c r="P303" s="386">
        <f t="shared" si="134"/>
        <v>0</v>
      </c>
      <c r="Q303" s="386">
        <f>SUM(E303:P303)</f>
        <v>0</v>
      </c>
    </row>
    <row r="304" spans="1:17" x14ac:dyDescent="0.2">
      <c r="A304" s="577">
        <f>A303+1</f>
        <v>19</v>
      </c>
      <c r="B304" s="403"/>
      <c r="C304" s="404" t="s">
        <v>484</v>
      </c>
      <c r="D304" s="405"/>
      <c r="E304" s="406">
        <f t="shared" ref="E304:P304" si="135">E1122</f>
        <v>0</v>
      </c>
      <c r="F304" s="406">
        <f t="shared" si="135"/>
        <v>0</v>
      </c>
      <c r="G304" s="406">
        <f t="shared" si="135"/>
        <v>0</v>
      </c>
      <c r="H304" s="406">
        <f t="shared" si="135"/>
        <v>0</v>
      </c>
      <c r="I304" s="406">
        <f t="shared" si="135"/>
        <v>0</v>
      </c>
      <c r="J304" s="406">
        <f t="shared" si="135"/>
        <v>0</v>
      </c>
      <c r="K304" s="406">
        <f t="shared" si="135"/>
        <v>0</v>
      </c>
      <c r="L304" s="406">
        <f t="shared" si="135"/>
        <v>0</v>
      </c>
      <c r="M304" s="406">
        <f t="shared" si="135"/>
        <v>0</v>
      </c>
      <c r="N304" s="406">
        <f t="shared" si="135"/>
        <v>0</v>
      </c>
      <c r="O304" s="406">
        <f t="shared" si="135"/>
        <v>0</v>
      </c>
      <c r="P304" s="406">
        <f t="shared" si="135"/>
        <v>0</v>
      </c>
      <c r="Q304" s="406">
        <f>SUM(E304:P304)</f>
        <v>0</v>
      </c>
    </row>
    <row r="305" spans="1:18" x14ac:dyDescent="0.2">
      <c r="A305" s="497"/>
      <c r="B305" s="279"/>
      <c r="C305" s="408"/>
      <c r="D305" s="278"/>
      <c r="E305" s="374"/>
      <c r="F305" s="374"/>
      <c r="G305" s="374"/>
      <c r="H305" s="374"/>
      <c r="I305" s="374"/>
      <c r="J305" s="374"/>
      <c r="K305" s="374"/>
      <c r="L305" s="374"/>
      <c r="M305" s="374"/>
      <c r="N305" s="374"/>
      <c r="O305" s="374"/>
      <c r="P305" s="374"/>
      <c r="Q305" s="374"/>
    </row>
    <row r="306" spans="1:18" x14ac:dyDescent="0.2">
      <c r="A306" s="242">
        <f>A283+1</f>
        <v>2</v>
      </c>
      <c r="B306" s="213" t="str">
        <f>Input!A47</f>
        <v>FX2</v>
      </c>
      <c r="C306" s="213" t="str">
        <f>'Sch M 2.1'!B45</f>
        <v>GTS Flex Rate - Commercial</v>
      </c>
      <c r="G306" s="270"/>
      <c r="Q306" s="270"/>
    </row>
    <row r="307" spans="1:18" x14ac:dyDescent="0.2">
      <c r="A307" s="242">
        <f>A306+1</f>
        <v>3</v>
      </c>
      <c r="C307" s="400" t="s">
        <v>216</v>
      </c>
      <c r="E307" s="231">
        <f t="shared" ref="E307:P307" si="136">E1129</f>
        <v>0</v>
      </c>
      <c r="F307" s="231">
        <f t="shared" si="136"/>
        <v>0</v>
      </c>
      <c r="G307" s="231">
        <f t="shared" si="136"/>
        <v>0</v>
      </c>
      <c r="H307" s="231">
        <f t="shared" si="136"/>
        <v>0</v>
      </c>
      <c r="I307" s="231">
        <f t="shared" si="136"/>
        <v>0</v>
      </c>
      <c r="J307" s="231">
        <f t="shared" si="136"/>
        <v>0</v>
      </c>
      <c r="K307" s="231">
        <f t="shared" si="136"/>
        <v>0</v>
      </c>
      <c r="L307" s="231">
        <f t="shared" si="136"/>
        <v>0</v>
      </c>
      <c r="M307" s="231">
        <f t="shared" si="136"/>
        <v>0</v>
      </c>
      <c r="N307" s="231">
        <f t="shared" si="136"/>
        <v>0</v>
      </c>
      <c r="O307" s="231">
        <f t="shared" si="136"/>
        <v>0</v>
      </c>
      <c r="P307" s="231">
        <f t="shared" si="136"/>
        <v>0</v>
      </c>
      <c r="Q307" s="231">
        <f>SUM(E307:P307)</f>
        <v>0</v>
      </c>
    </row>
    <row r="308" spans="1:18" x14ac:dyDescent="0.2">
      <c r="A308" s="242">
        <f>A307+1</f>
        <v>4</v>
      </c>
      <c r="C308" s="400" t="s">
        <v>483</v>
      </c>
      <c r="E308" s="234">
        <f t="shared" ref="E308:P308" si="137">E1133</f>
        <v>0</v>
      </c>
      <c r="F308" s="234">
        <f t="shared" si="137"/>
        <v>0</v>
      </c>
      <c r="G308" s="234">
        <f t="shared" si="137"/>
        <v>0</v>
      </c>
      <c r="H308" s="234">
        <f t="shared" si="137"/>
        <v>0</v>
      </c>
      <c r="I308" s="234">
        <f t="shared" si="137"/>
        <v>0</v>
      </c>
      <c r="J308" s="234">
        <f t="shared" si="137"/>
        <v>0</v>
      </c>
      <c r="K308" s="234">
        <f t="shared" si="137"/>
        <v>0</v>
      </c>
      <c r="L308" s="234">
        <f t="shared" si="137"/>
        <v>0</v>
      </c>
      <c r="M308" s="234">
        <f t="shared" si="137"/>
        <v>0</v>
      </c>
      <c r="N308" s="234">
        <f t="shared" si="137"/>
        <v>0</v>
      </c>
      <c r="O308" s="234">
        <f t="shared" si="137"/>
        <v>0</v>
      </c>
      <c r="P308" s="234">
        <f t="shared" si="137"/>
        <v>0</v>
      </c>
      <c r="Q308" s="234">
        <f>SUM(E308:P308)</f>
        <v>0</v>
      </c>
    </row>
    <row r="309" spans="1:18" x14ac:dyDescent="0.2">
      <c r="A309" s="242">
        <f>A308+1</f>
        <v>5</v>
      </c>
      <c r="C309" s="400" t="s">
        <v>218</v>
      </c>
      <c r="E309" s="386">
        <f t="shared" ref="E309:P309" si="138">E1136</f>
        <v>0</v>
      </c>
      <c r="F309" s="386">
        <f t="shared" si="138"/>
        <v>0</v>
      </c>
      <c r="G309" s="386">
        <f t="shared" si="138"/>
        <v>0</v>
      </c>
      <c r="H309" s="386">
        <f t="shared" si="138"/>
        <v>0</v>
      </c>
      <c r="I309" s="386">
        <f t="shared" si="138"/>
        <v>0</v>
      </c>
      <c r="J309" s="386">
        <f t="shared" si="138"/>
        <v>0</v>
      </c>
      <c r="K309" s="386">
        <f t="shared" si="138"/>
        <v>0</v>
      </c>
      <c r="L309" s="386">
        <f t="shared" si="138"/>
        <v>0</v>
      </c>
      <c r="M309" s="386">
        <f t="shared" si="138"/>
        <v>0</v>
      </c>
      <c r="N309" s="386">
        <f t="shared" si="138"/>
        <v>0</v>
      </c>
      <c r="O309" s="386">
        <f t="shared" si="138"/>
        <v>0</v>
      </c>
      <c r="P309" s="386">
        <f t="shared" si="138"/>
        <v>0</v>
      </c>
      <c r="Q309" s="386">
        <f>SUM(E309:P309)</f>
        <v>0</v>
      </c>
    </row>
    <row r="310" spans="1:18" x14ac:dyDescent="0.2">
      <c r="A310" s="242">
        <f>A309+1</f>
        <v>6</v>
      </c>
      <c r="C310" s="400" t="s">
        <v>219</v>
      </c>
      <c r="E310" s="386">
        <f t="shared" ref="E310:P310" si="139">E1138</f>
        <v>0</v>
      </c>
      <c r="F310" s="386">
        <f t="shared" si="139"/>
        <v>0</v>
      </c>
      <c r="G310" s="386">
        <f t="shared" si="139"/>
        <v>0</v>
      </c>
      <c r="H310" s="386">
        <f t="shared" si="139"/>
        <v>0</v>
      </c>
      <c r="I310" s="386">
        <f t="shared" si="139"/>
        <v>0</v>
      </c>
      <c r="J310" s="386">
        <f t="shared" si="139"/>
        <v>0</v>
      </c>
      <c r="K310" s="386">
        <f t="shared" si="139"/>
        <v>0</v>
      </c>
      <c r="L310" s="386">
        <f t="shared" si="139"/>
        <v>0</v>
      </c>
      <c r="M310" s="386">
        <f t="shared" si="139"/>
        <v>0</v>
      </c>
      <c r="N310" s="386">
        <f t="shared" si="139"/>
        <v>0</v>
      </c>
      <c r="O310" s="386">
        <f t="shared" si="139"/>
        <v>0</v>
      </c>
      <c r="P310" s="386">
        <f t="shared" si="139"/>
        <v>0</v>
      </c>
      <c r="Q310" s="386">
        <f>SUM(E310:P310)</f>
        <v>0</v>
      </c>
    </row>
    <row r="311" spans="1:18" x14ac:dyDescent="0.2">
      <c r="A311" s="577">
        <f>A310+1</f>
        <v>7</v>
      </c>
      <c r="B311" s="403"/>
      <c r="C311" s="404" t="s">
        <v>484</v>
      </c>
      <c r="D311" s="405"/>
      <c r="E311" s="406">
        <f t="shared" ref="E311:P311" si="140">E1140</f>
        <v>0</v>
      </c>
      <c r="F311" s="406">
        <f t="shared" si="140"/>
        <v>0</v>
      </c>
      <c r="G311" s="406">
        <f t="shared" si="140"/>
        <v>0</v>
      </c>
      <c r="H311" s="406">
        <f t="shared" si="140"/>
        <v>0</v>
      </c>
      <c r="I311" s="406">
        <f t="shared" si="140"/>
        <v>0</v>
      </c>
      <c r="J311" s="406">
        <f t="shared" si="140"/>
        <v>0</v>
      </c>
      <c r="K311" s="406">
        <f t="shared" si="140"/>
        <v>0</v>
      </c>
      <c r="L311" s="406">
        <f t="shared" si="140"/>
        <v>0</v>
      </c>
      <c r="M311" s="406">
        <f t="shared" si="140"/>
        <v>0</v>
      </c>
      <c r="N311" s="406">
        <f t="shared" si="140"/>
        <v>0</v>
      </c>
      <c r="O311" s="406">
        <f t="shared" si="140"/>
        <v>0</v>
      </c>
      <c r="P311" s="406">
        <f t="shared" si="140"/>
        <v>0</v>
      </c>
      <c r="Q311" s="406">
        <f>SUM(E311:P311)</f>
        <v>0</v>
      </c>
    </row>
    <row r="313" spans="1:18" x14ac:dyDescent="0.2">
      <c r="A313" s="242">
        <f>A311+1</f>
        <v>8</v>
      </c>
      <c r="B313" s="213" t="str">
        <f>Input!A48</f>
        <v>FX5</v>
      </c>
      <c r="C313" s="213" t="str">
        <f>'Sch M 2.1'!B46</f>
        <v>GTS Flex Rate - Industrial</v>
      </c>
      <c r="G313" s="270"/>
      <c r="Q313" s="270"/>
    </row>
    <row r="314" spans="1:18" x14ac:dyDescent="0.2">
      <c r="A314" s="242">
        <f>A313+1</f>
        <v>9</v>
      </c>
      <c r="C314" s="400" t="s">
        <v>216</v>
      </c>
      <c r="E314" s="231">
        <f t="shared" ref="E314:P314" si="141">E1163</f>
        <v>3</v>
      </c>
      <c r="F314" s="231">
        <f t="shared" si="141"/>
        <v>3</v>
      </c>
      <c r="G314" s="231">
        <f t="shared" si="141"/>
        <v>3</v>
      </c>
      <c r="H314" s="231">
        <f t="shared" si="141"/>
        <v>3</v>
      </c>
      <c r="I314" s="231">
        <f t="shared" si="141"/>
        <v>3</v>
      </c>
      <c r="J314" s="231">
        <f t="shared" si="141"/>
        <v>3</v>
      </c>
      <c r="K314" s="231">
        <f t="shared" si="141"/>
        <v>3</v>
      </c>
      <c r="L314" s="231">
        <f t="shared" si="141"/>
        <v>3</v>
      </c>
      <c r="M314" s="231">
        <f t="shared" si="141"/>
        <v>3</v>
      </c>
      <c r="N314" s="231">
        <f t="shared" si="141"/>
        <v>3</v>
      </c>
      <c r="O314" s="231">
        <f t="shared" si="141"/>
        <v>3</v>
      </c>
      <c r="P314" s="231">
        <f t="shared" si="141"/>
        <v>3</v>
      </c>
      <c r="Q314" s="231">
        <f>SUM(E314:P314)</f>
        <v>36</v>
      </c>
    </row>
    <row r="315" spans="1:18" x14ac:dyDescent="0.2">
      <c r="A315" s="242">
        <f>A314+1</f>
        <v>10</v>
      </c>
      <c r="C315" s="400" t="s">
        <v>483</v>
      </c>
      <c r="E315" s="234">
        <f t="shared" ref="E315:P315" si="142">E1167</f>
        <v>696800</v>
      </c>
      <c r="F315" s="234">
        <f t="shared" si="142"/>
        <v>607600</v>
      </c>
      <c r="G315" s="234">
        <f t="shared" si="142"/>
        <v>636000</v>
      </c>
      <c r="H315" s="234">
        <f t="shared" si="142"/>
        <v>527800</v>
      </c>
      <c r="I315" s="234">
        <f t="shared" si="142"/>
        <v>421300</v>
      </c>
      <c r="J315" s="234">
        <f t="shared" si="142"/>
        <v>410800</v>
      </c>
      <c r="K315" s="234">
        <f t="shared" si="142"/>
        <v>448700</v>
      </c>
      <c r="L315" s="234">
        <f t="shared" si="142"/>
        <v>454200</v>
      </c>
      <c r="M315" s="234">
        <f t="shared" si="142"/>
        <v>506900</v>
      </c>
      <c r="N315" s="234">
        <f t="shared" si="142"/>
        <v>620500</v>
      </c>
      <c r="O315" s="234">
        <f t="shared" si="142"/>
        <v>642500</v>
      </c>
      <c r="P315" s="234">
        <f t="shared" si="142"/>
        <v>738400</v>
      </c>
      <c r="Q315" s="234">
        <f>SUM(E315:P315)</f>
        <v>6711500</v>
      </c>
    </row>
    <row r="316" spans="1:18" x14ac:dyDescent="0.2">
      <c r="A316" s="242">
        <f>A315+1</f>
        <v>11</v>
      </c>
      <c r="C316" s="400" t="s">
        <v>218</v>
      </c>
      <c r="E316" s="386">
        <f t="shared" ref="E316:P316" si="143">E1170</f>
        <v>60553.14</v>
      </c>
      <c r="F316" s="386">
        <f t="shared" si="143"/>
        <v>52899.78</v>
      </c>
      <c r="G316" s="386">
        <f t="shared" si="143"/>
        <v>55336.5</v>
      </c>
      <c r="H316" s="386">
        <f t="shared" si="143"/>
        <v>46052.939999999995</v>
      </c>
      <c r="I316" s="386">
        <f t="shared" si="143"/>
        <v>36915.24</v>
      </c>
      <c r="J316" s="386">
        <f t="shared" si="143"/>
        <v>36014.339999999997</v>
      </c>
      <c r="K316" s="386">
        <f t="shared" si="143"/>
        <v>39266.159999999996</v>
      </c>
      <c r="L316" s="386">
        <f t="shared" si="143"/>
        <v>39738.06</v>
      </c>
      <c r="M316" s="386">
        <f t="shared" si="143"/>
        <v>44259.719999999994</v>
      </c>
      <c r="N316" s="386">
        <f t="shared" si="143"/>
        <v>54006.6</v>
      </c>
      <c r="O316" s="386">
        <f t="shared" si="143"/>
        <v>55894.2</v>
      </c>
      <c r="P316" s="386">
        <f t="shared" si="143"/>
        <v>64122.42</v>
      </c>
      <c r="Q316" s="386">
        <f>SUM(E316:P316)</f>
        <v>585059.09999999986</v>
      </c>
    </row>
    <row r="317" spans="1:18" x14ac:dyDescent="0.2">
      <c r="A317" s="242">
        <f>A316+1</f>
        <v>12</v>
      </c>
      <c r="C317" s="400" t="s">
        <v>219</v>
      </c>
      <c r="E317" s="386">
        <f t="shared" ref="E317:P317" si="144">E1172</f>
        <v>0</v>
      </c>
      <c r="F317" s="386">
        <f t="shared" si="144"/>
        <v>0</v>
      </c>
      <c r="G317" s="386">
        <f t="shared" si="144"/>
        <v>0</v>
      </c>
      <c r="H317" s="386">
        <f t="shared" si="144"/>
        <v>0</v>
      </c>
      <c r="I317" s="386">
        <f t="shared" si="144"/>
        <v>0</v>
      </c>
      <c r="J317" s="386">
        <f t="shared" si="144"/>
        <v>0</v>
      </c>
      <c r="K317" s="386">
        <f t="shared" si="144"/>
        <v>0</v>
      </c>
      <c r="L317" s="386">
        <f t="shared" si="144"/>
        <v>0</v>
      </c>
      <c r="M317" s="386">
        <f t="shared" si="144"/>
        <v>0</v>
      </c>
      <c r="N317" s="386">
        <f t="shared" si="144"/>
        <v>0</v>
      </c>
      <c r="O317" s="386">
        <f t="shared" si="144"/>
        <v>0</v>
      </c>
      <c r="P317" s="386">
        <f t="shared" si="144"/>
        <v>0</v>
      </c>
      <c r="Q317" s="386">
        <f>SUM(E317:P317)</f>
        <v>0</v>
      </c>
    </row>
    <row r="318" spans="1:18" x14ac:dyDescent="0.2">
      <c r="A318" s="577">
        <f>A317+1</f>
        <v>13</v>
      </c>
      <c r="B318" s="403"/>
      <c r="C318" s="404" t="s">
        <v>484</v>
      </c>
      <c r="D318" s="405"/>
      <c r="E318" s="406">
        <f t="shared" ref="E318:P318" si="145">E1174</f>
        <v>60553.14</v>
      </c>
      <c r="F318" s="406">
        <f t="shared" si="145"/>
        <v>52899.78</v>
      </c>
      <c r="G318" s="406">
        <f t="shared" si="145"/>
        <v>55336.5</v>
      </c>
      <c r="H318" s="406">
        <f t="shared" si="145"/>
        <v>46052.939999999995</v>
      </c>
      <c r="I318" s="406">
        <f t="shared" si="145"/>
        <v>36915.24</v>
      </c>
      <c r="J318" s="406">
        <f t="shared" si="145"/>
        <v>36014.339999999997</v>
      </c>
      <c r="K318" s="406">
        <f t="shared" si="145"/>
        <v>39266.159999999996</v>
      </c>
      <c r="L318" s="406">
        <f t="shared" si="145"/>
        <v>39738.06</v>
      </c>
      <c r="M318" s="406">
        <f t="shared" si="145"/>
        <v>44259.719999999994</v>
      </c>
      <c r="N318" s="406">
        <f t="shared" si="145"/>
        <v>54006.6</v>
      </c>
      <c r="O318" s="406">
        <f t="shared" si="145"/>
        <v>55894.2</v>
      </c>
      <c r="P318" s="406">
        <f t="shared" si="145"/>
        <v>64122.42</v>
      </c>
      <c r="Q318" s="715">
        <f>SUM(E318:P318)</f>
        <v>585059.09999999986</v>
      </c>
    </row>
    <row r="319" spans="1:18" x14ac:dyDescent="0.2">
      <c r="G319" s="270"/>
      <c r="Q319" s="270"/>
    </row>
    <row r="320" spans="1:18" x14ac:dyDescent="0.2">
      <c r="A320" s="242">
        <f>A318+1</f>
        <v>14</v>
      </c>
      <c r="B320" s="213" t="str">
        <f>Input!A49</f>
        <v>FX7</v>
      </c>
      <c r="C320" s="213" t="str">
        <f>'Sch M 2.1'!B47</f>
        <v>GTS Flex Rate - Industrial</v>
      </c>
      <c r="D320" s="267"/>
      <c r="E320" s="216"/>
      <c r="F320" s="269"/>
      <c r="G320" s="269"/>
      <c r="H320" s="269"/>
      <c r="I320" s="272"/>
      <c r="J320" s="269"/>
      <c r="K320" s="269"/>
      <c r="L320" s="269"/>
      <c r="M320" s="269"/>
      <c r="N320" s="269"/>
      <c r="O320" s="269"/>
      <c r="P320" s="269"/>
      <c r="Q320" s="269"/>
      <c r="R320" s="216"/>
    </row>
    <row r="321" spans="1:18" x14ac:dyDescent="0.2">
      <c r="A321" s="242">
        <f>A320+1</f>
        <v>15</v>
      </c>
      <c r="C321" s="400" t="s">
        <v>216</v>
      </c>
      <c r="D321" s="267"/>
      <c r="E321" s="267">
        <f t="shared" ref="E321:P321" si="146">E1181</f>
        <v>0</v>
      </c>
      <c r="F321" s="267">
        <f t="shared" si="146"/>
        <v>0</v>
      </c>
      <c r="G321" s="267">
        <f t="shared" si="146"/>
        <v>0</v>
      </c>
      <c r="H321" s="267">
        <f t="shared" si="146"/>
        <v>0</v>
      </c>
      <c r="I321" s="267">
        <f t="shared" si="146"/>
        <v>0</v>
      </c>
      <c r="J321" s="267">
        <f t="shared" si="146"/>
        <v>0</v>
      </c>
      <c r="K321" s="267">
        <f t="shared" si="146"/>
        <v>0</v>
      </c>
      <c r="L321" s="267">
        <f t="shared" si="146"/>
        <v>0</v>
      </c>
      <c r="M321" s="267">
        <f t="shared" si="146"/>
        <v>0</v>
      </c>
      <c r="N321" s="267">
        <f t="shared" si="146"/>
        <v>0</v>
      </c>
      <c r="O321" s="267">
        <f t="shared" si="146"/>
        <v>0</v>
      </c>
      <c r="P321" s="267">
        <f t="shared" si="146"/>
        <v>0</v>
      </c>
      <c r="Q321" s="231">
        <f>SUM(E321:P321)</f>
        <v>0</v>
      </c>
      <c r="R321" s="216"/>
    </row>
    <row r="322" spans="1:18" x14ac:dyDescent="0.2">
      <c r="A322" s="242">
        <f>A321+1</f>
        <v>16</v>
      </c>
      <c r="C322" s="400" t="s">
        <v>483</v>
      </c>
      <c r="D322" s="267"/>
      <c r="E322" s="272">
        <f t="shared" ref="E322:P322" si="147">E1188</f>
        <v>0</v>
      </c>
      <c r="F322" s="272">
        <f t="shared" si="147"/>
        <v>0</v>
      </c>
      <c r="G322" s="272">
        <f t="shared" si="147"/>
        <v>0</v>
      </c>
      <c r="H322" s="272">
        <f t="shared" si="147"/>
        <v>0</v>
      </c>
      <c r="I322" s="272">
        <f t="shared" si="147"/>
        <v>0</v>
      </c>
      <c r="J322" s="272">
        <f t="shared" si="147"/>
        <v>0</v>
      </c>
      <c r="K322" s="272">
        <f t="shared" si="147"/>
        <v>0</v>
      </c>
      <c r="L322" s="272">
        <f t="shared" si="147"/>
        <v>0</v>
      </c>
      <c r="M322" s="272">
        <f t="shared" si="147"/>
        <v>0</v>
      </c>
      <c r="N322" s="272">
        <f t="shared" si="147"/>
        <v>0</v>
      </c>
      <c r="O322" s="272">
        <f t="shared" si="147"/>
        <v>0</v>
      </c>
      <c r="P322" s="272">
        <f t="shared" si="147"/>
        <v>0</v>
      </c>
      <c r="Q322" s="234">
        <f>SUM(E322:P322)</f>
        <v>0</v>
      </c>
      <c r="R322" s="216"/>
    </row>
    <row r="323" spans="1:18" x14ac:dyDescent="0.2">
      <c r="A323" s="242">
        <f>A322+1</f>
        <v>17</v>
      </c>
      <c r="C323" s="400" t="s">
        <v>218</v>
      </c>
      <c r="D323" s="267"/>
      <c r="E323" s="386">
        <f t="shared" ref="E323:P323" si="148">E1194</f>
        <v>0</v>
      </c>
      <c r="F323" s="386">
        <f t="shared" si="148"/>
        <v>0</v>
      </c>
      <c r="G323" s="386">
        <f t="shared" si="148"/>
        <v>0</v>
      </c>
      <c r="H323" s="386">
        <f t="shared" si="148"/>
        <v>0</v>
      </c>
      <c r="I323" s="386">
        <f t="shared" si="148"/>
        <v>0</v>
      </c>
      <c r="J323" s="386">
        <f t="shared" si="148"/>
        <v>0</v>
      </c>
      <c r="K323" s="386">
        <f t="shared" si="148"/>
        <v>0</v>
      </c>
      <c r="L323" s="386">
        <f t="shared" si="148"/>
        <v>0</v>
      </c>
      <c r="M323" s="386">
        <f t="shared" si="148"/>
        <v>0</v>
      </c>
      <c r="N323" s="386">
        <f t="shared" si="148"/>
        <v>0</v>
      </c>
      <c r="O323" s="386">
        <f t="shared" si="148"/>
        <v>0</v>
      </c>
      <c r="P323" s="386">
        <f t="shared" si="148"/>
        <v>0</v>
      </c>
      <c r="Q323" s="386">
        <f>SUM(E323:P323)</f>
        <v>0</v>
      </c>
      <c r="R323" s="216"/>
    </row>
    <row r="324" spans="1:18" x14ac:dyDescent="0.2">
      <c r="A324" s="242">
        <f>A323+1</f>
        <v>18</v>
      </c>
      <c r="C324" s="400" t="s">
        <v>219</v>
      </c>
      <c r="D324" s="267"/>
      <c r="E324" s="386">
        <f t="shared" ref="E324:P324" si="149">E1196</f>
        <v>0</v>
      </c>
      <c r="F324" s="386">
        <f t="shared" si="149"/>
        <v>0</v>
      </c>
      <c r="G324" s="386">
        <f t="shared" si="149"/>
        <v>0</v>
      </c>
      <c r="H324" s="386">
        <f t="shared" si="149"/>
        <v>0</v>
      </c>
      <c r="I324" s="386">
        <f t="shared" si="149"/>
        <v>0</v>
      </c>
      <c r="J324" s="386">
        <f t="shared" si="149"/>
        <v>0</v>
      </c>
      <c r="K324" s="386">
        <f t="shared" si="149"/>
        <v>0</v>
      </c>
      <c r="L324" s="386">
        <f t="shared" si="149"/>
        <v>0</v>
      </c>
      <c r="M324" s="386">
        <f t="shared" si="149"/>
        <v>0</v>
      </c>
      <c r="N324" s="386">
        <f t="shared" si="149"/>
        <v>0</v>
      </c>
      <c r="O324" s="386">
        <f t="shared" si="149"/>
        <v>0</v>
      </c>
      <c r="P324" s="386">
        <f t="shared" si="149"/>
        <v>0</v>
      </c>
      <c r="Q324" s="386">
        <f>SUM(E324:P324)</f>
        <v>0</v>
      </c>
      <c r="R324" s="216"/>
    </row>
    <row r="325" spans="1:18" x14ac:dyDescent="0.2">
      <c r="A325" s="577">
        <f>A324+1</f>
        <v>19</v>
      </c>
      <c r="B325" s="403"/>
      <c r="C325" s="404" t="s">
        <v>484</v>
      </c>
      <c r="D325" s="412"/>
      <c r="E325" s="406">
        <f t="shared" ref="E325:P325" si="150">E1198</f>
        <v>0</v>
      </c>
      <c r="F325" s="406">
        <f t="shared" si="150"/>
        <v>0</v>
      </c>
      <c r="G325" s="406">
        <f t="shared" si="150"/>
        <v>0</v>
      </c>
      <c r="H325" s="406">
        <f t="shared" si="150"/>
        <v>0</v>
      </c>
      <c r="I325" s="406">
        <f t="shared" si="150"/>
        <v>0</v>
      </c>
      <c r="J325" s="406">
        <f t="shared" si="150"/>
        <v>0</v>
      </c>
      <c r="K325" s="406">
        <f t="shared" si="150"/>
        <v>0</v>
      </c>
      <c r="L325" s="406">
        <f t="shared" si="150"/>
        <v>0</v>
      </c>
      <c r="M325" s="406">
        <f t="shared" si="150"/>
        <v>0</v>
      </c>
      <c r="N325" s="406">
        <f t="shared" si="150"/>
        <v>0</v>
      </c>
      <c r="O325" s="406">
        <f t="shared" si="150"/>
        <v>0</v>
      </c>
      <c r="P325" s="406">
        <f t="shared" si="150"/>
        <v>0</v>
      </c>
      <c r="Q325" s="406">
        <f>SUM(E325:P325)</f>
        <v>0</v>
      </c>
      <c r="R325" s="216"/>
    </row>
    <row r="326" spans="1:18" x14ac:dyDescent="0.2">
      <c r="D326" s="267"/>
      <c r="E326" s="216"/>
      <c r="F326" s="269"/>
      <c r="G326" s="269"/>
      <c r="H326" s="269"/>
      <c r="I326" s="272"/>
      <c r="J326" s="269"/>
      <c r="K326" s="269"/>
      <c r="L326" s="269"/>
      <c r="M326" s="269"/>
      <c r="N326" s="269"/>
      <c r="O326" s="269"/>
      <c r="P326" s="269"/>
      <c r="Q326" s="269"/>
      <c r="R326" s="216"/>
    </row>
    <row r="327" spans="1:18" x14ac:dyDescent="0.2">
      <c r="R327" s="216"/>
    </row>
    <row r="328" spans="1:18" x14ac:dyDescent="0.2">
      <c r="A328" s="504" t="str">
        <f>$A$107</f>
        <v>[1] Reflects Normalized Volumes.</v>
      </c>
      <c r="R328" s="216"/>
    </row>
    <row r="329" spans="1:18" x14ac:dyDescent="0.2">
      <c r="A329" s="504" t="str">
        <f>$A$108</f>
        <v>[2] See Schedule M-2.2 Pages 8 through 21 for detail.</v>
      </c>
      <c r="R329" s="216"/>
    </row>
    <row r="330" spans="1:18" ht="10.5" x14ac:dyDescent="0.25">
      <c r="A330" s="819" t="str">
        <f>CONAME</f>
        <v>Columbia Gas of Kentucky, Inc.</v>
      </c>
      <c r="B330" s="819"/>
      <c r="C330" s="819"/>
      <c r="D330" s="819"/>
      <c r="E330" s="819"/>
      <c r="F330" s="819"/>
      <c r="G330" s="819"/>
      <c r="H330" s="819"/>
      <c r="I330" s="819"/>
      <c r="J330" s="819"/>
      <c r="K330" s="819"/>
      <c r="L330" s="819"/>
      <c r="M330" s="819"/>
      <c r="N330" s="819"/>
      <c r="O330" s="819"/>
      <c r="P330" s="819"/>
      <c r="Q330" s="819"/>
      <c r="R330" s="216"/>
    </row>
    <row r="331" spans="1:18" ht="10.5" x14ac:dyDescent="0.25">
      <c r="A331" s="803" t="str">
        <f>case</f>
        <v>Case No. 2021-00183</v>
      </c>
      <c r="B331" s="803"/>
      <c r="C331" s="803"/>
      <c r="D331" s="803"/>
      <c r="E331" s="803"/>
      <c r="F331" s="803"/>
      <c r="G331" s="803"/>
      <c r="H331" s="803"/>
      <c r="I331" s="803"/>
      <c r="J331" s="803"/>
      <c r="K331" s="803"/>
      <c r="L331" s="803"/>
      <c r="M331" s="803"/>
      <c r="N331" s="803"/>
      <c r="O331" s="803"/>
      <c r="P331" s="803"/>
      <c r="Q331" s="803"/>
      <c r="R331" s="216"/>
    </row>
    <row r="332" spans="1:18" ht="10.5" x14ac:dyDescent="0.25">
      <c r="A332" s="820" t="s">
        <v>197</v>
      </c>
      <c r="B332" s="820"/>
      <c r="C332" s="820"/>
      <c r="D332" s="820"/>
      <c r="E332" s="820"/>
      <c r="F332" s="820"/>
      <c r="G332" s="820"/>
      <c r="H332" s="820"/>
      <c r="I332" s="820"/>
      <c r="J332" s="820"/>
      <c r="K332" s="820"/>
      <c r="L332" s="820"/>
      <c r="M332" s="820"/>
      <c r="N332" s="820"/>
      <c r="O332" s="820"/>
      <c r="P332" s="820"/>
      <c r="Q332" s="820"/>
      <c r="R332" s="216"/>
    </row>
    <row r="333" spans="1:18" ht="10.5" x14ac:dyDescent="0.25">
      <c r="A333" s="819" t="str">
        <f>TYDESC</f>
        <v>For the 12 Months Ended December 31, 2022</v>
      </c>
      <c r="B333" s="819"/>
      <c r="C333" s="819"/>
      <c r="D333" s="819"/>
      <c r="E333" s="819"/>
      <c r="F333" s="819"/>
      <c r="G333" s="819"/>
      <c r="H333" s="819"/>
      <c r="I333" s="819"/>
      <c r="J333" s="819"/>
      <c r="K333" s="819"/>
      <c r="L333" s="819"/>
      <c r="M333" s="819"/>
      <c r="N333" s="819"/>
      <c r="O333" s="819"/>
      <c r="P333" s="819"/>
      <c r="Q333" s="819"/>
      <c r="R333" s="216"/>
    </row>
    <row r="334" spans="1:18" ht="10.5" x14ac:dyDescent="0.25">
      <c r="A334" s="821" t="s">
        <v>39</v>
      </c>
      <c r="B334" s="821"/>
      <c r="C334" s="821"/>
      <c r="D334" s="821"/>
      <c r="E334" s="821"/>
      <c r="F334" s="821"/>
      <c r="G334" s="821"/>
      <c r="H334" s="821"/>
      <c r="I334" s="821"/>
      <c r="J334" s="821"/>
      <c r="K334" s="821"/>
      <c r="L334" s="821"/>
      <c r="M334" s="821"/>
      <c r="N334" s="821"/>
      <c r="O334" s="821"/>
      <c r="P334" s="821"/>
      <c r="Q334" s="821"/>
      <c r="R334" s="216"/>
    </row>
    <row r="335" spans="1:18" ht="10.5" x14ac:dyDescent="0.25">
      <c r="A335" s="575" t="str">
        <f>$A$52</f>
        <v>Data: __ Base Period _X_ Forecasted Period</v>
      </c>
      <c r="R335" s="216"/>
    </row>
    <row r="336" spans="1:18" ht="10.5" x14ac:dyDescent="0.25">
      <c r="A336" s="575" t="str">
        <f>$A$53</f>
        <v>Type of Filing: X Original _ Update _ Revised</v>
      </c>
      <c r="Q336" s="372" t="str">
        <f>$Q$53</f>
        <v>Schedule M-2.3</v>
      </c>
      <c r="R336" s="216"/>
    </row>
    <row r="337" spans="1:18" ht="10.5" x14ac:dyDescent="0.25">
      <c r="A337" s="575" t="str">
        <f>$A$54</f>
        <v>Work Paper Reference No(s):</v>
      </c>
      <c r="Q337" s="372" t="s">
        <v>435</v>
      </c>
      <c r="R337" s="216"/>
    </row>
    <row r="338" spans="1:18" ht="10.5" x14ac:dyDescent="0.25">
      <c r="A338" s="576" t="str">
        <f>$A$55</f>
        <v>12 Months Forecasted</v>
      </c>
      <c r="Q338" s="372" t="str">
        <f>Witness</f>
        <v>Witness:  Judith L. Siegler</v>
      </c>
      <c r="R338" s="216"/>
    </row>
    <row r="339" spans="1:18" ht="10.5" x14ac:dyDescent="0.25">
      <c r="A339" s="822" t="s">
        <v>291</v>
      </c>
      <c r="B339" s="822"/>
      <c r="C339" s="822"/>
      <c r="D339" s="822"/>
      <c r="E339" s="822"/>
      <c r="F339" s="822"/>
      <c r="G339" s="822"/>
      <c r="H339" s="822"/>
      <c r="I339" s="822"/>
      <c r="J339" s="822"/>
      <c r="K339" s="822"/>
      <c r="L339" s="822"/>
      <c r="M339" s="822"/>
      <c r="N339" s="822"/>
      <c r="O339" s="822"/>
      <c r="P339" s="822"/>
      <c r="Q339" s="822"/>
      <c r="R339" s="216"/>
    </row>
    <row r="340" spans="1:18" ht="10.5" x14ac:dyDescent="0.25">
      <c r="A340" s="219"/>
      <c r="B340" s="279"/>
      <c r="C340" s="279"/>
      <c r="D340" s="278"/>
      <c r="E340" s="279"/>
      <c r="F340" s="374"/>
      <c r="G340" s="393"/>
      <c r="H340" s="374"/>
      <c r="I340" s="394"/>
      <c r="J340" s="374"/>
      <c r="K340" s="374"/>
      <c r="L340" s="374"/>
      <c r="M340" s="374"/>
      <c r="N340" s="374"/>
      <c r="O340" s="374"/>
      <c r="R340" s="216"/>
    </row>
    <row r="341" spans="1:18" ht="10.5" x14ac:dyDescent="0.25">
      <c r="A341" s="717" t="s">
        <v>1</v>
      </c>
      <c r="B341" s="718" t="s">
        <v>0</v>
      </c>
      <c r="C341" s="718" t="s">
        <v>41</v>
      </c>
      <c r="D341" s="721" t="s">
        <v>30</v>
      </c>
      <c r="E341" s="376"/>
      <c r="F341" s="377"/>
      <c r="G341" s="376"/>
      <c r="H341" s="720"/>
      <c r="I341" s="376"/>
      <c r="J341" s="376"/>
      <c r="K341" s="376"/>
      <c r="L341" s="376"/>
      <c r="M341" s="376"/>
      <c r="N341" s="376"/>
      <c r="O341" s="719"/>
      <c r="P341" s="719"/>
      <c r="Q341" s="719"/>
      <c r="R341" s="216"/>
    </row>
    <row r="342" spans="1:18" ht="10.5" x14ac:dyDescent="0.25">
      <c r="A342" s="263" t="s">
        <v>3</v>
      </c>
      <c r="B342" s="220" t="s">
        <v>40</v>
      </c>
      <c r="C342" s="220" t="s">
        <v>4</v>
      </c>
      <c r="D342" s="379" t="s">
        <v>48</v>
      </c>
      <c r="E342" s="380" t="str">
        <f>B!$D$11</f>
        <v>Jan-22</v>
      </c>
      <c r="F342" s="380" t="str">
        <f>B!$E$11</f>
        <v>Feb-22</v>
      </c>
      <c r="G342" s="380" t="str">
        <f>B!$F$11</f>
        <v>Mar-22</v>
      </c>
      <c r="H342" s="380" t="str">
        <f>B!$G$11</f>
        <v>Apr-22</v>
      </c>
      <c r="I342" s="380" t="str">
        <f>B!$H$11</f>
        <v>May-22</v>
      </c>
      <c r="J342" s="380" t="str">
        <f>B!$I$11</f>
        <v>Jun-22</v>
      </c>
      <c r="K342" s="380" t="str">
        <f>B!$J$11</f>
        <v>Jul-22</v>
      </c>
      <c r="L342" s="380" t="str">
        <f>B!$K$11</f>
        <v>Aug-22</v>
      </c>
      <c r="M342" s="380" t="str">
        <f>B!$L$11</f>
        <v>Sep-22</v>
      </c>
      <c r="N342" s="380" t="str">
        <f>B!$M$11</f>
        <v>Oct-22</v>
      </c>
      <c r="O342" s="380" t="str">
        <f>B!$N$11</f>
        <v>Nov-22</v>
      </c>
      <c r="P342" s="380" t="str">
        <f>B!$O$11</f>
        <v>Dec-22</v>
      </c>
      <c r="Q342" s="381" t="s">
        <v>9</v>
      </c>
      <c r="R342" s="216"/>
    </row>
    <row r="343" spans="1:18" ht="10.5" x14ac:dyDescent="0.25">
      <c r="A343" s="717"/>
      <c r="B343" s="719" t="s">
        <v>42</v>
      </c>
      <c r="C343" s="719" t="s">
        <v>43</v>
      </c>
      <c r="D343" s="382" t="s">
        <v>45</v>
      </c>
      <c r="E343" s="383" t="s">
        <v>46</v>
      </c>
      <c r="F343" s="383" t="s">
        <v>49</v>
      </c>
      <c r="G343" s="383" t="s">
        <v>50</v>
      </c>
      <c r="H343" s="383" t="s">
        <v>51</v>
      </c>
      <c r="I343" s="383" t="s">
        <v>52</v>
      </c>
      <c r="J343" s="384" t="s">
        <v>53</v>
      </c>
      <c r="K343" s="384" t="s">
        <v>54</v>
      </c>
      <c r="L343" s="384" t="s">
        <v>55</v>
      </c>
      <c r="M343" s="384" t="s">
        <v>56</v>
      </c>
      <c r="N343" s="384" t="s">
        <v>57</v>
      </c>
      <c r="O343" s="384" t="s">
        <v>58</v>
      </c>
      <c r="P343" s="384" t="s">
        <v>59</v>
      </c>
      <c r="Q343" s="384" t="s">
        <v>200</v>
      </c>
      <c r="R343" s="216"/>
    </row>
    <row r="344" spans="1:18" x14ac:dyDescent="0.2">
      <c r="R344" s="216"/>
    </row>
    <row r="345" spans="1:18" ht="10.5" x14ac:dyDescent="0.25">
      <c r="A345" s="242">
        <v>1</v>
      </c>
      <c r="C345" s="396" t="s">
        <v>95</v>
      </c>
      <c r="R345" s="216"/>
    </row>
    <row r="346" spans="1:18" x14ac:dyDescent="0.2">
      <c r="D346" s="267"/>
      <c r="E346" s="216"/>
      <c r="F346" s="269"/>
      <c r="G346" s="269"/>
      <c r="H346" s="269"/>
      <c r="I346" s="272"/>
      <c r="J346" s="269"/>
      <c r="K346" s="269"/>
      <c r="L346" s="269"/>
      <c r="M346" s="269"/>
      <c r="N346" s="269"/>
      <c r="O346" s="269"/>
      <c r="R346" s="216"/>
    </row>
    <row r="347" spans="1:18" x14ac:dyDescent="0.2">
      <c r="A347" s="242">
        <f>A345+1</f>
        <v>2</v>
      </c>
      <c r="B347" s="213" t="str">
        <f>Input!A50</f>
        <v>SAS</v>
      </c>
      <c r="C347" s="213" t="str">
        <f>'Sch M 2.1'!B48</f>
        <v>GTS Special Agency Service</v>
      </c>
      <c r="D347" s="267"/>
      <c r="E347" s="216"/>
      <c r="F347" s="269"/>
      <c r="G347" s="269"/>
      <c r="H347" s="269"/>
      <c r="I347" s="272"/>
      <c r="J347" s="269"/>
      <c r="K347" s="269"/>
      <c r="L347" s="269"/>
      <c r="M347" s="269"/>
      <c r="N347" s="269"/>
      <c r="O347" s="269"/>
      <c r="P347" s="269"/>
      <c r="Q347" s="269"/>
      <c r="R347" s="216"/>
    </row>
    <row r="348" spans="1:18" x14ac:dyDescent="0.2">
      <c r="A348" s="242">
        <f>A347+1</f>
        <v>3</v>
      </c>
      <c r="C348" s="400" t="s">
        <v>216</v>
      </c>
      <c r="D348" s="267"/>
      <c r="E348" s="267">
        <f t="shared" ref="E348:P348" si="151">E1222</f>
        <v>0</v>
      </c>
      <c r="F348" s="267">
        <f t="shared" si="151"/>
        <v>0</v>
      </c>
      <c r="G348" s="267">
        <f t="shared" si="151"/>
        <v>0</v>
      </c>
      <c r="H348" s="267">
        <f t="shared" si="151"/>
        <v>0</v>
      </c>
      <c r="I348" s="267">
        <f t="shared" si="151"/>
        <v>0</v>
      </c>
      <c r="J348" s="267">
        <f t="shared" si="151"/>
        <v>0</v>
      </c>
      <c r="K348" s="267">
        <f t="shared" si="151"/>
        <v>0</v>
      </c>
      <c r="L348" s="267">
        <f t="shared" si="151"/>
        <v>0</v>
      </c>
      <c r="M348" s="267">
        <f t="shared" si="151"/>
        <v>0</v>
      </c>
      <c r="N348" s="267">
        <f t="shared" si="151"/>
        <v>0</v>
      </c>
      <c r="O348" s="267">
        <f t="shared" si="151"/>
        <v>0</v>
      </c>
      <c r="P348" s="267">
        <f t="shared" si="151"/>
        <v>0</v>
      </c>
      <c r="Q348" s="231">
        <f>SUM(E348:P348)</f>
        <v>0</v>
      </c>
      <c r="R348" s="216"/>
    </row>
    <row r="349" spans="1:18" x14ac:dyDescent="0.2">
      <c r="A349" s="242">
        <f>A348+1</f>
        <v>4</v>
      </c>
      <c r="C349" s="400" t="s">
        <v>483</v>
      </c>
      <c r="D349" s="267"/>
      <c r="E349" s="272">
        <f t="shared" ref="E349:P349" si="152">E1230</f>
        <v>0</v>
      </c>
      <c r="F349" s="272">
        <f t="shared" si="152"/>
        <v>0</v>
      </c>
      <c r="G349" s="272">
        <f t="shared" si="152"/>
        <v>0</v>
      </c>
      <c r="H349" s="272">
        <f t="shared" si="152"/>
        <v>0</v>
      </c>
      <c r="I349" s="272">
        <f t="shared" si="152"/>
        <v>0</v>
      </c>
      <c r="J349" s="272">
        <f t="shared" si="152"/>
        <v>0</v>
      </c>
      <c r="K349" s="272">
        <f t="shared" si="152"/>
        <v>0</v>
      </c>
      <c r="L349" s="272">
        <f t="shared" si="152"/>
        <v>0</v>
      </c>
      <c r="M349" s="272">
        <f t="shared" si="152"/>
        <v>0</v>
      </c>
      <c r="N349" s="272">
        <f t="shared" si="152"/>
        <v>0</v>
      </c>
      <c r="O349" s="272">
        <f t="shared" si="152"/>
        <v>0</v>
      </c>
      <c r="P349" s="272">
        <f t="shared" si="152"/>
        <v>0</v>
      </c>
      <c r="Q349" s="234">
        <f>SUM(E349:P349)</f>
        <v>0</v>
      </c>
      <c r="R349" s="216"/>
    </row>
    <row r="350" spans="1:18" x14ac:dyDescent="0.2">
      <c r="A350" s="242">
        <f>A349+1</f>
        <v>5</v>
      </c>
      <c r="C350" s="400" t="s">
        <v>218</v>
      </c>
      <c r="D350" s="267"/>
      <c r="E350" s="386">
        <f t="shared" ref="E350:P350" si="153">E1236</f>
        <v>0</v>
      </c>
      <c r="F350" s="386">
        <f t="shared" si="153"/>
        <v>0</v>
      </c>
      <c r="G350" s="386">
        <f t="shared" si="153"/>
        <v>0</v>
      </c>
      <c r="H350" s="386">
        <f t="shared" si="153"/>
        <v>0</v>
      </c>
      <c r="I350" s="386">
        <f t="shared" si="153"/>
        <v>0</v>
      </c>
      <c r="J350" s="386">
        <f t="shared" si="153"/>
        <v>0</v>
      </c>
      <c r="K350" s="386">
        <f t="shared" si="153"/>
        <v>0</v>
      </c>
      <c r="L350" s="386">
        <f t="shared" si="153"/>
        <v>0</v>
      </c>
      <c r="M350" s="386">
        <f t="shared" si="153"/>
        <v>0</v>
      </c>
      <c r="N350" s="386">
        <f t="shared" si="153"/>
        <v>0</v>
      </c>
      <c r="O350" s="386">
        <f t="shared" si="153"/>
        <v>0</v>
      </c>
      <c r="P350" s="386">
        <f t="shared" si="153"/>
        <v>0</v>
      </c>
      <c r="Q350" s="386">
        <f>SUM(E350:P350)</f>
        <v>0</v>
      </c>
      <c r="R350" s="216"/>
    </row>
    <row r="351" spans="1:18" x14ac:dyDescent="0.2">
      <c r="A351" s="242">
        <f>A350+1</f>
        <v>6</v>
      </c>
      <c r="C351" s="400" t="s">
        <v>219</v>
      </c>
      <c r="D351" s="267"/>
      <c r="E351" s="386">
        <f t="shared" ref="E351:P351" si="154">E1238</f>
        <v>0</v>
      </c>
      <c r="F351" s="386">
        <f t="shared" si="154"/>
        <v>0</v>
      </c>
      <c r="G351" s="386">
        <f t="shared" si="154"/>
        <v>0</v>
      </c>
      <c r="H351" s="386">
        <f t="shared" si="154"/>
        <v>0</v>
      </c>
      <c r="I351" s="386">
        <f t="shared" si="154"/>
        <v>0</v>
      </c>
      <c r="J351" s="386">
        <f t="shared" si="154"/>
        <v>0</v>
      </c>
      <c r="K351" s="386">
        <f t="shared" si="154"/>
        <v>0</v>
      </c>
      <c r="L351" s="386">
        <f t="shared" si="154"/>
        <v>0</v>
      </c>
      <c r="M351" s="386">
        <f t="shared" si="154"/>
        <v>0</v>
      </c>
      <c r="N351" s="386">
        <f t="shared" si="154"/>
        <v>0</v>
      </c>
      <c r="O351" s="386">
        <f t="shared" si="154"/>
        <v>0</v>
      </c>
      <c r="P351" s="386">
        <f t="shared" si="154"/>
        <v>0</v>
      </c>
      <c r="Q351" s="386">
        <f>SUM(E351:P351)</f>
        <v>0</v>
      </c>
      <c r="R351" s="216"/>
    </row>
    <row r="352" spans="1:18" x14ac:dyDescent="0.2">
      <c r="A352" s="577">
        <f>A351+1</f>
        <v>7</v>
      </c>
      <c r="B352" s="403"/>
      <c r="C352" s="404" t="s">
        <v>484</v>
      </c>
      <c r="D352" s="412"/>
      <c r="E352" s="406">
        <f t="shared" ref="E352:P352" si="155">E1240</f>
        <v>0</v>
      </c>
      <c r="F352" s="406">
        <f t="shared" si="155"/>
        <v>0</v>
      </c>
      <c r="G352" s="406">
        <f t="shared" si="155"/>
        <v>0</v>
      </c>
      <c r="H352" s="406">
        <f t="shared" si="155"/>
        <v>0</v>
      </c>
      <c r="I352" s="406">
        <f t="shared" si="155"/>
        <v>0</v>
      </c>
      <c r="J352" s="406">
        <f t="shared" si="155"/>
        <v>0</v>
      </c>
      <c r="K352" s="406">
        <f t="shared" si="155"/>
        <v>0</v>
      </c>
      <c r="L352" s="406">
        <f t="shared" si="155"/>
        <v>0</v>
      </c>
      <c r="M352" s="406">
        <f t="shared" si="155"/>
        <v>0</v>
      </c>
      <c r="N352" s="406">
        <f t="shared" si="155"/>
        <v>0</v>
      </c>
      <c r="O352" s="406">
        <f t="shared" si="155"/>
        <v>0</v>
      </c>
      <c r="P352" s="406">
        <f t="shared" si="155"/>
        <v>0</v>
      </c>
      <c r="Q352" s="406">
        <f>SUM(E352:P352)</f>
        <v>0</v>
      </c>
      <c r="R352" s="216"/>
    </row>
    <row r="353" spans="1:18" x14ac:dyDescent="0.2">
      <c r="A353" s="213"/>
      <c r="D353" s="213"/>
      <c r="F353" s="213"/>
      <c r="G353" s="213"/>
      <c r="H353" s="213"/>
      <c r="I353" s="213"/>
      <c r="J353" s="213"/>
      <c r="K353" s="213"/>
      <c r="L353" s="213"/>
      <c r="M353" s="213"/>
      <c r="N353" s="213"/>
      <c r="O353" s="213"/>
      <c r="P353" s="213"/>
      <c r="R353" s="216"/>
    </row>
    <row r="354" spans="1:18" x14ac:dyDescent="0.2">
      <c r="A354" s="242">
        <f>A352+1</f>
        <v>8</v>
      </c>
      <c r="B354" s="213" t="str">
        <f>Input!A51</f>
        <v>SC3</v>
      </c>
      <c r="C354" s="213" t="str">
        <f>'Sch M 2.1'!B49</f>
        <v>GTS Special Rate - Industrial</v>
      </c>
      <c r="D354" s="390"/>
      <c r="E354" s="413"/>
      <c r="F354" s="414"/>
      <c r="G354" s="414"/>
      <c r="H354" s="414"/>
      <c r="I354" s="415"/>
      <c r="J354" s="414"/>
      <c r="K354" s="414"/>
      <c r="L354" s="414"/>
      <c r="M354" s="414"/>
      <c r="N354" s="414"/>
      <c r="O354" s="414"/>
      <c r="P354" s="414"/>
      <c r="Q354" s="414"/>
    </row>
    <row r="355" spans="1:18" x14ac:dyDescent="0.2">
      <c r="A355" s="242">
        <f>A354+1</f>
        <v>9</v>
      </c>
      <c r="C355" s="400" t="s">
        <v>216</v>
      </c>
      <c r="D355" s="390"/>
      <c r="E355" s="231">
        <f t="shared" ref="E355:P355" si="156">E1247</f>
        <v>0</v>
      </c>
      <c r="F355" s="231">
        <f t="shared" si="156"/>
        <v>0</v>
      </c>
      <c r="G355" s="231">
        <f t="shared" si="156"/>
        <v>0</v>
      </c>
      <c r="H355" s="231">
        <f t="shared" si="156"/>
        <v>0</v>
      </c>
      <c r="I355" s="231">
        <f t="shared" si="156"/>
        <v>0</v>
      </c>
      <c r="J355" s="231">
        <f t="shared" si="156"/>
        <v>0</v>
      </c>
      <c r="K355" s="231">
        <f t="shared" si="156"/>
        <v>0</v>
      </c>
      <c r="L355" s="231">
        <f t="shared" si="156"/>
        <v>0</v>
      </c>
      <c r="M355" s="231">
        <f t="shared" si="156"/>
        <v>0</v>
      </c>
      <c r="N355" s="231">
        <f t="shared" si="156"/>
        <v>0</v>
      </c>
      <c r="O355" s="231">
        <f t="shared" si="156"/>
        <v>0</v>
      </c>
      <c r="P355" s="231">
        <f t="shared" si="156"/>
        <v>0</v>
      </c>
      <c r="Q355" s="231">
        <f>SUM(E355:P355)</f>
        <v>0</v>
      </c>
    </row>
    <row r="356" spans="1:18" x14ac:dyDescent="0.2">
      <c r="A356" s="242">
        <f>A355+1</f>
        <v>10</v>
      </c>
      <c r="C356" s="400" t="s">
        <v>483</v>
      </c>
      <c r="D356" s="390"/>
      <c r="E356" s="234">
        <f t="shared" ref="E356:P356" si="157">E1254</f>
        <v>0</v>
      </c>
      <c r="F356" s="234">
        <f t="shared" si="157"/>
        <v>0</v>
      </c>
      <c r="G356" s="234">
        <f t="shared" si="157"/>
        <v>0</v>
      </c>
      <c r="H356" s="234">
        <f t="shared" si="157"/>
        <v>0</v>
      </c>
      <c r="I356" s="234">
        <f t="shared" si="157"/>
        <v>0</v>
      </c>
      <c r="J356" s="234">
        <f t="shared" si="157"/>
        <v>0</v>
      </c>
      <c r="K356" s="234">
        <f t="shared" si="157"/>
        <v>0</v>
      </c>
      <c r="L356" s="234">
        <f t="shared" si="157"/>
        <v>0</v>
      </c>
      <c r="M356" s="234">
        <f t="shared" si="157"/>
        <v>0</v>
      </c>
      <c r="N356" s="234">
        <f t="shared" si="157"/>
        <v>0</v>
      </c>
      <c r="O356" s="234">
        <f t="shared" si="157"/>
        <v>0</v>
      </c>
      <c r="P356" s="234">
        <f t="shared" si="157"/>
        <v>0</v>
      </c>
      <c r="Q356" s="234">
        <f>SUM(E356:P356)</f>
        <v>0</v>
      </c>
    </row>
    <row r="357" spans="1:18" x14ac:dyDescent="0.2">
      <c r="A357" s="242">
        <f>A356+1</f>
        <v>11</v>
      </c>
      <c r="C357" s="400" t="s">
        <v>218</v>
      </c>
      <c r="D357" s="390"/>
      <c r="E357" s="386">
        <f t="shared" ref="E357:P357" si="158">E1260</f>
        <v>0</v>
      </c>
      <c r="F357" s="386">
        <f t="shared" si="158"/>
        <v>0</v>
      </c>
      <c r="G357" s="386">
        <f t="shared" si="158"/>
        <v>0</v>
      </c>
      <c r="H357" s="386">
        <f t="shared" si="158"/>
        <v>0</v>
      </c>
      <c r="I357" s="386">
        <f t="shared" si="158"/>
        <v>0</v>
      </c>
      <c r="J357" s="386">
        <f t="shared" si="158"/>
        <v>0</v>
      </c>
      <c r="K357" s="386">
        <f t="shared" si="158"/>
        <v>0</v>
      </c>
      <c r="L357" s="386">
        <f t="shared" si="158"/>
        <v>0</v>
      </c>
      <c r="M357" s="386">
        <f t="shared" si="158"/>
        <v>0</v>
      </c>
      <c r="N357" s="386">
        <f t="shared" si="158"/>
        <v>0</v>
      </c>
      <c r="O357" s="386">
        <f t="shared" si="158"/>
        <v>0</v>
      </c>
      <c r="P357" s="386">
        <f t="shared" si="158"/>
        <v>0</v>
      </c>
      <c r="Q357" s="386">
        <f>SUM(E357:P357)</f>
        <v>0</v>
      </c>
    </row>
    <row r="358" spans="1:18" x14ac:dyDescent="0.2">
      <c r="A358" s="242">
        <f>A357+1</f>
        <v>12</v>
      </c>
      <c r="C358" s="400" t="s">
        <v>219</v>
      </c>
      <c r="D358" s="390"/>
      <c r="E358" s="386">
        <f t="shared" ref="E358:P358" si="159">E1262</f>
        <v>0</v>
      </c>
      <c r="F358" s="386">
        <f t="shared" si="159"/>
        <v>0</v>
      </c>
      <c r="G358" s="386">
        <f t="shared" si="159"/>
        <v>0</v>
      </c>
      <c r="H358" s="386">
        <f t="shared" si="159"/>
        <v>0</v>
      </c>
      <c r="I358" s="386">
        <f t="shared" si="159"/>
        <v>0</v>
      </c>
      <c r="J358" s="386">
        <f t="shared" si="159"/>
        <v>0</v>
      </c>
      <c r="K358" s="386">
        <f t="shared" si="159"/>
        <v>0</v>
      </c>
      <c r="L358" s="386">
        <f t="shared" si="159"/>
        <v>0</v>
      </c>
      <c r="M358" s="386">
        <f t="shared" si="159"/>
        <v>0</v>
      </c>
      <c r="N358" s="386">
        <f t="shared" si="159"/>
        <v>0</v>
      </c>
      <c r="O358" s="386">
        <f t="shared" si="159"/>
        <v>0</v>
      </c>
      <c r="P358" s="386">
        <f t="shared" si="159"/>
        <v>0</v>
      </c>
      <c r="Q358" s="386">
        <f>SUM(E358:P358)</f>
        <v>0</v>
      </c>
    </row>
    <row r="359" spans="1:18" x14ac:dyDescent="0.2">
      <c r="A359" s="577">
        <f>A358+1</f>
        <v>13</v>
      </c>
      <c r="B359" s="403"/>
      <c r="C359" s="404" t="s">
        <v>484</v>
      </c>
      <c r="D359" s="416"/>
      <c r="E359" s="406">
        <f t="shared" ref="E359:P359" si="160">E1264</f>
        <v>0</v>
      </c>
      <c r="F359" s="406">
        <f t="shared" si="160"/>
        <v>0</v>
      </c>
      <c r="G359" s="406">
        <f t="shared" si="160"/>
        <v>0</v>
      </c>
      <c r="H359" s="406">
        <f t="shared" si="160"/>
        <v>0</v>
      </c>
      <c r="I359" s="406">
        <f t="shared" si="160"/>
        <v>0</v>
      </c>
      <c r="J359" s="406">
        <f t="shared" si="160"/>
        <v>0</v>
      </c>
      <c r="K359" s="406">
        <f t="shared" si="160"/>
        <v>0</v>
      </c>
      <c r="L359" s="406">
        <f t="shared" si="160"/>
        <v>0</v>
      </c>
      <c r="M359" s="406">
        <f t="shared" si="160"/>
        <v>0</v>
      </c>
      <c r="N359" s="406">
        <f t="shared" si="160"/>
        <v>0</v>
      </c>
      <c r="O359" s="406">
        <f t="shared" si="160"/>
        <v>0</v>
      </c>
      <c r="P359" s="406">
        <f t="shared" si="160"/>
        <v>0</v>
      </c>
      <c r="Q359" s="406">
        <f>SUM(E359:P359)</f>
        <v>0</v>
      </c>
    </row>
    <row r="360" spans="1:18" x14ac:dyDescent="0.2">
      <c r="D360" s="390"/>
      <c r="E360" s="413"/>
      <c r="F360" s="414"/>
      <c r="G360" s="414"/>
      <c r="H360" s="414"/>
      <c r="I360" s="415"/>
      <c r="J360" s="414"/>
      <c r="K360" s="414"/>
      <c r="L360" s="414"/>
      <c r="M360" s="414"/>
      <c r="N360" s="414"/>
      <c r="O360" s="414"/>
      <c r="P360" s="414"/>
      <c r="Q360" s="414"/>
    </row>
    <row r="361" spans="1:18" x14ac:dyDescent="0.2">
      <c r="A361" s="242">
        <f>A359+1</f>
        <v>14</v>
      </c>
      <c r="B361" s="213" t="s">
        <v>106</v>
      </c>
      <c r="E361" s="386">
        <f>E69+E76+E83+E90+E97+E104+E131+E138+E145+E152+E159+E186+E193+E200+E227+E234+E241+E248+E255+E262+E290+E297+E304+E311+E318+E325+E352+E359</f>
        <v>26580948.814320005</v>
      </c>
      <c r="F361" s="386">
        <f t="shared" ref="F361:P361" si="161">F69+F76+F83+F90+F97+F104+F131+F138+F145+F152+F159+F186+F193+F200+F227+F234+F241+F248+F255+F262+F290+F297+F304+F311+F318+F325+F352+F359</f>
        <v>26410163.733280003</v>
      </c>
      <c r="G361" s="386">
        <f t="shared" si="161"/>
        <v>22139257.552240007</v>
      </c>
      <c r="H361" s="386">
        <f t="shared" si="161"/>
        <v>14797715.804479999</v>
      </c>
      <c r="I361" s="386">
        <f t="shared" si="161"/>
        <v>10103174.605839998</v>
      </c>
      <c r="J361" s="386">
        <f t="shared" si="161"/>
        <v>8226544.0052800002</v>
      </c>
      <c r="K361" s="386">
        <f t="shared" si="161"/>
        <v>7360485.9162399992</v>
      </c>
      <c r="L361" s="386">
        <f t="shared" si="161"/>
        <v>7400317.4040799988</v>
      </c>
      <c r="M361" s="386">
        <f t="shared" si="161"/>
        <v>7578604.7193599995</v>
      </c>
      <c r="N361" s="386">
        <f t="shared" si="161"/>
        <v>8598510.3659200016</v>
      </c>
      <c r="O361" s="386">
        <f t="shared" si="161"/>
        <v>12559522.284639999</v>
      </c>
      <c r="P361" s="386">
        <f t="shared" si="161"/>
        <v>21006488.67400001</v>
      </c>
      <c r="Q361" s="386">
        <f>SUM(E361:P361)</f>
        <v>172761733.87968004</v>
      </c>
    </row>
    <row r="362" spans="1:18" x14ac:dyDescent="0.2">
      <c r="K362" s="269"/>
    </row>
    <row r="363" spans="1:18" ht="10.5" x14ac:dyDescent="0.25">
      <c r="A363" s="242">
        <f>A361+1</f>
        <v>15</v>
      </c>
      <c r="C363" s="396" t="s">
        <v>102</v>
      </c>
      <c r="K363" s="269"/>
    </row>
    <row r="364" spans="1:18" x14ac:dyDescent="0.2">
      <c r="K364" s="269"/>
    </row>
    <row r="365" spans="1:18" x14ac:dyDescent="0.2">
      <c r="A365" s="242">
        <f>A363+1</f>
        <v>16</v>
      </c>
      <c r="C365" s="213" t="s">
        <v>176</v>
      </c>
      <c r="E365" s="386">
        <f>'Sch M 2.2'!E369+ROUND('Late Payment KLJ-RDES-2'!$F$59/12,0)</f>
        <v>67578.209999999992</v>
      </c>
      <c r="F365" s="386">
        <f>'Sch M 2.2'!F369+ROUND('Late Payment KLJ-RDES-2'!$F$59/12,0)</f>
        <v>83481.47</v>
      </c>
      <c r="G365" s="386">
        <f>'Sch M 2.2'!G369+ROUND('Late Payment KLJ-RDES-2'!$F$59/12,0)</f>
        <v>70610.760000000009</v>
      </c>
      <c r="H365" s="386">
        <f>'Sch M 2.2'!H369+ROUND('Late Payment KLJ-RDES-2'!$F$59/12,0)</f>
        <v>43579.116666666676</v>
      </c>
      <c r="I365" s="386">
        <f>'Sch M 2.2'!I369+ROUND('Late Payment KLJ-RDES-2'!$F$59/12,0)</f>
        <v>29753.186666666661</v>
      </c>
      <c r="J365" s="386">
        <f>'Sch M 2.2'!J369+ROUND('Late Payment KLJ-RDES-2'!$F$59/12,0)</f>
        <v>28810.896666666667</v>
      </c>
      <c r="K365" s="386">
        <f>'Sch M 2.2'!K369+ROUND('Late Payment KLJ-RDES-2'!$F$59/12,0)</f>
        <v>21254.97</v>
      </c>
      <c r="L365" s="386">
        <f>'Sch M 2.2'!L369+ROUND('Late Payment KLJ-RDES-2'!$F$59/12,0)</f>
        <v>18780.786666666667</v>
      </c>
      <c r="M365" s="386">
        <f>'Sch M 2.2'!M369+ROUND('Late Payment KLJ-RDES-2'!$F$59/12,0)</f>
        <v>19824.786666666667</v>
      </c>
      <c r="N365" s="386">
        <f>'Sch M 2.2'!N369+ROUND('Late Payment KLJ-RDES-2'!$F$59/12,0)</f>
        <v>19942.410000000003</v>
      </c>
      <c r="O365" s="386">
        <f>'Sch M 2.2'!O369+ROUND('Late Payment KLJ-RDES-2'!$F$59/12,0)</f>
        <v>19331.786666666667</v>
      </c>
      <c r="P365" s="386">
        <f>'Sch M 2.2'!P369+ROUND('Late Payment KLJ-RDES-2'!$F$59/12,0)</f>
        <v>37689.259999999995</v>
      </c>
      <c r="Q365" s="386">
        <f>SUM(E365:P365)</f>
        <v>460637.64000000007</v>
      </c>
    </row>
    <row r="366" spans="1:18" x14ac:dyDescent="0.2">
      <c r="A366" s="242">
        <f>A365+1</f>
        <v>17</v>
      </c>
      <c r="C366" s="213" t="s">
        <v>103</v>
      </c>
      <c r="E366" s="386">
        <f>'Sch M 2.2'!E370</f>
        <v>5942.6066666666666</v>
      </c>
      <c r="F366" s="386">
        <f>'Sch M 2.2'!F370</f>
        <v>11364.44</v>
      </c>
      <c r="G366" s="386">
        <f>'Sch M 2.2'!G370</f>
        <v>8098.21</v>
      </c>
      <c r="H366" s="386">
        <f>'Sch M 2.2'!H370</f>
        <v>7979.916666666667</v>
      </c>
      <c r="I366" s="386">
        <f>'Sch M 2.2'!I370</f>
        <v>12876.963333333335</v>
      </c>
      <c r="J366" s="386">
        <f>'Sch M 2.2'!J370</f>
        <v>-6927.8566666666666</v>
      </c>
      <c r="K366" s="386">
        <f>'Sch M 2.2'!K370</f>
        <v>6255.206666666666</v>
      </c>
      <c r="L366" s="386">
        <f>'Sch M 2.2'!L370</f>
        <v>20702.363333333331</v>
      </c>
      <c r="M366" s="386">
        <f>'Sch M 2.2'!M370</f>
        <v>-7827.2333333333327</v>
      </c>
      <c r="N366" s="386">
        <f>'Sch M 2.2'!N370</f>
        <v>31071.313333333335</v>
      </c>
      <c r="O366" s="386">
        <f>'Sch M 2.2'!O370</f>
        <v>14409.32</v>
      </c>
      <c r="P366" s="386">
        <f>'Sch M 2.2'!P370</f>
        <v>13556.096666666666</v>
      </c>
      <c r="Q366" s="386">
        <f>SUM(E366:P366)</f>
        <v>117501.34666666666</v>
      </c>
    </row>
    <row r="367" spans="1:18" x14ac:dyDescent="0.2">
      <c r="A367" s="242">
        <f>A366+1</f>
        <v>18</v>
      </c>
      <c r="C367" s="213" t="s">
        <v>311</v>
      </c>
      <c r="E367" s="386">
        <f>'Sch M 2.2'!E371</f>
        <v>4169.666666666667</v>
      </c>
      <c r="F367" s="386">
        <f>'Sch M 2.2'!F371</f>
        <v>2762.3333333333335</v>
      </c>
      <c r="G367" s="386">
        <f>'Sch M 2.2'!G371</f>
        <v>3466</v>
      </c>
      <c r="H367" s="386">
        <f>'Sch M 2.2'!H371</f>
        <v>3466</v>
      </c>
      <c r="I367" s="386">
        <f>'Sch M 2.2'!I371</f>
        <v>3466</v>
      </c>
      <c r="J367" s="386">
        <f>'Sch M 2.2'!J371</f>
        <v>3466</v>
      </c>
      <c r="K367" s="386">
        <f>'Sch M 2.2'!K371</f>
        <v>3466</v>
      </c>
      <c r="L367" s="386">
        <f>'Sch M 2.2'!L371</f>
        <v>3466</v>
      </c>
      <c r="M367" s="386">
        <f>'Sch M 2.2'!M371</f>
        <v>3466</v>
      </c>
      <c r="N367" s="386">
        <f>'Sch M 2.2'!N371</f>
        <v>3466</v>
      </c>
      <c r="O367" s="386">
        <f>'Sch M 2.2'!O371</f>
        <v>3466</v>
      </c>
      <c r="P367" s="386">
        <f>'Sch M 2.2'!P371</f>
        <v>3466</v>
      </c>
      <c r="Q367" s="386">
        <f>SUM(E367:P367)</f>
        <v>41592</v>
      </c>
    </row>
    <row r="368" spans="1:18" x14ac:dyDescent="0.2">
      <c r="A368" s="242">
        <f>A367+1</f>
        <v>19</v>
      </c>
      <c r="C368" s="213" t="s">
        <v>104</v>
      </c>
      <c r="E368" s="386">
        <f>'Sch M 2.2'!E372</f>
        <v>0</v>
      </c>
      <c r="F368" s="386">
        <f>'Sch M 2.2'!F372</f>
        <v>0</v>
      </c>
      <c r="G368" s="386">
        <f>'Sch M 2.2'!G372</f>
        <v>0</v>
      </c>
      <c r="H368" s="386">
        <f>'Sch M 2.2'!H372</f>
        <v>0</v>
      </c>
      <c r="I368" s="386">
        <f>'Sch M 2.2'!I372</f>
        <v>0</v>
      </c>
      <c r="J368" s="386">
        <f>'Sch M 2.2'!J372</f>
        <v>0</v>
      </c>
      <c r="K368" s="386">
        <f>'Sch M 2.2'!K372</f>
        <v>0</v>
      </c>
      <c r="L368" s="386">
        <f>'Sch M 2.2'!L372</f>
        <v>0</v>
      </c>
      <c r="M368" s="386">
        <f>'Sch M 2.2'!M372</f>
        <v>0</v>
      </c>
      <c r="N368" s="386">
        <f>'Sch M 2.2'!N372</f>
        <v>0</v>
      </c>
      <c r="O368" s="386">
        <f>'Sch M 2.2'!O372</f>
        <v>0</v>
      </c>
      <c r="P368" s="386">
        <f>'Sch M 2.2'!P372</f>
        <v>0</v>
      </c>
      <c r="Q368" s="386">
        <f>SUM(E368:P368)</f>
        <v>0</v>
      </c>
    </row>
    <row r="369" spans="1:17" x14ac:dyDescent="0.2">
      <c r="A369" s="242">
        <f>A368+1</f>
        <v>20</v>
      </c>
      <c r="C369" s="213" t="s">
        <v>105</v>
      </c>
      <c r="E369" s="386">
        <f>'Sch M 2.2'!E373</f>
        <v>38507.726666666662</v>
      </c>
      <c r="F369" s="386">
        <f>'Sch M 2.2'!F373</f>
        <v>102473.7</v>
      </c>
      <c r="G369" s="386">
        <f>'Sch M 2.2'!G373</f>
        <v>48446.93</v>
      </c>
      <c r="H369" s="386">
        <f>'Sch M 2.2'!H373</f>
        <v>31408.923333333329</v>
      </c>
      <c r="I369" s="386">
        <f>'Sch M 2.2'!I373</f>
        <v>22219.25</v>
      </c>
      <c r="J369" s="386">
        <f>'Sch M 2.2'!J373</f>
        <v>29995.97</v>
      </c>
      <c r="K369" s="386">
        <f>'Sch M 2.2'!K373</f>
        <v>32668.956666666665</v>
      </c>
      <c r="L369" s="386">
        <f>'Sch M 2.2'!L373</f>
        <v>11055.753333333334</v>
      </c>
      <c r="M369" s="386">
        <f>'Sch M 2.2'!M373</f>
        <v>94743.723333333328</v>
      </c>
      <c r="N369" s="386">
        <f>'Sch M 2.2'!N373</f>
        <v>136060.20666666667</v>
      </c>
      <c r="O369" s="386">
        <f>'Sch M 2.2'!O373</f>
        <v>35411.036666666667</v>
      </c>
      <c r="P369" s="386">
        <f>'Sch M 2.2'!P373</f>
        <v>95390.256666666668</v>
      </c>
      <c r="Q369" s="386">
        <f>SUM(E369:P369)</f>
        <v>678382.43333333335</v>
      </c>
    </row>
    <row r="370" spans="1:17" x14ac:dyDescent="0.2">
      <c r="K370" s="269"/>
    </row>
    <row r="371" spans="1:17" x14ac:dyDescent="0.2">
      <c r="A371" s="242">
        <f>A369+1</f>
        <v>21</v>
      </c>
      <c r="B371" s="213" t="s">
        <v>107</v>
      </c>
      <c r="E371" s="386">
        <f t="shared" ref="E371:P371" si="162">SUM(E365:E370)</f>
        <v>116198.20999999999</v>
      </c>
      <c r="F371" s="386">
        <f t="shared" si="162"/>
        <v>200081.94333333333</v>
      </c>
      <c r="G371" s="386">
        <f t="shared" si="162"/>
        <v>130621.90000000002</v>
      </c>
      <c r="H371" s="386">
        <f t="shared" si="162"/>
        <v>86433.956666666665</v>
      </c>
      <c r="I371" s="386">
        <f t="shared" si="162"/>
        <v>68315.399999999994</v>
      </c>
      <c r="J371" s="386">
        <f t="shared" si="162"/>
        <v>55345.01</v>
      </c>
      <c r="K371" s="386">
        <f t="shared" si="162"/>
        <v>63645.133333333331</v>
      </c>
      <c r="L371" s="386">
        <f t="shared" si="162"/>
        <v>54004.903333333328</v>
      </c>
      <c r="M371" s="386">
        <f t="shared" si="162"/>
        <v>110207.27666666666</v>
      </c>
      <c r="N371" s="386">
        <f t="shared" si="162"/>
        <v>190539.93</v>
      </c>
      <c r="O371" s="386">
        <f t="shared" si="162"/>
        <v>72618.143333333341</v>
      </c>
      <c r="P371" s="386">
        <f t="shared" si="162"/>
        <v>150101.61333333334</v>
      </c>
      <c r="Q371" s="386">
        <f>SUM(E371:P371)</f>
        <v>1298113.42</v>
      </c>
    </row>
    <row r="372" spans="1:17" ht="10.5" x14ac:dyDescent="0.25">
      <c r="C372" s="396"/>
      <c r="K372" s="269"/>
    </row>
    <row r="373" spans="1:17" x14ac:dyDescent="0.2">
      <c r="A373" s="577">
        <f>A371+1</f>
        <v>22</v>
      </c>
      <c r="B373" s="403" t="s">
        <v>108</v>
      </c>
      <c r="C373" s="403"/>
      <c r="D373" s="405"/>
      <c r="E373" s="406">
        <f t="shared" ref="E373:Q373" si="163">E361+E371</f>
        <v>26697147.024320006</v>
      </c>
      <c r="F373" s="406">
        <f t="shared" si="163"/>
        <v>26610245.676613335</v>
      </c>
      <c r="G373" s="406">
        <f t="shared" si="163"/>
        <v>22269879.452240005</v>
      </c>
      <c r="H373" s="406">
        <f t="shared" si="163"/>
        <v>14884149.761146666</v>
      </c>
      <c r="I373" s="406">
        <f t="shared" si="163"/>
        <v>10171490.005839998</v>
      </c>
      <c r="J373" s="406">
        <f t="shared" si="163"/>
        <v>8281889.0152799999</v>
      </c>
      <c r="K373" s="406">
        <f t="shared" si="163"/>
        <v>7424131.049573333</v>
      </c>
      <c r="L373" s="406">
        <f t="shared" si="163"/>
        <v>7454322.3074133322</v>
      </c>
      <c r="M373" s="406">
        <f t="shared" si="163"/>
        <v>7688811.9960266659</v>
      </c>
      <c r="N373" s="406">
        <f t="shared" si="163"/>
        <v>8789050.2959200013</v>
      </c>
      <c r="O373" s="406">
        <f t="shared" si="163"/>
        <v>12632140.427973332</v>
      </c>
      <c r="P373" s="406">
        <f t="shared" si="163"/>
        <v>21156590.287333343</v>
      </c>
      <c r="Q373" s="406">
        <f t="shared" si="163"/>
        <v>174059847.29968002</v>
      </c>
    </row>
    <row r="374" spans="1:17" x14ac:dyDescent="0.2">
      <c r="K374" s="269"/>
      <c r="P374" s="374"/>
      <c r="Q374" s="374"/>
    </row>
    <row r="375" spans="1:17" x14ac:dyDescent="0.2">
      <c r="A375" s="504" t="str">
        <f>$A$265</f>
        <v>[1] Reflects Normalized Volumes.</v>
      </c>
      <c r="P375" s="374"/>
      <c r="Q375" s="374"/>
    </row>
    <row r="376" spans="1:17" x14ac:dyDescent="0.2">
      <c r="A376" s="504" t="str">
        <f>$A$266</f>
        <v>[2] See Schedule M-2.2 Pages 8 through 21 for detail.</v>
      </c>
      <c r="B376" s="216"/>
      <c r="C376" s="216"/>
      <c r="P376" s="374"/>
      <c r="Q376" s="374"/>
    </row>
    <row r="377" spans="1:17" ht="10.5" x14ac:dyDescent="0.25">
      <c r="A377" s="819" t="str">
        <f>CONAME</f>
        <v>Columbia Gas of Kentucky, Inc.</v>
      </c>
      <c r="B377" s="819"/>
      <c r="C377" s="819"/>
      <c r="D377" s="819"/>
      <c r="E377" s="819"/>
      <c r="F377" s="819"/>
      <c r="G377" s="819"/>
      <c r="H377" s="819"/>
      <c r="I377" s="819"/>
      <c r="J377" s="819"/>
      <c r="K377" s="819"/>
      <c r="L377" s="819"/>
      <c r="M377" s="819"/>
      <c r="N377" s="819"/>
      <c r="O377" s="819"/>
      <c r="P377" s="819"/>
      <c r="Q377" s="819"/>
    </row>
    <row r="378" spans="1:17" ht="10.5" x14ac:dyDescent="0.25">
      <c r="A378" s="803" t="str">
        <f>case</f>
        <v>Case No. 2021-00183</v>
      </c>
      <c r="B378" s="803"/>
      <c r="C378" s="803"/>
      <c r="D378" s="803"/>
      <c r="E378" s="803"/>
      <c r="F378" s="803"/>
      <c r="G378" s="803"/>
      <c r="H378" s="803"/>
      <c r="I378" s="803"/>
      <c r="J378" s="803"/>
      <c r="K378" s="803"/>
      <c r="L378" s="803"/>
      <c r="M378" s="803"/>
      <c r="N378" s="803"/>
      <c r="O378" s="803"/>
      <c r="P378" s="803"/>
      <c r="Q378" s="803"/>
    </row>
    <row r="379" spans="1:17" ht="10.5" x14ac:dyDescent="0.25">
      <c r="A379" s="820" t="s">
        <v>197</v>
      </c>
      <c r="B379" s="820"/>
      <c r="C379" s="820"/>
      <c r="D379" s="820"/>
      <c r="E379" s="820"/>
      <c r="F379" s="820"/>
      <c r="G379" s="820"/>
      <c r="H379" s="820"/>
      <c r="I379" s="820"/>
      <c r="J379" s="820"/>
      <c r="K379" s="820"/>
      <c r="L379" s="820"/>
      <c r="M379" s="820"/>
      <c r="N379" s="820"/>
      <c r="O379" s="820"/>
      <c r="P379" s="820"/>
      <c r="Q379" s="820"/>
    </row>
    <row r="380" spans="1:17" ht="10.5" x14ac:dyDescent="0.25">
      <c r="A380" s="819" t="str">
        <f>TYDESC</f>
        <v>For the 12 Months Ended December 31, 2022</v>
      </c>
      <c r="B380" s="819"/>
      <c r="C380" s="819"/>
      <c r="D380" s="819"/>
      <c r="E380" s="819"/>
      <c r="F380" s="819"/>
      <c r="G380" s="819"/>
      <c r="H380" s="819"/>
      <c r="I380" s="819"/>
      <c r="J380" s="819"/>
      <c r="K380" s="819"/>
      <c r="L380" s="819"/>
      <c r="M380" s="819"/>
      <c r="N380" s="819"/>
      <c r="O380" s="819"/>
      <c r="P380" s="819"/>
      <c r="Q380" s="819"/>
    </row>
    <row r="381" spans="1:17" ht="10.5" x14ac:dyDescent="0.25">
      <c r="A381" s="821" t="s">
        <v>39</v>
      </c>
      <c r="B381" s="821"/>
      <c r="C381" s="821"/>
      <c r="D381" s="821"/>
      <c r="E381" s="821"/>
      <c r="F381" s="821"/>
      <c r="G381" s="821"/>
      <c r="H381" s="821"/>
      <c r="I381" s="821"/>
      <c r="J381" s="821"/>
      <c r="K381" s="821"/>
      <c r="L381" s="821"/>
      <c r="M381" s="821"/>
      <c r="N381" s="821"/>
      <c r="O381" s="821"/>
      <c r="P381" s="821"/>
      <c r="Q381" s="821"/>
    </row>
    <row r="382" spans="1:17" ht="10.5" x14ac:dyDescent="0.25">
      <c r="A382" s="575" t="str">
        <f>$A$52</f>
        <v>Data: __ Base Period _X_ Forecasted Period</v>
      </c>
    </row>
    <row r="383" spans="1:17" ht="10.5" x14ac:dyDescent="0.25">
      <c r="A383" s="575" t="str">
        <f>$A$53</f>
        <v>Type of Filing: X Original _ Update _ Revised</v>
      </c>
      <c r="Q383" s="372" t="str">
        <f>$Q$53</f>
        <v>Schedule M-2.3</v>
      </c>
    </row>
    <row r="384" spans="1:17" ht="10.5" x14ac:dyDescent="0.25">
      <c r="A384" s="575" t="str">
        <f>$A$54</f>
        <v>Work Paper Reference No(s):</v>
      </c>
      <c r="Q384" s="372" t="s">
        <v>421</v>
      </c>
    </row>
    <row r="385" spans="1:17" ht="10.5" x14ac:dyDescent="0.25">
      <c r="A385" s="576" t="str">
        <f>$A$55</f>
        <v>12 Months Forecasted</v>
      </c>
      <c r="Q385" s="372" t="str">
        <f>Witness</f>
        <v>Witness:  Judith L. Siegler</v>
      </c>
    </row>
    <row r="386" spans="1:17" ht="10.5" x14ac:dyDescent="0.25">
      <c r="A386" s="822" t="s">
        <v>291</v>
      </c>
      <c r="B386" s="822"/>
      <c r="C386" s="822"/>
      <c r="D386" s="822"/>
      <c r="E386" s="822"/>
      <c r="F386" s="822"/>
      <c r="G386" s="822"/>
      <c r="H386" s="822"/>
      <c r="I386" s="822"/>
      <c r="J386" s="822"/>
      <c r="K386" s="822"/>
      <c r="L386" s="822"/>
      <c r="M386" s="822"/>
      <c r="N386" s="822"/>
      <c r="O386" s="822"/>
      <c r="P386" s="822"/>
      <c r="Q386" s="822"/>
    </row>
    <row r="387" spans="1:17" ht="10.5" x14ac:dyDescent="0.25">
      <c r="A387" s="219"/>
      <c r="B387" s="279"/>
      <c r="C387" s="279"/>
      <c r="D387" s="278"/>
      <c r="E387" s="279"/>
      <c r="F387" s="374"/>
      <c r="G387" s="393"/>
      <c r="H387" s="374"/>
      <c r="I387" s="394"/>
      <c r="J387" s="374"/>
      <c r="K387" s="374"/>
      <c r="L387" s="374"/>
      <c r="M387" s="374"/>
      <c r="N387" s="374"/>
      <c r="O387" s="374"/>
      <c r="P387" s="374"/>
      <c r="Q387" s="279"/>
    </row>
    <row r="388" spans="1:17" ht="10.5" x14ac:dyDescent="0.25">
      <c r="A388" s="717" t="s">
        <v>1</v>
      </c>
      <c r="B388" s="718" t="s">
        <v>0</v>
      </c>
      <c r="C388" s="718" t="s">
        <v>41</v>
      </c>
      <c r="D388" s="721" t="s">
        <v>30</v>
      </c>
      <c r="E388" s="718"/>
      <c r="F388" s="376"/>
      <c r="G388" s="377"/>
      <c r="H388" s="376"/>
      <c r="I388" s="720"/>
      <c r="J388" s="376"/>
      <c r="K388" s="376"/>
      <c r="L388" s="376"/>
      <c r="M388" s="376"/>
      <c r="N388" s="376"/>
      <c r="O388" s="376"/>
      <c r="P388" s="376"/>
      <c r="Q388" s="719"/>
    </row>
    <row r="389" spans="1:17" ht="10.5" x14ac:dyDescent="0.25">
      <c r="A389" s="263" t="s">
        <v>3</v>
      </c>
      <c r="B389" s="220" t="s">
        <v>40</v>
      </c>
      <c r="C389" s="220" t="s">
        <v>4</v>
      </c>
      <c r="D389" s="379" t="s">
        <v>48</v>
      </c>
      <c r="E389" s="380" t="str">
        <f>B!$D$11</f>
        <v>Jan-22</v>
      </c>
      <c r="F389" s="380" t="str">
        <f>B!$E$11</f>
        <v>Feb-22</v>
      </c>
      <c r="G389" s="380" t="str">
        <f>B!$F$11</f>
        <v>Mar-22</v>
      </c>
      <c r="H389" s="380" t="str">
        <f>B!$G$11</f>
        <v>Apr-22</v>
      </c>
      <c r="I389" s="380" t="str">
        <f>B!$H$11</f>
        <v>May-22</v>
      </c>
      <c r="J389" s="380" t="str">
        <f>B!$I$11</f>
        <v>Jun-22</v>
      </c>
      <c r="K389" s="380" t="str">
        <f>B!$J$11</f>
        <v>Jul-22</v>
      </c>
      <c r="L389" s="380" t="str">
        <f>B!$K$11</f>
        <v>Aug-22</v>
      </c>
      <c r="M389" s="380" t="str">
        <f>B!$L$11</f>
        <v>Sep-22</v>
      </c>
      <c r="N389" s="380" t="str">
        <f>B!$M$11</f>
        <v>Oct-22</v>
      </c>
      <c r="O389" s="380" t="str">
        <f>B!$N$11</f>
        <v>Nov-22</v>
      </c>
      <c r="P389" s="380" t="str">
        <f>B!$O$11</f>
        <v>Dec-22</v>
      </c>
      <c r="Q389" s="381" t="s">
        <v>9</v>
      </c>
    </row>
    <row r="390" spans="1:17" ht="10.5" x14ac:dyDescent="0.25">
      <c r="A390" s="717"/>
      <c r="B390" s="719" t="s">
        <v>42</v>
      </c>
      <c r="C390" s="719" t="s">
        <v>43</v>
      </c>
      <c r="D390" s="382" t="s">
        <v>45</v>
      </c>
      <c r="E390" s="383" t="s">
        <v>46</v>
      </c>
      <c r="F390" s="383" t="s">
        <v>49</v>
      </c>
      <c r="G390" s="383" t="s">
        <v>50</v>
      </c>
      <c r="H390" s="383" t="s">
        <v>51</v>
      </c>
      <c r="I390" s="383" t="s">
        <v>52</v>
      </c>
      <c r="J390" s="384" t="s">
        <v>53</v>
      </c>
      <c r="K390" s="384" t="s">
        <v>54</v>
      </c>
      <c r="L390" s="384" t="s">
        <v>55</v>
      </c>
      <c r="M390" s="384" t="s">
        <v>56</v>
      </c>
      <c r="N390" s="384" t="s">
        <v>57</v>
      </c>
      <c r="O390" s="384" t="s">
        <v>58</v>
      </c>
      <c r="P390" s="384" t="s">
        <v>59</v>
      </c>
      <c r="Q390" s="384" t="s">
        <v>200</v>
      </c>
    </row>
    <row r="391" spans="1:17" ht="10.5" x14ac:dyDescent="0.25">
      <c r="E391" s="719"/>
      <c r="F391" s="384"/>
      <c r="G391" s="395"/>
      <c r="H391" s="384"/>
      <c r="I391" s="383"/>
      <c r="J391" s="384"/>
      <c r="K391" s="384"/>
      <c r="L391" s="384"/>
      <c r="M391" s="384"/>
      <c r="N391" s="384"/>
      <c r="O391" s="384"/>
      <c r="P391" s="384"/>
      <c r="Q391" s="719"/>
    </row>
    <row r="393" spans="1:17" x14ac:dyDescent="0.2">
      <c r="A393" s="242">
        <v>1</v>
      </c>
      <c r="B393" s="213" t="str">
        <f>B64</f>
        <v>GSR</v>
      </c>
      <c r="C393" s="213" t="str">
        <f>C64</f>
        <v>General Service - Residential</v>
      </c>
    </row>
    <row r="395" spans="1:17" ht="10.5" x14ac:dyDescent="0.25">
      <c r="A395" s="242">
        <f>A393+1</f>
        <v>2</v>
      </c>
      <c r="C395" s="217" t="s">
        <v>109</v>
      </c>
      <c r="I395" s="272"/>
      <c r="J395" s="269"/>
    </row>
    <row r="396" spans="1:17" x14ac:dyDescent="0.2">
      <c r="I396" s="272"/>
      <c r="J396" s="269"/>
    </row>
    <row r="397" spans="1:17" x14ac:dyDescent="0.2">
      <c r="A397" s="242">
        <f>A395+1</f>
        <v>3</v>
      </c>
      <c r="C397" s="213" t="s">
        <v>199</v>
      </c>
      <c r="D397" s="420"/>
      <c r="E397" s="421">
        <f>B!D17</f>
        <v>110183</v>
      </c>
      <c r="F397" s="421">
        <f>B!E17</f>
        <v>110452</v>
      </c>
      <c r="G397" s="421">
        <f>B!F17</f>
        <v>110749</v>
      </c>
      <c r="H397" s="421">
        <f>B!G17</f>
        <v>109941</v>
      </c>
      <c r="I397" s="421">
        <f>B!H17</f>
        <v>109375</v>
      </c>
      <c r="J397" s="421">
        <f>B!I17</f>
        <v>108720</v>
      </c>
      <c r="K397" s="421">
        <f>B!J17</f>
        <v>108575</v>
      </c>
      <c r="L397" s="421">
        <f>B!K17</f>
        <v>108485</v>
      </c>
      <c r="M397" s="421">
        <f>B!L17</f>
        <v>108035</v>
      </c>
      <c r="N397" s="421">
        <f>B!M17</f>
        <v>108160</v>
      </c>
      <c r="O397" s="421">
        <f>B!N17</f>
        <v>109559</v>
      </c>
      <c r="P397" s="421">
        <f>B!O17</f>
        <v>111027</v>
      </c>
      <c r="Q397" s="422">
        <f>SUM(E397:P397)</f>
        <v>1313261</v>
      </c>
    </row>
    <row r="398" spans="1:17" x14ac:dyDescent="0.2">
      <c r="A398" s="242">
        <f>A397+1</f>
        <v>4</v>
      </c>
      <c r="C398" s="213" t="s">
        <v>207</v>
      </c>
      <c r="D398" s="608">
        <f>Input!V16</f>
        <v>29.2</v>
      </c>
      <c r="E398" s="386">
        <f>ROUND(E397*$D$398,2)</f>
        <v>3217343.6</v>
      </c>
      <c r="F398" s="386">
        <f t="shared" ref="F398:P398" si="164">ROUND(F397*$D$398,2)</f>
        <v>3225198.4</v>
      </c>
      <c r="G398" s="386">
        <f t="shared" si="164"/>
        <v>3233870.8</v>
      </c>
      <c r="H398" s="386">
        <f t="shared" si="164"/>
        <v>3210277.2</v>
      </c>
      <c r="I398" s="386">
        <f t="shared" si="164"/>
        <v>3193750</v>
      </c>
      <c r="J398" s="386">
        <f t="shared" si="164"/>
        <v>3174624</v>
      </c>
      <c r="K398" s="386">
        <f t="shared" si="164"/>
        <v>3170390</v>
      </c>
      <c r="L398" s="386">
        <f t="shared" si="164"/>
        <v>3167762</v>
      </c>
      <c r="M398" s="386">
        <f t="shared" si="164"/>
        <v>3154622</v>
      </c>
      <c r="N398" s="386">
        <f t="shared" si="164"/>
        <v>3158272</v>
      </c>
      <c r="O398" s="386">
        <f t="shared" si="164"/>
        <v>3199122.8</v>
      </c>
      <c r="P398" s="386">
        <f t="shared" si="164"/>
        <v>3241988.4</v>
      </c>
      <c r="Q398" s="386">
        <f>SUM(E398:P398)</f>
        <v>38347221.199999996</v>
      </c>
    </row>
    <row r="399" spans="1:17" x14ac:dyDescent="0.2">
      <c r="A399" s="242">
        <f>A398+1</f>
        <v>5</v>
      </c>
      <c r="C399" s="213" t="s">
        <v>208</v>
      </c>
      <c r="D399" s="608">
        <f>Input!X16</f>
        <v>0</v>
      </c>
      <c r="E399" s="386">
        <f>ROUND(E397*$D$399,2)</f>
        <v>0</v>
      </c>
      <c r="F399" s="386">
        <f t="shared" ref="F399:P399" si="165">ROUND(F397*$D$399,2)</f>
        <v>0</v>
      </c>
      <c r="G399" s="386">
        <f t="shared" si="165"/>
        <v>0</v>
      </c>
      <c r="H399" s="386">
        <f t="shared" si="165"/>
        <v>0</v>
      </c>
      <c r="I399" s="386">
        <f t="shared" si="165"/>
        <v>0</v>
      </c>
      <c r="J399" s="386">
        <f t="shared" si="165"/>
        <v>0</v>
      </c>
      <c r="K399" s="386">
        <f t="shared" si="165"/>
        <v>0</v>
      </c>
      <c r="L399" s="386">
        <f t="shared" si="165"/>
        <v>0</v>
      </c>
      <c r="M399" s="386">
        <f t="shared" si="165"/>
        <v>0</v>
      </c>
      <c r="N399" s="386">
        <f t="shared" si="165"/>
        <v>0</v>
      </c>
      <c r="O399" s="386">
        <f t="shared" si="165"/>
        <v>0</v>
      </c>
      <c r="P399" s="386">
        <f t="shared" si="165"/>
        <v>0</v>
      </c>
      <c r="Q399" s="386">
        <f>SUM(E399:P399)</f>
        <v>0</v>
      </c>
    </row>
    <row r="400" spans="1:17" x14ac:dyDescent="0.2">
      <c r="D400" s="423"/>
      <c r="I400" s="272"/>
      <c r="J400" s="269"/>
    </row>
    <row r="401" spans="1:17" x14ac:dyDescent="0.2">
      <c r="A401" s="242">
        <f>A399+1</f>
        <v>6</v>
      </c>
      <c r="C401" s="231" t="s">
        <v>206</v>
      </c>
      <c r="D401" s="423"/>
      <c r="E401" s="424">
        <f>'C'!D17</f>
        <v>1484059.2</v>
      </c>
      <c r="F401" s="424">
        <f>'C'!E17</f>
        <v>1502349.6</v>
      </c>
      <c r="G401" s="424">
        <f>'C'!F17</f>
        <v>1166162.7</v>
      </c>
      <c r="H401" s="424">
        <f>'C'!G17</f>
        <v>664959.6</v>
      </c>
      <c r="I401" s="424">
        <f>'C'!H17</f>
        <v>284958.40000000002</v>
      </c>
      <c r="J401" s="424">
        <f>'C'!I17</f>
        <v>148158.1</v>
      </c>
      <c r="K401" s="424">
        <f>'C'!J17</f>
        <v>83378.5</v>
      </c>
      <c r="L401" s="424">
        <f>'C'!K17</f>
        <v>87613.7</v>
      </c>
      <c r="M401" s="424">
        <f>'C'!L17</f>
        <v>102204</v>
      </c>
      <c r="N401" s="424">
        <f>'C'!M17</f>
        <v>177653.4</v>
      </c>
      <c r="O401" s="424">
        <f>'C'!N17</f>
        <v>461545.8</v>
      </c>
      <c r="P401" s="424">
        <f>'C'!O17</f>
        <v>1093564.7</v>
      </c>
      <c r="Q401" s="425">
        <f>SUM(E401:P401)</f>
        <v>7256607.7000000002</v>
      </c>
    </row>
    <row r="402" spans="1:17" x14ac:dyDescent="0.2">
      <c r="A402" s="242">
        <f>A401+1</f>
        <v>7</v>
      </c>
      <c r="C402" s="279" t="s">
        <v>485</v>
      </c>
      <c r="D402" s="609">
        <f>Input!Q16</f>
        <v>4.2263000000000002</v>
      </c>
      <c r="E402" s="386">
        <f>ROUND(E401*$D$402,2)</f>
        <v>6272079.4000000004</v>
      </c>
      <c r="F402" s="386">
        <f t="shared" ref="F402:P402" si="166">ROUND(F401*$D$402,2)</f>
        <v>6349380.1100000003</v>
      </c>
      <c r="G402" s="386">
        <f t="shared" si="166"/>
        <v>4928553.42</v>
      </c>
      <c r="H402" s="386">
        <f t="shared" si="166"/>
        <v>2810318.76</v>
      </c>
      <c r="I402" s="386">
        <f t="shared" si="166"/>
        <v>1204319.69</v>
      </c>
      <c r="J402" s="386">
        <f t="shared" si="166"/>
        <v>626160.57999999996</v>
      </c>
      <c r="K402" s="386">
        <f t="shared" si="166"/>
        <v>352382.55</v>
      </c>
      <c r="L402" s="386">
        <f t="shared" si="166"/>
        <v>370281.78</v>
      </c>
      <c r="M402" s="386">
        <f t="shared" si="166"/>
        <v>431944.77</v>
      </c>
      <c r="N402" s="386">
        <f t="shared" si="166"/>
        <v>750816.56</v>
      </c>
      <c r="O402" s="386">
        <f t="shared" si="166"/>
        <v>1950631.01</v>
      </c>
      <c r="P402" s="386">
        <f t="shared" si="166"/>
        <v>4621732.49</v>
      </c>
      <c r="Q402" s="386">
        <f>SUM(E402:P402)</f>
        <v>30668601.119999997</v>
      </c>
    </row>
    <row r="403" spans="1:17" x14ac:dyDescent="0.2">
      <c r="A403" s="242">
        <f>A402+1</f>
        <v>8</v>
      </c>
      <c r="C403" s="664" t="s">
        <v>529</v>
      </c>
      <c r="D403" s="609">
        <v>0</v>
      </c>
      <c r="E403" s="431">
        <f t="shared" ref="E403:P403" si="167">ROUND(E401*$D$403,2)</f>
        <v>0</v>
      </c>
      <c r="F403" s="431">
        <f t="shared" si="167"/>
        <v>0</v>
      </c>
      <c r="G403" s="431">
        <f t="shared" si="167"/>
        <v>0</v>
      </c>
      <c r="H403" s="431">
        <f t="shared" si="167"/>
        <v>0</v>
      </c>
      <c r="I403" s="431">
        <f t="shared" si="167"/>
        <v>0</v>
      </c>
      <c r="J403" s="431">
        <f t="shared" si="167"/>
        <v>0</v>
      </c>
      <c r="K403" s="431">
        <f t="shared" si="167"/>
        <v>0</v>
      </c>
      <c r="L403" s="431">
        <f t="shared" si="167"/>
        <v>0</v>
      </c>
      <c r="M403" s="431">
        <f t="shared" si="167"/>
        <v>0</v>
      </c>
      <c r="N403" s="431">
        <f t="shared" si="167"/>
        <v>0</v>
      </c>
      <c r="O403" s="431">
        <f t="shared" si="167"/>
        <v>0</v>
      </c>
      <c r="P403" s="431">
        <f t="shared" si="167"/>
        <v>0</v>
      </c>
      <c r="Q403" s="431">
        <f>SUM(E403:P403)</f>
        <v>0</v>
      </c>
    </row>
    <row r="404" spans="1:17" x14ac:dyDescent="0.2">
      <c r="C404" s="279"/>
      <c r="D404" s="427"/>
      <c r="E404" s="428"/>
      <c r="F404" s="428"/>
      <c r="G404" s="428"/>
      <c r="H404" s="428"/>
      <c r="I404" s="428"/>
      <c r="J404" s="428"/>
      <c r="K404" s="428"/>
      <c r="L404" s="428"/>
      <c r="M404" s="428"/>
      <c r="N404" s="428"/>
      <c r="O404" s="428"/>
      <c r="P404" s="428"/>
      <c r="Q404" s="429"/>
    </row>
    <row r="405" spans="1:17" x14ac:dyDescent="0.2">
      <c r="A405" s="242">
        <f>A403+1</f>
        <v>9</v>
      </c>
      <c r="C405" s="213" t="s">
        <v>201</v>
      </c>
      <c r="D405" s="427"/>
      <c r="E405" s="386">
        <f t="shared" ref="E405:P405" si="168">E398+E399+E402+E403</f>
        <v>9489423</v>
      </c>
      <c r="F405" s="386">
        <f t="shared" si="168"/>
        <v>9574578.5099999998</v>
      </c>
      <c r="G405" s="386">
        <f t="shared" si="168"/>
        <v>8162424.2199999997</v>
      </c>
      <c r="H405" s="386">
        <f t="shared" si="168"/>
        <v>6020595.96</v>
      </c>
      <c r="I405" s="386">
        <f t="shared" si="168"/>
        <v>4398069.6899999995</v>
      </c>
      <c r="J405" s="386">
        <f t="shared" si="168"/>
        <v>3800784.58</v>
      </c>
      <c r="K405" s="386">
        <f t="shared" si="168"/>
        <v>3522772.55</v>
      </c>
      <c r="L405" s="386">
        <f t="shared" si="168"/>
        <v>3538043.7800000003</v>
      </c>
      <c r="M405" s="386">
        <f t="shared" si="168"/>
        <v>3586566.77</v>
      </c>
      <c r="N405" s="386">
        <f t="shared" si="168"/>
        <v>3909088.56</v>
      </c>
      <c r="O405" s="386">
        <f t="shared" si="168"/>
        <v>5149753.8099999996</v>
      </c>
      <c r="P405" s="386">
        <f t="shared" si="168"/>
        <v>7863720.8900000006</v>
      </c>
      <c r="Q405" s="386">
        <f>SUM(E405:P405)</f>
        <v>69015822.319999993</v>
      </c>
    </row>
    <row r="406" spans="1:17" x14ac:dyDescent="0.2">
      <c r="C406" s="231"/>
      <c r="D406" s="427"/>
      <c r="E406" s="420"/>
      <c r="F406" s="420"/>
      <c r="G406" s="420"/>
      <c r="H406" s="420"/>
      <c r="I406" s="430"/>
      <c r="J406" s="430"/>
      <c r="K406" s="420"/>
      <c r="L406" s="420"/>
      <c r="M406" s="420"/>
      <c r="N406" s="420"/>
      <c r="O406" s="420"/>
      <c r="P406" s="420"/>
      <c r="Q406" s="420"/>
    </row>
    <row r="407" spans="1:17" x14ac:dyDescent="0.2">
      <c r="A407" s="242">
        <f>A405+1</f>
        <v>10</v>
      </c>
      <c r="C407" s="231" t="s">
        <v>486</v>
      </c>
      <c r="D407" s="609">
        <f>EGC</f>
        <v>4.3869999999999996</v>
      </c>
      <c r="E407" s="386">
        <f t="shared" ref="E407:P407" si="169">ROUND(E401*$D$407,2)</f>
        <v>6510567.71</v>
      </c>
      <c r="F407" s="386">
        <f t="shared" si="169"/>
        <v>6590807.7000000002</v>
      </c>
      <c r="G407" s="386">
        <f t="shared" si="169"/>
        <v>5115955.76</v>
      </c>
      <c r="H407" s="386">
        <f t="shared" si="169"/>
        <v>2917177.77</v>
      </c>
      <c r="I407" s="386">
        <f t="shared" si="169"/>
        <v>1250112.5</v>
      </c>
      <c r="J407" s="386">
        <f t="shared" si="169"/>
        <v>649969.57999999996</v>
      </c>
      <c r="K407" s="386">
        <f t="shared" si="169"/>
        <v>365781.48</v>
      </c>
      <c r="L407" s="386">
        <f t="shared" si="169"/>
        <v>384361.3</v>
      </c>
      <c r="M407" s="386">
        <f t="shared" si="169"/>
        <v>448368.95</v>
      </c>
      <c r="N407" s="386">
        <f t="shared" si="169"/>
        <v>779365.47</v>
      </c>
      <c r="O407" s="386">
        <f t="shared" si="169"/>
        <v>2024801.42</v>
      </c>
      <c r="P407" s="386">
        <f t="shared" si="169"/>
        <v>4797468.34</v>
      </c>
      <c r="Q407" s="386">
        <f>SUM(E407:P407)</f>
        <v>31834737.98</v>
      </c>
    </row>
    <row r="408" spans="1:17" x14ac:dyDescent="0.2">
      <c r="C408" s="390"/>
      <c r="D408" s="423"/>
      <c r="E408" s="578"/>
      <c r="F408" s="578"/>
      <c r="G408" s="578"/>
      <c r="H408" s="578"/>
      <c r="I408" s="578"/>
      <c r="J408" s="578"/>
      <c r="K408" s="578"/>
      <c r="L408" s="578"/>
      <c r="M408" s="578"/>
      <c r="N408" s="578"/>
      <c r="O408" s="578"/>
      <c r="P408" s="578"/>
      <c r="Q408" s="578"/>
    </row>
    <row r="409" spans="1:17" x14ac:dyDescent="0.2">
      <c r="A409" s="577">
        <f>A407+1</f>
        <v>11</v>
      </c>
      <c r="B409" s="403"/>
      <c r="C409" s="405" t="s">
        <v>203</v>
      </c>
      <c r="D409" s="579"/>
      <c r="E409" s="406">
        <f t="shared" ref="E409:P409" si="170">E405+E407</f>
        <v>15999990.710000001</v>
      </c>
      <c r="F409" s="406">
        <f t="shared" si="170"/>
        <v>16165386.210000001</v>
      </c>
      <c r="G409" s="406">
        <f t="shared" si="170"/>
        <v>13278379.98</v>
      </c>
      <c r="H409" s="406">
        <f t="shared" si="170"/>
        <v>8937773.7300000004</v>
      </c>
      <c r="I409" s="406">
        <f t="shared" si="170"/>
        <v>5648182.1899999995</v>
      </c>
      <c r="J409" s="406">
        <f t="shared" si="170"/>
        <v>4450754.16</v>
      </c>
      <c r="K409" s="406">
        <f t="shared" si="170"/>
        <v>3888554.03</v>
      </c>
      <c r="L409" s="406">
        <f t="shared" si="170"/>
        <v>3922405.08</v>
      </c>
      <c r="M409" s="406">
        <f t="shared" si="170"/>
        <v>4034935.72</v>
      </c>
      <c r="N409" s="406">
        <f t="shared" si="170"/>
        <v>4688454.03</v>
      </c>
      <c r="O409" s="406">
        <f t="shared" si="170"/>
        <v>7174555.2299999995</v>
      </c>
      <c r="P409" s="406">
        <f t="shared" si="170"/>
        <v>12661189.23</v>
      </c>
      <c r="Q409" s="406">
        <f>SUM(E409:P409)</f>
        <v>100850560.30000001</v>
      </c>
    </row>
    <row r="410" spans="1:17" x14ac:dyDescent="0.2">
      <c r="C410" s="231"/>
      <c r="D410" s="423"/>
      <c r="E410" s="420"/>
      <c r="F410" s="420"/>
      <c r="G410" s="420"/>
      <c r="H410" s="420"/>
      <c r="I410" s="420"/>
      <c r="J410" s="420"/>
      <c r="K410" s="420"/>
      <c r="L410" s="420"/>
      <c r="M410" s="420"/>
      <c r="N410" s="420"/>
      <c r="O410" s="420"/>
      <c r="P410" s="420"/>
      <c r="Q410" s="420"/>
    </row>
    <row r="411" spans="1:17" x14ac:dyDescent="0.2">
      <c r="A411" s="242">
        <f>A409+1</f>
        <v>12</v>
      </c>
      <c r="C411" s="231" t="s">
        <v>193</v>
      </c>
      <c r="D411" s="423"/>
      <c r="E411" s="386"/>
      <c r="F411" s="386"/>
      <c r="G411" s="386"/>
      <c r="H411" s="386"/>
      <c r="I411" s="386"/>
      <c r="J411" s="386"/>
      <c r="K411" s="386"/>
      <c r="L411" s="386"/>
      <c r="M411" s="386"/>
      <c r="N411" s="386"/>
      <c r="O411" s="386"/>
      <c r="P411" s="386"/>
      <c r="Q411" s="386"/>
    </row>
    <row r="412" spans="1:17" x14ac:dyDescent="0.2">
      <c r="A412" s="242">
        <f>A411+1</f>
        <v>13</v>
      </c>
      <c r="C412" s="213" t="s">
        <v>210</v>
      </c>
      <c r="D412" s="609">
        <f>Input!Y16</f>
        <v>0.28999999999999998</v>
      </c>
      <c r="E412" s="386">
        <f t="shared" ref="E412:P412" si="171">ROUND(E397*$D$412,2)</f>
        <v>31953.07</v>
      </c>
      <c r="F412" s="386">
        <f t="shared" si="171"/>
        <v>32031.08</v>
      </c>
      <c r="G412" s="386">
        <f t="shared" si="171"/>
        <v>32117.21</v>
      </c>
      <c r="H412" s="386">
        <f t="shared" si="171"/>
        <v>31882.89</v>
      </c>
      <c r="I412" s="386">
        <f t="shared" si="171"/>
        <v>31718.75</v>
      </c>
      <c r="J412" s="386">
        <f t="shared" si="171"/>
        <v>31528.799999999999</v>
      </c>
      <c r="K412" s="386">
        <f t="shared" si="171"/>
        <v>31486.75</v>
      </c>
      <c r="L412" s="386">
        <f t="shared" si="171"/>
        <v>31460.65</v>
      </c>
      <c r="M412" s="386">
        <f t="shared" si="171"/>
        <v>31330.15</v>
      </c>
      <c r="N412" s="386">
        <f t="shared" si="171"/>
        <v>31366.400000000001</v>
      </c>
      <c r="O412" s="386">
        <f t="shared" si="171"/>
        <v>31772.11</v>
      </c>
      <c r="P412" s="386">
        <f t="shared" si="171"/>
        <v>32197.83</v>
      </c>
      <c r="Q412" s="386">
        <f>SUM(E412:P412)</f>
        <v>380845.69</v>
      </c>
    </row>
    <row r="413" spans="1:17" x14ac:dyDescent="0.2">
      <c r="A413" s="242">
        <f>A412+1</f>
        <v>14</v>
      </c>
      <c r="C413" s="231" t="s">
        <v>487</v>
      </c>
      <c r="D413" s="609">
        <f>Input!AB16</f>
        <v>1.1900000000000001E-2</v>
      </c>
      <c r="E413" s="267">
        <f t="shared" ref="E413:P413" si="172">ROUND(E401*$D$413,2)</f>
        <v>17660.3</v>
      </c>
      <c r="F413" s="267">
        <f t="shared" si="172"/>
        <v>17877.96</v>
      </c>
      <c r="G413" s="267">
        <f t="shared" si="172"/>
        <v>13877.34</v>
      </c>
      <c r="H413" s="267">
        <f t="shared" si="172"/>
        <v>7913.02</v>
      </c>
      <c r="I413" s="267">
        <f t="shared" si="172"/>
        <v>3391</v>
      </c>
      <c r="J413" s="267">
        <f t="shared" si="172"/>
        <v>1763.08</v>
      </c>
      <c r="K413" s="267">
        <f t="shared" si="172"/>
        <v>992.2</v>
      </c>
      <c r="L413" s="267">
        <f t="shared" si="172"/>
        <v>1042.5999999999999</v>
      </c>
      <c r="M413" s="267">
        <f t="shared" si="172"/>
        <v>1216.23</v>
      </c>
      <c r="N413" s="267">
        <f t="shared" si="172"/>
        <v>2114.08</v>
      </c>
      <c r="O413" s="267">
        <f t="shared" si="172"/>
        <v>5492.4</v>
      </c>
      <c r="P413" s="267">
        <f t="shared" si="172"/>
        <v>13013.42</v>
      </c>
      <c r="Q413" s="388">
        <f>SUM(E413:P413)</f>
        <v>86353.62999999999</v>
      </c>
    </row>
    <row r="414" spans="1:17" x14ac:dyDescent="0.2">
      <c r="A414" s="242">
        <f t="shared" ref="A414:A415" si="173">A413+1</f>
        <v>15</v>
      </c>
      <c r="C414" s="664" t="s">
        <v>140</v>
      </c>
      <c r="D414" s="609">
        <f>Input!AA27</f>
        <v>1.44E-2</v>
      </c>
      <c r="E414" s="267">
        <f>ROUND($D$414*E401,2)</f>
        <v>21370.45</v>
      </c>
      <c r="F414" s="267">
        <f t="shared" ref="F414:P414" si="174">ROUND($D$414*F401,2)</f>
        <v>21633.83</v>
      </c>
      <c r="G414" s="267">
        <f t="shared" si="174"/>
        <v>16792.740000000002</v>
      </c>
      <c r="H414" s="267">
        <f t="shared" si="174"/>
        <v>9575.42</v>
      </c>
      <c r="I414" s="267">
        <f t="shared" si="174"/>
        <v>4103.3999999999996</v>
      </c>
      <c r="J414" s="267">
        <f t="shared" si="174"/>
        <v>2133.48</v>
      </c>
      <c r="K414" s="267">
        <f t="shared" si="174"/>
        <v>1200.6500000000001</v>
      </c>
      <c r="L414" s="267">
        <f t="shared" si="174"/>
        <v>1261.6400000000001</v>
      </c>
      <c r="M414" s="267">
        <f t="shared" si="174"/>
        <v>1471.74</v>
      </c>
      <c r="N414" s="267">
        <f t="shared" si="174"/>
        <v>2558.21</v>
      </c>
      <c r="O414" s="267">
        <f t="shared" si="174"/>
        <v>6646.26</v>
      </c>
      <c r="P414" s="267">
        <f t="shared" si="174"/>
        <v>15747.33</v>
      </c>
      <c r="Q414" s="388">
        <f>SUM(E414:P414)</f>
        <v>104495.15</v>
      </c>
    </row>
    <row r="415" spans="1:17" x14ac:dyDescent="0.2">
      <c r="A415" s="242">
        <f t="shared" si="173"/>
        <v>16</v>
      </c>
      <c r="C415" s="216" t="s">
        <v>543</v>
      </c>
      <c r="D415" s="609">
        <f>Input!Z16</f>
        <v>0.3</v>
      </c>
      <c r="E415" s="390">
        <f t="shared" ref="E415:P415" si="175">ROUND(E397*$D$415,2)</f>
        <v>33054.9</v>
      </c>
      <c r="F415" s="390">
        <f t="shared" si="175"/>
        <v>33135.599999999999</v>
      </c>
      <c r="G415" s="390">
        <f t="shared" si="175"/>
        <v>33224.699999999997</v>
      </c>
      <c r="H415" s="390">
        <f t="shared" si="175"/>
        <v>32982.300000000003</v>
      </c>
      <c r="I415" s="390">
        <f t="shared" si="175"/>
        <v>32812.5</v>
      </c>
      <c r="J415" s="390">
        <f t="shared" si="175"/>
        <v>32616</v>
      </c>
      <c r="K415" s="390">
        <f t="shared" si="175"/>
        <v>32572.5</v>
      </c>
      <c r="L415" s="390">
        <f t="shared" si="175"/>
        <v>32545.5</v>
      </c>
      <c r="M415" s="390">
        <f t="shared" si="175"/>
        <v>32410.5</v>
      </c>
      <c r="N415" s="390">
        <f t="shared" si="175"/>
        <v>32448</v>
      </c>
      <c r="O415" s="390">
        <f t="shared" si="175"/>
        <v>32867.699999999997</v>
      </c>
      <c r="P415" s="390">
        <f t="shared" si="175"/>
        <v>33308.1</v>
      </c>
      <c r="Q415" s="390">
        <f>SUM(E415:P415)</f>
        <v>393978.3</v>
      </c>
    </row>
    <row r="416" spans="1:17" x14ac:dyDescent="0.2">
      <c r="A416" s="242">
        <f>A415+1</f>
        <v>17</v>
      </c>
      <c r="C416" s="213" t="s">
        <v>213</v>
      </c>
      <c r="D416" s="420"/>
      <c r="E416" s="386">
        <f>SUM(E412:E415)</f>
        <v>104038.72</v>
      </c>
      <c r="F416" s="386">
        <f t="shared" ref="F416:P416" si="176">SUM(F412:F415)</f>
        <v>104678.47</v>
      </c>
      <c r="G416" s="386">
        <f t="shared" si="176"/>
        <v>96011.99</v>
      </c>
      <c r="H416" s="386">
        <f t="shared" si="176"/>
        <v>82353.63</v>
      </c>
      <c r="I416" s="386">
        <f t="shared" si="176"/>
        <v>72025.649999999994</v>
      </c>
      <c r="J416" s="386">
        <f t="shared" si="176"/>
        <v>68041.36</v>
      </c>
      <c r="K416" s="386">
        <f t="shared" si="176"/>
        <v>66252.100000000006</v>
      </c>
      <c r="L416" s="386">
        <f t="shared" si="176"/>
        <v>66310.39</v>
      </c>
      <c r="M416" s="386">
        <f t="shared" si="176"/>
        <v>66428.62</v>
      </c>
      <c r="N416" s="386">
        <f t="shared" si="176"/>
        <v>68486.69</v>
      </c>
      <c r="O416" s="386">
        <f t="shared" si="176"/>
        <v>76778.47</v>
      </c>
      <c r="P416" s="386">
        <f t="shared" si="176"/>
        <v>94266.68</v>
      </c>
      <c r="Q416" s="386">
        <f>SUM(E416:P416)</f>
        <v>965672.76999999979</v>
      </c>
    </row>
    <row r="417" spans="1:17" x14ac:dyDescent="0.2">
      <c r="D417" s="420"/>
      <c r="E417" s="420"/>
      <c r="F417" s="430"/>
      <c r="G417" s="430"/>
      <c r="H417" s="430"/>
      <c r="I417" s="430"/>
      <c r="J417" s="430"/>
      <c r="K417" s="430"/>
      <c r="L417" s="420"/>
      <c r="M417" s="420"/>
      <c r="N417" s="420"/>
      <c r="O417" s="420"/>
      <c r="P417" s="420"/>
      <c r="Q417" s="420"/>
    </row>
    <row r="418" spans="1:17" ht="10.5" thickBot="1" x14ac:dyDescent="0.25">
      <c r="A418" s="580">
        <f>A416+1</f>
        <v>18</v>
      </c>
      <c r="B418" s="434"/>
      <c r="C418" s="581" t="s">
        <v>202</v>
      </c>
      <c r="D418" s="582"/>
      <c r="E418" s="435">
        <f>E409+E416</f>
        <v>16104029.430000002</v>
      </c>
      <c r="F418" s="435">
        <f t="shared" ref="F418:P418" si="177">F409+F416</f>
        <v>16270064.680000002</v>
      </c>
      <c r="G418" s="435">
        <f t="shared" si="177"/>
        <v>13374391.970000001</v>
      </c>
      <c r="H418" s="435">
        <f t="shared" si="177"/>
        <v>9020127.3600000013</v>
      </c>
      <c r="I418" s="435">
        <f t="shared" si="177"/>
        <v>5720207.8399999999</v>
      </c>
      <c r="J418" s="435">
        <f t="shared" si="177"/>
        <v>4518795.5200000005</v>
      </c>
      <c r="K418" s="435">
        <f t="shared" si="177"/>
        <v>3954806.13</v>
      </c>
      <c r="L418" s="435">
        <f t="shared" si="177"/>
        <v>3988715.47</v>
      </c>
      <c r="M418" s="435">
        <f t="shared" si="177"/>
        <v>4101364.3400000003</v>
      </c>
      <c r="N418" s="435">
        <f t="shared" si="177"/>
        <v>4756940.7200000007</v>
      </c>
      <c r="O418" s="435">
        <f t="shared" si="177"/>
        <v>7251333.6999999993</v>
      </c>
      <c r="P418" s="435">
        <f t="shared" si="177"/>
        <v>12755455.91</v>
      </c>
      <c r="Q418" s="435">
        <f>SUM(E418:P418)</f>
        <v>101816233.07000001</v>
      </c>
    </row>
    <row r="419" spans="1:17" ht="10.5" thickTop="1" x14ac:dyDescent="0.2">
      <c r="A419" s="497"/>
      <c r="B419" s="279"/>
      <c r="C419" s="610"/>
      <c r="D419" s="611"/>
      <c r="E419" s="432"/>
      <c r="F419" s="432"/>
      <c r="G419" s="432"/>
      <c r="H419" s="432"/>
      <c r="I419" s="432"/>
      <c r="J419" s="432"/>
      <c r="K419" s="432"/>
      <c r="L419" s="432"/>
      <c r="M419" s="432"/>
      <c r="N419" s="432"/>
      <c r="O419" s="432"/>
      <c r="P419" s="432"/>
      <c r="Q419" s="432"/>
    </row>
    <row r="420" spans="1:17" x14ac:dyDescent="0.2">
      <c r="E420" s="420"/>
      <c r="F420" s="420"/>
      <c r="G420" s="420"/>
      <c r="H420" s="420"/>
      <c r="I420" s="420"/>
      <c r="J420" s="420"/>
      <c r="K420" s="420"/>
      <c r="L420" s="420"/>
      <c r="M420" s="420"/>
      <c r="N420" s="420"/>
      <c r="O420" s="420"/>
      <c r="P420" s="420"/>
      <c r="Q420" s="420"/>
    </row>
    <row r="421" spans="1:17" x14ac:dyDescent="0.2">
      <c r="A421" s="242">
        <f>A418+1</f>
        <v>19</v>
      </c>
      <c r="B421" s="213" t="str">
        <f>B71</f>
        <v>G1C</v>
      </c>
      <c r="C421" s="213" t="str">
        <f>C71</f>
        <v>LG&amp;E Commercial</v>
      </c>
    </row>
    <row r="423" spans="1:17" ht="10.5" x14ac:dyDescent="0.25">
      <c r="A423" s="242">
        <f>A421+1</f>
        <v>20</v>
      </c>
      <c r="C423" s="217" t="s">
        <v>111</v>
      </c>
    </row>
    <row r="424" spans="1:17" x14ac:dyDescent="0.2">
      <c r="F424" s="269"/>
      <c r="G424" s="418"/>
      <c r="H424" s="269"/>
      <c r="I424" s="272"/>
      <c r="J424" s="269"/>
      <c r="K424" s="269"/>
    </row>
    <row r="425" spans="1:17" x14ac:dyDescent="0.2">
      <c r="A425" s="242">
        <f>A423+1</f>
        <v>21</v>
      </c>
      <c r="C425" s="213" t="s">
        <v>199</v>
      </c>
      <c r="E425" s="421">
        <f>B!D22</f>
        <v>0</v>
      </c>
      <c r="F425" s="421">
        <f>B!E22</f>
        <v>0</v>
      </c>
      <c r="G425" s="421">
        <f>B!F22</f>
        <v>0</v>
      </c>
      <c r="H425" s="421">
        <f>B!G22</f>
        <v>0</v>
      </c>
      <c r="I425" s="421">
        <f>B!H22</f>
        <v>0</v>
      </c>
      <c r="J425" s="421">
        <f>B!I22</f>
        <v>0</v>
      </c>
      <c r="K425" s="421">
        <f>B!J22</f>
        <v>0</v>
      </c>
      <c r="L425" s="421">
        <f>B!K22</f>
        <v>0</v>
      </c>
      <c r="M425" s="421">
        <f>B!L22</f>
        <v>0</v>
      </c>
      <c r="N425" s="421">
        <f>B!M22</f>
        <v>0</v>
      </c>
      <c r="O425" s="421">
        <f>B!N22</f>
        <v>0</v>
      </c>
      <c r="P425" s="421">
        <f>B!O22</f>
        <v>0</v>
      </c>
      <c r="Q425" s="444">
        <f>SUM(E425:P425)</f>
        <v>0</v>
      </c>
    </row>
    <row r="426" spans="1:17" x14ac:dyDescent="0.2">
      <c r="A426" s="242">
        <f>A425+1</f>
        <v>22</v>
      </c>
      <c r="C426" s="213" t="s">
        <v>207</v>
      </c>
      <c r="D426" s="608">
        <f>Input!V17</f>
        <v>70.34</v>
      </c>
      <c r="E426" s="386">
        <f t="shared" ref="E426:P426" si="178">ROUND(E425*$D$426,2)</f>
        <v>0</v>
      </c>
      <c r="F426" s="386">
        <f t="shared" si="178"/>
        <v>0</v>
      </c>
      <c r="G426" s="386">
        <f t="shared" si="178"/>
        <v>0</v>
      </c>
      <c r="H426" s="386">
        <f t="shared" si="178"/>
        <v>0</v>
      </c>
      <c r="I426" s="386">
        <f t="shared" si="178"/>
        <v>0</v>
      </c>
      <c r="J426" s="386">
        <f t="shared" si="178"/>
        <v>0</v>
      </c>
      <c r="K426" s="386">
        <f t="shared" si="178"/>
        <v>0</v>
      </c>
      <c r="L426" s="386">
        <f t="shared" si="178"/>
        <v>0</v>
      </c>
      <c r="M426" s="386">
        <f t="shared" si="178"/>
        <v>0</v>
      </c>
      <c r="N426" s="386">
        <f t="shared" si="178"/>
        <v>0</v>
      </c>
      <c r="O426" s="386">
        <f t="shared" si="178"/>
        <v>0</v>
      </c>
      <c r="P426" s="386">
        <f t="shared" si="178"/>
        <v>0</v>
      </c>
      <c r="Q426" s="386">
        <f>SUM(E426:P426)</f>
        <v>0</v>
      </c>
    </row>
    <row r="427" spans="1:17" x14ac:dyDescent="0.2">
      <c r="D427" s="267"/>
      <c r="F427" s="269"/>
      <c r="G427" s="418"/>
      <c r="H427" s="269"/>
      <c r="I427" s="272"/>
      <c r="J427" s="269"/>
      <c r="K427" s="269"/>
    </row>
    <row r="428" spans="1:17" x14ac:dyDescent="0.2">
      <c r="A428" s="242">
        <f>A426+1</f>
        <v>23</v>
      </c>
      <c r="C428" s="213" t="s">
        <v>206</v>
      </c>
      <c r="D428" s="267"/>
      <c r="E428" s="424">
        <f>'C'!D22</f>
        <v>0</v>
      </c>
      <c r="F428" s="424">
        <f>'C'!E22</f>
        <v>0</v>
      </c>
      <c r="G428" s="424">
        <f>'C'!F22</f>
        <v>0</v>
      </c>
      <c r="H428" s="424">
        <f>'C'!G22</f>
        <v>0</v>
      </c>
      <c r="I428" s="424">
        <f>'C'!H22</f>
        <v>0</v>
      </c>
      <c r="J428" s="424">
        <f>'C'!I22</f>
        <v>0</v>
      </c>
      <c r="K428" s="424">
        <f>'C'!J22</f>
        <v>0</v>
      </c>
      <c r="L428" s="424">
        <f>'C'!K22</f>
        <v>0</v>
      </c>
      <c r="M428" s="424">
        <f>'C'!L22</f>
        <v>0</v>
      </c>
      <c r="N428" s="424">
        <f>'C'!M22</f>
        <v>0</v>
      </c>
      <c r="O428" s="424">
        <f>'C'!N22</f>
        <v>0</v>
      </c>
      <c r="P428" s="424">
        <f>'C'!O22</f>
        <v>0</v>
      </c>
      <c r="Q428" s="445">
        <f>SUM(E428:P428)</f>
        <v>0</v>
      </c>
    </row>
    <row r="429" spans="1:17" x14ac:dyDescent="0.2">
      <c r="A429" s="242">
        <f>A428+1</f>
        <v>24</v>
      </c>
      <c r="C429" s="231" t="s">
        <v>209</v>
      </c>
      <c r="D429" s="609">
        <f>Input!Q17</f>
        <v>3.2636000000000003</v>
      </c>
      <c r="E429" s="386">
        <f t="shared" ref="E429:P429" si="179">ROUND(E428*$D$429,2)</f>
        <v>0</v>
      </c>
      <c r="F429" s="386">
        <f t="shared" si="179"/>
        <v>0</v>
      </c>
      <c r="G429" s="386">
        <f t="shared" si="179"/>
        <v>0</v>
      </c>
      <c r="H429" s="386">
        <f t="shared" si="179"/>
        <v>0</v>
      </c>
      <c r="I429" s="386">
        <f t="shared" si="179"/>
        <v>0</v>
      </c>
      <c r="J429" s="386">
        <f t="shared" si="179"/>
        <v>0</v>
      </c>
      <c r="K429" s="386">
        <f t="shared" si="179"/>
        <v>0</v>
      </c>
      <c r="L429" s="386">
        <f t="shared" si="179"/>
        <v>0</v>
      </c>
      <c r="M429" s="386">
        <f t="shared" si="179"/>
        <v>0</v>
      </c>
      <c r="N429" s="386">
        <f t="shared" si="179"/>
        <v>0</v>
      </c>
      <c r="O429" s="386">
        <f t="shared" si="179"/>
        <v>0</v>
      </c>
      <c r="P429" s="386">
        <f t="shared" si="179"/>
        <v>0</v>
      </c>
      <c r="Q429" s="386">
        <f>SUM(E429:P429)</f>
        <v>0</v>
      </c>
    </row>
    <row r="430" spans="1:17" x14ac:dyDescent="0.2">
      <c r="D430" s="267"/>
      <c r="Q430" s="449"/>
    </row>
    <row r="431" spans="1:17" x14ac:dyDescent="0.2">
      <c r="A431" s="497">
        <f>A429+1</f>
        <v>25</v>
      </c>
      <c r="B431" s="279"/>
      <c r="C431" s="279" t="s">
        <v>201</v>
      </c>
      <c r="D431" s="267"/>
      <c r="E431" s="386">
        <f t="shared" ref="E431:P431" si="180">E426+E429</f>
        <v>0</v>
      </c>
      <c r="F431" s="386">
        <f t="shared" si="180"/>
        <v>0</v>
      </c>
      <c r="G431" s="386">
        <f t="shared" si="180"/>
        <v>0</v>
      </c>
      <c r="H431" s="386">
        <f t="shared" si="180"/>
        <v>0</v>
      </c>
      <c r="I431" s="386">
        <f t="shared" si="180"/>
        <v>0</v>
      </c>
      <c r="J431" s="386">
        <f t="shared" si="180"/>
        <v>0</v>
      </c>
      <c r="K431" s="386">
        <f t="shared" si="180"/>
        <v>0</v>
      </c>
      <c r="L431" s="386">
        <f t="shared" si="180"/>
        <v>0</v>
      </c>
      <c r="M431" s="386">
        <f t="shared" si="180"/>
        <v>0</v>
      </c>
      <c r="N431" s="386">
        <f t="shared" si="180"/>
        <v>0</v>
      </c>
      <c r="O431" s="386">
        <f t="shared" si="180"/>
        <v>0</v>
      </c>
      <c r="P431" s="386">
        <f t="shared" si="180"/>
        <v>0</v>
      </c>
      <c r="Q431" s="386">
        <f>SUM(E431:P431)</f>
        <v>0</v>
      </c>
    </row>
    <row r="432" spans="1:17" x14ac:dyDescent="0.2">
      <c r="D432" s="267"/>
      <c r="Q432" s="371"/>
    </row>
    <row r="433" spans="1:17" x14ac:dyDescent="0.2">
      <c r="A433" s="242">
        <f>A431+1</f>
        <v>26</v>
      </c>
      <c r="C433" s="213" t="s">
        <v>205</v>
      </c>
      <c r="D433" s="609">
        <f>EGC</f>
        <v>4.3869999999999996</v>
      </c>
      <c r="E433" s="386">
        <f t="shared" ref="E433:P433" si="181">ROUND(E428*$D$433,2)</f>
        <v>0</v>
      </c>
      <c r="F433" s="386">
        <f t="shared" si="181"/>
        <v>0</v>
      </c>
      <c r="G433" s="386">
        <f t="shared" si="181"/>
        <v>0</v>
      </c>
      <c r="H433" s="386">
        <f t="shared" si="181"/>
        <v>0</v>
      </c>
      <c r="I433" s="386">
        <f t="shared" si="181"/>
        <v>0</v>
      </c>
      <c r="J433" s="386">
        <f t="shared" si="181"/>
        <v>0</v>
      </c>
      <c r="K433" s="386">
        <f t="shared" si="181"/>
        <v>0</v>
      </c>
      <c r="L433" s="386">
        <f t="shared" si="181"/>
        <v>0</v>
      </c>
      <c r="M433" s="386">
        <f t="shared" si="181"/>
        <v>0</v>
      </c>
      <c r="N433" s="386">
        <f t="shared" si="181"/>
        <v>0</v>
      </c>
      <c r="O433" s="386">
        <f t="shared" si="181"/>
        <v>0</v>
      </c>
      <c r="P433" s="386">
        <f t="shared" si="181"/>
        <v>0</v>
      </c>
      <c r="Q433" s="386">
        <f>SUM(E433:P433)</f>
        <v>0</v>
      </c>
    </row>
    <row r="435" spans="1:17" ht="10.5" thickBot="1" x14ac:dyDescent="0.25">
      <c r="A435" s="580">
        <f>A433+1</f>
        <v>27</v>
      </c>
      <c r="B435" s="434"/>
      <c r="C435" s="581" t="s">
        <v>202</v>
      </c>
      <c r="D435" s="582"/>
      <c r="E435" s="435">
        <f t="shared" ref="E435:P435" si="182">E431+E433</f>
        <v>0</v>
      </c>
      <c r="F435" s="435">
        <f t="shared" si="182"/>
        <v>0</v>
      </c>
      <c r="G435" s="435">
        <f t="shared" si="182"/>
        <v>0</v>
      </c>
      <c r="H435" s="435">
        <f t="shared" si="182"/>
        <v>0</v>
      </c>
      <c r="I435" s="435">
        <f t="shared" si="182"/>
        <v>0</v>
      </c>
      <c r="J435" s="435">
        <f t="shared" si="182"/>
        <v>0</v>
      </c>
      <c r="K435" s="435">
        <f t="shared" si="182"/>
        <v>0</v>
      </c>
      <c r="L435" s="435">
        <f t="shared" si="182"/>
        <v>0</v>
      </c>
      <c r="M435" s="435">
        <f t="shared" si="182"/>
        <v>0</v>
      </c>
      <c r="N435" s="435">
        <f t="shared" si="182"/>
        <v>0</v>
      </c>
      <c r="O435" s="435">
        <f t="shared" si="182"/>
        <v>0</v>
      </c>
      <c r="P435" s="435">
        <f t="shared" si="182"/>
        <v>0</v>
      </c>
      <c r="Q435" s="435">
        <f>SUM(E435:P435)</f>
        <v>0</v>
      </c>
    </row>
    <row r="436" spans="1:17" ht="10.5" thickTop="1" x14ac:dyDescent="0.2">
      <c r="A436" s="497"/>
      <c r="B436" s="279"/>
      <c r="C436" s="279"/>
      <c r="D436" s="278"/>
      <c r="E436" s="436"/>
      <c r="F436" s="436"/>
      <c r="G436" s="436"/>
      <c r="H436" s="436"/>
      <c r="I436" s="436"/>
      <c r="J436" s="436"/>
      <c r="K436" s="436"/>
      <c r="L436" s="436"/>
      <c r="M436" s="436"/>
      <c r="N436" s="436"/>
      <c r="O436" s="436"/>
      <c r="P436" s="436"/>
      <c r="Q436" s="407"/>
    </row>
    <row r="437" spans="1:17" x14ac:dyDescent="0.2">
      <c r="A437" s="497"/>
      <c r="B437" s="279"/>
      <c r="C437" s="279"/>
      <c r="D437" s="278"/>
      <c r="E437" s="436"/>
      <c r="F437" s="436"/>
      <c r="G437" s="436"/>
      <c r="H437" s="436"/>
      <c r="I437" s="436"/>
      <c r="J437" s="436"/>
      <c r="K437" s="436"/>
      <c r="L437" s="436"/>
      <c r="M437" s="436"/>
      <c r="N437" s="436"/>
      <c r="O437" s="436"/>
      <c r="P437" s="436"/>
      <c r="Q437" s="407"/>
    </row>
    <row r="438" spans="1:17" x14ac:dyDescent="0.2">
      <c r="A438" s="504" t="str">
        <f>$A$265</f>
        <v>[1] Reflects Normalized Volumes.</v>
      </c>
    </row>
    <row r="439" spans="1:17" x14ac:dyDescent="0.2">
      <c r="A439" s="504" t="str">
        <f>"[2] Reflects Gas Cost Adjustment Rate"&amp;CONCATENATE(" as of ",EGCDATE)&amp;"."</f>
        <v>[2] Reflects Gas Cost Adjustment Rate as of March 1, 2021.</v>
      </c>
      <c r="B439" s="216"/>
      <c r="C439" s="216"/>
      <c r="D439" s="267"/>
      <c r="E439" s="216"/>
      <c r="F439" s="269"/>
      <c r="G439" s="418"/>
      <c r="H439" s="269"/>
      <c r="I439" s="272"/>
      <c r="J439" s="269"/>
      <c r="K439" s="269"/>
      <c r="L439" s="269"/>
      <c r="M439" s="269"/>
      <c r="N439" s="269"/>
      <c r="O439" s="269"/>
      <c r="P439" s="269"/>
      <c r="Q439" s="216"/>
    </row>
    <row r="440" spans="1:17" s="216" customFormat="1" ht="10.5" x14ac:dyDescent="0.25">
      <c r="A440" s="817" t="str">
        <f>CONAME</f>
        <v>Columbia Gas of Kentucky, Inc.</v>
      </c>
      <c r="B440" s="817"/>
      <c r="C440" s="817"/>
      <c r="D440" s="817"/>
      <c r="E440" s="817"/>
      <c r="F440" s="817"/>
      <c r="G440" s="817"/>
      <c r="H440" s="817"/>
      <c r="I440" s="817"/>
      <c r="J440" s="817"/>
      <c r="K440" s="817"/>
      <c r="L440" s="817"/>
      <c r="M440" s="817"/>
      <c r="N440" s="817"/>
      <c r="O440" s="817"/>
      <c r="P440" s="817"/>
      <c r="Q440" s="817"/>
    </row>
    <row r="441" spans="1:17" s="216" customFormat="1" ht="10.5" x14ac:dyDescent="0.25">
      <c r="A441" s="800" t="str">
        <f>case</f>
        <v>Case No. 2021-00183</v>
      </c>
      <c r="B441" s="800"/>
      <c r="C441" s="800"/>
      <c r="D441" s="800"/>
      <c r="E441" s="800"/>
      <c r="F441" s="800"/>
      <c r="G441" s="800"/>
      <c r="H441" s="800"/>
      <c r="I441" s="800"/>
      <c r="J441" s="800"/>
      <c r="K441" s="800"/>
      <c r="L441" s="800"/>
      <c r="M441" s="800"/>
      <c r="N441" s="800"/>
      <c r="O441" s="800"/>
      <c r="P441" s="800"/>
      <c r="Q441" s="800"/>
    </row>
    <row r="442" spans="1:17" s="216" customFormat="1" ht="10.5" x14ac:dyDescent="0.25">
      <c r="A442" s="815" t="s">
        <v>197</v>
      </c>
      <c r="B442" s="815"/>
      <c r="C442" s="815"/>
      <c r="D442" s="815"/>
      <c r="E442" s="815"/>
      <c r="F442" s="815"/>
      <c r="G442" s="815"/>
      <c r="H442" s="815"/>
      <c r="I442" s="815"/>
      <c r="J442" s="815"/>
      <c r="K442" s="815"/>
      <c r="L442" s="815"/>
      <c r="M442" s="815"/>
      <c r="N442" s="815"/>
      <c r="O442" s="815"/>
      <c r="P442" s="815"/>
      <c r="Q442" s="815"/>
    </row>
    <row r="443" spans="1:17" s="216" customFormat="1" ht="10.5" x14ac:dyDescent="0.25">
      <c r="A443" s="817" t="str">
        <f>TYDESC</f>
        <v>For the 12 Months Ended December 31, 2022</v>
      </c>
      <c r="B443" s="817"/>
      <c r="C443" s="817"/>
      <c r="D443" s="817"/>
      <c r="E443" s="817"/>
      <c r="F443" s="817"/>
      <c r="G443" s="817"/>
      <c r="H443" s="817"/>
      <c r="I443" s="817"/>
      <c r="J443" s="817"/>
      <c r="K443" s="817"/>
      <c r="L443" s="817"/>
      <c r="M443" s="817"/>
      <c r="N443" s="817"/>
      <c r="O443" s="817"/>
      <c r="P443" s="817"/>
      <c r="Q443" s="817"/>
    </row>
    <row r="444" spans="1:17" s="216" customFormat="1" ht="10.5" x14ac:dyDescent="0.25">
      <c r="A444" s="814" t="s">
        <v>39</v>
      </c>
      <c r="B444" s="814"/>
      <c r="C444" s="814"/>
      <c r="D444" s="814"/>
      <c r="E444" s="814"/>
      <c r="F444" s="814"/>
      <c r="G444" s="814"/>
      <c r="H444" s="814"/>
      <c r="I444" s="814"/>
      <c r="J444" s="814"/>
      <c r="K444" s="814"/>
      <c r="L444" s="814"/>
      <c r="M444" s="814"/>
      <c r="N444" s="814"/>
      <c r="O444" s="814"/>
      <c r="P444" s="814"/>
      <c r="Q444" s="814"/>
    </row>
    <row r="445" spans="1:17" s="216" customFormat="1" ht="10.5" x14ac:dyDescent="0.25">
      <c r="A445" s="575" t="str">
        <f>$A$52</f>
        <v>Data: __ Base Period _X_ Forecasted Period</v>
      </c>
      <c r="B445" s="245"/>
      <c r="D445" s="267"/>
      <c r="F445" s="269"/>
      <c r="G445" s="418"/>
      <c r="H445" s="269"/>
      <c r="I445" s="272"/>
      <c r="J445" s="269"/>
      <c r="K445" s="269"/>
      <c r="L445" s="269"/>
      <c r="M445" s="269"/>
      <c r="N445" s="269"/>
      <c r="O445" s="269"/>
      <c r="P445" s="269"/>
    </row>
    <row r="446" spans="1:17" s="216" customFormat="1" ht="10.5" x14ac:dyDescent="0.25">
      <c r="A446" s="575" t="str">
        <f>$A$53</f>
        <v>Type of Filing: X Original _ Update _ Revised</v>
      </c>
      <c r="B446" s="245"/>
      <c r="D446" s="267"/>
      <c r="F446" s="269"/>
      <c r="G446" s="418"/>
      <c r="H446" s="269"/>
      <c r="I446" s="272"/>
      <c r="J446" s="269"/>
      <c r="K446" s="269"/>
      <c r="L446" s="269"/>
      <c r="M446" s="269"/>
      <c r="N446" s="269"/>
      <c r="O446" s="269"/>
      <c r="P446" s="269"/>
      <c r="Q446" s="583" t="str">
        <f>$Q$53</f>
        <v>Schedule M-2.3</v>
      </c>
    </row>
    <row r="447" spans="1:17" s="216" customFormat="1" ht="10.5" x14ac:dyDescent="0.25">
      <c r="A447" s="575" t="str">
        <f>$A$54</f>
        <v>Work Paper Reference No(s):</v>
      </c>
      <c r="B447" s="245"/>
      <c r="D447" s="267"/>
      <c r="F447" s="269"/>
      <c r="G447" s="418"/>
      <c r="H447" s="269"/>
      <c r="I447" s="272"/>
      <c r="J447" s="269"/>
      <c r="K447" s="269"/>
      <c r="L447" s="269"/>
      <c r="M447" s="269"/>
      <c r="N447" s="269"/>
      <c r="O447" s="269"/>
      <c r="P447" s="269"/>
      <c r="Q447" s="583" t="s">
        <v>434</v>
      </c>
    </row>
    <row r="448" spans="1:17" s="216" customFormat="1" ht="10.5" x14ac:dyDescent="0.25">
      <c r="A448" s="576" t="str">
        <f>$A$55</f>
        <v>12 Months Forecasted</v>
      </c>
      <c r="B448" s="373"/>
      <c r="D448" s="267"/>
      <c r="F448" s="269"/>
      <c r="G448" s="418"/>
      <c r="H448" s="269"/>
      <c r="I448" s="272"/>
      <c r="J448" s="269"/>
      <c r="K448" s="269"/>
      <c r="L448" s="269"/>
      <c r="M448" s="269"/>
      <c r="N448" s="269"/>
      <c r="O448" s="269"/>
      <c r="P448" s="269"/>
      <c r="Q448" s="583" t="str">
        <f>Witness</f>
        <v>Witness:  Judith L. Siegler</v>
      </c>
    </row>
    <row r="449" spans="1:17" s="216" customFormat="1" ht="10.5" x14ac:dyDescent="0.25">
      <c r="A449" s="816" t="s">
        <v>291</v>
      </c>
      <c r="B449" s="816"/>
      <c r="C449" s="816"/>
      <c r="D449" s="816"/>
      <c r="E449" s="816"/>
      <c r="F449" s="816"/>
      <c r="G449" s="816"/>
      <c r="H449" s="816"/>
      <c r="I449" s="816"/>
      <c r="J449" s="816"/>
      <c r="K449" s="816"/>
      <c r="L449" s="816"/>
      <c r="M449" s="816"/>
      <c r="N449" s="816"/>
      <c r="O449" s="816"/>
      <c r="P449" s="816"/>
      <c r="Q449" s="816"/>
    </row>
    <row r="450" spans="1:17" s="216" customFormat="1" ht="10.5" x14ac:dyDescent="0.25">
      <c r="A450" s="219"/>
      <c r="B450" s="280"/>
      <c r="C450" s="280"/>
      <c r="D450" s="282"/>
      <c r="E450" s="280"/>
      <c r="F450" s="438"/>
      <c r="G450" s="439"/>
      <c r="H450" s="438"/>
      <c r="I450" s="440"/>
      <c r="J450" s="438"/>
      <c r="K450" s="438"/>
      <c r="L450" s="438"/>
      <c r="M450" s="438"/>
      <c r="N450" s="438"/>
      <c r="O450" s="438"/>
      <c r="P450" s="438"/>
      <c r="Q450" s="280"/>
    </row>
    <row r="451" spans="1:17" s="216" customFormat="1" ht="10.5" x14ac:dyDescent="0.25">
      <c r="A451" s="717" t="s">
        <v>1</v>
      </c>
      <c r="B451" s="717" t="s">
        <v>0</v>
      </c>
      <c r="C451" s="717" t="s">
        <v>41</v>
      </c>
      <c r="D451" s="721" t="s">
        <v>30</v>
      </c>
      <c r="E451" s="717"/>
      <c r="F451" s="584"/>
      <c r="G451" s="587"/>
      <c r="H451" s="584"/>
      <c r="I451" s="722"/>
      <c r="J451" s="584"/>
      <c r="K451" s="584"/>
      <c r="L451" s="584"/>
      <c r="M451" s="584"/>
      <c r="N451" s="584"/>
      <c r="O451" s="584"/>
      <c r="P451" s="584"/>
      <c r="Q451" s="723"/>
    </row>
    <row r="452" spans="1:17" s="216" customFormat="1" ht="10.5" x14ac:dyDescent="0.25">
      <c r="A452" s="263" t="s">
        <v>3</v>
      </c>
      <c r="B452" s="263" t="s">
        <v>40</v>
      </c>
      <c r="C452" s="263" t="s">
        <v>4</v>
      </c>
      <c r="D452" s="379" t="s">
        <v>48</v>
      </c>
      <c r="E452" s="380" t="str">
        <f>B!$D$11</f>
        <v>Jan-22</v>
      </c>
      <c r="F452" s="380" t="str">
        <f>B!$E$11</f>
        <v>Feb-22</v>
      </c>
      <c r="G452" s="380" t="str">
        <f>B!$F$11</f>
        <v>Mar-22</v>
      </c>
      <c r="H452" s="380" t="str">
        <f>B!$G$11</f>
        <v>Apr-22</v>
      </c>
      <c r="I452" s="380" t="str">
        <f>B!$H$11</f>
        <v>May-22</v>
      </c>
      <c r="J452" s="380" t="str">
        <f>B!$I$11</f>
        <v>Jun-22</v>
      </c>
      <c r="K452" s="380" t="str">
        <f>B!$J$11</f>
        <v>Jul-22</v>
      </c>
      <c r="L452" s="380" t="str">
        <f>B!$K$11</f>
        <v>Aug-22</v>
      </c>
      <c r="M452" s="380" t="str">
        <f>B!$L$11</f>
        <v>Sep-22</v>
      </c>
      <c r="N452" s="380" t="str">
        <f>B!$M$11</f>
        <v>Oct-22</v>
      </c>
      <c r="O452" s="380" t="str">
        <f>B!$N$11</f>
        <v>Nov-22</v>
      </c>
      <c r="P452" s="380" t="str">
        <f>B!$O$11</f>
        <v>Dec-22</v>
      </c>
      <c r="Q452" s="380" t="s">
        <v>9</v>
      </c>
    </row>
    <row r="453" spans="1:17" s="216" customFormat="1" ht="10.5" x14ac:dyDescent="0.25">
      <c r="A453" s="717"/>
      <c r="B453" s="719" t="s">
        <v>42</v>
      </c>
      <c r="C453" s="719" t="s">
        <v>43</v>
      </c>
      <c r="D453" s="382" t="s">
        <v>45</v>
      </c>
      <c r="E453" s="383" t="s">
        <v>46</v>
      </c>
      <c r="F453" s="383" t="s">
        <v>49</v>
      </c>
      <c r="G453" s="383" t="s">
        <v>50</v>
      </c>
      <c r="H453" s="383" t="s">
        <v>51</v>
      </c>
      <c r="I453" s="383" t="s">
        <v>52</v>
      </c>
      <c r="J453" s="384" t="s">
        <v>53</v>
      </c>
      <c r="K453" s="384" t="s">
        <v>54</v>
      </c>
      <c r="L453" s="384" t="s">
        <v>55</v>
      </c>
      <c r="M453" s="384" t="s">
        <v>56</v>
      </c>
      <c r="N453" s="384" t="s">
        <v>57</v>
      </c>
      <c r="O453" s="384" t="s">
        <v>58</v>
      </c>
      <c r="P453" s="384" t="s">
        <v>59</v>
      </c>
      <c r="Q453" s="384" t="s">
        <v>200</v>
      </c>
    </row>
    <row r="454" spans="1:17" s="216" customFormat="1" ht="10.5" x14ac:dyDescent="0.25">
      <c r="A454" s="242"/>
      <c r="D454" s="267"/>
      <c r="E454" s="723"/>
      <c r="F454" s="588"/>
      <c r="G454" s="585"/>
      <c r="H454" s="588"/>
      <c r="I454" s="586"/>
      <c r="J454" s="588"/>
      <c r="K454" s="588"/>
      <c r="L454" s="588"/>
      <c r="M454" s="588"/>
      <c r="N454" s="588"/>
      <c r="O454" s="588"/>
      <c r="P454" s="588"/>
      <c r="Q454" s="723"/>
    </row>
    <row r="455" spans="1:17" s="216" customFormat="1" x14ac:dyDescent="0.2">
      <c r="A455" s="242"/>
      <c r="D455" s="267"/>
      <c r="F455" s="269"/>
      <c r="G455" s="418"/>
      <c r="H455" s="269"/>
      <c r="I455" s="272"/>
      <c r="J455" s="269"/>
      <c r="K455" s="269"/>
      <c r="L455" s="269"/>
      <c r="M455" s="269"/>
      <c r="N455" s="269"/>
      <c r="O455" s="269"/>
      <c r="P455" s="269"/>
    </row>
    <row r="456" spans="1:17" s="216" customFormat="1" x14ac:dyDescent="0.2">
      <c r="A456" s="242">
        <v>1</v>
      </c>
      <c r="B456" s="216" t="str">
        <f>B78</f>
        <v>G1R</v>
      </c>
      <c r="C456" s="216" t="str">
        <f>C78</f>
        <v>LG&amp;E Residential</v>
      </c>
      <c r="D456" s="267"/>
      <c r="F456" s="269"/>
      <c r="G456" s="418"/>
      <c r="H456" s="269"/>
      <c r="I456" s="272"/>
      <c r="J456" s="269"/>
      <c r="K456" s="269"/>
      <c r="L456" s="269"/>
      <c r="M456" s="269"/>
      <c r="N456" s="269"/>
      <c r="O456" s="269"/>
      <c r="P456" s="269"/>
    </row>
    <row r="457" spans="1:17" s="216" customFormat="1" x14ac:dyDescent="0.2">
      <c r="A457" s="242"/>
      <c r="D457" s="267"/>
      <c r="F457" s="269"/>
      <c r="G457" s="418"/>
      <c r="H457" s="269"/>
      <c r="I457" s="272"/>
      <c r="J457" s="269"/>
      <c r="K457" s="269"/>
      <c r="L457" s="269"/>
      <c r="M457" s="269"/>
      <c r="N457" s="269"/>
      <c r="O457" s="269"/>
      <c r="P457" s="269"/>
    </row>
    <row r="458" spans="1:17" s="216" customFormat="1" ht="10.5" x14ac:dyDescent="0.25">
      <c r="A458" s="242">
        <f>A456+1</f>
        <v>2</v>
      </c>
      <c r="C458" s="245" t="s">
        <v>109</v>
      </c>
      <c r="D458" s="267"/>
      <c r="F458" s="269"/>
      <c r="G458" s="418"/>
      <c r="H458" s="269"/>
      <c r="I458" s="272"/>
      <c r="J458" s="269"/>
      <c r="K458" s="269"/>
      <c r="L458" s="269"/>
      <c r="M458" s="269"/>
      <c r="N458" s="269"/>
      <c r="O458" s="269"/>
      <c r="P458" s="269"/>
    </row>
    <row r="459" spans="1:17" s="216" customFormat="1" x14ac:dyDescent="0.2">
      <c r="A459" s="242"/>
      <c r="D459" s="267"/>
      <c r="F459" s="269"/>
      <c r="G459" s="418"/>
      <c r="H459" s="269"/>
      <c r="I459" s="272"/>
      <c r="J459" s="269"/>
      <c r="K459" s="269"/>
      <c r="L459" s="269"/>
      <c r="M459" s="269"/>
      <c r="N459" s="269"/>
      <c r="O459" s="269"/>
      <c r="P459" s="269"/>
    </row>
    <row r="460" spans="1:17" s="216" customFormat="1" x14ac:dyDescent="0.2">
      <c r="A460" s="242">
        <f>A458+1</f>
        <v>3</v>
      </c>
      <c r="C460" s="216" t="s">
        <v>199</v>
      </c>
      <c r="D460" s="267"/>
      <c r="E460" s="421">
        <f>B!D27</f>
        <v>4</v>
      </c>
      <c r="F460" s="421">
        <f>B!E27</f>
        <v>4</v>
      </c>
      <c r="G460" s="421">
        <f>B!F27</f>
        <v>4</v>
      </c>
      <c r="H460" s="421">
        <f>B!G27</f>
        <v>4</v>
      </c>
      <c r="I460" s="421">
        <f>B!H27</f>
        <v>4</v>
      </c>
      <c r="J460" s="421">
        <f>B!I27</f>
        <v>4</v>
      </c>
      <c r="K460" s="421">
        <f>B!J27</f>
        <v>4</v>
      </c>
      <c r="L460" s="421">
        <f>B!K27</f>
        <v>4</v>
      </c>
      <c r="M460" s="421">
        <f>B!L27</f>
        <v>4</v>
      </c>
      <c r="N460" s="421">
        <f>B!M27</f>
        <v>4</v>
      </c>
      <c r="O460" s="421">
        <f>B!N27</f>
        <v>4</v>
      </c>
      <c r="P460" s="421">
        <f>B!O27</f>
        <v>4</v>
      </c>
      <c r="Q460" s="453">
        <f>SUM(E460:P460)</f>
        <v>48</v>
      </c>
    </row>
    <row r="461" spans="1:17" s="216" customFormat="1" x14ac:dyDescent="0.2">
      <c r="A461" s="242">
        <f>A460+1</f>
        <v>4</v>
      </c>
      <c r="C461" s="216" t="s">
        <v>207</v>
      </c>
      <c r="D461" s="608">
        <f>Input!V18</f>
        <v>22.32</v>
      </c>
      <c r="E461" s="386">
        <f t="shared" ref="E461:P461" si="183">ROUND(E460*$D$461,2)</f>
        <v>89.28</v>
      </c>
      <c r="F461" s="386">
        <f t="shared" si="183"/>
        <v>89.28</v>
      </c>
      <c r="G461" s="386">
        <f t="shared" si="183"/>
        <v>89.28</v>
      </c>
      <c r="H461" s="386">
        <f t="shared" si="183"/>
        <v>89.28</v>
      </c>
      <c r="I461" s="386">
        <f t="shared" si="183"/>
        <v>89.28</v>
      </c>
      <c r="J461" s="386">
        <f t="shared" si="183"/>
        <v>89.28</v>
      </c>
      <c r="K461" s="386">
        <f t="shared" si="183"/>
        <v>89.28</v>
      </c>
      <c r="L461" s="386">
        <f t="shared" si="183"/>
        <v>89.28</v>
      </c>
      <c r="M461" s="386">
        <f t="shared" si="183"/>
        <v>89.28</v>
      </c>
      <c r="N461" s="386">
        <f t="shared" si="183"/>
        <v>89.28</v>
      </c>
      <c r="O461" s="386">
        <f t="shared" si="183"/>
        <v>89.28</v>
      </c>
      <c r="P461" s="386">
        <f t="shared" si="183"/>
        <v>89.28</v>
      </c>
      <c r="Q461" s="386">
        <f>SUM(E461:P461)</f>
        <v>1071.3599999999999</v>
      </c>
    </row>
    <row r="462" spans="1:17" s="216" customFormat="1" x14ac:dyDescent="0.2">
      <c r="A462" s="242"/>
      <c r="D462" s="267"/>
      <c r="F462" s="269"/>
      <c r="G462" s="418"/>
      <c r="H462" s="269"/>
      <c r="I462" s="272"/>
      <c r="J462" s="269"/>
      <c r="K462" s="269"/>
      <c r="L462" s="269"/>
      <c r="M462" s="269"/>
      <c r="N462" s="269"/>
      <c r="O462" s="269"/>
      <c r="P462" s="269"/>
    </row>
    <row r="463" spans="1:17" s="216" customFormat="1" x14ac:dyDescent="0.2">
      <c r="A463" s="242">
        <f>A461+1</f>
        <v>5</v>
      </c>
      <c r="C463" s="216" t="s">
        <v>206</v>
      </c>
      <c r="D463" s="267"/>
      <c r="E463" s="424">
        <f>'C'!D27</f>
        <v>90.7</v>
      </c>
      <c r="F463" s="424">
        <f>'C'!E27</f>
        <v>99.9</v>
      </c>
      <c r="G463" s="424">
        <f>'C'!F27</f>
        <v>67.7</v>
      </c>
      <c r="H463" s="424">
        <f>'C'!G27</f>
        <v>41.7</v>
      </c>
      <c r="I463" s="424">
        <f>'C'!H27</f>
        <v>15.5</v>
      </c>
      <c r="J463" s="424">
        <f>'C'!I27</f>
        <v>6.8</v>
      </c>
      <c r="K463" s="424">
        <f>'C'!J27</f>
        <v>2</v>
      </c>
      <c r="L463" s="424">
        <f>'C'!K27</f>
        <v>2.2000000000000002</v>
      </c>
      <c r="M463" s="424">
        <f>'C'!L27</f>
        <v>3.5</v>
      </c>
      <c r="N463" s="424">
        <f>'C'!M27</f>
        <v>14.4</v>
      </c>
      <c r="O463" s="424">
        <f>'C'!N27</f>
        <v>39.299999999999997</v>
      </c>
      <c r="P463" s="424">
        <f>'C'!O27</f>
        <v>68.7</v>
      </c>
      <c r="Q463" s="589">
        <f>SUM(E463:P463)</f>
        <v>452.4</v>
      </c>
    </row>
    <row r="464" spans="1:17" s="216" customFormat="1" x14ac:dyDescent="0.2">
      <c r="A464" s="242">
        <f>A463+1</f>
        <v>6</v>
      </c>
      <c r="C464" s="267" t="s">
        <v>209</v>
      </c>
      <c r="D464" s="609">
        <f>Input!Q18</f>
        <v>3.9009999999999998</v>
      </c>
      <c r="E464" s="386">
        <f t="shared" ref="E464:P464" si="184">ROUND(E463*$D$464,2)</f>
        <v>353.82</v>
      </c>
      <c r="F464" s="386">
        <f t="shared" si="184"/>
        <v>389.71</v>
      </c>
      <c r="G464" s="386">
        <f t="shared" si="184"/>
        <v>264.10000000000002</v>
      </c>
      <c r="H464" s="386">
        <f t="shared" si="184"/>
        <v>162.66999999999999</v>
      </c>
      <c r="I464" s="386">
        <f t="shared" si="184"/>
        <v>60.47</v>
      </c>
      <c r="J464" s="386">
        <f t="shared" si="184"/>
        <v>26.53</v>
      </c>
      <c r="K464" s="386">
        <f t="shared" si="184"/>
        <v>7.8</v>
      </c>
      <c r="L464" s="386">
        <f t="shared" si="184"/>
        <v>8.58</v>
      </c>
      <c r="M464" s="386">
        <f t="shared" si="184"/>
        <v>13.65</v>
      </c>
      <c r="N464" s="386">
        <f t="shared" si="184"/>
        <v>56.17</v>
      </c>
      <c r="O464" s="386">
        <f t="shared" si="184"/>
        <v>153.31</v>
      </c>
      <c r="P464" s="386">
        <f t="shared" si="184"/>
        <v>268</v>
      </c>
      <c r="Q464" s="386">
        <f>SUM(E464:P464)</f>
        <v>1764.81</v>
      </c>
    </row>
    <row r="465" spans="1:17" s="216" customFormat="1" x14ac:dyDescent="0.2">
      <c r="A465" s="242"/>
      <c r="D465" s="267"/>
      <c r="F465" s="269"/>
      <c r="G465" s="418"/>
      <c r="H465" s="269"/>
      <c r="I465" s="272"/>
      <c r="J465" s="269"/>
      <c r="K465" s="269"/>
      <c r="L465" s="269"/>
      <c r="M465" s="269"/>
      <c r="N465" s="269"/>
      <c r="O465" s="269"/>
      <c r="P465" s="269"/>
      <c r="Q465" s="456"/>
    </row>
    <row r="466" spans="1:17" s="216" customFormat="1" x14ac:dyDescent="0.2">
      <c r="A466" s="497">
        <f>A464+1</f>
        <v>7</v>
      </c>
      <c r="B466" s="280"/>
      <c r="C466" s="280" t="s">
        <v>201</v>
      </c>
      <c r="D466" s="267"/>
      <c r="E466" s="386">
        <f t="shared" ref="E466:P466" si="185">E461+E464</f>
        <v>443.1</v>
      </c>
      <c r="F466" s="386">
        <f t="shared" si="185"/>
        <v>478.99</v>
      </c>
      <c r="G466" s="386">
        <f t="shared" si="185"/>
        <v>353.38</v>
      </c>
      <c r="H466" s="386">
        <f t="shared" si="185"/>
        <v>251.95</v>
      </c>
      <c r="I466" s="386">
        <f t="shared" si="185"/>
        <v>149.75</v>
      </c>
      <c r="J466" s="386">
        <f t="shared" si="185"/>
        <v>115.81</v>
      </c>
      <c r="K466" s="386">
        <f t="shared" si="185"/>
        <v>97.08</v>
      </c>
      <c r="L466" s="386">
        <f t="shared" si="185"/>
        <v>97.86</v>
      </c>
      <c r="M466" s="386">
        <f t="shared" si="185"/>
        <v>102.93</v>
      </c>
      <c r="N466" s="386">
        <f t="shared" si="185"/>
        <v>145.44999999999999</v>
      </c>
      <c r="O466" s="386">
        <f t="shared" si="185"/>
        <v>242.59</v>
      </c>
      <c r="P466" s="386">
        <f t="shared" si="185"/>
        <v>357.28</v>
      </c>
      <c r="Q466" s="386">
        <f>SUM(E466:P466)</f>
        <v>2836.17</v>
      </c>
    </row>
    <row r="467" spans="1:17" s="216" customFormat="1" x14ac:dyDescent="0.2">
      <c r="A467" s="242"/>
      <c r="D467" s="267"/>
      <c r="F467" s="269"/>
      <c r="G467" s="418"/>
      <c r="H467" s="269"/>
      <c r="I467" s="272"/>
      <c r="J467" s="269"/>
      <c r="K467" s="269"/>
      <c r="L467" s="269"/>
      <c r="M467" s="269"/>
      <c r="N467" s="269"/>
      <c r="O467" s="269"/>
      <c r="P467" s="269"/>
      <c r="Q467" s="418"/>
    </row>
    <row r="468" spans="1:17" s="216" customFormat="1" x14ac:dyDescent="0.2">
      <c r="A468" s="242">
        <f>A466+1</f>
        <v>8</v>
      </c>
      <c r="C468" s="216" t="s">
        <v>205</v>
      </c>
      <c r="D468" s="609">
        <f>EGC</f>
        <v>4.3869999999999996</v>
      </c>
      <c r="E468" s="386">
        <f t="shared" ref="E468:P468" si="186">ROUND(E463*$D$468,2)</f>
        <v>397.9</v>
      </c>
      <c r="F468" s="386">
        <f t="shared" si="186"/>
        <v>438.26</v>
      </c>
      <c r="G468" s="386">
        <f t="shared" si="186"/>
        <v>297</v>
      </c>
      <c r="H468" s="386">
        <f t="shared" si="186"/>
        <v>182.94</v>
      </c>
      <c r="I468" s="386">
        <f t="shared" si="186"/>
        <v>68</v>
      </c>
      <c r="J468" s="386">
        <f t="shared" si="186"/>
        <v>29.83</v>
      </c>
      <c r="K468" s="386">
        <f t="shared" si="186"/>
        <v>8.77</v>
      </c>
      <c r="L468" s="386">
        <f t="shared" si="186"/>
        <v>9.65</v>
      </c>
      <c r="M468" s="386">
        <f t="shared" si="186"/>
        <v>15.35</v>
      </c>
      <c r="N468" s="386">
        <f t="shared" si="186"/>
        <v>63.17</v>
      </c>
      <c r="O468" s="386">
        <f t="shared" si="186"/>
        <v>172.41</v>
      </c>
      <c r="P468" s="386">
        <f t="shared" si="186"/>
        <v>301.39</v>
      </c>
      <c r="Q468" s="386">
        <f>SUM(E468:P468)</f>
        <v>1984.67</v>
      </c>
    </row>
    <row r="469" spans="1:17" s="216" customFormat="1" x14ac:dyDescent="0.2">
      <c r="A469" s="242"/>
      <c r="D469" s="267"/>
      <c r="F469" s="269"/>
      <c r="G469" s="418"/>
      <c r="H469" s="269"/>
      <c r="I469" s="272"/>
      <c r="J469" s="269"/>
      <c r="K469" s="269"/>
      <c r="L469" s="269"/>
      <c r="M469" s="269"/>
      <c r="N469" s="269"/>
      <c r="O469" s="269"/>
      <c r="P469" s="269"/>
    </row>
    <row r="470" spans="1:17" s="216" customFormat="1" ht="10.5" thickBot="1" x14ac:dyDescent="0.25">
      <c r="A470" s="580">
        <f>A468+1</f>
        <v>9</v>
      </c>
      <c r="B470" s="434"/>
      <c r="C470" s="581" t="s">
        <v>202</v>
      </c>
      <c r="D470" s="582"/>
      <c r="E470" s="435">
        <f t="shared" ref="E470:P470" si="187">E466+E468</f>
        <v>841</v>
      </c>
      <c r="F470" s="435">
        <f t="shared" si="187"/>
        <v>917.25</v>
      </c>
      <c r="G470" s="435">
        <f t="shared" si="187"/>
        <v>650.38</v>
      </c>
      <c r="H470" s="435">
        <f t="shared" si="187"/>
        <v>434.89</v>
      </c>
      <c r="I470" s="435">
        <f t="shared" si="187"/>
        <v>217.75</v>
      </c>
      <c r="J470" s="435">
        <f t="shared" si="187"/>
        <v>145.63999999999999</v>
      </c>
      <c r="K470" s="435">
        <f t="shared" si="187"/>
        <v>105.85</v>
      </c>
      <c r="L470" s="435">
        <f t="shared" si="187"/>
        <v>107.51</v>
      </c>
      <c r="M470" s="435">
        <f t="shared" si="187"/>
        <v>118.28</v>
      </c>
      <c r="N470" s="435">
        <f t="shared" si="187"/>
        <v>208.62</v>
      </c>
      <c r="O470" s="435">
        <f t="shared" si="187"/>
        <v>415</v>
      </c>
      <c r="P470" s="435">
        <f t="shared" si="187"/>
        <v>658.67</v>
      </c>
      <c r="Q470" s="435">
        <f>SUM(E470:P470)</f>
        <v>4820.84</v>
      </c>
    </row>
    <row r="471" spans="1:17" s="216" customFormat="1" ht="10.5" thickTop="1" x14ac:dyDescent="0.2">
      <c r="A471" s="497"/>
      <c r="B471" s="280"/>
      <c r="C471" s="280"/>
      <c r="D471" s="282"/>
      <c r="E471" s="489"/>
      <c r="F471" s="489"/>
      <c r="G471" s="489"/>
      <c r="H471" s="489"/>
      <c r="I471" s="489"/>
      <c r="J471" s="489"/>
      <c r="K471" s="489"/>
      <c r="L471" s="489"/>
      <c r="M471" s="489"/>
      <c r="N471" s="489"/>
      <c r="O471" s="489"/>
      <c r="P471" s="489"/>
      <c r="Q471" s="590"/>
    </row>
    <row r="472" spans="1:17" s="216" customFormat="1" x14ac:dyDescent="0.2">
      <c r="A472" s="497"/>
      <c r="B472" s="280"/>
      <c r="C472" s="280"/>
      <c r="D472" s="282"/>
      <c r="E472" s="489"/>
      <c r="F472" s="489"/>
      <c r="G472" s="489"/>
      <c r="H472" s="489"/>
      <c r="I472" s="489"/>
      <c r="J472" s="489"/>
      <c r="K472" s="489"/>
      <c r="L472" s="489"/>
      <c r="M472" s="489"/>
      <c r="N472" s="489"/>
      <c r="O472" s="489"/>
      <c r="P472" s="489"/>
      <c r="Q472" s="590"/>
    </row>
    <row r="473" spans="1:17" s="216" customFormat="1" x14ac:dyDescent="0.2">
      <c r="A473" s="242">
        <f>A470+1</f>
        <v>10</v>
      </c>
      <c r="B473" s="216" t="str">
        <f>B85</f>
        <v>IN3</v>
      </c>
      <c r="C473" s="216" t="str">
        <f>C85</f>
        <v>Inland Gas General Service - Residential</v>
      </c>
      <c r="D473" s="267"/>
      <c r="F473" s="269"/>
      <c r="G473" s="418"/>
      <c r="H473" s="269"/>
      <c r="I473" s="272"/>
      <c r="J473" s="269"/>
      <c r="K473" s="269"/>
      <c r="L473" s="269"/>
      <c r="M473" s="269"/>
      <c r="N473" s="269"/>
      <c r="O473" s="269"/>
      <c r="P473" s="269"/>
    </row>
    <row r="474" spans="1:17" s="216" customFormat="1" x14ac:dyDescent="0.2">
      <c r="A474" s="242"/>
      <c r="D474" s="267"/>
      <c r="F474" s="269"/>
      <c r="G474" s="418"/>
      <c r="H474" s="269"/>
      <c r="I474" s="272"/>
      <c r="J474" s="269"/>
      <c r="K474" s="269"/>
      <c r="L474" s="269"/>
      <c r="M474" s="269"/>
      <c r="N474" s="269"/>
      <c r="O474" s="269"/>
      <c r="P474" s="269"/>
    </row>
    <row r="475" spans="1:17" s="216" customFormat="1" ht="10.5" x14ac:dyDescent="0.25">
      <c r="A475" s="242">
        <f>A473+1</f>
        <v>11</v>
      </c>
      <c r="C475" s="245" t="s">
        <v>109</v>
      </c>
      <c r="D475" s="267"/>
      <c r="F475" s="269"/>
      <c r="G475" s="418"/>
      <c r="H475" s="269"/>
      <c r="I475" s="272"/>
      <c r="J475" s="269"/>
      <c r="K475" s="269"/>
      <c r="L475" s="269"/>
      <c r="M475" s="269"/>
      <c r="N475" s="269"/>
      <c r="O475" s="269"/>
      <c r="P475" s="269"/>
    </row>
    <row r="476" spans="1:17" s="216" customFormat="1" x14ac:dyDescent="0.2">
      <c r="A476" s="242"/>
      <c r="D476" s="267"/>
      <c r="F476" s="269"/>
      <c r="G476" s="418"/>
      <c r="H476" s="269"/>
      <c r="I476" s="272"/>
      <c r="J476" s="269"/>
      <c r="K476" s="269"/>
      <c r="L476" s="269"/>
      <c r="M476" s="269"/>
      <c r="N476" s="269"/>
      <c r="O476" s="269"/>
      <c r="P476" s="269"/>
    </row>
    <row r="477" spans="1:17" s="216" customFormat="1" x14ac:dyDescent="0.2">
      <c r="A477" s="242">
        <f>A475+1</f>
        <v>12</v>
      </c>
      <c r="C477" s="216" t="s">
        <v>199</v>
      </c>
      <c r="D477" s="267"/>
      <c r="E477" s="421">
        <f>B!D32</f>
        <v>10</v>
      </c>
      <c r="F477" s="421">
        <f>B!E32</f>
        <v>10</v>
      </c>
      <c r="G477" s="421">
        <f>B!F32</f>
        <v>10</v>
      </c>
      <c r="H477" s="421">
        <f>B!G32</f>
        <v>10</v>
      </c>
      <c r="I477" s="421">
        <f>B!H32</f>
        <v>10</v>
      </c>
      <c r="J477" s="421">
        <f>B!I32</f>
        <v>10</v>
      </c>
      <c r="K477" s="421">
        <f>B!J32</f>
        <v>10</v>
      </c>
      <c r="L477" s="421">
        <f>B!K32</f>
        <v>10</v>
      </c>
      <c r="M477" s="421">
        <f>B!L32</f>
        <v>10</v>
      </c>
      <c r="N477" s="421">
        <f>B!M32</f>
        <v>10</v>
      </c>
      <c r="O477" s="421">
        <f>B!N32</f>
        <v>10</v>
      </c>
      <c r="P477" s="421">
        <f>B!O32</f>
        <v>10</v>
      </c>
      <c r="Q477" s="453">
        <f>SUM(E477:P477)</f>
        <v>120</v>
      </c>
    </row>
    <row r="478" spans="1:17" s="216" customFormat="1" x14ac:dyDescent="0.2">
      <c r="A478" s="242">
        <f>A477+1</f>
        <v>13</v>
      </c>
      <c r="C478" s="216" t="s">
        <v>207</v>
      </c>
      <c r="D478" s="608">
        <f>Input!V19</f>
        <v>0</v>
      </c>
      <c r="E478" s="386">
        <f t="shared" ref="E478:P478" si="188">ROUND(E477*$D$478,2)</f>
        <v>0</v>
      </c>
      <c r="F478" s="386">
        <f t="shared" si="188"/>
        <v>0</v>
      </c>
      <c r="G478" s="386">
        <f t="shared" si="188"/>
        <v>0</v>
      </c>
      <c r="H478" s="386">
        <f t="shared" si="188"/>
        <v>0</v>
      </c>
      <c r="I478" s="386">
        <f t="shared" si="188"/>
        <v>0</v>
      </c>
      <c r="J478" s="386">
        <f t="shared" si="188"/>
        <v>0</v>
      </c>
      <c r="K478" s="386">
        <f t="shared" si="188"/>
        <v>0</v>
      </c>
      <c r="L478" s="386">
        <f t="shared" si="188"/>
        <v>0</v>
      </c>
      <c r="M478" s="386">
        <f t="shared" si="188"/>
        <v>0</v>
      </c>
      <c r="N478" s="386">
        <f t="shared" si="188"/>
        <v>0</v>
      </c>
      <c r="O478" s="386">
        <f t="shared" si="188"/>
        <v>0</v>
      </c>
      <c r="P478" s="386">
        <f t="shared" si="188"/>
        <v>0</v>
      </c>
      <c r="Q478" s="386">
        <f>SUM(E478:P478)</f>
        <v>0</v>
      </c>
    </row>
    <row r="479" spans="1:17" s="216" customFormat="1" x14ac:dyDescent="0.2">
      <c r="A479" s="242"/>
      <c r="D479" s="267"/>
      <c r="F479" s="269"/>
      <c r="G479" s="418"/>
      <c r="H479" s="269"/>
      <c r="I479" s="272"/>
      <c r="J479" s="269"/>
      <c r="K479" s="269"/>
      <c r="L479" s="269"/>
      <c r="M479" s="269"/>
      <c r="N479" s="269"/>
      <c r="O479" s="269"/>
      <c r="P479" s="269"/>
    </row>
    <row r="480" spans="1:17" s="216" customFormat="1" x14ac:dyDescent="0.2">
      <c r="A480" s="242">
        <f>A478+1</f>
        <v>14</v>
      </c>
      <c r="C480" s="267" t="s">
        <v>206</v>
      </c>
      <c r="D480" s="267"/>
      <c r="E480" s="424">
        <f>'C'!D32</f>
        <v>277.89999999999998</v>
      </c>
      <c r="F480" s="424">
        <f>'C'!E32</f>
        <v>245</v>
      </c>
      <c r="G480" s="424">
        <f>'C'!F32</f>
        <v>198.6</v>
      </c>
      <c r="H480" s="424">
        <f>'C'!G32</f>
        <v>145.4</v>
      </c>
      <c r="I480" s="424">
        <f>'C'!H32</f>
        <v>58.8</v>
      </c>
      <c r="J480" s="424">
        <f>'C'!I32</f>
        <v>19.399999999999999</v>
      </c>
      <c r="K480" s="424">
        <f>'C'!J32</f>
        <v>11.6</v>
      </c>
      <c r="L480" s="424">
        <f>'C'!K32</f>
        <v>12.1</v>
      </c>
      <c r="M480" s="424">
        <f>'C'!L32</f>
        <v>15.1</v>
      </c>
      <c r="N480" s="424">
        <f>'C'!M32</f>
        <v>45.2</v>
      </c>
      <c r="O480" s="424">
        <f>'C'!N32</f>
        <v>118.1</v>
      </c>
      <c r="P480" s="424">
        <f>'C'!O32</f>
        <v>235.4</v>
      </c>
      <c r="Q480" s="589">
        <f>SUM(E480:P480)</f>
        <v>1382.6</v>
      </c>
    </row>
    <row r="481" spans="1:17" s="216" customFormat="1" x14ac:dyDescent="0.2">
      <c r="A481" s="242">
        <f>A480+1</f>
        <v>15</v>
      </c>
      <c r="C481" s="216" t="s">
        <v>209</v>
      </c>
      <c r="D481" s="609">
        <f>Input!Q19</f>
        <v>0.4</v>
      </c>
      <c r="E481" s="386">
        <f t="shared" ref="E481:P481" si="189">ROUND(E480*$D$481,2)</f>
        <v>111.16</v>
      </c>
      <c r="F481" s="386">
        <f t="shared" si="189"/>
        <v>98</v>
      </c>
      <c r="G481" s="386">
        <f t="shared" si="189"/>
        <v>79.44</v>
      </c>
      <c r="H481" s="386">
        <f t="shared" si="189"/>
        <v>58.16</v>
      </c>
      <c r="I481" s="386">
        <f t="shared" si="189"/>
        <v>23.52</v>
      </c>
      <c r="J481" s="386">
        <f t="shared" si="189"/>
        <v>7.76</v>
      </c>
      <c r="K481" s="386">
        <f t="shared" si="189"/>
        <v>4.6399999999999997</v>
      </c>
      <c r="L481" s="386">
        <f t="shared" si="189"/>
        <v>4.84</v>
      </c>
      <c r="M481" s="386">
        <f t="shared" si="189"/>
        <v>6.04</v>
      </c>
      <c r="N481" s="386">
        <f t="shared" si="189"/>
        <v>18.079999999999998</v>
      </c>
      <c r="O481" s="386">
        <f t="shared" si="189"/>
        <v>47.24</v>
      </c>
      <c r="P481" s="386">
        <f t="shared" si="189"/>
        <v>94.16</v>
      </c>
      <c r="Q481" s="386">
        <f>SUM(E481:P481)</f>
        <v>553.04</v>
      </c>
    </row>
    <row r="482" spans="1:17" s="216" customFormat="1" x14ac:dyDescent="0.2">
      <c r="A482" s="242">
        <f t="shared" ref="A482:A483" si="190">A481+1</f>
        <v>16</v>
      </c>
      <c r="C482" s="216" t="s">
        <v>553</v>
      </c>
      <c r="D482" s="609">
        <f>Input!$AA$19</f>
        <v>1.44E-2</v>
      </c>
      <c r="E482" s="385">
        <f>ROUND(E480*$D$482,2)</f>
        <v>4</v>
      </c>
      <c r="F482" s="685">
        <f t="shared" ref="F482:P482" si="191">ROUND(F480*$D$482,2)</f>
        <v>3.53</v>
      </c>
      <c r="G482" s="685">
        <f t="shared" si="191"/>
        <v>2.86</v>
      </c>
      <c r="H482" s="685">
        <f t="shared" si="191"/>
        <v>2.09</v>
      </c>
      <c r="I482" s="685">
        <f t="shared" si="191"/>
        <v>0.85</v>
      </c>
      <c r="J482" s="685">
        <f t="shared" si="191"/>
        <v>0.28000000000000003</v>
      </c>
      <c r="K482" s="685">
        <f t="shared" si="191"/>
        <v>0.17</v>
      </c>
      <c r="L482" s="685">
        <f t="shared" si="191"/>
        <v>0.17</v>
      </c>
      <c r="M482" s="685">
        <f t="shared" si="191"/>
        <v>0.22</v>
      </c>
      <c r="N482" s="685">
        <f t="shared" si="191"/>
        <v>0.65</v>
      </c>
      <c r="O482" s="685">
        <f t="shared" si="191"/>
        <v>1.7</v>
      </c>
      <c r="P482" s="685">
        <f t="shared" si="191"/>
        <v>3.39</v>
      </c>
      <c r="Q482" s="685">
        <f>SUM(E482:P482)</f>
        <v>19.91</v>
      </c>
    </row>
    <row r="483" spans="1:17" s="216" customFormat="1" x14ac:dyDescent="0.2">
      <c r="A483" s="242">
        <f t="shared" si="190"/>
        <v>17</v>
      </c>
      <c r="C483" s="216" t="s">
        <v>201</v>
      </c>
      <c r="D483" s="267"/>
      <c r="E483" s="386">
        <f>E478+E481+E482</f>
        <v>115.16</v>
      </c>
      <c r="F483" s="386">
        <f t="shared" ref="F483:P483" si="192">F478+F481+F482</f>
        <v>101.53</v>
      </c>
      <c r="G483" s="386">
        <f t="shared" si="192"/>
        <v>82.3</v>
      </c>
      <c r="H483" s="386">
        <f t="shared" si="192"/>
        <v>60.25</v>
      </c>
      <c r="I483" s="386">
        <f t="shared" si="192"/>
        <v>24.37</v>
      </c>
      <c r="J483" s="386">
        <f t="shared" si="192"/>
        <v>8.0399999999999991</v>
      </c>
      <c r="K483" s="386">
        <f t="shared" si="192"/>
        <v>4.8099999999999996</v>
      </c>
      <c r="L483" s="386">
        <f t="shared" si="192"/>
        <v>5.01</v>
      </c>
      <c r="M483" s="386">
        <f t="shared" si="192"/>
        <v>6.26</v>
      </c>
      <c r="N483" s="386">
        <f t="shared" si="192"/>
        <v>18.729999999999997</v>
      </c>
      <c r="O483" s="386">
        <f t="shared" si="192"/>
        <v>48.940000000000005</v>
      </c>
      <c r="P483" s="386">
        <f t="shared" si="192"/>
        <v>97.55</v>
      </c>
      <c r="Q483" s="386">
        <f>SUM(E483:P483)</f>
        <v>572.95000000000005</v>
      </c>
    </row>
    <row r="484" spans="1:17" s="216" customFormat="1" x14ac:dyDescent="0.2">
      <c r="A484" s="242"/>
      <c r="D484" s="267"/>
      <c r="F484" s="269"/>
      <c r="G484" s="418"/>
      <c r="H484" s="269"/>
      <c r="I484" s="272"/>
      <c r="J484" s="269"/>
      <c r="K484" s="269"/>
      <c r="L484" s="269"/>
      <c r="M484" s="269"/>
      <c r="N484" s="269"/>
      <c r="O484" s="269"/>
      <c r="P484" s="269"/>
      <c r="Q484" s="418"/>
    </row>
    <row r="485" spans="1:17" s="216" customFormat="1" x14ac:dyDescent="0.2">
      <c r="A485" s="242">
        <f>A483+1</f>
        <v>18</v>
      </c>
      <c r="C485" s="216" t="s">
        <v>148</v>
      </c>
      <c r="D485" s="609">
        <v>0</v>
      </c>
      <c r="E485" s="386">
        <v>0</v>
      </c>
      <c r="F485" s="386">
        <v>0</v>
      </c>
      <c r="G485" s="386">
        <v>0</v>
      </c>
      <c r="H485" s="386">
        <v>0</v>
      </c>
      <c r="I485" s="386">
        <v>0</v>
      </c>
      <c r="J485" s="386">
        <v>0</v>
      </c>
      <c r="K485" s="386">
        <v>0</v>
      </c>
      <c r="L485" s="386">
        <v>0</v>
      </c>
      <c r="M485" s="386">
        <v>0</v>
      </c>
      <c r="N485" s="386">
        <v>0</v>
      </c>
      <c r="O485" s="386">
        <v>0</v>
      </c>
      <c r="P485" s="386">
        <v>0</v>
      </c>
      <c r="Q485" s="386">
        <f>SUM(E485:P485)</f>
        <v>0</v>
      </c>
    </row>
    <row r="486" spans="1:17" s="216" customFormat="1" x14ac:dyDescent="0.2">
      <c r="A486" s="242"/>
      <c r="D486" s="446"/>
      <c r="F486" s="269"/>
      <c r="G486" s="418"/>
      <c r="H486" s="269"/>
      <c r="I486" s="272"/>
      <c r="J486" s="269"/>
      <c r="K486" s="269"/>
      <c r="L486" s="269"/>
      <c r="M486" s="269"/>
      <c r="N486" s="269"/>
      <c r="O486" s="269"/>
      <c r="P486" s="269"/>
    </row>
    <row r="487" spans="1:17" s="216" customFormat="1" ht="10.5" thickBot="1" x14ac:dyDescent="0.25">
      <c r="A487" s="580">
        <f>A485+1</f>
        <v>19</v>
      </c>
      <c r="B487" s="434"/>
      <c r="C487" s="581" t="s">
        <v>202</v>
      </c>
      <c r="D487" s="582"/>
      <c r="E487" s="435">
        <f t="shared" ref="E487:P487" si="193">E483+E485</f>
        <v>115.16</v>
      </c>
      <c r="F487" s="435">
        <f t="shared" si="193"/>
        <v>101.53</v>
      </c>
      <c r="G487" s="435">
        <f t="shared" si="193"/>
        <v>82.3</v>
      </c>
      <c r="H487" s="435">
        <f t="shared" si="193"/>
        <v>60.25</v>
      </c>
      <c r="I487" s="435">
        <f t="shared" si="193"/>
        <v>24.37</v>
      </c>
      <c r="J487" s="435">
        <f t="shared" si="193"/>
        <v>8.0399999999999991</v>
      </c>
      <c r="K487" s="435">
        <f t="shared" si="193"/>
        <v>4.8099999999999996</v>
      </c>
      <c r="L487" s="435">
        <f t="shared" si="193"/>
        <v>5.01</v>
      </c>
      <c r="M487" s="435">
        <f t="shared" si="193"/>
        <v>6.26</v>
      </c>
      <c r="N487" s="435">
        <f t="shared" si="193"/>
        <v>18.729999999999997</v>
      </c>
      <c r="O487" s="435">
        <f t="shared" si="193"/>
        <v>48.940000000000005</v>
      </c>
      <c r="P487" s="435">
        <f t="shared" si="193"/>
        <v>97.55</v>
      </c>
      <c r="Q487" s="435">
        <f>SUM(E487:P487)</f>
        <v>572.95000000000005</v>
      </c>
    </row>
    <row r="488" spans="1:17" s="216" customFormat="1" ht="10.5" thickTop="1" x14ac:dyDescent="0.2">
      <c r="A488" s="242"/>
      <c r="D488" s="267"/>
      <c r="E488" s="430"/>
      <c r="F488" s="430"/>
      <c r="G488" s="430"/>
      <c r="H488" s="430"/>
      <c r="I488" s="430"/>
      <c r="J488" s="430"/>
      <c r="K488" s="430"/>
      <c r="L488" s="430"/>
      <c r="M488" s="430"/>
      <c r="N488" s="430"/>
      <c r="O488" s="430"/>
      <c r="P488" s="430"/>
      <c r="Q488" s="430"/>
    </row>
    <row r="489" spans="1:17" s="216" customFormat="1" x14ac:dyDescent="0.2">
      <c r="A489" s="242"/>
      <c r="D489" s="267"/>
      <c r="E489" s="430"/>
      <c r="F489" s="430"/>
      <c r="G489" s="430"/>
      <c r="H489" s="430"/>
      <c r="I489" s="430"/>
      <c r="J489" s="430"/>
      <c r="K489" s="430"/>
      <c r="L489" s="430"/>
      <c r="M489" s="430"/>
      <c r="N489" s="430"/>
      <c r="O489" s="430"/>
      <c r="P489" s="430"/>
      <c r="Q489" s="430"/>
    </row>
    <row r="490" spans="1:17" s="216" customFormat="1" x14ac:dyDescent="0.2">
      <c r="A490" s="242">
        <v>1</v>
      </c>
      <c r="B490" s="216" t="str">
        <f>B92</f>
        <v>IN4</v>
      </c>
      <c r="C490" s="216" t="str">
        <f>C92</f>
        <v>Inland Gas General Service - Residential</v>
      </c>
      <c r="D490" s="267"/>
      <c r="F490" s="269"/>
      <c r="G490" s="418"/>
      <c r="H490" s="269"/>
      <c r="I490" s="272"/>
      <c r="J490" s="269"/>
      <c r="K490" s="269"/>
      <c r="L490" s="269"/>
      <c r="M490" s="269"/>
      <c r="N490" s="269"/>
      <c r="O490" s="269"/>
      <c r="P490" s="269"/>
    </row>
    <row r="491" spans="1:17" s="216" customFormat="1" x14ac:dyDescent="0.2">
      <c r="A491" s="242"/>
      <c r="D491" s="267"/>
      <c r="F491" s="269"/>
      <c r="G491" s="418"/>
      <c r="H491" s="269"/>
      <c r="I491" s="272"/>
      <c r="J491" s="269"/>
      <c r="K491" s="269"/>
      <c r="L491" s="269"/>
      <c r="M491" s="269"/>
      <c r="N491" s="269"/>
      <c r="O491" s="269"/>
      <c r="P491" s="269"/>
    </row>
    <row r="492" spans="1:17" s="216" customFormat="1" ht="10.5" x14ac:dyDescent="0.25">
      <c r="A492" s="242">
        <f>A490+1</f>
        <v>2</v>
      </c>
      <c r="C492" s="245" t="s">
        <v>109</v>
      </c>
      <c r="D492" s="267"/>
      <c r="F492" s="269"/>
      <c r="G492" s="418"/>
      <c r="H492" s="269"/>
      <c r="I492" s="272"/>
      <c r="J492" s="269"/>
      <c r="K492" s="269"/>
      <c r="L492" s="269"/>
      <c r="M492" s="269"/>
      <c r="N492" s="269"/>
      <c r="O492" s="269"/>
      <c r="P492" s="269"/>
    </row>
    <row r="493" spans="1:17" s="216" customFormat="1" x14ac:dyDescent="0.2">
      <c r="A493" s="242"/>
      <c r="D493" s="267"/>
      <c r="F493" s="269"/>
      <c r="G493" s="418"/>
      <c r="H493" s="269"/>
      <c r="I493" s="272"/>
      <c r="J493" s="269"/>
      <c r="K493" s="269"/>
      <c r="L493" s="269"/>
      <c r="M493" s="269"/>
      <c r="N493" s="269"/>
      <c r="O493" s="269"/>
      <c r="P493" s="269"/>
    </row>
    <row r="494" spans="1:17" s="216" customFormat="1" x14ac:dyDescent="0.2">
      <c r="A494" s="242">
        <f>A492+1</f>
        <v>3</v>
      </c>
      <c r="C494" s="216" t="s">
        <v>199</v>
      </c>
      <c r="D494" s="267"/>
      <c r="E494" s="606">
        <f>B!D37</f>
        <v>0</v>
      </c>
      <c r="F494" s="606">
        <f>B!E37</f>
        <v>0</v>
      </c>
      <c r="G494" s="606">
        <f>B!F37</f>
        <v>0</v>
      </c>
      <c r="H494" s="606">
        <f>B!G37</f>
        <v>0</v>
      </c>
      <c r="I494" s="606">
        <f>B!H37</f>
        <v>0</v>
      </c>
      <c r="J494" s="606">
        <f>B!I37</f>
        <v>0</v>
      </c>
      <c r="K494" s="606">
        <f>B!J37</f>
        <v>0</v>
      </c>
      <c r="L494" s="606">
        <f>B!K37</f>
        <v>0</v>
      </c>
      <c r="M494" s="606">
        <f>B!L37</f>
        <v>0</v>
      </c>
      <c r="N494" s="606">
        <f>B!M37</f>
        <v>0</v>
      </c>
      <c r="O494" s="606">
        <f>B!N37</f>
        <v>0</v>
      </c>
      <c r="P494" s="606">
        <f>B!O37</f>
        <v>0</v>
      </c>
      <c r="Q494" s="267">
        <f>SUM(E494:P494)</f>
        <v>0</v>
      </c>
    </row>
    <row r="495" spans="1:17" s="216" customFormat="1" x14ac:dyDescent="0.2">
      <c r="A495" s="242">
        <f>A494+1</f>
        <v>4</v>
      </c>
      <c r="C495" s="216" t="s">
        <v>207</v>
      </c>
      <c r="D495" s="608">
        <f>Input!V21</f>
        <v>0</v>
      </c>
      <c r="E495" s="386">
        <f t="shared" ref="E495:P495" si="194">ROUND(E494*$D$495,2)</f>
        <v>0</v>
      </c>
      <c r="F495" s="386">
        <f t="shared" si="194"/>
        <v>0</v>
      </c>
      <c r="G495" s="386">
        <f t="shared" si="194"/>
        <v>0</v>
      </c>
      <c r="H495" s="386">
        <f t="shared" si="194"/>
        <v>0</v>
      </c>
      <c r="I495" s="386">
        <f t="shared" si="194"/>
        <v>0</v>
      </c>
      <c r="J495" s="386">
        <f t="shared" si="194"/>
        <v>0</v>
      </c>
      <c r="K495" s="386">
        <f t="shared" si="194"/>
        <v>0</v>
      </c>
      <c r="L495" s="386">
        <f t="shared" si="194"/>
        <v>0</v>
      </c>
      <c r="M495" s="386">
        <f t="shared" si="194"/>
        <v>0</v>
      </c>
      <c r="N495" s="386">
        <f t="shared" si="194"/>
        <v>0</v>
      </c>
      <c r="O495" s="386">
        <f t="shared" si="194"/>
        <v>0</v>
      </c>
      <c r="P495" s="386">
        <f t="shared" si="194"/>
        <v>0</v>
      </c>
      <c r="Q495" s="386">
        <f>SUM(E495:P495)</f>
        <v>0</v>
      </c>
    </row>
    <row r="496" spans="1:17" s="216" customFormat="1" x14ac:dyDescent="0.2">
      <c r="A496" s="242"/>
      <c r="D496" s="267"/>
      <c r="F496" s="269"/>
      <c r="G496" s="418"/>
      <c r="H496" s="269"/>
      <c r="I496" s="272"/>
      <c r="J496" s="269"/>
      <c r="K496" s="269"/>
      <c r="L496" s="269"/>
      <c r="M496" s="269"/>
      <c r="N496" s="269"/>
      <c r="O496" s="269"/>
      <c r="P496" s="269"/>
    </row>
    <row r="497" spans="1:17" s="216" customFormat="1" x14ac:dyDescent="0.2">
      <c r="A497" s="242">
        <f>A495+1</f>
        <v>5</v>
      </c>
      <c r="C497" s="267" t="s">
        <v>206</v>
      </c>
      <c r="D497" s="267"/>
      <c r="E497" s="451">
        <f>'C'!D37</f>
        <v>0</v>
      </c>
      <c r="F497" s="451">
        <f>'C'!E37</f>
        <v>0</v>
      </c>
      <c r="G497" s="451">
        <f>'C'!F37</f>
        <v>0</v>
      </c>
      <c r="H497" s="451">
        <f>'C'!G37</f>
        <v>0</v>
      </c>
      <c r="I497" s="451">
        <f>'C'!H37</f>
        <v>0</v>
      </c>
      <c r="J497" s="451">
        <f>'C'!I37</f>
        <v>0</v>
      </c>
      <c r="K497" s="451">
        <f>'C'!J37</f>
        <v>0</v>
      </c>
      <c r="L497" s="451">
        <f>'C'!K37</f>
        <v>0</v>
      </c>
      <c r="M497" s="451">
        <f>'C'!L37</f>
        <v>0</v>
      </c>
      <c r="N497" s="451">
        <f>'C'!M37</f>
        <v>0</v>
      </c>
      <c r="O497" s="451">
        <f>'C'!N37</f>
        <v>0</v>
      </c>
      <c r="P497" s="451">
        <f>'C'!O37</f>
        <v>0</v>
      </c>
      <c r="Q497" s="272">
        <f>SUM(E497:P497)</f>
        <v>0</v>
      </c>
    </row>
    <row r="498" spans="1:17" s="216" customFormat="1" x14ac:dyDescent="0.2">
      <c r="A498" s="242">
        <f>A497+1</f>
        <v>6</v>
      </c>
      <c r="C498" s="216" t="s">
        <v>209</v>
      </c>
      <c r="D498" s="609">
        <f>Input!Q21</f>
        <v>0</v>
      </c>
      <c r="E498" s="386">
        <f t="shared" ref="E498:P498" si="195">ROUND(E497*$D$498,2)</f>
        <v>0</v>
      </c>
      <c r="F498" s="386">
        <f t="shared" si="195"/>
        <v>0</v>
      </c>
      <c r="G498" s="386">
        <f t="shared" si="195"/>
        <v>0</v>
      </c>
      <c r="H498" s="386">
        <f t="shared" si="195"/>
        <v>0</v>
      </c>
      <c r="I498" s="386">
        <f t="shared" si="195"/>
        <v>0</v>
      </c>
      <c r="J498" s="386">
        <f t="shared" si="195"/>
        <v>0</v>
      </c>
      <c r="K498" s="386">
        <f t="shared" si="195"/>
        <v>0</v>
      </c>
      <c r="L498" s="386">
        <f t="shared" si="195"/>
        <v>0</v>
      </c>
      <c r="M498" s="386">
        <f t="shared" si="195"/>
        <v>0</v>
      </c>
      <c r="N498" s="386">
        <f t="shared" si="195"/>
        <v>0</v>
      </c>
      <c r="O498" s="386">
        <f t="shared" si="195"/>
        <v>0</v>
      </c>
      <c r="P498" s="386">
        <f t="shared" si="195"/>
        <v>0</v>
      </c>
      <c r="Q498" s="386">
        <f>SUM(E498:P498)</f>
        <v>0</v>
      </c>
    </row>
    <row r="499" spans="1:17" s="216" customFormat="1" x14ac:dyDescent="0.2">
      <c r="A499" s="242">
        <f t="shared" ref="A499:A500" si="196">A498+1</f>
        <v>7</v>
      </c>
      <c r="C499" s="216" t="s">
        <v>553</v>
      </c>
      <c r="D499" s="609">
        <f>Input!$AA$20</f>
        <v>1.44E-2</v>
      </c>
      <c r="E499" s="431">
        <f>ROUND($D$499*E497,2)</f>
        <v>0</v>
      </c>
      <c r="F499" s="431">
        <f t="shared" ref="F499:P499" si="197">ROUND($D$499*F497,2)</f>
        <v>0</v>
      </c>
      <c r="G499" s="431">
        <f>ROUND($D$499*G497,2)</f>
        <v>0</v>
      </c>
      <c r="H499" s="431">
        <f t="shared" si="197"/>
        <v>0</v>
      </c>
      <c r="I499" s="431">
        <f t="shared" si="197"/>
        <v>0</v>
      </c>
      <c r="J499" s="431">
        <f t="shared" si="197"/>
        <v>0</v>
      </c>
      <c r="K499" s="431">
        <f t="shared" si="197"/>
        <v>0</v>
      </c>
      <c r="L499" s="431">
        <f t="shared" si="197"/>
        <v>0</v>
      </c>
      <c r="M499" s="431">
        <f t="shared" si="197"/>
        <v>0</v>
      </c>
      <c r="N499" s="431">
        <f t="shared" si="197"/>
        <v>0</v>
      </c>
      <c r="O499" s="431">
        <f t="shared" si="197"/>
        <v>0</v>
      </c>
      <c r="P499" s="431">
        <f t="shared" si="197"/>
        <v>0</v>
      </c>
      <c r="Q499" s="456">
        <f>SUM(E499:P499)</f>
        <v>0</v>
      </c>
    </row>
    <row r="500" spans="1:17" s="216" customFormat="1" x14ac:dyDescent="0.2">
      <c r="A500" s="242">
        <f t="shared" si="196"/>
        <v>8</v>
      </c>
      <c r="C500" s="216" t="s">
        <v>201</v>
      </c>
      <c r="D500" s="267"/>
      <c r="E500" s="386">
        <f>E495+E498+E499</f>
        <v>0</v>
      </c>
      <c r="F500" s="386">
        <f t="shared" ref="F500:P500" si="198">F495+F498+F499</f>
        <v>0</v>
      </c>
      <c r="G500" s="386">
        <f t="shared" si="198"/>
        <v>0</v>
      </c>
      <c r="H500" s="386">
        <f t="shared" si="198"/>
        <v>0</v>
      </c>
      <c r="I500" s="386">
        <f t="shared" si="198"/>
        <v>0</v>
      </c>
      <c r="J500" s="386">
        <f t="shared" si="198"/>
        <v>0</v>
      </c>
      <c r="K500" s="386">
        <f t="shared" si="198"/>
        <v>0</v>
      </c>
      <c r="L500" s="386">
        <f t="shared" si="198"/>
        <v>0</v>
      </c>
      <c r="M500" s="386">
        <f t="shared" si="198"/>
        <v>0</v>
      </c>
      <c r="N500" s="386">
        <f t="shared" si="198"/>
        <v>0</v>
      </c>
      <c r="O500" s="386">
        <f t="shared" si="198"/>
        <v>0</v>
      </c>
      <c r="P500" s="386">
        <f t="shared" si="198"/>
        <v>0</v>
      </c>
      <c r="Q500" s="386">
        <f>SUM(E500:P500)</f>
        <v>0</v>
      </c>
    </row>
    <row r="501" spans="1:17" s="216" customFormat="1" x14ac:dyDescent="0.2">
      <c r="A501" s="242"/>
      <c r="D501" s="267"/>
      <c r="F501" s="269"/>
      <c r="G501" s="418"/>
      <c r="H501" s="269"/>
      <c r="I501" s="272"/>
      <c r="J501" s="269"/>
      <c r="K501" s="269"/>
      <c r="L501" s="269"/>
      <c r="M501" s="269"/>
      <c r="N501" s="269"/>
      <c r="O501" s="269"/>
      <c r="P501" s="269"/>
      <c r="Q501" s="418"/>
    </row>
    <row r="502" spans="1:17" s="216" customFormat="1" x14ac:dyDescent="0.2">
      <c r="A502" s="242">
        <f>A500+1</f>
        <v>9</v>
      </c>
      <c r="C502" s="216" t="s">
        <v>148</v>
      </c>
      <c r="D502" s="609">
        <v>0</v>
      </c>
      <c r="E502" s="386">
        <v>0</v>
      </c>
      <c r="F502" s="386">
        <v>0</v>
      </c>
      <c r="G502" s="386">
        <v>0</v>
      </c>
      <c r="H502" s="386">
        <v>0</v>
      </c>
      <c r="I502" s="386">
        <v>0</v>
      </c>
      <c r="J502" s="386">
        <v>0</v>
      </c>
      <c r="K502" s="386">
        <v>0</v>
      </c>
      <c r="L502" s="386">
        <v>0</v>
      </c>
      <c r="M502" s="386">
        <v>0</v>
      </c>
      <c r="N502" s="386">
        <v>0</v>
      </c>
      <c r="O502" s="386">
        <v>0</v>
      </c>
      <c r="P502" s="386">
        <v>0</v>
      </c>
      <c r="Q502" s="386">
        <f>SUM(E502:P502)</f>
        <v>0</v>
      </c>
    </row>
    <row r="503" spans="1:17" s="216" customFormat="1" x14ac:dyDescent="0.2">
      <c r="A503" s="242"/>
      <c r="D503" s="267"/>
      <c r="F503" s="269"/>
      <c r="G503" s="418"/>
      <c r="H503" s="269"/>
      <c r="I503" s="272"/>
      <c r="J503" s="269"/>
      <c r="K503" s="269"/>
      <c r="L503" s="269"/>
      <c r="M503" s="269"/>
      <c r="N503" s="269"/>
      <c r="O503" s="269"/>
      <c r="P503" s="269"/>
    </row>
    <row r="504" spans="1:17" s="216" customFormat="1" ht="10.5" thickBot="1" x14ac:dyDescent="0.25">
      <c r="A504" s="580">
        <f>A502+1</f>
        <v>10</v>
      </c>
      <c r="B504" s="434"/>
      <c r="C504" s="581" t="s">
        <v>202</v>
      </c>
      <c r="D504" s="582"/>
      <c r="E504" s="435">
        <f t="shared" ref="E504:P504" si="199">E500+E502</f>
        <v>0</v>
      </c>
      <c r="F504" s="435">
        <f t="shared" si="199"/>
        <v>0</v>
      </c>
      <c r="G504" s="435">
        <f t="shared" si="199"/>
        <v>0</v>
      </c>
      <c r="H504" s="435">
        <f t="shared" si="199"/>
        <v>0</v>
      </c>
      <c r="I504" s="435">
        <f t="shared" si="199"/>
        <v>0</v>
      </c>
      <c r="J504" s="435">
        <f t="shared" si="199"/>
        <v>0</v>
      </c>
      <c r="K504" s="435">
        <f t="shared" si="199"/>
        <v>0</v>
      </c>
      <c r="L504" s="435">
        <f t="shared" si="199"/>
        <v>0</v>
      </c>
      <c r="M504" s="435">
        <f t="shared" si="199"/>
        <v>0</v>
      </c>
      <c r="N504" s="435">
        <f t="shared" si="199"/>
        <v>0</v>
      </c>
      <c r="O504" s="435">
        <f t="shared" si="199"/>
        <v>0</v>
      </c>
      <c r="P504" s="435">
        <f t="shared" si="199"/>
        <v>0</v>
      </c>
      <c r="Q504" s="435">
        <f>SUM(E504:P504)</f>
        <v>0</v>
      </c>
    </row>
    <row r="505" spans="1:17" s="216" customFormat="1" ht="10.5" thickTop="1" x14ac:dyDescent="0.2">
      <c r="A505" s="242"/>
      <c r="D505" s="267"/>
      <c r="E505" s="430"/>
      <c r="F505" s="430"/>
      <c r="G505" s="430"/>
      <c r="H505" s="430"/>
      <c r="I505" s="430"/>
      <c r="J505" s="430"/>
      <c r="K505" s="430"/>
      <c r="L505" s="430"/>
      <c r="M505" s="430"/>
      <c r="N505" s="430"/>
      <c r="O505" s="430"/>
      <c r="P505" s="430"/>
      <c r="Q505" s="430"/>
    </row>
    <row r="506" spans="1:17" s="216" customFormat="1" x14ac:dyDescent="0.2">
      <c r="A506" s="242"/>
      <c r="D506" s="267"/>
      <c r="E506" s="430"/>
      <c r="F506" s="430"/>
      <c r="G506" s="430"/>
      <c r="H506" s="430"/>
      <c r="I506" s="430"/>
      <c r="J506" s="430"/>
      <c r="K506" s="430"/>
      <c r="L506" s="430"/>
      <c r="M506" s="430"/>
      <c r="N506" s="430"/>
      <c r="O506" s="430"/>
      <c r="P506" s="430"/>
      <c r="Q506" s="430"/>
    </row>
    <row r="507" spans="1:17" s="216" customFormat="1" x14ac:dyDescent="0.2">
      <c r="A507" s="504" t="str">
        <f>$A$265</f>
        <v>[1] Reflects Normalized Volumes.</v>
      </c>
      <c r="D507" s="267"/>
      <c r="F507" s="269"/>
      <c r="G507" s="418"/>
      <c r="H507" s="269"/>
      <c r="I507" s="272"/>
      <c r="J507" s="269"/>
      <c r="K507" s="269"/>
      <c r="L507" s="269"/>
      <c r="M507" s="269"/>
      <c r="N507" s="269"/>
      <c r="O507" s="269"/>
      <c r="P507" s="269"/>
    </row>
    <row r="508" spans="1:17" s="216" customFormat="1" x14ac:dyDescent="0.2">
      <c r="A508" s="504" t="str">
        <f>$A$439</f>
        <v>[2] Reflects Gas Cost Adjustment Rate as of March 1, 2021.</v>
      </c>
      <c r="D508" s="267"/>
      <c r="F508" s="269"/>
      <c r="G508" s="418"/>
      <c r="H508" s="269"/>
      <c r="I508" s="272"/>
      <c r="J508" s="269"/>
      <c r="K508" s="269"/>
      <c r="L508" s="269"/>
      <c r="M508" s="269"/>
      <c r="N508" s="269"/>
      <c r="O508" s="269"/>
      <c r="P508" s="269"/>
    </row>
    <row r="509" spans="1:17" s="216" customFormat="1" ht="10.5" x14ac:dyDescent="0.25">
      <c r="A509" s="817" t="str">
        <f>CONAME</f>
        <v>Columbia Gas of Kentucky, Inc.</v>
      </c>
      <c r="B509" s="817"/>
      <c r="C509" s="817"/>
      <c r="D509" s="817"/>
      <c r="E509" s="817"/>
      <c r="F509" s="817"/>
      <c r="G509" s="817"/>
      <c r="H509" s="817"/>
      <c r="I509" s="817"/>
      <c r="J509" s="817"/>
      <c r="K509" s="817"/>
      <c r="L509" s="817"/>
      <c r="M509" s="817"/>
      <c r="N509" s="817"/>
      <c r="O509" s="817"/>
      <c r="P509" s="817"/>
      <c r="Q509" s="817"/>
    </row>
    <row r="510" spans="1:17" s="216" customFormat="1" ht="10.5" x14ac:dyDescent="0.25">
      <c r="A510" s="800" t="str">
        <f>case</f>
        <v>Case No. 2021-00183</v>
      </c>
      <c r="B510" s="800"/>
      <c r="C510" s="800"/>
      <c r="D510" s="800"/>
      <c r="E510" s="800"/>
      <c r="F510" s="800"/>
      <c r="G510" s="800"/>
      <c r="H510" s="800"/>
      <c r="I510" s="800"/>
      <c r="J510" s="800"/>
      <c r="K510" s="800"/>
      <c r="L510" s="800"/>
      <c r="M510" s="800"/>
      <c r="N510" s="800"/>
      <c r="O510" s="800"/>
      <c r="P510" s="800"/>
      <c r="Q510" s="800"/>
    </row>
    <row r="511" spans="1:17" s="216" customFormat="1" ht="10.5" x14ac:dyDescent="0.25">
      <c r="A511" s="815" t="s">
        <v>197</v>
      </c>
      <c r="B511" s="815"/>
      <c r="C511" s="815"/>
      <c r="D511" s="815"/>
      <c r="E511" s="815"/>
      <c r="F511" s="815"/>
      <c r="G511" s="815"/>
      <c r="H511" s="815"/>
      <c r="I511" s="815"/>
      <c r="J511" s="815"/>
      <c r="K511" s="815"/>
      <c r="L511" s="815"/>
      <c r="M511" s="815"/>
      <c r="N511" s="815"/>
      <c r="O511" s="815"/>
      <c r="P511" s="815"/>
      <c r="Q511" s="815"/>
    </row>
    <row r="512" spans="1:17" s="216" customFormat="1" ht="10.5" x14ac:dyDescent="0.25">
      <c r="A512" s="817" t="str">
        <f>TYDESC</f>
        <v>For the 12 Months Ended December 31, 2022</v>
      </c>
      <c r="B512" s="817"/>
      <c r="C512" s="817"/>
      <c r="D512" s="817"/>
      <c r="E512" s="817"/>
      <c r="F512" s="817"/>
      <c r="G512" s="817"/>
      <c r="H512" s="817"/>
      <c r="I512" s="817"/>
      <c r="J512" s="817"/>
      <c r="K512" s="817"/>
      <c r="L512" s="817"/>
      <c r="M512" s="817"/>
      <c r="N512" s="817"/>
      <c r="O512" s="817"/>
      <c r="P512" s="817"/>
      <c r="Q512" s="817"/>
    </row>
    <row r="513" spans="1:17" s="216" customFormat="1" ht="10.5" x14ac:dyDescent="0.25">
      <c r="A513" s="814" t="s">
        <v>39</v>
      </c>
      <c r="B513" s="814"/>
      <c r="C513" s="814"/>
      <c r="D513" s="814"/>
      <c r="E513" s="814"/>
      <c r="F513" s="814"/>
      <c r="G513" s="814"/>
      <c r="H513" s="814"/>
      <c r="I513" s="814"/>
      <c r="J513" s="814"/>
      <c r="K513" s="814"/>
      <c r="L513" s="814"/>
      <c r="M513" s="814"/>
      <c r="N513" s="814"/>
      <c r="O513" s="814"/>
      <c r="P513" s="814"/>
      <c r="Q513" s="814"/>
    </row>
    <row r="514" spans="1:17" s="216" customFormat="1" ht="10.5" x14ac:dyDescent="0.25">
      <c r="A514" s="575" t="str">
        <f>$A$52</f>
        <v>Data: __ Base Period _X_ Forecasted Period</v>
      </c>
      <c r="D514" s="267"/>
      <c r="F514" s="269"/>
      <c r="G514" s="418"/>
      <c r="H514" s="269"/>
      <c r="I514" s="272"/>
      <c r="J514" s="269"/>
      <c r="K514" s="269"/>
      <c r="L514" s="269"/>
      <c r="M514" s="269"/>
      <c r="N514" s="269"/>
      <c r="O514" s="269"/>
      <c r="P514" s="269"/>
    </row>
    <row r="515" spans="1:17" s="216" customFormat="1" ht="10.5" x14ac:dyDescent="0.25">
      <c r="A515" s="575" t="str">
        <f>$A$53</f>
        <v>Type of Filing: X Original _ Update _ Revised</v>
      </c>
      <c r="D515" s="267"/>
      <c r="F515" s="269"/>
      <c r="G515" s="418"/>
      <c r="H515" s="269"/>
      <c r="I515" s="272"/>
      <c r="J515" s="269"/>
      <c r="K515" s="269"/>
      <c r="L515" s="269"/>
      <c r="M515" s="269"/>
      <c r="N515" s="269"/>
      <c r="O515" s="269"/>
      <c r="P515" s="269"/>
      <c r="Q515" s="583" t="str">
        <f>$Q$53</f>
        <v>Schedule M-2.3</v>
      </c>
    </row>
    <row r="516" spans="1:17" s="216" customFormat="1" ht="10.5" x14ac:dyDescent="0.25">
      <c r="A516" s="575" t="str">
        <f>$A$54</f>
        <v>Work Paper Reference No(s):</v>
      </c>
      <c r="D516" s="267"/>
      <c r="F516" s="269"/>
      <c r="G516" s="418"/>
      <c r="H516" s="269"/>
      <c r="I516" s="272"/>
      <c r="J516" s="269"/>
      <c r="K516" s="269"/>
      <c r="L516" s="269"/>
      <c r="M516" s="269"/>
      <c r="N516" s="269"/>
      <c r="O516" s="269"/>
      <c r="P516" s="269"/>
      <c r="Q516" s="583" t="s">
        <v>422</v>
      </c>
    </row>
    <row r="517" spans="1:17" s="216" customFormat="1" ht="10.5" x14ac:dyDescent="0.25">
      <c r="A517" s="576" t="str">
        <f>$A$55</f>
        <v>12 Months Forecasted</v>
      </c>
      <c r="D517" s="267"/>
      <c r="F517" s="269"/>
      <c r="G517" s="418"/>
      <c r="H517" s="269"/>
      <c r="I517" s="272"/>
      <c r="J517" s="269"/>
      <c r="K517" s="269"/>
      <c r="L517" s="269"/>
      <c r="M517" s="269"/>
      <c r="N517" s="269"/>
      <c r="O517" s="269"/>
      <c r="P517" s="269"/>
      <c r="Q517" s="583" t="str">
        <f>Witness</f>
        <v>Witness:  Judith L. Siegler</v>
      </c>
    </row>
    <row r="518" spans="1:17" s="216" customFormat="1" ht="10.5" x14ac:dyDescent="0.25">
      <c r="A518" s="816" t="s">
        <v>291</v>
      </c>
      <c r="B518" s="816"/>
      <c r="C518" s="816"/>
      <c r="D518" s="816"/>
      <c r="E518" s="816"/>
      <c r="F518" s="816"/>
      <c r="G518" s="816"/>
      <c r="H518" s="816"/>
      <c r="I518" s="816"/>
      <c r="J518" s="816"/>
      <c r="K518" s="816"/>
      <c r="L518" s="816"/>
      <c r="M518" s="816"/>
      <c r="N518" s="816"/>
      <c r="O518" s="816"/>
      <c r="P518" s="816"/>
      <c r="Q518" s="816"/>
    </row>
    <row r="519" spans="1:17" s="216" customFormat="1" ht="10.5" x14ac:dyDescent="0.25">
      <c r="A519" s="219"/>
      <c r="B519" s="280"/>
      <c r="C519" s="280"/>
      <c r="D519" s="282"/>
      <c r="E519" s="280"/>
      <c r="F519" s="438"/>
      <c r="G519" s="439"/>
      <c r="H519" s="438"/>
      <c r="I519" s="440"/>
      <c r="J519" s="438"/>
      <c r="K519" s="438"/>
      <c r="L519" s="438"/>
      <c r="M519" s="438"/>
      <c r="N519" s="438"/>
      <c r="O519" s="438"/>
      <c r="P519" s="438"/>
      <c r="Q519" s="280"/>
    </row>
    <row r="520" spans="1:17" s="216" customFormat="1" ht="10.5" x14ac:dyDescent="0.25">
      <c r="A520" s="717" t="s">
        <v>1</v>
      </c>
      <c r="B520" s="717" t="s">
        <v>0</v>
      </c>
      <c r="C520" s="717" t="s">
        <v>41</v>
      </c>
      <c r="D520" s="721" t="s">
        <v>30</v>
      </c>
      <c r="E520" s="717"/>
      <c r="F520" s="584"/>
      <c r="G520" s="587"/>
      <c r="H520" s="584"/>
      <c r="I520" s="722"/>
      <c r="J520" s="584"/>
      <c r="K520" s="584"/>
      <c r="L520" s="584"/>
      <c r="M520" s="584"/>
      <c r="N520" s="584"/>
      <c r="O520" s="584"/>
      <c r="P520" s="584"/>
      <c r="Q520" s="723"/>
    </row>
    <row r="521" spans="1:17" s="216" customFormat="1" ht="10.5" x14ac:dyDescent="0.25">
      <c r="A521" s="263" t="s">
        <v>3</v>
      </c>
      <c r="B521" s="263" t="s">
        <v>40</v>
      </c>
      <c r="C521" s="263" t="s">
        <v>4</v>
      </c>
      <c r="D521" s="379" t="s">
        <v>48</v>
      </c>
      <c r="E521" s="380" t="str">
        <f>B!$D$11</f>
        <v>Jan-22</v>
      </c>
      <c r="F521" s="380" t="str">
        <f>B!$E$11</f>
        <v>Feb-22</v>
      </c>
      <c r="G521" s="380" t="str">
        <f>B!$F$11</f>
        <v>Mar-22</v>
      </c>
      <c r="H521" s="380" t="str">
        <f>B!$G$11</f>
        <v>Apr-22</v>
      </c>
      <c r="I521" s="380" t="str">
        <f>B!$H$11</f>
        <v>May-22</v>
      </c>
      <c r="J521" s="380" t="str">
        <f>B!$I$11</f>
        <v>Jun-22</v>
      </c>
      <c r="K521" s="380" t="str">
        <f>B!$J$11</f>
        <v>Jul-22</v>
      </c>
      <c r="L521" s="380" t="str">
        <f>B!$K$11</f>
        <v>Aug-22</v>
      </c>
      <c r="M521" s="380" t="str">
        <f>B!$L$11</f>
        <v>Sep-22</v>
      </c>
      <c r="N521" s="380" t="str">
        <f>B!$M$11</f>
        <v>Oct-22</v>
      </c>
      <c r="O521" s="380" t="str">
        <f>B!$N$11</f>
        <v>Nov-22</v>
      </c>
      <c r="P521" s="380" t="str">
        <f>B!$O$11</f>
        <v>Dec-22</v>
      </c>
      <c r="Q521" s="380" t="s">
        <v>9</v>
      </c>
    </row>
    <row r="522" spans="1:17" s="216" customFormat="1" ht="10.5" x14ac:dyDescent="0.25">
      <c r="A522" s="717"/>
      <c r="B522" s="719" t="s">
        <v>42</v>
      </c>
      <c r="C522" s="719" t="s">
        <v>43</v>
      </c>
      <c r="D522" s="382" t="s">
        <v>45</v>
      </c>
      <c r="E522" s="383" t="s">
        <v>46</v>
      </c>
      <c r="F522" s="383" t="s">
        <v>49</v>
      </c>
      <c r="G522" s="383" t="s">
        <v>50</v>
      </c>
      <c r="H522" s="383" t="s">
        <v>51</v>
      </c>
      <c r="I522" s="383" t="s">
        <v>52</v>
      </c>
      <c r="J522" s="384" t="s">
        <v>53</v>
      </c>
      <c r="K522" s="384" t="s">
        <v>54</v>
      </c>
      <c r="L522" s="384" t="s">
        <v>55</v>
      </c>
      <c r="M522" s="384" t="s">
        <v>56</v>
      </c>
      <c r="N522" s="384" t="s">
        <v>57</v>
      </c>
      <c r="O522" s="384" t="s">
        <v>58</v>
      </c>
      <c r="P522" s="384" t="s">
        <v>59</v>
      </c>
      <c r="Q522" s="384" t="s">
        <v>200</v>
      </c>
    </row>
    <row r="523" spans="1:17" s="216" customFormat="1" ht="10.5" x14ac:dyDescent="0.25">
      <c r="A523" s="242"/>
      <c r="D523" s="267"/>
      <c r="E523" s="723"/>
      <c r="F523" s="588"/>
      <c r="G523" s="585"/>
      <c r="H523" s="588"/>
      <c r="I523" s="586"/>
      <c r="J523" s="588"/>
      <c r="K523" s="588"/>
      <c r="L523" s="588"/>
      <c r="M523" s="588"/>
      <c r="N523" s="588"/>
      <c r="O523" s="588"/>
      <c r="P523" s="588"/>
      <c r="Q523" s="723"/>
    </row>
    <row r="524" spans="1:17" s="216" customFormat="1" x14ac:dyDescent="0.2">
      <c r="A524" s="242">
        <v>1</v>
      </c>
      <c r="B524" s="216" t="str">
        <f>B99</f>
        <v>IN5</v>
      </c>
      <c r="C524" s="216" t="str">
        <f>C99</f>
        <v>Inland Gas General Service - Residential</v>
      </c>
      <c r="D524" s="267"/>
      <c r="F524" s="269"/>
      <c r="G524" s="418"/>
      <c r="H524" s="269"/>
      <c r="I524" s="272"/>
      <c r="J524" s="269"/>
      <c r="K524" s="269"/>
      <c r="L524" s="269"/>
      <c r="M524" s="269"/>
      <c r="N524" s="269"/>
      <c r="O524" s="269"/>
      <c r="P524" s="269"/>
    </row>
    <row r="525" spans="1:17" s="216" customFormat="1" x14ac:dyDescent="0.2">
      <c r="A525" s="242"/>
      <c r="D525" s="267"/>
      <c r="F525" s="269"/>
      <c r="G525" s="418"/>
      <c r="H525" s="269"/>
      <c r="I525" s="272"/>
      <c r="J525" s="269"/>
      <c r="K525" s="269"/>
      <c r="L525" s="269"/>
      <c r="M525" s="269"/>
      <c r="N525" s="269"/>
      <c r="O525" s="269"/>
      <c r="P525" s="269"/>
    </row>
    <row r="526" spans="1:17" s="216" customFormat="1" ht="10.5" x14ac:dyDescent="0.25">
      <c r="A526" s="242">
        <f>A524+1</f>
        <v>2</v>
      </c>
      <c r="C526" s="245" t="s">
        <v>109</v>
      </c>
      <c r="D526" s="267"/>
      <c r="F526" s="269"/>
      <c r="G526" s="418"/>
      <c r="H526" s="269"/>
      <c r="I526" s="272"/>
      <c r="J526" s="269"/>
      <c r="K526" s="269"/>
      <c r="L526" s="269"/>
      <c r="M526" s="269"/>
      <c r="N526" s="269"/>
      <c r="O526" s="269"/>
      <c r="P526" s="269"/>
    </row>
    <row r="527" spans="1:17" s="216" customFormat="1" x14ac:dyDescent="0.2">
      <c r="A527" s="242"/>
      <c r="D527" s="267"/>
      <c r="F527" s="269"/>
      <c r="G527" s="418"/>
      <c r="H527" s="269"/>
      <c r="I527" s="272"/>
      <c r="J527" s="269"/>
      <c r="K527" s="269"/>
      <c r="L527" s="269"/>
      <c r="M527" s="269"/>
      <c r="N527" s="269"/>
      <c r="O527" s="269"/>
      <c r="P527" s="269"/>
    </row>
    <row r="528" spans="1:17" s="216" customFormat="1" x14ac:dyDescent="0.2">
      <c r="A528" s="242">
        <f>A526+1</f>
        <v>3</v>
      </c>
      <c r="C528" s="216" t="s">
        <v>199</v>
      </c>
      <c r="D528" s="267"/>
      <c r="E528" s="421">
        <f>B!D42</f>
        <v>3</v>
      </c>
      <c r="F528" s="421">
        <f>B!E42</f>
        <v>3</v>
      </c>
      <c r="G528" s="421">
        <f>B!F42</f>
        <v>3</v>
      </c>
      <c r="H528" s="421">
        <f>B!G42</f>
        <v>3</v>
      </c>
      <c r="I528" s="421">
        <f>B!H42</f>
        <v>3</v>
      </c>
      <c r="J528" s="421">
        <f>B!I42</f>
        <v>3</v>
      </c>
      <c r="K528" s="421">
        <f>B!J42</f>
        <v>3</v>
      </c>
      <c r="L528" s="421">
        <f>B!K42</f>
        <v>3</v>
      </c>
      <c r="M528" s="421">
        <f>B!L42</f>
        <v>3</v>
      </c>
      <c r="N528" s="421">
        <f>B!M42</f>
        <v>3</v>
      </c>
      <c r="O528" s="421">
        <f>B!N42</f>
        <v>3</v>
      </c>
      <c r="P528" s="421">
        <f>B!O42</f>
        <v>3</v>
      </c>
      <c r="Q528" s="453">
        <f>SUM(E528:P528)</f>
        <v>36</v>
      </c>
    </row>
    <row r="529" spans="1:17" s="216" customFormat="1" x14ac:dyDescent="0.2">
      <c r="A529" s="242">
        <f>A528+1</f>
        <v>4</v>
      </c>
      <c r="C529" s="216" t="s">
        <v>207</v>
      </c>
      <c r="D529" s="608">
        <f>Input!V22</f>
        <v>0</v>
      </c>
      <c r="E529" s="386">
        <f t="shared" ref="E529:P529" si="200">ROUND(E528*$D$495,2)</f>
        <v>0</v>
      </c>
      <c r="F529" s="386">
        <f t="shared" si="200"/>
        <v>0</v>
      </c>
      <c r="G529" s="386">
        <f t="shared" si="200"/>
        <v>0</v>
      </c>
      <c r="H529" s="386">
        <f t="shared" si="200"/>
        <v>0</v>
      </c>
      <c r="I529" s="386">
        <f t="shared" si="200"/>
        <v>0</v>
      </c>
      <c r="J529" s="386">
        <f t="shared" si="200"/>
        <v>0</v>
      </c>
      <c r="K529" s="386">
        <f t="shared" si="200"/>
        <v>0</v>
      </c>
      <c r="L529" s="386">
        <f t="shared" si="200"/>
        <v>0</v>
      </c>
      <c r="M529" s="386">
        <f t="shared" si="200"/>
        <v>0</v>
      </c>
      <c r="N529" s="386">
        <f t="shared" si="200"/>
        <v>0</v>
      </c>
      <c r="O529" s="386">
        <f t="shared" si="200"/>
        <v>0</v>
      </c>
      <c r="P529" s="386">
        <f t="shared" si="200"/>
        <v>0</v>
      </c>
      <c r="Q529" s="386">
        <f>SUM(E529:P529)</f>
        <v>0</v>
      </c>
    </row>
    <row r="530" spans="1:17" s="216" customFormat="1" x14ac:dyDescent="0.2">
      <c r="A530" s="242"/>
      <c r="D530" s="267"/>
      <c r="F530" s="269"/>
      <c r="G530" s="418"/>
      <c r="H530" s="269"/>
      <c r="I530" s="272"/>
      <c r="J530" s="269"/>
      <c r="K530" s="269"/>
      <c r="L530" s="269"/>
      <c r="M530" s="269"/>
      <c r="N530" s="269"/>
      <c r="O530" s="269"/>
      <c r="P530" s="269"/>
    </row>
    <row r="531" spans="1:17" s="216" customFormat="1" x14ac:dyDescent="0.2">
      <c r="A531" s="242">
        <f>A529+1</f>
        <v>5</v>
      </c>
      <c r="C531" s="267" t="s">
        <v>206</v>
      </c>
      <c r="D531" s="267"/>
      <c r="E531" s="424">
        <f>'C'!D42</f>
        <v>52.6</v>
      </c>
      <c r="F531" s="424">
        <f>'C'!E42</f>
        <v>46.7</v>
      </c>
      <c r="G531" s="424">
        <f>'C'!F42</f>
        <v>43.2</v>
      </c>
      <c r="H531" s="424">
        <f>'C'!G42</f>
        <v>28</v>
      </c>
      <c r="I531" s="424">
        <f>'C'!H42</f>
        <v>11.2</v>
      </c>
      <c r="J531" s="424">
        <f>'C'!I42</f>
        <v>2.9</v>
      </c>
      <c r="K531" s="424">
        <f>'C'!J42</f>
        <v>2.4</v>
      </c>
      <c r="L531" s="424">
        <f>'C'!K42</f>
        <v>2.7</v>
      </c>
      <c r="M531" s="424">
        <f>'C'!L42</f>
        <v>2.9</v>
      </c>
      <c r="N531" s="424">
        <f>'C'!M42</f>
        <v>4.7</v>
      </c>
      <c r="O531" s="424">
        <f>'C'!N42</f>
        <v>21.8</v>
      </c>
      <c r="P531" s="424">
        <f>'C'!O42</f>
        <v>44.7</v>
      </c>
      <c r="Q531" s="589">
        <f>SUM(E531:P531)</f>
        <v>263.8</v>
      </c>
    </row>
    <row r="532" spans="1:17" s="216" customFormat="1" x14ac:dyDescent="0.2">
      <c r="A532" s="242">
        <f>A531+1</f>
        <v>6</v>
      </c>
      <c r="C532" s="216" t="s">
        <v>209</v>
      </c>
      <c r="D532" s="609">
        <f>Input!Q22</f>
        <v>0.6</v>
      </c>
      <c r="E532" s="386">
        <f t="shared" ref="E532:P532" si="201">ROUND(E531*$D$532,2)</f>
        <v>31.56</v>
      </c>
      <c r="F532" s="386">
        <f t="shared" si="201"/>
        <v>28.02</v>
      </c>
      <c r="G532" s="386">
        <f t="shared" si="201"/>
        <v>25.92</v>
      </c>
      <c r="H532" s="386">
        <f t="shared" si="201"/>
        <v>16.8</v>
      </c>
      <c r="I532" s="386">
        <f t="shared" si="201"/>
        <v>6.72</v>
      </c>
      <c r="J532" s="386">
        <f t="shared" si="201"/>
        <v>1.74</v>
      </c>
      <c r="K532" s="386">
        <f t="shared" si="201"/>
        <v>1.44</v>
      </c>
      <c r="L532" s="386">
        <f t="shared" si="201"/>
        <v>1.62</v>
      </c>
      <c r="M532" s="386">
        <f t="shared" si="201"/>
        <v>1.74</v>
      </c>
      <c r="N532" s="386">
        <f t="shared" si="201"/>
        <v>2.82</v>
      </c>
      <c r="O532" s="386">
        <f t="shared" si="201"/>
        <v>13.08</v>
      </c>
      <c r="P532" s="386">
        <f t="shared" si="201"/>
        <v>26.82</v>
      </c>
      <c r="Q532" s="386">
        <f>SUM(E532:P532)</f>
        <v>158.27999999999997</v>
      </c>
    </row>
    <row r="533" spans="1:17" s="216" customFormat="1" x14ac:dyDescent="0.2">
      <c r="A533" s="242">
        <f t="shared" ref="A533:A534" si="202">A532+1</f>
        <v>7</v>
      </c>
      <c r="C533" s="216" t="s">
        <v>553</v>
      </c>
      <c r="D533" s="609">
        <f>Input!$AA$21</f>
        <v>1.44E-2</v>
      </c>
      <c r="E533" s="385">
        <f>ROUND(E531*$D$533,2)</f>
        <v>0.76</v>
      </c>
      <c r="F533" s="385">
        <f t="shared" ref="F533:P533" si="203">ROUND(F531*$D$533,2)</f>
        <v>0.67</v>
      </c>
      <c r="G533" s="385">
        <f>ROUND(G531*$D$533,2)</f>
        <v>0.62</v>
      </c>
      <c r="H533" s="385">
        <f t="shared" si="203"/>
        <v>0.4</v>
      </c>
      <c r="I533" s="385">
        <f t="shared" si="203"/>
        <v>0.16</v>
      </c>
      <c r="J533" s="385">
        <f t="shared" si="203"/>
        <v>0.04</v>
      </c>
      <c r="K533" s="385">
        <f t="shared" si="203"/>
        <v>0.03</v>
      </c>
      <c r="L533" s="385">
        <f t="shared" si="203"/>
        <v>0.04</v>
      </c>
      <c r="M533" s="385">
        <f t="shared" si="203"/>
        <v>0.04</v>
      </c>
      <c r="N533" s="385">
        <f t="shared" si="203"/>
        <v>7.0000000000000007E-2</v>
      </c>
      <c r="O533" s="385">
        <f t="shared" si="203"/>
        <v>0.31</v>
      </c>
      <c r="P533" s="385">
        <f t="shared" si="203"/>
        <v>0.64</v>
      </c>
      <c r="Q533" s="456">
        <f>SUM(E533:P533)</f>
        <v>3.7800000000000002</v>
      </c>
    </row>
    <row r="534" spans="1:17" s="216" customFormat="1" x14ac:dyDescent="0.2">
      <c r="A534" s="242">
        <f t="shared" si="202"/>
        <v>8</v>
      </c>
      <c r="C534" s="216" t="s">
        <v>201</v>
      </c>
      <c r="D534" s="267"/>
      <c r="E534" s="386">
        <f>E529+E532+E533</f>
        <v>32.32</v>
      </c>
      <c r="F534" s="386">
        <f t="shared" ref="F534:P534" si="204">F529+F532+F533</f>
        <v>28.69</v>
      </c>
      <c r="G534" s="386">
        <f t="shared" si="204"/>
        <v>26.540000000000003</v>
      </c>
      <c r="H534" s="386">
        <f t="shared" si="204"/>
        <v>17.2</v>
      </c>
      <c r="I534" s="386">
        <f t="shared" si="204"/>
        <v>6.88</v>
      </c>
      <c r="J534" s="386">
        <f t="shared" si="204"/>
        <v>1.78</v>
      </c>
      <c r="K534" s="386">
        <f t="shared" si="204"/>
        <v>1.47</v>
      </c>
      <c r="L534" s="386">
        <f t="shared" si="204"/>
        <v>1.6600000000000001</v>
      </c>
      <c r="M534" s="386">
        <f t="shared" si="204"/>
        <v>1.78</v>
      </c>
      <c r="N534" s="386">
        <f t="shared" si="204"/>
        <v>2.8899999999999997</v>
      </c>
      <c r="O534" s="386">
        <f t="shared" si="204"/>
        <v>13.39</v>
      </c>
      <c r="P534" s="386">
        <f t="shared" si="204"/>
        <v>27.46</v>
      </c>
      <c r="Q534" s="386">
        <f>SUM(E534:P534)</f>
        <v>162.06000000000003</v>
      </c>
    </row>
    <row r="535" spans="1:17" s="216" customFormat="1" x14ac:dyDescent="0.2">
      <c r="A535" s="242"/>
      <c r="D535" s="267"/>
      <c r="F535" s="269"/>
      <c r="G535" s="418"/>
      <c r="H535" s="269"/>
      <c r="I535" s="272"/>
      <c r="J535" s="269"/>
      <c r="K535" s="269"/>
      <c r="L535" s="269"/>
      <c r="M535" s="269"/>
      <c r="N535" s="269"/>
      <c r="O535" s="269"/>
      <c r="P535" s="269"/>
      <c r="Q535" s="418"/>
    </row>
    <row r="536" spans="1:17" s="216" customFormat="1" x14ac:dyDescent="0.2">
      <c r="A536" s="242">
        <f>A534+1</f>
        <v>9</v>
      </c>
      <c r="C536" s="216" t="s">
        <v>148</v>
      </c>
      <c r="D536" s="609">
        <v>0</v>
      </c>
      <c r="E536" s="386">
        <v>0</v>
      </c>
      <c r="F536" s="386">
        <v>0</v>
      </c>
      <c r="G536" s="386">
        <v>0</v>
      </c>
      <c r="H536" s="386">
        <v>0</v>
      </c>
      <c r="I536" s="386">
        <v>0</v>
      </c>
      <c r="J536" s="386">
        <v>0</v>
      </c>
      <c r="K536" s="386">
        <v>0</v>
      </c>
      <c r="L536" s="386">
        <v>0</v>
      </c>
      <c r="M536" s="386">
        <v>0</v>
      </c>
      <c r="N536" s="386">
        <v>0</v>
      </c>
      <c r="O536" s="386">
        <v>0</v>
      </c>
      <c r="P536" s="386">
        <v>0</v>
      </c>
      <c r="Q536" s="386">
        <f>SUM(E536:P536)</f>
        <v>0</v>
      </c>
    </row>
    <row r="537" spans="1:17" s="216" customFormat="1" x14ac:dyDescent="0.2">
      <c r="A537" s="242"/>
      <c r="D537" s="267"/>
      <c r="F537" s="269"/>
      <c r="G537" s="418"/>
      <c r="H537" s="269"/>
      <c r="I537" s="272"/>
      <c r="J537" s="269"/>
      <c r="K537" s="269"/>
      <c r="L537" s="269"/>
      <c r="M537" s="269"/>
      <c r="N537" s="269"/>
      <c r="O537" s="269"/>
      <c r="P537" s="269"/>
    </row>
    <row r="538" spans="1:17" s="216" customFormat="1" ht="10.5" thickBot="1" x14ac:dyDescent="0.25">
      <c r="A538" s="580">
        <f>A536+1</f>
        <v>10</v>
      </c>
      <c r="B538" s="434"/>
      <c r="C538" s="581" t="s">
        <v>202</v>
      </c>
      <c r="D538" s="582"/>
      <c r="E538" s="435">
        <f t="shared" ref="E538:P538" si="205">E534+E536</f>
        <v>32.32</v>
      </c>
      <c r="F538" s="435">
        <f t="shared" si="205"/>
        <v>28.69</v>
      </c>
      <c r="G538" s="435">
        <f t="shared" si="205"/>
        <v>26.540000000000003</v>
      </c>
      <c r="H538" s="435">
        <f t="shared" si="205"/>
        <v>17.2</v>
      </c>
      <c r="I538" s="435">
        <f t="shared" si="205"/>
        <v>6.88</v>
      </c>
      <c r="J538" s="435">
        <f t="shared" si="205"/>
        <v>1.78</v>
      </c>
      <c r="K538" s="435">
        <f t="shared" si="205"/>
        <v>1.47</v>
      </c>
      <c r="L538" s="435">
        <f t="shared" si="205"/>
        <v>1.6600000000000001</v>
      </c>
      <c r="M538" s="435">
        <f t="shared" si="205"/>
        <v>1.78</v>
      </c>
      <c r="N538" s="435">
        <f t="shared" si="205"/>
        <v>2.8899999999999997</v>
      </c>
      <c r="O538" s="435">
        <f t="shared" si="205"/>
        <v>13.39</v>
      </c>
      <c r="P538" s="435">
        <f t="shared" si="205"/>
        <v>27.46</v>
      </c>
      <c r="Q538" s="435">
        <f>SUM(E538:P538)</f>
        <v>162.06000000000003</v>
      </c>
    </row>
    <row r="539" spans="1:17" s="216" customFormat="1" ht="10.5" thickTop="1" x14ac:dyDescent="0.2">
      <c r="A539" s="242"/>
      <c r="D539" s="267"/>
      <c r="F539" s="269"/>
      <c r="G539" s="418"/>
      <c r="H539" s="269"/>
      <c r="I539" s="272"/>
      <c r="J539" s="269"/>
      <c r="K539" s="269"/>
      <c r="L539" s="269"/>
      <c r="M539" s="269"/>
      <c r="N539" s="269"/>
      <c r="O539" s="269"/>
      <c r="P539" s="269"/>
      <c r="Q539" s="418"/>
    </row>
    <row r="540" spans="1:17" s="216" customFormat="1" x14ac:dyDescent="0.2">
      <c r="A540" s="242"/>
      <c r="D540" s="267"/>
      <c r="F540" s="269"/>
      <c r="G540" s="418"/>
      <c r="H540" s="269"/>
      <c r="I540" s="272"/>
      <c r="J540" s="269"/>
      <c r="K540" s="269"/>
      <c r="L540" s="269"/>
      <c r="M540" s="269"/>
      <c r="N540" s="269"/>
      <c r="O540" s="269"/>
      <c r="P540" s="269"/>
      <c r="Q540" s="418"/>
    </row>
    <row r="541" spans="1:17" s="216" customFormat="1" x14ac:dyDescent="0.2">
      <c r="A541" s="242">
        <f>A538+1</f>
        <v>11</v>
      </c>
      <c r="B541" s="216" t="str">
        <f>B126</f>
        <v>LG2</v>
      </c>
      <c r="C541" s="216" t="str">
        <f>C126</f>
        <v xml:space="preserve">LG&amp;E Residential </v>
      </c>
      <c r="D541" s="267"/>
      <c r="F541" s="269"/>
      <c r="G541" s="418"/>
      <c r="H541" s="269"/>
      <c r="I541" s="272"/>
      <c r="J541" s="269"/>
      <c r="K541" s="269"/>
      <c r="L541" s="269"/>
      <c r="M541" s="269"/>
      <c r="N541" s="269"/>
      <c r="O541" s="269"/>
      <c r="P541" s="269"/>
    </row>
    <row r="542" spans="1:17" s="216" customFormat="1" x14ac:dyDescent="0.2">
      <c r="A542" s="242"/>
      <c r="D542" s="267"/>
      <c r="F542" s="269"/>
      <c r="G542" s="418"/>
      <c r="H542" s="269"/>
      <c r="I542" s="272"/>
      <c r="J542" s="269"/>
      <c r="K542" s="269"/>
      <c r="L542" s="269"/>
      <c r="M542" s="269"/>
      <c r="N542" s="269"/>
      <c r="O542" s="269"/>
      <c r="P542" s="269"/>
    </row>
    <row r="543" spans="1:17" s="216" customFormat="1" ht="10.5" x14ac:dyDescent="0.25">
      <c r="A543" s="242">
        <f>A541+1</f>
        <v>12</v>
      </c>
      <c r="C543" s="245" t="s">
        <v>109</v>
      </c>
      <c r="D543" s="267"/>
      <c r="F543" s="269"/>
      <c r="G543" s="418"/>
      <c r="H543" s="269"/>
      <c r="I543" s="272"/>
      <c r="J543" s="269"/>
      <c r="K543" s="269"/>
      <c r="L543" s="269"/>
      <c r="M543" s="269"/>
      <c r="N543" s="269"/>
      <c r="O543" s="269"/>
      <c r="P543" s="269"/>
    </row>
    <row r="544" spans="1:17" s="216" customFormat="1" x14ac:dyDescent="0.2">
      <c r="A544" s="242"/>
      <c r="D544" s="267"/>
      <c r="F544" s="269"/>
      <c r="G544" s="418"/>
      <c r="H544" s="269"/>
      <c r="I544" s="272"/>
      <c r="J544" s="269"/>
      <c r="K544" s="269"/>
      <c r="L544" s="269"/>
      <c r="M544" s="269"/>
      <c r="N544" s="269"/>
      <c r="O544" s="269"/>
      <c r="P544" s="269"/>
    </row>
    <row r="545" spans="1:17" s="216" customFormat="1" x14ac:dyDescent="0.2">
      <c r="A545" s="242">
        <f>A543+1</f>
        <v>13</v>
      </c>
      <c r="C545" s="216" t="s">
        <v>199</v>
      </c>
      <c r="D545" s="267"/>
      <c r="E545" s="421">
        <f>B!D47</f>
        <v>1</v>
      </c>
      <c r="F545" s="421">
        <f>B!E47</f>
        <v>1</v>
      </c>
      <c r="G545" s="421">
        <f>B!F47</f>
        <v>1</v>
      </c>
      <c r="H545" s="421">
        <f>B!G47</f>
        <v>1</v>
      </c>
      <c r="I545" s="421">
        <f>B!H47</f>
        <v>1</v>
      </c>
      <c r="J545" s="421">
        <f>B!I47</f>
        <v>1</v>
      </c>
      <c r="K545" s="421">
        <f>B!J47</f>
        <v>1</v>
      </c>
      <c r="L545" s="421">
        <f>B!K47</f>
        <v>1</v>
      </c>
      <c r="M545" s="421">
        <f>B!L47</f>
        <v>1</v>
      </c>
      <c r="N545" s="421">
        <f>B!M47</f>
        <v>1</v>
      </c>
      <c r="O545" s="421">
        <f>B!N47</f>
        <v>1</v>
      </c>
      <c r="P545" s="421">
        <f>B!O47</f>
        <v>1</v>
      </c>
      <c r="Q545" s="453">
        <f>SUM(E545:P545)</f>
        <v>12</v>
      </c>
    </row>
    <row r="546" spans="1:17" s="216" customFormat="1" x14ac:dyDescent="0.2">
      <c r="A546" s="242">
        <f>A545+1</f>
        <v>14</v>
      </c>
      <c r="C546" s="216" t="s">
        <v>207</v>
      </c>
      <c r="D546" s="608">
        <f>Input!V23</f>
        <v>0</v>
      </c>
      <c r="E546" s="386">
        <f t="shared" ref="E546:P546" si="206">ROUND(E545*$D$495,2)</f>
        <v>0</v>
      </c>
      <c r="F546" s="386">
        <f t="shared" si="206"/>
        <v>0</v>
      </c>
      <c r="G546" s="386">
        <f t="shared" si="206"/>
        <v>0</v>
      </c>
      <c r="H546" s="386">
        <f t="shared" si="206"/>
        <v>0</v>
      </c>
      <c r="I546" s="386">
        <f t="shared" si="206"/>
        <v>0</v>
      </c>
      <c r="J546" s="386">
        <f t="shared" si="206"/>
        <v>0</v>
      </c>
      <c r="K546" s="386">
        <f t="shared" si="206"/>
        <v>0</v>
      </c>
      <c r="L546" s="386">
        <f t="shared" si="206"/>
        <v>0</v>
      </c>
      <c r="M546" s="386">
        <f t="shared" si="206"/>
        <v>0</v>
      </c>
      <c r="N546" s="386">
        <f t="shared" si="206"/>
        <v>0</v>
      </c>
      <c r="O546" s="386">
        <f t="shared" si="206"/>
        <v>0</v>
      </c>
      <c r="P546" s="386">
        <f t="shared" si="206"/>
        <v>0</v>
      </c>
      <c r="Q546" s="386">
        <f>SUM(E546:P546)</f>
        <v>0</v>
      </c>
    </row>
    <row r="547" spans="1:17" s="216" customFormat="1" x14ac:dyDescent="0.2">
      <c r="A547" s="242"/>
      <c r="D547" s="267"/>
      <c r="F547" s="269"/>
      <c r="G547" s="418"/>
      <c r="H547" s="269"/>
      <c r="I547" s="272"/>
      <c r="J547" s="269"/>
      <c r="K547" s="269"/>
      <c r="L547" s="269"/>
      <c r="M547" s="269"/>
      <c r="N547" s="269"/>
      <c r="O547" s="269"/>
      <c r="P547" s="269"/>
    </row>
    <row r="548" spans="1:17" s="216" customFormat="1" x14ac:dyDescent="0.2">
      <c r="A548" s="242">
        <f>A546+1</f>
        <v>15</v>
      </c>
      <c r="C548" s="267" t="s">
        <v>206</v>
      </c>
      <c r="D548" s="267"/>
      <c r="E548" s="424">
        <f>'C'!D47</f>
        <v>138.19999999999999</v>
      </c>
      <c r="F548" s="424">
        <f>'C'!E47</f>
        <v>141.5</v>
      </c>
      <c r="G548" s="424">
        <f>'C'!F47</f>
        <v>113</v>
      </c>
      <c r="H548" s="424">
        <f>'C'!G47</f>
        <v>73.099999999999994</v>
      </c>
      <c r="I548" s="424">
        <f>'C'!H47</f>
        <v>18.100000000000001</v>
      </c>
      <c r="J548" s="272">
        <f>'C'!I47</f>
        <v>3.1</v>
      </c>
      <c r="K548" s="272">
        <f>'C'!J47</f>
        <v>2.9</v>
      </c>
      <c r="L548" s="424">
        <f>'C'!K47</f>
        <v>2.9</v>
      </c>
      <c r="M548" s="424">
        <f>'C'!L47</f>
        <v>3.9</v>
      </c>
      <c r="N548" s="424">
        <f>'C'!M47</f>
        <v>22.1</v>
      </c>
      <c r="O548" s="424">
        <f>'C'!N47</f>
        <v>57.2</v>
      </c>
      <c r="P548" s="424">
        <f>'C'!O47</f>
        <v>96.3</v>
      </c>
      <c r="Q548" s="589">
        <f>SUM(E548:P548)</f>
        <v>672.3</v>
      </c>
    </row>
    <row r="549" spans="1:17" s="216" customFormat="1" x14ac:dyDescent="0.2">
      <c r="A549" s="242">
        <f>A548+1</f>
        <v>16</v>
      </c>
      <c r="C549" s="216" t="s">
        <v>209</v>
      </c>
      <c r="D549" s="609">
        <f>Input!Q23</f>
        <v>0.35</v>
      </c>
      <c r="E549" s="386">
        <f t="shared" ref="E549:P549" si="207">ROUND(E548*$D$549,2)</f>
        <v>48.37</v>
      </c>
      <c r="F549" s="386">
        <f t="shared" si="207"/>
        <v>49.53</v>
      </c>
      <c r="G549" s="386">
        <f t="shared" si="207"/>
        <v>39.549999999999997</v>
      </c>
      <c r="H549" s="386">
        <f t="shared" si="207"/>
        <v>25.59</v>
      </c>
      <c r="I549" s="386">
        <f t="shared" si="207"/>
        <v>6.34</v>
      </c>
      <c r="J549" s="386">
        <f t="shared" si="207"/>
        <v>1.0900000000000001</v>
      </c>
      <c r="K549" s="386">
        <f t="shared" si="207"/>
        <v>1.02</v>
      </c>
      <c r="L549" s="386">
        <f t="shared" si="207"/>
        <v>1.02</v>
      </c>
      <c r="M549" s="386">
        <f t="shared" si="207"/>
        <v>1.37</v>
      </c>
      <c r="N549" s="386">
        <f t="shared" si="207"/>
        <v>7.74</v>
      </c>
      <c r="O549" s="386">
        <f t="shared" si="207"/>
        <v>20.02</v>
      </c>
      <c r="P549" s="386">
        <f t="shared" si="207"/>
        <v>33.71</v>
      </c>
      <c r="Q549" s="386">
        <f>SUM(E549:P549)</f>
        <v>235.35000000000005</v>
      </c>
    </row>
    <row r="550" spans="1:17" s="216" customFormat="1" x14ac:dyDescent="0.2">
      <c r="A550" s="242"/>
      <c r="D550" s="267"/>
      <c r="F550" s="269"/>
      <c r="G550" s="418"/>
      <c r="H550" s="269"/>
      <c r="I550" s="272"/>
      <c r="J550" s="269"/>
      <c r="K550" s="269"/>
      <c r="L550" s="269"/>
      <c r="M550" s="269"/>
      <c r="N550" s="269"/>
      <c r="O550" s="269"/>
      <c r="P550" s="269"/>
      <c r="Q550" s="456"/>
    </row>
    <row r="551" spans="1:17" s="216" customFormat="1" x14ac:dyDescent="0.2">
      <c r="A551" s="242">
        <f>A549+1</f>
        <v>17</v>
      </c>
      <c r="C551" s="216" t="s">
        <v>201</v>
      </c>
      <c r="D551" s="267"/>
      <c r="E551" s="386">
        <f t="shared" ref="E551:P551" si="208">E546+E549</f>
        <v>48.37</v>
      </c>
      <c r="F551" s="386">
        <f t="shared" si="208"/>
        <v>49.53</v>
      </c>
      <c r="G551" s="386">
        <f t="shared" si="208"/>
        <v>39.549999999999997</v>
      </c>
      <c r="H551" s="386">
        <f t="shared" si="208"/>
        <v>25.59</v>
      </c>
      <c r="I551" s="386">
        <f t="shared" si="208"/>
        <v>6.34</v>
      </c>
      <c r="J551" s="386">
        <f t="shared" si="208"/>
        <v>1.0900000000000001</v>
      </c>
      <c r="K551" s="386">
        <f t="shared" si="208"/>
        <v>1.02</v>
      </c>
      <c r="L551" s="386">
        <f t="shared" si="208"/>
        <v>1.02</v>
      </c>
      <c r="M551" s="386">
        <f t="shared" si="208"/>
        <v>1.37</v>
      </c>
      <c r="N551" s="386">
        <f t="shared" si="208"/>
        <v>7.74</v>
      </c>
      <c r="O551" s="386">
        <f t="shared" si="208"/>
        <v>20.02</v>
      </c>
      <c r="P551" s="386">
        <f t="shared" si="208"/>
        <v>33.71</v>
      </c>
      <c r="Q551" s="386">
        <f>SUM(E551:P551)</f>
        <v>235.35000000000005</v>
      </c>
    </row>
    <row r="552" spans="1:17" s="216" customFormat="1" x14ac:dyDescent="0.2">
      <c r="A552" s="242"/>
      <c r="D552" s="267"/>
      <c r="F552" s="269"/>
      <c r="G552" s="418"/>
      <c r="H552" s="269"/>
      <c r="I552" s="272"/>
      <c r="J552" s="269"/>
      <c r="K552" s="269"/>
      <c r="L552" s="269"/>
      <c r="M552" s="269"/>
      <c r="N552" s="269"/>
      <c r="O552" s="269"/>
      <c r="P552" s="269"/>
      <c r="Q552" s="418"/>
    </row>
    <row r="553" spans="1:17" s="216" customFormat="1" x14ac:dyDescent="0.2">
      <c r="A553" s="242">
        <f>A551+1</f>
        <v>18</v>
      </c>
      <c r="C553" s="216" t="s">
        <v>148</v>
      </c>
      <c r="D553" s="609">
        <v>0</v>
      </c>
      <c r="E553" s="386">
        <v>0</v>
      </c>
      <c r="F553" s="386">
        <v>0</v>
      </c>
      <c r="G553" s="386">
        <v>0</v>
      </c>
      <c r="H553" s="386">
        <v>0</v>
      </c>
      <c r="I553" s="386">
        <v>0</v>
      </c>
      <c r="J553" s="386">
        <v>0</v>
      </c>
      <c r="K553" s="386">
        <v>0</v>
      </c>
      <c r="L553" s="386">
        <v>0</v>
      </c>
      <c r="M553" s="386">
        <v>0</v>
      </c>
      <c r="N553" s="386">
        <v>0</v>
      </c>
      <c r="O553" s="386">
        <v>0</v>
      </c>
      <c r="P553" s="386">
        <v>0</v>
      </c>
      <c r="Q553" s="386">
        <f>SUM(E553:P553)</f>
        <v>0</v>
      </c>
    </row>
    <row r="554" spans="1:17" s="216" customFormat="1" x14ac:dyDescent="0.2">
      <c r="A554" s="242"/>
      <c r="D554" s="267"/>
      <c r="F554" s="269"/>
      <c r="G554" s="418"/>
      <c r="H554" s="269"/>
      <c r="I554" s="272"/>
      <c r="J554" s="269"/>
      <c r="K554" s="269"/>
      <c r="L554" s="269"/>
      <c r="M554" s="269"/>
      <c r="N554" s="269"/>
      <c r="O554" s="269"/>
      <c r="P554" s="269"/>
    </row>
    <row r="555" spans="1:17" s="216" customFormat="1" ht="10.5" thickBot="1" x14ac:dyDescent="0.25">
      <c r="A555" s="580">
        <f>A553+1</f>
        <v>19</v>
      </c>
      <c r="B555" s="434"/>
      <c r="C555" s="581" t="s">
        <v>202</v>
      </c>
      <c r="D555" s="582"/>
      <c r="E555" s="435">
        <f t="shared" ref="E555:P555" si="209">E551+E553</f>
        <v>48.37</v>
      </c>
      <c r="F555" s="435">
        <f t="shared" si="209"/>
        <v>49.53</v>
      </c>
      <c r="G555" s="435">
        <f t="shared" si="209"/>
        <v>39.549999999999997</v>
      </c>
      <c r="H555" s="435">
        <f t="shared" si="209"/>
        <v>25.59</v>
      </c>
      <c r="I555" s="435">
        <f t="shared" si="209"/>
        <v>6.34</v>
      </c>
      <c r="J555" s="435">
        <f t="shared" si="209"/>
        <v>1.0900000000000001</v>
      </c>
      <c r="K555" s="435">
        <f t="shared" si="209"/>
        <v>1.02</v>
      </c>
      <c r="L555" s="435">
        <f t="shared" si="209"/>
        <v>1.02</v>
      </c>
      <c r="M555" s="435">
        <f t="shared" si="209"/>
        <v>1.37</v>
      </c>
      <c r="N555" s="435">
        <f t="shared" si="209"/>
        <v>7.74</v>
      </c>
      <c r="O555" s="435">
        <f t="shared" si="209"/>
        <v>20.02</v>
      </c>
      <c r="P555" s="435">
        <f t="shared" si="209"/>
        <v>33.71</v>
      </c>
      <c r="Q555" s="435">
        <f>SUM(E555:P555)</f>
        <v>235.35000000000005</v>
      </c>
    </row>
    <row r="556" spans="1:17" s="216" customFormat="1" ht="10.5" thickTop="1" x14ac:dyDescent="0.2">
      <c r="A556" s="242"/>
      <c r="D556" s="267"/>
      <c r="F556" s="269"/>
      <c r="G556" s="418"/>
      <c r="H556" s="269"/>
      <c r="I556" s="272"/>
      <c r="J556" s="269"/>
      <c r="K556" s="269"/>
      <c r="L556" s="269"/>
      <c r="M556" s="269"/>
      <c r="N556" s="269"/>
      <c r="O556" s="269"/>
      <c r="P556" s="269"/>
    </row>
    <row r="557" spans="1:17" s="216" customFormat="1" x14ac:dyDescent="0.2">
      <c r="A557" s="242"/>
      <c r="D557" s="267"/>
      <c r="F557" s="269"/>
      <c r="G557" s="418"/>
      <c r="H557" s="269"/>
      <c r="I557" s="272"/>
      <c r="J557" s="269"/>
      <c r="K557" s="269"/>
      <c r="L557" s="269"/>
      <c r="M557" s="269"/>
      <c r="N557" s="269"/>
      <c r="O557" s="269"/>
      <c r="P557" s="269"/>
    </row>
    <row r="558" spans="1:17" s="216" customFormat="1" x14ac:dyDescent="0.2">
      <c r="A558" s="242">
        <f>A555+1</f>
        <v>20</v>
      </c>
      <c r="B558" s="216" t="str">
        <f>B133</f>
        <v>LG2</v>
      </c>
      <c r="C558" s="216" t="str">
        <f>C133</f>
        <v>LG&amp;E Commercial</v>
      </c>
      <c r="D558" s="267"/>
      <c r="F558" s="269"/>
      <c r="G558" s="418"/>
      <c r="H558" s="269"/>
      <c r="I558" s="272"/>
      <c r="J558" s="269"/>
      <c r="K558" s="269"/>
      <c r="L558" s="269"/>
      <c r="M558" s="269"/>
      <c r="N558" s="269"/>
      <c r="O558" s="269"/>
      <c r="P558" s="269"/>
    </row>
    <row r="559" spans="1:17" s="216" customFormat="1" x14ac:dyDescent="0.2">
      <c r="A559" s="242"/>
      <c r="D559" s="267"/>
      <c r="F559" s="269"/>
      <c r="G559" s="418"/>
      <c r="H559" s="269"/>
      <c r="I559" s="272"/>
      <c r="J559" s="269"/>
      <c r="K559" s="269"/>
      <c r="L559" s="269"/>
      <c r="M559" s="269"/>
      <c r="N559" s="269"/>
      <c r="O559" s="269"/>
      <c r="P559" s="269"/>
    </row>
    <row r="560" spans="1:17" s="216" customFormat="1" ht="10.5" x14ac:dyDescent="0.25">
      <c r="A560" s="242">
        <f>A558+1</f>
        <v>21</v>
      </c>
      <c r="C560" s="245" t="s">
        <v>111</v>
      </c>
      <c r="D560" s="267"/>
      <c r="F560" s="269"/>
      <c r="G560" s="418"/>
      <c r="H560" s="269"/>
      <c r="I560" s="272"/>
      <c r="J560" s="269"/>
      <c r="K560" s="269"/>
      <c r="L560" s="269"/>
      <c r="M560" s="269"/>
      <c r="N560" s="269"/>
      <c r="O560" s="269"/>
      <c r="P560" s="269"/>
    </row>
    <row r="561" spans="1:17" s="216" customFormat="1" x14ac:dyDescent="0.2">
      <c r="A561" s="242"/>
      <c r="D561" s="267"/>
      <c r="F561" s="269"/>
      <c r="G561" s="418"/>
      <c r="H561" s="269"/>
      <c r="I561" s="272"/>
      <c r="J561" s="269"/>
      <c r="K561" s="269"/>
      <c r="L561" s="269"/>
      <c r="M561" s="269"/>
      <c r="N561" s="269"/>
      <c r="O561" s="269"/>
      <c r="P561" s="269"/>
    </row>
    <row r="562" spans="1:17" s="216" customFormat="1" x14ac:dyDescent="0.2">
      <c r="A562" s="242">
        <f>A560+1</f>
        <v>22</v>
      </c>
      <c r="C562" s="216" t="s">
        <v>199</v>
      </c>
      <c r="D562" s="267"/>
      <c r="E562" s="421">
        <f>B!D52</f>
        <v>0</v>
      </c>
      <c r="F562" s="421">
        <f>B!E52</f>
        <v>0</v>
      </c>
      <c r="G562" s="421">
        <f>B!F52</f>
        <v>0</v>
      </c>
      <c r="H562" s="421">
        <f>B!G52</f>
        <v>0</v>
      </c>
      <c r="I562" s="421">
        <f>B!H52</f>
        <v>0</v>
      </c>
      <c r="J562" s="421">
        <f>B!I52</f>
        <v>0</v>
      </c>
      <c r="K562" s="421">
        <f>B!J52</f>
        <v>0</v>
      </c>
      <c r="L562" s="421">
        <f>B!K52</f>
        <v>0</v>
      </c>
      <c r="M562" s="421">
        <f>B!L52</f>
        <v>0</v>
      </c>
      <c r="N562" s="421">
        <f>B!M52</f>
        <v>0</v>
      </c>
      <c r="O562" s="421">
        <f>B!N52</f>
        <v>0</v>
      </c>
      <c r="P562" s="421">
        <f>B!O52</f>
        <v>0</v>
      </c>
      <c r="Q562" s="453">
        <f>SUM(E562:P562)</f>
        <v>0</v>
      </c>
    </row>
    <row r="563" spans="1:17" s="216" customFormat="1" x14ac:dyDescent="0.2">
      <c r="A563" s="242">
        <f>A562+1</f>
        <v>23</v>
      </c>
      <c r="C563" s="216" t="s">
        <v>207</v>
      </c>
      <c r="D563" s="608">
        <f>Input!V24</f>
        <v>0</v>
      </c>
      <c r="E563" s="386">
        <f t="shared" ref="E563:P563" si="210">ROUND(E562*$D$495,2)</f>
        <v>0</v>
      </c>
      <c r="F563" s="386">
        <f t="shared" si="210"/>
        <v>0</v>
      </c>
      <c r="G563" s="386">
        <f t="shared" si="210"/>
        <v>0</v>
      </c>
      <c r="H563" s="386">
        <f t="shared" si="210"/>
        <v>0</v>
      </c>
      <c r="I563" s="386">
        <f t="shared" si="210"/>
        <v>0</v>
      </c>
      <c r="J563" s="386">
        <f t="shared" si="210"/>
        <v>0</v>
      </c>
      <c r="K563" s="386">
        <f t="shared" si="210"/>
        <v>0</v>
      </c>
      <c r="L563" s="386">
        <f t="shared" si="210"/>
        <v>0</v>
      </c>
      <c r="M563" s="386">
        <f t="shared" si="210"/>
        <v>0</v>
      </c>
      <c r="N563" s="386">
        <f t="shared" si="210"/>
        <v>0</v>
      </c>
      <c r="O563" s="386">
        <f t="shared" si="210"/>
        <v>0</v>
      </c>
      <c r="P563" s="386">
        <f t="shared" si="210"/>
        <v>0</v>
      </c>
      <c r="Q563" s="386">
        <f>SUM(E563:P563)</f>
        <v>0</v>
      </c>
    </row>
    <row r="564" spans="1:17" s="216" customFormat="1" x14ac:dyDescent="0.2">
      <c r="A564" s="242"/>
      <c r="D564" s="267"/>
      <c r="F564" s="269"/>
      <c r="G564" s="418"/>
      <c r="H564" s="269"/>
      <c r="I564" s="272"/>
      <c r="J564" s="269"/>
      <c r="K564" s="269"/>
      <c r="L564" s="269"/>
      <c r="M564" s="269"/>
      <c r="N564" s="269"/>
      <c r="O564" s="269"/>
      <c r="P564" s="269"/>
    </row>
    <row r="565" spans="1:17" s="216" customFormat="1" x14ac:dyDescent="0.2">
      <c r="A565" s="242">
        <f>A563+1</f>
        <v>24</v>
      </c>
      <c r="C565" s="267" t="s">
        <v>206</v>
      </c>
      <c r="D565" s="267"/>
      <c r="E565" s="424">
        <f>'C'!D52</f>
        <v>0</v>
      </c>
      <c r="F565" s="424">
        <f>'C'!E52</f>
        <v>0</v>
      </c>
      <c r="G565" s="424">
        <f>'C'!F52</f>
        <v>0</v>
      </c>
      <c r="H565" s="424">
        <f>'C'!G52</f>
        <v>0</v>
      </c>
      <c r="I565" s="424">
        <f>'C'!H52</f>
        <v>0</v>
      </c>
      <c r="J565" s="424">
        <f>'C'!I52</f>
        <v>0</v>
      </c>
      <c r="K565" s="424">
        <f>'C'!J52</f>
        <v>0</v>
      </c>
      <c r="L565" s="424">
        <f>'C'!K52</f>
        <v>0</v>
      </c>
      <c r="M565" s="424">
        <f>'C'!L52</f>
        <v>0</v>
      </c>
      <c r="N565" s="424">
        <f>'C'!M52</f>
        <v>0</v>
      </c>
      <c r="O565" s="424">
        <f>'C'!N52</f>
        <v>0</v>
      </c>
      <c r="P565" s="424">
        <f>'C'!O52</f>
        <v>0</v>
      </c>
      <c r="Q565" s="589">
        <f>SUM(E565:P565)</f>
        <v>0</v>
      </c>
    </row>
    <row r="566" spans="1:17" s="216" customFormat="1" x14ac:dyDescent="0.2">
      <c r="A566" s="242">
        <f>A565+1</f>
        <v>25</v>
      </c>
      <c r="C566" s="216" t="s">
        <v>209</v>
      </c>
      <c r="D566" s="609">
        <f>Input!Q24</f>
        <v>0.35</v>
      </c>
      <c r="E566" s="386">
        <f t="shared" ref="E566:P566" si="211">ROUND(E565*$D$566,2)</f>
        <v>0</v>
      </c>
      <c r="F566" s="386">
        <f t="shared" si="211"/>
        <v>0</v>
      </c>
      <c r="G566" s="386">
        <f t="shared" si="211"/>
        <v>0</v>
      </c>
      <c r="H566" s="386">
        <f t="shared" si="211"/>
        <v>0</v>
      </c>
      <c r="I566" s="386">
        <f t="shared" si="211"/>
        <v>0</v>
      </c>
      <c r="J566" s="386">
        <f t="shared" si="211"/>
        <v>0</v>
      </c>
      <c r="K566" s="386">
        <f t="shared" si="211"/>
        <v>0</v>
      </c>
      <c r="L566" s="386">
        <f t="shared" si="211"/>
        <v>0</v>
      </c>
      <c r="M566" s="386">
        <f t="shared" si="211"/>
        <v>0</v>
      </c>
      <c r="N566" s="386">
        <f t="shared" si="211"/>
        <v>0</v>
      </c>
      <c r="O566" s="386">
        <f t="shared" si="211"/>
        <v>0</v>
      </c>
      <c r="P566" s="386">
        <f t="shared" si="211"/>
        <v>0</v>
      </c>
      <c r="Q566" s="386">
        <f>SUM(E566:P566)</f>
        <v>0</v>
      </c>
    </row>
    <row r="567" spans="1:17" s="216" customFormat="1" x14ac:dyDescent="0.2">
      <c r="A567" s="242"/>
      <c r="D567" s="267"/>
      <c r="F567" s="269"/>
      <c r="G567" s="418"/>
      <c r="H567" s="269"/>
      <c r="I567" s="272"/>
      <c r="J567" s="269"/>
      <c r="K567" s="269"/>
      <c r="L567" s="269"/>
      <c r="M567" s="269"/>
      <c r="N567" s="269"/>
      <c r="O567" s="269"/>
      <c r="P567" s="269"/>
      <c r="Q567" s="456"/>
    </row>
    <row r="568" spans="1:17" s="216" customFormat="1" x14ac:dyDescent="0.2">
      <c r="A568" s="242">
        <f>A566+1</f>
        <v>26</v>
      </c>
      <c r="C568" s="216" t="s">
        <v>201</v>
      </c>
      <c r="D568" s="267"/>
      <c r="E568" s="386">
        <f t="shared" ref="E568:P568" si="212">E563+E566</f>
        <v>0</v>
      </c>
      <c r="F568" s="386">
        <f t="shared" si="212"/>
        <v>0</v>
      </c>
      <c r="G568" s="386">
        <f t="shared" si="212"/>
        <v>0</v>
      </c>
      <c r="H568" s="386">
        <f t="shared" si="212"/>
        <v>0</v>
      </c>
      <c r="I568" s="386">
        <f t="shared" si="212"/>
        <v>0</v>
      </c>
      <c r="J568" s="386">
        <f t="shared" si="212"/>
        <v>0</v>
      </c>
      <c r="K568" s="386">
        <f t="shared" si="212"/>
        <v>0</v>
      </c>
      <c r="L568" s="386">
        <f t="shared" si="212"/>
        <v>0</v>
      </c>
      <c r="M568" s="386">
        <f t="shared" si="212"/>
        <v>0</v>
      </c>
      <c r="N568" s="386">
        <f t="shared" si="212"/>
        <v>0</v>
      </c>
      <c r="O568" s="386">
        <f t="shared" si="212"/>
        <v>0</v>
      </c>
      <c r="P568" s="386">
        <f t="shared" si="212"/>
        <v>0</v>
      </c>
      <c r="Q568" s="386">
        <f>SUM(E568:P568)</f>
        <v>0</v>
      </c>
    </row>
    <row r="569" spans="1:17" s="216" customFormat="1" x14ac:dyDescent="0.2">
      <c r="A569" s="242"/>
      <c r="D569" s="267"/>
      <c r="F569" s="269"/>
      <c r="G569" s="418"/>
      <c r="H569" s="269"/>
      <c r="I569" s="272"/>
      <c r="J569" s="269"/>
      <c r="K569" s="269"/>
      <c r="L569" s="269"/>
      <c r="M569" s="269"/>
      <c r="N569" s="269"/>
      <c r="O569" s="269"/>
      <c r="P569" s="269"/>
      <c r="Q569" s="418"/>
    </row>
    <row r="570" spans="1:17" s="216" customFormat="1" x14ac:dyDescent="0.2">
      <c r="A570" s="242">
        <f>A568+1</f>
        <v>27</v>
      </c>
      <c r="C570" s="216" t="s">
        <v>148</v>
      </c>
      <c r="D570" s="609">
        <v>0</v>
      </c>
      <c r="E570" s="386">
        <v>0</v>
      </c>
      <c r="F570" s="386">
        <v>0</v>
      </c>
      <c r="G570" s="386">
        <v>0</v>
      </c>
      <c r="H570" s="386">
        <v>0</v>
      </c>
      <c r="I570" s="386">
        <v>0</v>
      </c>
      <c r="J570" s="386">
        <v>0</v>
      </c>
      <c r="K570" s="386">
        <v>0</v>
      </c>
      <c r="L570" s="386">
        <v>0</v>
      </c>
      <c r="M570" s="386">
        <v>0</v>
      </c>
      <c r="N570" s="386">
        <v>0</v>
      </c>
      <c r="O570" s="386">
        <v>0</v>
      </c>
      <c r="P570" s="386">
        <v>0</v>
      </c>
      <c r="Q570" s="386">
        <f>SUM(E570:P570)</f>
        <v>0</v>
      </c>
    </row>
    <row r="571" spans="1:17" s="216" customFormat="1" x14ac:dyDescent="0.2">
      <c r="A571" s="242"/>
      <c r="D571" s="267"/>
      <c r="F571" s="269"/>
      <c r="G571" s="418"/>
      <c r="H571" s="269"/>
      <c r="I571" s="272"/>
      <c r="J571" s="269"/>
      <c r="K571" s="269"/>
      <c r="L571" s="269"/>
      <c r="M571" s="269"/>
      <c r="N571" s="269"/>
      <c r="O571" s="269"/>
      <c r="P571" s="269"/>
    </row>
    <row r="572" spans="1:17" s="216" customFormat="1" ht="10.5" thickBot="1" x14ac:dyDescent="0.25">
      <c r="A572" s="580">
        <f>A570+1</f>
        <v>28</v>
      </c>
      <c r="B572" s="434"/>
      <c r="C572" s="581" t="s">
        <v>202</v>
      </c>
      <c r="D572" s="582"/>
      <c r="E572" s="435">
        <f t="shared" ref="E572:P572" si="213">E568+E570</f>
        <v>0</v>
      </c>
      <c r="F572" s="435">
        <f t="shared" si="213"/>
        <v>0</v>
      </c>
      <c r="G572" s="435">
        <f t="shared" si="213"/>
        <v>0</v>
      </c>
      <c r="H572" s="435">
        <f t="shared" si="213"/>
        <v>0</v>
      </c>
      <c r="I572" s="435">
        <f t="shared" si="213"/>
        <v>0</v>
      </c>
      <c r="J572" s="435">
        <f t="shared" si="213"/>
        <v>0</v>
      </c>
      <c r="K572" s="435">
        <f t="shared" si="213"/>
        <v>0</v>
      </c>
      <c r="L572" s="435">
        <f t="shared" si="213"/>
        <v>0</v>
      </c>
      <c r="M572" s="435">
        <f t="shared" si="213"/>
        <v>0</v>
      </c>
      <c r="N572" s="435">
        <f t="shared" si="213"/>
        <v>0</v>
      </c>
      <c r="O572" s="435">
        <f t="shared" si="213"/>
        <v>0</v>
      </c>
      <c r="P572" s="435">
        <f t="shared" si="213"/>
        <v>0</v>
      </c>
      <c r="Q572" s="435">
        <f>SUM(E572:P572)</f>
        <v>0</v>
      </c>
    </row>
    <row r="573" spans="1:17" s="216" customFormat="1" ht="10.5" thickTop="1" x14ac:dyDescent="0.2">
      <c r="A573" s="242"/>
      <c r="D573" s="267"/>
      <c r="F573" s="269"/>
      <c r="G573" s="418"/>
      <c r="H573" s="269"/>
      <c r="I573" s="272"/>
      <c r="J573" s="269"/>
      <c r="K573" s="269"/>
      <c r="L573" s="269"/>
      <c r="M573" s="269"/>
      <c r="N573" s="269"/>
      <c r="O573" s="269"/>
      <c r="P573" s="269"/>
    </row>
    <row r="574" spans="1:17" s="216" customFormat="1" x14ac:dyDescent="0.2">
      <c r="A574" s="242"/>
      <c r="D574" s="267"/>
      <c r="F574" s="269"/>
      <c r="G574" s="418"/>
      <c r="H574" s="269"/>
      <c r="I574" s="272"/>
      <c r="J574" s="269"/>
      <c r="K574" s="269"/>
      <c r="L574" s="269"/>
      <c r="M574" s="269"/>
      <c r="N574" s="269"/>
      <c r="O574" s="269"/>
      <c r="P574" s="269"/>
    </row>
    <row r="575" spans="1:17" s="216" customFormat="1" x14ac:dyDescent="0.2">
      <c r="A575" s="504" t="str">
        <f>$A$265</f>
        <v>[1] Reflects Normalized Volumes.</v>
      </c>
      <c r="D575" s="267"/>
      <c r="F575" s="269"/>
      <c r="G575" s="418"/>
      <c r="H575" s="269"/>
      <c r="I575" s="272"/>
      <c r="J575" s="269"/>
      <c r="K575" s="269"/>
      <c r="L575" s="269"/>
      <c r="M575" s="269"/>
      <c r="N575" s="269"/>
      <c r="O575" s="269"/>
      <c r="P575" s="269"/>
    </row>
    <row r="576" spans="1:17" s="216" customFormat="1" ht="10.5" x14ac:dyDescent="0.25">
      <c r="A576" s="817" t="str">
        <f>CONAME</f>
        <v>Columbia Gas of Kentucky, Inc.</v>
      </c>
      <c r="B576" s="817"/>
      <c r="C576" s="817"/>
      <c r="D576" s="817"/>
      <c r="E576" s="817"/>
      <c r="F576" s="817"/>
      <c r="G576" s="817"/>
      <c r="H576" s="817"/>
      <c r="I576" s="817"/>
      <c r="J576" s="817"/>
      <c r="K576" s="817"/>
      <c r="L576" s="817"/>
      <c r="M576" s="817"/>
      <c r="N576" s="817"/>
      <c r="O576" s="817"/>
      <c r="P576" s="817"/>
      <c r="Q576" s="817"/>
    </row>
    <row r="577" spans="1:17" s="216" customFormat="1" ht="10.5" x14ac:dyDescent="0.25">
      <c r="A577" s="800" t="str">
        <f>case</f>
        <v>Case No. 2021-00183</v>
      </c>
      <c r="B577" s="800"/>
      <c r="C577" s="800"/>
      <c r="D577" s="800"/>
      <c r="E577" s="800"/>
      <c r="F577" s="800"/>
      <c r="G577" s="800"/>
      <c r="H577" s="800"/>
      <c r="I577" s="800"/>
      <c r="J577" s="800"/>
      <c r="K577" s="800"/>
      <c r="L577" s="800"/>
      <c r="M577" s="800"/>
      <c r="N577" s="800"/>
      <c r="O577" s="800"/>
      <c r="P577" s="800"/>
      <c r="Q577" s="800"/>
    </row>
    <row r="578" spans="1:17" s="216" customFormat="1" ht="10.5" x14ac:dyDescent="0.25">
      <c r="A578" s="815" t="s">
        <v>197</v>
      </c>
      <c r="B578" s="815"/>
      <c r="C578" s="815"/>
      <c r="D578" s="815"/>
      <c r="E578" s="815"/>
      <c r="F578" s="815"/>
      <c r="G578" s="815"/>
      <c r="H578" s="815"/>
      <c r="I578" s="815"/>
      <c r="J578" s="815"/>
      <c r="K578" s="815"/>
      <c r="L578" s="815"/>
      <c r="M578" s="815"/>
      <c r="N578" s="815"/>
      <c r="O578" s="815"/>
      <c r="P578" s="815"/>
      <c r="Q578" s="815"/>
    </row>
    <row r="579" spans="1:17" s="216" customFormat="1" ht="10.5" x14ac:dyDescent="0.25">
      <c r="A579" s="817" t="str">
        <f>TYDESC</f>
        <v>For the 12 Months Ended December 31, 2022</v>
      </c>
      <c r="B579" s="817"/>
      <c r="C579" s="817"/>
      <c r="D579" s="817"/>
      <c r="E579" s="817"/>
      <c r="F579" s="817"/>
      <c r="G579" s="817"/>
      <c r="H579" s="817"/>
      <c r="I579" s="817"/>
      <c r="J579" s="817"/>
      <c r="K579" s="817"/>
      <c r="L579" s="817"/>
      <c r="M579" s="817"/>
      <c r="N579" s="817"/>
      <c r="O579" s="817"/>
      <c r="P579" s="817"/>
      <c r="Q579" s="817"/>
    </row>
    <row r="580" spans="1:17" s="216" customFormat="1" ht="10.5" x14ac:dyDescent="0.25">
      <c r="A580" s="814" t="s">
        <v>39</v>
      </c>
      <c r="B580" s="814"/>
      <c r="C580" s="814"/>
      <c r="D580" s="814"/>
      <c r="E580" s="814"/>
      <c r="F580" s="814"/>
      <c r="G580" s="814"/>
      <c r="H580" s="814"/>
      <c r="I580" s="814"/>
      <c r="J580" s="814"/>
      <c r="K580" s="814"/>
      <c r="L580" s="814"/>
      <c r="M580" s="814"/>
      <c r="N580" s="814"/>
      <c r="O580" s="814"/>
      <c r="P580" s="814"/>
      <c r="Q580" s="814"/>
    </row>
    <row r="581" spans="1:17" s="216" customFormat="1" ht="10.5" x14ac:dyDescent="0.25">
      <c r="A581" s="575" t="str">
        <f>$A$52</f>
        <v>Data: __ Base Period _X_ Forecasted Period</v>
      </c>
      <c r="D581" s="267"/>
      <c r="F581" s="269"/>
      <c r="G581" s="418"/>
      <c r="H581" s="269"/>
      <c r="I581" s="272"/>
      <c r="J581" s="269"/>
      <c r="K581" s="269"/>
      <c r="L581" s="269"/>
      <c r="M581" s="269"/>
      <c r="N581" s="269"/>
      <c r="O581" s="269"/>
      <c r="P581" s="269"/>
    </row>
    <row r="582" spans="1:17" s="216" customFormat="1" ht="10.5" x14ac:dyDescent="0.25">
      <c r="A582" s="575" t="str">
        <f>$A$53</f>
        <v>Type of Filing: X Original _ Update _ Revised</v>
      </c>
      <c r="D582" s="267"/>
      <c r="F582" s="269"/>
      <c r="G582" s="418"/>
      <c r="H582" s="269"/>
      <c r="I582" s="272"/>
      <c r="J582" s="269"/>
      <c r="K582" s="269"/>
      <c r="L582" s="269"/>
      <c r="M582" s="269"/>
      <c r="N582" s="269"/>
      <c r="O582" s="269"/>
      <c r="P582" s="269"/>
      <c r="Q582" s="583" t="str">
        <f>$Q$53</f>
        <v>Schedule M-2.3</v>
      </c>
    </row>
    <row r="583" spans="1:17" s="216" customFormat="1" ht="10.5" x14ac:dyDescent="0.25">
      <c r="A583" s="575" t="str">
        <f>$A$54</f>
        <v>Work Paper Reference No(s):</v>
      </c>
      <c r="D583" s="267"/>
      <c r="F583" s="269"/>
      <c r="G583" s="418"/>
      <c r="H583" s="269"/>
      <c r="I583" s="272"/>
      <c r="J583" s="269"/>
      <c r="K583" s="269"/>
      <c r="L583" s="269"/>
      <c r="M583" s="269"/>
      <c r="N583" s="269"/>
      <c r="O583" s="269"/>
      <c r="P583" s="269"/>
      <c r="Q583" s="583" t="s">
        <v>433</v>
      </c>
    </row>
    <row r="584" spans="1:17" s="216" customFormat="1" ht="10.5" x14ac:dyDescent="0.25">
      <c r="A584" s="576" t="str">
        <f>$A$55</f>
        <v>12 Months Forecasted</v>
      </c>
      <c r="D584" s="267"/>
      <c r="F584" s="269"/>
      <c r="G584" s="418"/>
      <c r="H584" s="269"/>
      <c r="I584" s="272"/>
      <c r="J584" s="269"/>
      <c r="K584" s="269"/>
      <c r="L584" s="269"/>
      <c r="M584" s="269"/>
      <c r="N584" s="269"/>
      <c r="O584" s="269"/>
      <c r="P584" s="269"/>
      <c r="Q584" s="583" t="str">
        <f>Witness</f>
        <v>Witness:  Judith L. Siegler</v>
      </c>
    </row>
    <row r="585" spans="1:17" s="216" customFormat="1" ht="10.5" x14ac:dyDescent="0.25">
      <c r="A585" s="816" t="s">
        <v>291</v>
      </c>
      <c r="B585" s="816"/>
      <c r="C585" s="816"/>
      <c r="D585" s="816"/>
      <c r="E585" s="816"/>
      <c r="F585" s="816"/>
      <c r="G585" s="816"/>
      <c r="H585" s="816"/>
      <c r="I585" s="816"/>
      <c r="J585" s="816"/>
      <c r="K585" s="816"/>
      <c r="L585" s="816"/>
      <c r="M585" s="816"/>
      <c r="N585" s="816"/>
      <c r="O585" s="816"/>
      <c r="P585" s="816"/>
      <c r="Q585" s="816"/>
    </row>
    <row r="586" spans="1:17" s="216" customFormat="1" ht="10.5" x14ac:dyDescent="0.25">
      <c r="A586" s="219"/>
      <c r="B586" s="280"/>
      <c r="C586" s="280"/>
      <c r="D586" s="282"/>
      <c r="E586" s="280"/>
      <c r="F586" s="438"/>
      <c r="G586" s="439"/>
      <c r="H586" s="438"/>
      <c r="I586" s="440"/>
      <c r="J586" s="438"/>
      <c r="K586" s="438"/>
      <c r="L586" s="438"/>
      <c r="M586" s="438"/>
      <c r="N586" s="438"/>
      <c r="O586" s="438"/>
      <c r="P586" s="438"/>
      <c r="Q586" s="280"/>
    </row>
    <row r="587" spans="1:17" s="216" customFormat="1" ht="10.5" x14ac:dyDescent="0.25">
      <c r="A587" s="717" t="s">
        <v>1</v>
      </c>
      <c r="B587" s="717" t="s">
        <v>0</v>
      </c>
      <c r="C587" s="717" t="s">
        <v>41</v>
      </c>
      <c r="D587" s="721" t="s">
        <v>30</v>
      </c>
      <c r="E587" s="717"/>
      <c r="F587" s="584"/>
      <c r="G587" s="587"/>
      <c r="H587" s="584"/>
      <c r="I587" s="722"/>
      <c r="J587" s="584"/>
      <c r="K587" s="584"/>
      <c r="L587" s="584"/>
      <c r="M587" s="584"/>
      <c r="N587" s="584"/>
      <c r="O587" s="584"/>
      <c r="P587" s="584"/>
      <c r="Q587" s="723"/>
    </row>
    <row r="588" spans="1:17" s="216" customFormat="1" ht="10.5" x14ac:dyDescent="0.25">
      <c r="A588" s="263" t="s">
        <v>3</v>
      </c>
      <c r="B588" s="263" t="s">
        <v>40</v>
      </c>
      <c r="C588" s="263" t="s">
        <v>4</v>
      </c>
      <c r="D588" s="379" t="s">
        <v>48</v>
      </c>
      <c r="E588" s="380" t="str">
        <f>B!$D$11</f>
        <v>Jan-22</v>
      </c>
      <c r="F588" s="380" t="str">
        <f>B!$E$11</f>
        <v>Feb-22</v>
      </c>
      <c r="G588" s="380" t="str">
        <f>B!$F$11</f>
        <v>Mar-22</v>
      </c>
      <c r="H588" s="380" t="str">
        <f>B!$G$11</f>
        <v>Apr-22</v>
      </c>
      <c r="I588" s="380" t="str">
        <f>B!$H$11</f>
        <v>May-22</v>
      </c>
      <c r="J588" s="380" t="str">
        <f>B!$I$11</f>
        <v>Jun-22</v>
      </c>
      <c r="K588" s="380" t="str">
        <f>B!$J$11</f>
        <v>Jul-22</v>
      </c>
      <c r="L588" s="380" t="str">
        <f>B!$K$11</f>
        <v>Aug-22</v>
      </c>
      <c r="M588" s="380" t="str">
        <f>B!$L$11</f>
        <v>Sep-22</v>
      </c>
      <c r="N588" s="380" t="str">
        <f>B!$M$11</f>
        <v>Oct-22</v>
      </c>
      <c r="O588" s="380" t="str">
        <f>B!$N$11</f>
        <v>Nov-22</v>
      </c>
      <c r="P588" s="380" t="str">
        <f>B!$O$11</f>
        <v>Dec-22</v>
      </c>
      <c r="Q588" s="380" t="s">
        <v>9</v>
      </c>
    </row>
    <row r="589" spans="1:17" s="216" customFormat="1" ht="10.5" x14ac:dyDescent="0.25">
      <c r="A589" s="717"/>
      <c r="B589" s="719" t="s">
        <v>42</v>
      </c>
      <c r="C589" s="719" t="s">
        <v>43</v>
      </c>
      <c r="D589" s="382" t="s">
        <v>45</v>
      </c>
      <c r="E589" s="383" t="s">
        <v>46</v>
      </c>
      <c r="F589" s="383" t="s">
        <v>49</v>
      </c>
      <c r="G589" s="383" t="s">
        <v>50</v>
      </c>
      <c r="H589" s="383" t="s">
        <v>51</v>
      </c>
      <c r="I589" s="383" t="s">
        <v>52</v>
      </c>
      <c r="J589" s="384" t="s">
        <v>53</v>
      </c>
      <c r="K589" s="384" t="s">
        <v>54</v>
      </c>
      <c r="L589" s="384" t="s">
        <v>55</v>
      </c>
      <c r="M589" s="384" t="s">
        <v>56</v>
      </c>
      <c r="N589" s="384" t="s">
        <v>57</v>
      </c>
      <c r="O589" s="384" t="s">
        <v>58</v>
      </c>
      <c r="P589" s="384" t="s">
        <v>59</v>
      </c>
      <c r="Q589" s="384" t="s">
        <v>200</v>
      </c>
    </row>
    <row r="590" spans="1:17" s="216" customFormat="1" ht="10.5" x14ac:dyDescent="0.25">
      <c r="A590" s="242"/>
      <c r="D590" s="267"/>
      <c r="E590" s="723"/>
      <c r="F590" s="588"/>
      <c r="G590" s="585"/>
      <c r="H590" s="588"/>
      <c r="I590" s="586"/>
      <c r="J590" s="588"/>
      <c r="K590" s="588"/>
      <c r="L590" s="588"/>
      <c r="M590" s="588"/>
      <c r="N590" s="588"/>
      <c r="O590" s="588"/>
      <c r="P590" s="588"/>
      <c r="Q590" s="723"/>
    </row>
    <row r="591" spans="1:17" s="216" customFormat="1" x14ac:dyDescent="0.2">
      <c r="A591" s="242">
        <v>1</v>
      </c>
      <c r="B591" s="216" t="str">
        <f>B140</f>
        <v>LG3</v>
      </c>
      <c r="C591" s="216" t="str">
        <f>C140</f>
        <v>LG&amp;E Residential</v>
      </c>
      <c r="D591" s="267"/>
      <c r="F591" s="269"/>
      <c r="G591" s="418"/>
      <c r="H591" s="269"/>
      <c r="I591" s="272"/>
      <c r="J591" s="269"/>
      <c r="K591" s="269"/>
      <c r="L591" s="269"/>
      <c r="M591" s="269"/>
      <c r="N591" s="269"/>
      <c r="O591" s="269"/>
      <c r="P591" s="269"/>
    </row>
    <row r="592" spans="1:17" s="216" customFormat="1" x14ac:dyDescent="0.2">
      <c r="A592" s="242"/>
      <c r="D592" s="267"/>
      <c r="F592" s="269"/>
      <c r="G592" s="418"/>
      <c r="H592" s="269"/>
      <c r="I592" s="272"/>
      <c r="J592" s="269"/>
      <c r="K592" s="269"/>
      <c r="L592" s="269"/>
      <c r="M592" s="269"/>
      <c r="N592" s="269"/>
      <c r="O592" s="269"/>
      <c r="P592" s="269"/>
    </row>
    <row r="593" spans="1:17" s="216" customFormat="1" ht="10.5" x14ac:dyDescent="0.25">
      <c r="A593" s="242">
        <f>A591+1</f>
        <v>2</v>
      </c>
      <c r="C593" s="245" t="s">
        <v>109</v>
      </c>
      <c r="D593" s="267"/>
      <c r="F593" s="269"/>
      <c r="G593" s="418"/>
      <c r="H593" s="269"/>
      <c r="I593" s="272"/>
      <c r="J593" s="269"/>
      <c r="K593" s="269"/>
      <c r="L593" s="269"/>
      <c r="M593" s="269"/>
      <c r="N593" s="269"/>
      <c r="O593" s="269"/>
      <c r="P593" s="269"/>
    </row>
    <row r="594" spans="1:17" s="216" customFormat="1" x14ac:dyDescent="0.2">
      <c r="A594" s="242"/>
    </row>
    <row r="595" spans="1:17" s="216" customFormat="1" x14ac:dyDescent="0.2">
      <c r="A595" s="242">
        <f>A593+1</f>
        <v>3</v>
      </c>
      <c r="C595" s="216" t="s">
        <v>199</v>
      </c>
      <c r="D595" s="267"/>
      <c r="E595" s="421">
        <f>B!D70</f>
        <v>1</v>
      </c>
      <c r="F595" s="421">
        <f>B!E70</f>
        <v>1</v>
      </c>
      <c r="G595" s="421">
        <f>B!F70</f>
        <v>1</v>
      </c>
      <c r="H595" s="421">
        <f>B!G70</f>
        <v>1</v>
      </c>
      <c r="I595" s="421">
        <f>B!H70</f>
        <v>1</v>
      </c>
      <c r="J595" s="421">
        <f>B!I70</f>
        <v>1</v>
      </c>
      <c r="K595" s="421">
        <f>B!J70</f>
        <v>1</v>
      </c>
      <c r="L595" s="421">
        <f>B!K70</f>
        <v>1</v>
      </c>
      <c r="M595" s="421">
        <f>B!L70</f>
        <v>1</v>
      </c>
      <c r="N595" s="421">
        <f>B!M70</f>
        <v>1</v>
      </c>
      <c r="O595" s="421">
        <f>B!N70</f>
        <v>1</v>
      </c>
      <c r="P595" s="421">
        <f>B!O70</f>
        <v>1</v>
      </c>
      <c r="Q595" s="421">
        <f>SUM(E595:P595)</f>
        <v>12</v>
      </c>
    </row>
    <row r="596" spans="1:17" s="216" customFormat="1" x14ac:dyDescent="0.2">
      <c r="A596" s="242">
        <f>A595+1</f>
        <v>4</v>
      </c>
      <c r="C596" s="216" t="s">
        <v>207</v>
      </c>
      <c r="D596" s="608">
        <f>Input!V25</f>
        <v>1.2</v>
      </c>
      <c r="E596" s="386">
        <f t="shared" ref="E596:P596" si="214">ROUND(E595*$D$596,2)</f>
        <v>1.2</v>
      </c>
      <c r="F596" s="386">
        <f t="shared" si="214"/>
        <v>1.2</v>
      </c>
      <c r="G596" s="386">
        <f t="shared" si="214"/>
        <v>1.2</v>
      </c>
      <c r="H596" s="386">
        <f t="shared" si="214"/>
        <v>1.2</v>
      </c>
      <c r="I596" s="386">
        <f t="shared" si="214"/>
        <v>1.2</v>
      </c>
      <c r="J596" s="386">
        <f t="shared" si="214"/>
        <v>1.2</v>
      </c>
      <c r="K596" s="386">
        <f t="shared" si="214"/>
        <v>1.2</v>
      </c>
      <c r="L596" s="386">
        <f t="shared" si="214"/>
        <v>1.2</v>
      </c>
      <c r="M596" s="386">
        <f t="shared" si="214"/>
        <v>1.2</v>
      </c>
      <c r="N596" s="386">
        <f t="shared" si="214"/>
        <v>1.2</v>
      </c>
      <c r="O596" s="386">
        <f t="shared" si="214"/>
        <v>1.2</v>
      </c>
      <c r="P596" s="386">
        <f t="shared" si="214"/>
        <v>1.2</v>
      </c>
      <c r="Q596" s="386">
        <f>SUM(E596:P596)</f>
        <v>14.399999999999997</v>
      </c>
    </row>
    <row r="597" spans="1:17" s="216" customFormat="1" x14ac:dyDescent="0.2">
      <c r="A597" s="242"/>
      <c r="D597" s="267"/>
      <c r="F597" s="269"/>
      <c r="G597" s="418"/>
      <c r="H597" s="269"/>
      <c r="I597" s="272"/>
      <c r="J597" s="269"/>
      <c r="K597" s="269"/>
      <c r="L597" s="269"/>
      <c r="M597" s="269"/>
      <c r="N597" s="269"/>
      <c r="O597" s="269"/>
      <c r="P597" s="269"/>
    </row>
    <row r="598" spans="1:17" s="216" customFormat="1" x14ac:dyDescent="0.2">
      <c r="A598" s="242">
        <f>A596+1</f>
        <v>5</v>
      </c>
      <c r="C598" s="267" t="s">
        <v>206</v>
      </c>
      <c r="D598" s="267"/>
      <c r="F598" s="269"/>
      <c r="G598" s="418"/>
      <c r="H598" s="269"/>
      <c r="I598" s="272"/>
      <c r="J598" s="269"/>
      <c r="K598" s="269"/>
      <c r="L598" s="269"/>
      <c r="M598" s="269"/>
      <c r="N598" s="269"/>
      <c r="O598" s="269"/>
      <c r="P598" s="269"/>
    </row>
    <row r="599" spans="1:17" s="216" customFormat="1" x14ac:dyDescent="0.2">
      <c r="A599" s="242">
        <f>A598+1</f>
        <v>6</v>
      </c>
      <c r="C599" s="216" t="str">
        <f>'C'!B69</f>
        <v xml:space="preserve">    First 2 Mcf</v>
      </c>
      <c r="E599" s="272">
        <f>'C'!D69</f>
        <v>2</v>
      </c>
      <c r="F599" s="272">
        <f>'C'!E69</f>
        <v>2</v>
      </c>
      <c r="G599" s="272">
        <f>'C'!F69</f>
        <v>2</v>
      </c>
      <c r="H599" s="272">
        <f>'C'!G69</f>
        <v>2</v>
      </c>
      <c r="I599" s="272">
        <f>'C'!H69</f>
        <v>2</v>
      </c>
      <c r="J599" s="272">
        <f>'C'!I69</f>
        <v>2.4</v>
      </c>
      <c r="K599" s="272">
        <f>'C'!J69</f>
        <v>2</v>
      </c>
      <c r="L599" s="272">
        <f>'C'!K69</f>
        <v>2</v>
      </c>
      <c r="M599" s="272">
        <f>'C'!L69</f>
        <v>2</v>
      </c>
      <c r="N599" s="272">
        <f>'C'!M69</f>
        <v>2</v>
      </c>
      <c r="O599" s="272">
        <f>'C'!N69</f>
        <v>2</v>
      </c>
      <c r="P599" s="272">
        <f>'C'!O69</f>
        <v>2</v>
      </c>
      <c r="Q599" s="445">
        <f>SUM(E599:P599)</f>
        <v>24.4</v>
      </c>
    </row>
    <row r="600" spans="1:17" s="216" customFormat="1" x14ac:dyDescent="0.2">
      <c r="A600" s="242">
        <f>A599+1</f>
        <v>7</v>
      </c>
      <c r="C600" s="216" t="str">
        <f>'C'!B70</f>
        <v xml:space="preserve">    Over 2 Mcf</v>
      </c>
      <c r="E600" s="448">
        <f>'C'!D70</f>
        <v>80.400000000000006</v>
      </c>
      <c r="F600" s="448">
        <f>'C'!E70</f>
        <v>86.1</v>
      </c>
      <c r="G600" s="448">
        <f>'C'!F70</f>
        <v>73.599999999999994</v>
      </c>
      <c r="H600" s="448">
        <f>'C'!G70</f>
        <v>48</v>
      </c>
      <c r="I600" s="448">
        <f>'C'!H70</f>
        <v>18.100000000000001</v>
      </c>
      <c r="J600" s="448">
        <f>'C'!I70</f>
        <v>9.1</v>
      </c>
      <c r="K600" s="448">
        <f>'C'!J70</f>
        <v>8</v>
      </c>
      <c r="L600" s="448">
        <f>'C'!K70</f>
        <v>15.7</v>
      </c>
      <c r="M600" s="448">
        <f>'C'!L70</f>
        <v>36.799999999999997</v>
      </c>
      <c r="N600" s="448">
        <f>'C'!M70</f>
        <v>42.7</v>
      </c>
      <c r="O600" s="448">
        <f>'C'!N70</f>
        <v>50.1</v>
      </c>
      <c r="P600" s="448">
        <f>'C'!O70</f>
        <v>95.9</v>
      </c>
      <c r="Q600" s="448">
        <f>SUM(E600:P600)</f>
        <v>564.50000000000011</v>
      </c>
    </row>
    <row r="601" spans="1:17" s="216" customFormat="1" x14ac:dyDescent="0.2">
      <c r="A601" s="242"/>
      <c r="D601" s="267"/>
      <c r="E601" s="272">
        <f t="shared" ref="E601:P601" si="215">SUM(E599:E600)</f>
        <v>82.4</v>
      </c>
      <c r="F601" s="272">
        <f t="shared" si="215"/>
        <v>88.1</v>
      </c>
      <c r="G601" s="272">
        <f t="shared" si="215"/>
        <v>75.599999999999994</v>
      </c>
      <c r="H601" s="272">
        <f t="shared" si="215"/>
        <v>50</v>
      </c>
      <c r="I601" s="272">
        <f t="shared" si="215"/>
        <v>20.100000000000001</v>
      </c>
      <c r="J601" s="272">
        <f t="shared" si="215"/>
        <v>11.5</v>
      </c>
      <c r="K601" s="272">
        <f t="shared" si="215"/>
        <v>10</v>
      </c>
      <c r="L601" s="272">
        <f t="shared" si="215"/>
        <v>17.7</v>
      </c>
      <c r="M601" s="272">
        <f t="shared" si="215"/>
        <v>38.799999999999997</v>
      </c>
      <c r="N601" s="272">
        <f t="shared" si="215"/>
        <v>44.7</v>
      </c>
      <c r="O601" s="272">
        <f t="shared" si="215"/>
        <v>52.1</v>
      </c>
      <c r="P601" s="272">
        <f t="shared" si="215"/>
        <v>97.9</v>
      </c>
      <c r="Q601" s="424">
        <f>SUM(E601:P601)</f>
        <v>588.90000000000009</v>
      </c>
    </row>
    <row r="602" spans="1:17" s="216" customFormat="1" x14ac:dyDescent="0.2">
      <c r="A602" s="242">
        <f>A600+1</f>
        <v>8</v>
      </c>
      <c r="C602" s="216" t="s">
        <v>204</v>
      </c>
      <c r="D602" s="267"/>
      <c r="F602" s="269"/>
      <c r="G602" s="418"/>
      <c r="H602" s="269"/>
      <c r="I602" s="272"/>
      <c r="J602" s="269"/>
      <c r="K602" s="269"/>
      <c r="L602" s="269"/>
      <c r="M602" s="269"/>
      <c r="N602" s="269"/>
      <c r="O602" s="269"/>
      <c r="P602" s="269"/>
    </row>
    <row r="603" spans="1:17" s="216" customFormat="1" x14ac:dyDescent="0.2">
      <c r="A603" s="242">
        <f>A602+1</f>
        <v>9</v>
      </c>
      <c r="C603" s="216" t="str">
        <f>C599</f>
        <v xml:space="preserve">    First 2 Mcf</v>
      </c>
      <c r="D603" s="609">
        <f>Input!Q25</f>
        <v>0</v>
      </c>
      <c r="E603" s="386">
        <f t="shared" ref="E603:P603" si="216">ROUND(E599*$D$603,2)</f>
        <v>0</v>
      </c>
      <c r="F603" s="386">
        <f t="shared" si="216"/>
        <v>0</v>
      </c>
      <c r="G603" s="386">
        <f t="shared" si="216"/>
        <v>0</v>
      </c>
      <c r="H603" s="386">
        <f t="shared" si="216"/>
        <v>0</v>
      </c>
      <c r="I603" s="386">
        <f t="shared" si="216"/>
        <v>0</v>
      </c>
      <c r="J603" s="386">
        <f t="shared" si="216"/>
        <v>0</v>
      </c>
      <c r="K603" s="386">
        <f t="shared" si="216"/>
        <v>0</v>
      </c>
      <c r="L603" s="386">
        <f t="shared" si="216"/>
        <v>0</v>
      </c>
      <c r="M603" s="386">
        <f t="shared" si="216"/>
        <v>0</v>
      </c>
      <c r="N603" s="386">
        <f t="shared" si="216"/>
        <v>0</v>
      </c>
      <c r="O603" s="386">
        <f t="shared" si="216"/>
        <v>0</v>
      </c>
      <c r="P603" s="386">
        <f t="shared" si="216"/>
        <v>0</v>
      </c>
      <c r="Q603" s="386">
        <f>SUM(E603:P603)</f>
        <v>0</v>
      </c>
    </row>
    <row r="604" spans="1:17" s="216" customFormat="1" x14ac:dyDescent="0.2">
      <c r="A604" s="242">
        <f>A603+1</f>
        <v>10</v>
      </c>
      <c r="C604" s="216" t="str">
        <f>C600</f>
        <v xml:space="preserve">    Over 2 Mcf</v>
      </c>
      <c r="D604" s="609">
        <f>Input!R25</f>
        <v>0.35</v>
      </c>
      <c r="E604" s="455">
        <f t="shared" ref="E604:P604" si="217">ROUND(E600*$D$604,2)</f>
        <v>28.14</v>
      </c>
      <c r="F604" s="455">
        <f t="shared" si="217"/>
        <v>30.14</v>
      </c>
      <c r="G604" s="455">
        <f t="shared" si="217"/>
        <v>25.76</v>
      </c>
      <c r="H604" s="455">
        <f t="shared" si="217"/>
        <v>16.8</v>
      </c>
      <c r="I604" s="455">
        <f t="shared" si="217"/>
        <v>6.34</v>
      </c>
      <c r="J604" s="455">
        <f t="shared" si="217"/>
        <v>3.19</v>
      </c>
      <c r="K604" s="455">
        <f t="shared" si="217"/>
        <v>2.8</v>
      </c>
      <c r="L604" s="455">
        <f t="shared" si="217"/>
        <v>5.5</v>
      </c>
      <c r="M604" s="455">
        <f t="shared" si="217"/>
        <v>12.88</v>
      </c>
      <c r="N604" s="455">
        <f t="shared" si="217"/>
        <v>14.95</v>
      </c>
      <c r="O604" s="455">
        <f t="shared" si="217"/>
        <v>17.54</v>
      </c>
      <c r="P604" s="455">
        <f t="shared" si="217"/>
        <v>33.57</v>
      </c>
      <c r="Q604" s="455">
        <f>SUM(E604:P604)</f>
        <v>197.60999999999999</v>
      </c>
    </row>
    <row r="605" spans="1:17" s="216" customFormat="1" x14ac:dyDescent="0.2">
      <c r="A605" s="242"/>
      <c r="D605" s="267"/>
      <c r="E605" s="386">
        <f t="shared" ref="E605:P605" si="218">SUM(E603:E604)</f>
        <v>28.14</v>
      </c>
      <c r="F605" s="386">
        <f t="shared" si="218"/>
        <v>30.14</v>
      </c>
      <c r="G605" s="386">
        <f t="shared" si="218"/>
        <v>25.76</v>
      </c>
      <c r="H605" s="386">
        <f t="shared" si="218"/>
        <v>16.8</v>
      </c>
      <c r="I605" s="386">
        <f t="shared" si="218"/>
        <v>6.34</v>
      </c>
      <c r="J605" s="386">
        <f t="shared" si="218"/>
        <v>3.19</v>
      </c>
      <c r="K605" s="386">
        <f t="shared" si="218"/>
        <v>2.8</v>
      </c>
      <c r="L605" s="386">
        <f t="shared" si="218"/>
        <v>5.5</v>
      </c>
      <c r="M605" s="386">
        <f t="shared" si="218"/>
        <v>12.88</v>
      </c>
      <c r="N605" s="386">
        <f t="shared" si="218"/>
        <v>14.95</v>
      </c>
      <c r="O605" s="386">
        <f t="shared" si="218"/>
        <v>17.54</v>
      </c>
      <c r="P605" s="386">
        <f t="shared" si="218"/>
        <v>33.57</v>
      </c>
      <c r="Q605" s="386">
        <f>SUM(E605:P605)</f>
        <v>197.60999999999999</v>
      </c>
    </row>
    <row r="606" spans="1:17" s="216" customFormat="1" x14ac:dyDescent="0.2">
      <c r="A606" s="242"/>
      <c r="D606" s="267"/>
      <c r="F606" s="269"/>
      <c r="G606" s="418"/>
      <c r="H606" s="269"/>
      <c r="I606" s="272"/>
      <c r="J606" s="269"/>
      <c r="K606" s="269"/>
      <c r="L606" s="269"/>
      <c r="M606" s="269"/>
      <c r="N606" s="269"/>
      <c r="O606" s="269"/>
      <c r="P606" s="269"/>
    </row>
    <row r="607" spans="1:17" s="216" customFormat="1" x14ac:dyDescent="0.2">
      <c r="A607" s="242">
        <f>A604+1</f>
        <v>11</v>
      </c>
      <c r="C607" s="216" t="s">
        <v>201</v>
      </c>
      <c r="D607" s="267"/>
      <c r="E607" s="386">
        <f t="shared" ref="E607:P607" si="219">E596+E605</f>
        <v>29.34</v>
      </c>
      <c r="F607" s="386">
        <f t="shared" si="219"/>
        <v>31.34</v>
      </c>
      <c r="G607" s="386">
        <f t="shared" si="219"/>
        <v>26.96</v>
      </c>
      <c r="H607" s="386">
        <f t="shared" si="219"/>
        <v>18</v>
      </c>
      <c r="I607" s="386">
        <f t="shared" si="219"/>
        <v>7.54</v>
      </c>
      <c r="J607" s="386">
        <f t="shared" si="219"/>
        <v>4.3899999999999997</v>
      </c>
      <c r="K607" s="386">
        <f t="shared" si="219"/>
        <v>4</v>
      </c>
      <c r="L607" s="386">
        <f t="shared" si="219"/>
        <v>6.7</v>
      </c>
      <c r="M607" s="386">
        <f t="shared" si="219"/>
        <v>14.08</v>
      </c>
      <c r="N607" s="386">
        <f t="shared" si="219"/>
        <v>16.149999999999999</v>
      </c>
      <c r="O607" s="386">
        <f t="shared" si="219"/>
        <v>18.739999999999998</v>
      </c>
      <c r="P607" s="386">
        <f t="shared" si="219"/>
        <v>34.770000000000003</v>
      </c>
      <c r="Q607" s="386">
        <f>SUM(E607:P607)</f>
        <v>212.01000000000005</v>
      </c>
    </row>
    <row r="608" spans="1:17" s="216" customFormat="1" x14ac:dyDescent="0.2">
      <c r="A608" s="242"/>
      <c r="D608" s="267"/>
      <c r="F608" s="269"/>
      <c r="G608" s="418"/>
      <c r="H608" s="269"/>
      <c r="I608" s="272"/>
      <c r="J608" s="269"/>
      <c r="K608" s="269"/>
      <c r="L608" s="269"/>
      <c r="M608" s="269"/>
      <c r="N608" s="269"/>
      <c r="O608" s="269"/>
      <c r="P608" s="269"/>
    </row>
    <row r="609" spans="1:17" s="216" customFormat="1" x14ac:dyDescent="0.2">
      <c r="A609" s="242">
        <f>A607+1</f>
        <v>12</v>
      </c>
      <c r="C609" s="216" t="s">
        <v>148</v>
      </c>
      <c r="D609" s="609">
        <v>0</v>
      </c>
      <c r="E609" s="386">
        <v>0</v>
      </c>
      <c r="F609" s="386">
        <v>0</v>
      </c>
      <c r="G609" s="386">
        <v>0</v>
      </c>
      <c r="H609" s="386">
        <v>0</v>
      </c>
      <c r="I609" s="386">
        <v>0</v>
      </c>
      <c r="J609" s="386">
        <v>0</v>
      </c>
      <c r="K609" s="386">
        <v>0</v>
      </c>
      <c r="L609" s="386">
        <v>0</v>
      </c>
      <c r="M609" s="386">
        <v>0</v>
      </c>
      <c r="N609" s="386">
        <v>0</v>
      </c>
      <c r="O609" s="386">
        <v>0</v>
      </c>
      <c r="P609" s="386">
        <v>0</v>
      </c>
      <c r="Q609" s="386">
        <f>SUM(E609:P609)</f>
        <v>0</v>
      </c>
    </row>
    <row r="610" spans="1:17" s="216" customFormat="1" x14ac:dyDescent="0.2">
      <c r="A610" s="242"/>
      <c r="D610" s="267"/>
      <c r="F610" s="269"/>
      <c r="G610" s="418"/>
      <c r="H610" s="269"/>
      <c r="I610" s="272"/>
      <c r="J610" s="269"/>
      <c r="K610" s="269"/>
      <c r="L610" s="269"/>
      <c r="M610" s="269"/>
      <c r="N610" s="269"/>
      <c r="O610" s="269"/>
      <c r="P610" s="269"/>
      <c r="Q610" s="418"/>
    </row>
    <row r="611" spans="1:17" s="216" customFormat="1" ht="10.5" thickBot="1" x14ac:dyDescent="0.25">
      <c r="A611" s="580">
        <f>A609+1</f>
        <v>13</v>
      </c>
      <c r="B611" s="434"/>
      <c r="C611" s="581" t="s">
        <v>202</v>
      </c>
      <c r="D611" s="582"/>
      <c r="E611" s="435">
        <f t="shared" ref="E611:P611" si="220">E607+E609</f>
        <v>29.34</v>
      </c>
      <c r="F611" s="435">
        <f t="shared" si="220"/>
        <v>31.34</v>
      </c>
      <c r="G611" s="435">
        <f t="shared" si="220"/>
        <v>26.96</v>
      </c>
      <c r="H611" s="435">
        <f t="shared" si="220"/>
        <v>18</v>
      </c>
      <c r="I611" s="435">
        <f t="shared" si="220"/>
        <v>7.54</v>
      </c>
      <c r="J611" s="435">
        <f t="shared" si="220"/>
        <v>4.3899999999999997</v>
      </c>
      <c r="K611" s="435">
        <f t="shared" si="220"/>
        <v>4</v>
      </c>
      <c r="L611" s="435">
        <f t="shared" si="220"/>
        <v>6.7</v>
      </c>
      <c r="M611" s="435">
        <f t="shared" si="220"/>
        <v>14.08</v>
      </c>
      <c r="N611" s="435">
        <f t="shared" si="220"/>
        <v>16.149999999999999</v>
      </c>
      <c r="O611" s="435">
        <f t="shared" si="220"/>
        <v>18.739999999999998</v>
      </c>
      <c r="P611" s="435">
        <f t="shared" si="220"/>
        <v>34.770000000000003</v>
      </c>
      <c r="Q611" s="435">
        <f>SUM(E611:P611)</f>
        <v>212.01000000000005</v>
      </c>
    </row>
    <row r="612" spans="1:17" s="216" customFormat="1" ht="10.5" thickTop="1" x14ac:dyDescent="0.2">
      <c r="A612" s="242"/>
      <c r="D612" s="267"/>
      <c r="F612" s="269"/>
      <c r="G612" s="418"/>
      <c r="H612" s="269"/>
      <c r="I612" s="272"/>
      <c r="J612" s="269"/>
      <c r="K612" s="269"/>
      <c r="L612" s="269"/>
      <c r="M612" s="269"/>
      <c r="N612" s="269"/>
      <c r="O612" s="269"/>
      <c r="P612" s="269"/>
    </row>
    <row r="613" spans="1:17" s="216" customFormat="1" x14ac:dyDescent="0.2">
      <c r="A613" s="242">
        <f>A611+1</f>
        <v>14</v>
      </c>
      <c r="B613" s="216" t="str">
        <f>B147</f>
        <v>LG4</v>
      </c>
      <c r="C613" s="216" t="str">
        <f>C147</f>
        <v>LG&amp;E Residential</v>
      </c>
      <c r="D613" s="267"/>
      <c r="F613" s="269"/>
      <c r="G613" s="418"/>
      <c r="H613" s="269"/>
      <c r="I613" s="272"/>
      <c r="J613" s="269"/>
      <c r="K613" s="269"/>
      <c r="L613" s="269"/>
      <c r="M613" s="269"/>
      <c r="N613" s="269"/>
      <c r="O613" s="269"/>
      <c r="P613" s="269"/>
    </row>
    <row r="614" spans="1:17" s="216" customFormat="1" x14ac:dyDescent="0.2">
      <c r="A614" s="242"/>
      <c r="D614" s="267"/>
      <c r="F614" s="269"/>
      <c r="G614" s="418"/>
      <c r="H614" s="269"/>
      <c r="I614" s="272"/>
      <c r="J614" s="269"/>
      <c r="K614" s="269"/>
      <c r="L614" s="269"/>
      <c r="M614" s="269"/>
      <c r="N614" s="269"/>
      <c r="O614" s="269"/>
      <c r="P614" s="269"/>
    </row>
    <row r="615" spans="1:17" s="216" customFormat="1" ht="10.5" x14ac:dyDescent="0.25">
      <c r="A615" s="242">
        <f>A613+1</f>
        <v>15</v>
      </c>
      <c r="C615" s="245" t="s">
        <v>109</v>
      </c>
      <c r="D615" s="267"/>
      <c r="F615" s="269"/>
      <c r="G615" s="418"/>
      <c r="H615" s="269"/>
      <c r="I615" s="272"/>
      <c r="J615" s="269"/>
      <c r="K615" s="269"/>
      <c r="L615" s="269"/>
      <c r="M615" s="269"/>
      <c r="N615" s="269"/>
      <c r="O615" s="269"/>
      <c r="P615" s="269"/>
    </row>
    <row r="616" spans="1:17" s="216" customFormat="1" x14ac:dyDescent="0.2">
      <c r="A616" s="242"/>
      <c r="D616" s="267"/>
      <c r="F616" s="269"/>
      <c r="G616" s="418"/>
      <c r="H616" s="269"/>
      <c r="I616" s="272"/>
      <c r="J616" s="269"/>
      <c r="K616" s="269"/>
      <c r="L616" s="269"/>
      <c r="M616" s="269"/>
      <c r="N616" s="269"/>
      <c r="O616" s="269"/>
      <c r="P616" s="269"/>
    </row>
    <row r="617" spans="1:17" s="216" customFormat="1" x14ac:dyDescent="0.2">
      <c r="A617" s="242">
        <f>A615+1</f>
        <v>16</v>
      </c>
      <c r="C617" s="216" t="s">
        <v>199</v>
      </c>
      <c r="D617" s="267"/>
      <c r="E617" s="421">
        <f>B!D75</f>
        <v>1</v>
      </c>
      <c r="F617" s="421">
        <f>B!E75</f>
        <v>1</v>
      </c>
      <c r="G617" s="421">
        <f>B!F75</f>
        <v>1</v>
      </c>
      <c r="H617" s="421">
        <f>B!G75</f>
        <v>1</v>
      </c>
      <c r="I617" s="421">
        <f>B!H75</f>
        <v>1</v>
      </c>
      <c r="J617" s="421">
        <f>B!I75</f>
        <v>1</v>
      </c>
      <c r="K617" s="421">
        <f>B!J75</f>
        <v>1</v>
      </c>
      <c r="L617" s="421">
        <f>B!K75</f>
        <v>1</v>
      </c>
      <c r="M617" s="421">
        <f>B!L75</f>
        <v>1</v>
      </c>
      <c r="N617" s="421">
        <f>B!M75</f>
        <v>1</v>
      </c>
      <c r="O617" s="421">
        <f>B!N75</f>
        <v>1</v>
      </c>
      <c r="P617" s="421">
        <f>B!O75</f>
        <v>1</v>
      </c>
      <c r="Q617" s="453">
        <f>SUM(E617:P617)</f>
        <v>12</v>
      </c>
    </row>
    <row r="618" spans="1:17" s="216" customFormat="1" x14ac:dyDescent="0.2">
      <c r="A618" s="242">
        <f>A617+1</f>
        <v>17</v>
      </c>
      <c r="C618" s="216" t="s">
        <v>207</v>
      </c>
      <c r="D618" s="608">
        <f>Input!V26</f>
        <v>0</v>
      </c>
      <c r="E618" s="386">
        <f t="shared" ref="E618:P618" si="221">ROUND(E617*$D$495,2)</f>
        <v>0</v>
      </c>
      <c r="F618" s="386">
        <f t="shared" si="221"/>
        <v>0</v>
      </c>
      <c r="G618" s="386">
        <f t="shared" si="221"/>
        <v>0</v>
      </c>
      <c r="H618" s="386">
        <f t="shared" si="221"/>
        <v>0</v>
      </c>
      <c r="I618" s="386">
        <f t="shared" si="221"/>
        <v>0</v>
      </c>
      <c r="J618" s="386">
        <f t="shared" si="221"/>
        <v>0</v>
      </c>
      <c r="K618" s="386">
        <f t="shared" si="221"/>
        <v>0</v>
      </c>
      <c r="L618" s="386">
        <f t="shared" si="221"/>
        <v>0</v>
      </c>
      <c r="M618" s="386">
        <f t="shared" si="221"/>
        <v>0</v>
      </c>
      <c r="N618" s="386">
        <f t="shared" si="221"/>
        <v>0</v>
      </c>
      <c r="O618" s="386">
        <f t="shared" si="221"/>
        <v>0</v>
      </c>
      <c r="P618" s="386">
        <f t="shared" si="221"/>
        <v>0</v>
      </c>
      <c r="Q618" s="386">
        <f>SUM(E618:P618)</f>
        <v>0</v>
      </c>
    </row>
    <row r="619" spans="1:17" s="216" customFormat="1" x14ac:dyDescent="0.2">
      <c r="A619" s="242"/>
      <c r="D619" s="267"/>
      <c r="F619" s="269"/>
      <c r="G619" s="418"/>
      <c r="H619" s="269"/>
      <c r="I619" s="272"/>
      <c r="J619" s="269"/>
      <c r="K619" s="269"/>
      <c r="L619" s="269"/>
      <c r="M619" s="269"/>
      <c r="N619" s="269"/>
      <c r="O619" s="269"/>
      <c r="P619" s="269"/>
    </row>
    <row r="620" spans="1:17" s="216" customFormat="1" x14ac:dyDescent="0.2">
      <c r="A620" s="242">
        <f>A618+1</f>
        <v>18</v>
      </c>
      <c r="C620" s="267" t="s">
        <v>206</v>
      </c>
      <c r="D620" s="267"/>
      <c r="E620" s="424">
        <f>'C'!D76</f>
        <v>33</v>
      </c>
      <c r="F620" s="424">
        <f>'C'!E76</f>
        <v>31.8</v>
      </c>
      <c r="G620" s="424">
        <f>'C'!F76</f>
        <v>30.3</v>
      </c>
      <c r="H620" s="424">
        <f>'C'!G76</f>
        <v>15.7</v>
      </c>
      <c r="I620" s="424">
        <f>'C'!H76</f>
        <v>8.8000000000000007</v>
      </c>
      <c r="J620" s="424">
        <f>'C'!I76</f>
        <v>2.5</v>
      </c>
      <c r="K620" s="424">
        <f>'C'!J76</f>
        <v>2.4</v>
      </c>
      <c r="L620" s="424">
        <f>'C'!K76</f>
        <v>2.4</v>
      </c>
      <c r="M620" s="424">
        <f>'C'!L76</f>
        <v>2.8</v>
      </c>
      <c r="N620" s="424">
        <f>'C'!M76</f>
        <v>3.9</v>
      </c>
      <c r="O620" s="424">
        <f>'C'!N76</f>
        <v>10.3</v>
      </c>
      <c r="P620" s="424">
        <f>'C'!O76</f>
        <v>22.9</v>
      </c>
      <c r="Q620" s="589">
        <f>SUM(E620:P620)</f>
        <v>166.80000000000004</v>
      </c>
    </row>
    <row r="621" spans="1:17" s="216" customFormat="1" x14ac:dyDescent="0.2">
      <c r="A621" s="242">
        <f>A620+1</f>
        <v>19</v>
      </c>
      <c r="C621" s="216" t="s">
        <v>209</v>
      </c>
      <c r="D621" s="609">
        <f>Input!Q26</f>
        <v>0.4</v>
      </c>
      <c r="E621" s="386">
        <f t="shared" ref="E621:P621" si="222">ROUND(E620*$D$621,2)</f>
        <v>13.2</v>
      </c>
      <c r="F621" s="386">
        <f t="shared" si="222"/>
        <v>12.72</v>
      </c>
      <c r="G621" s="386">
        <f t="shared" si="222"/>
        <v>12.12</v>
      </c>
      <c r="H621" s="386">
        <f t="shared" si="222"/>
        <v>6.28</v>
      </c>
      <c r="I621" s="386">
        <f t="shared" si="222"/>
        <v>3.52</v>
      </c>
      <c r="J621" s="386">
        <f t="shared" si="222"/>
        <v>1</v>
      </c>
      <c r="K621" s="386">
        <f t="shared" si="222"/>
        <v>0.96</v>
      </c>
      <c r="L621" s="386">
        <f t="shared" si="222"/>
        <v>0.96</v>
      </c>
      <c r="M621" s="386">
        <f t="shared" si="222"/>
        <v>1.1200000000000001</v>
      </c>
      <c r="N621" s="386">
        <f t="shared" si="222"/>
        <v>1.56</v>
      </c>
      <c r="O621" s="386">
        <f t="shared" si="222"/>
        <v>4.12</v>
      </c>
      <c r="P621" s="386">
        <f t="shared" si="222"/>
        <v>9.16</v>
      </c>
      <c r="Q621" s="386">
        <f>SUM(E621:P621)</f>
        <v>66.72</v>
      </c>
    </row>
    <row r="622" spans="1:17" s="216" customFormat="1" x14ac:dyDescent="0.2">
      <c r="A622" s="242"/>
      <c r="D622" s="267"/>
      <c r="F622" s="269"/>
      <c r="G622" s="418"/>
      <c r="H622" s="269"/>
      <c r="I622" s="272"/>
      <c r="J622" s="269"/>
      <c r="K622" s="269"/>
      <c r="L622" s="269"/>
      <c r="M622" s="269"/>
      <c r="N622" s="269"/>
      <c r="O622" s="269"/>
      <c r="P622" s="269"/>
      <c r="Q622" s="456"/>
    </row>
    <row r="623" spans="1:17" s="216" customFormat="1" x14ac:dyDescent="0.2">
      <c r="A623" s="242">
        <f>A621+1</f>
        <v>20</v>
      </c>
      <c r="C623" s="216" t="s">
        <v>201</v>
      </c>
      <c r="D623" s="267"/>
      <c r="E623" s="386">
        <f t="shared" ref="E623:P623" si="223">E618+E621</f>
        <v>13.2</v>
      </c>
      <c r="F623" s="386">
        <f t="shared" si="223"/>
        <v>12.72</v>
      </c>
      <c r="G623" s="386">
        <f t="shared" si="223"/>
        <v>12.12</v>
      </c>
      <c r="H623" s="386">
        <f t="shared" si="223"/>
        <v>6.28</v>
      </c>
      <c r="I623" s="386">
        <f t="shared" si="223"/>
        <v>3.52</v>
      </c>
      <c r="J623" s="386">
        <f t="shared" si="223"/>
        <v>1</v>
      </c>
      <c r="K623" s="386">
        <f t="shared" si="223"/>
        <v>0.96</v>
      </c>
      <c r="L623" s="386">
        <f t="shared" si="223"/>
        <v>0.96</v>
      </c>
      <c r="M623" s="386">
        <f t="shared" si="223"/>
        <v>1.1200000000000001</v>
      </c>
      <c r="N623" s="386">
        <f t="shared" si="223"/>
        <v>1.56</v>
      </c>
      <c r="O623" s="386">
        <f t="shared" si="223"/>
        <v>4.12</v>
      </c>
      <c r="P623" s="386">
        <f t="shared" si="223"/>
        <v>9.16</v>
      </c>
      <c r="Q623" s="386">
        <f>SUM(E623:P623)</f>
        <v>66.72</v>
      </c>
    </row>
    <row r="624" spans="1:17" s="216" customFormat="1" x14ac:dyDescent="0.2">
      <c r="A624" s="242"/>
      <c r="D624" s="267"/>
      <c r="F624" s="269"/>
      <c r="G624" s="418"/>
      <c r="H624" s="269"/>
      <c r="I624" s="272"/>
      <c r="J624" s="269"/>
      <c r="K624" s="269"/>
      <c r="L624" s="269"/>
      <c r="M624" s="269"/>
      <c r="N624" s="269"/>
      <c r="O624" s="269"/>
      <c r="P624" s="269"/>
      <c r="Q624" s="418"/>
    </row>
    <row r="625" spans="1:17" s="216" customFormat="1" x14ac:dyDescent="0.2">
      <c r="A625" s="242">
        <f>A623+1</f>
        <v>21</v>
      </c>
      <c r="C625" s="216" t="s">
        <v>148</v>
      </c>
      <c r="D625" s="609">
        <v>0</v>
      </c>
      <c r="E625" s="386">
        <v>0</v>
      </c>
      <c r="F625" s="386">
        <v>0</v>
      </c>
      <c r="G625" s="386">
        <v>0</v>
      </c>
      <c r="H625" s="386">
        <v>0</v>
      </c>
      <c r="I625" s="386">
        <v>0</v>
      </c>
      <c r="J625" s="386">
        <v>0</v>
      </c>
      <c r="K625" s="386">
        <v>0</v>
      </c>
      <c r="L625" s="386">
        <v>0</v>
      </c>
      <c r="M625" s="386">
        <v>0</v>
      </c>
      <c r="N625" s="386">
        <v>0</v>
      </c>
      <c r="O625" s="386">
        <v>0</v>
      </c>
      <c r="P625" s="386">
        <v>0</v>
      </c>
      <c r="Q625" s="386">
        <f>SUM(E625:P625)</f>
        <v>0</v>
      </c>
    </row>
    <row r="626" spans="1:17" s="216" customFormat="1" x14ac:dyDescent="0.2">
      <c r="A626" s="242"/>
      <c r="D626" s="267"/>
      <c r="F626" s="269"/>
      <c r="G626" s="418"/>
      <c r="H626" s="269"/>
      <c r="I626" s="272"/>
      <c r="J626" s="269"/>
      <c r="K626" s="269"/>
      <c r="L626" s="269"/>
      <c r="M626" s="269"/>
      <c r="N626" s="269"/>
      <c r="O626" s="269"/>
      <c r="P626" s="269"/>
    </row>
    <row r="627" spans="1:17" s="216" customFormat="1" ht="10.5" thickBot="1" x14ac:dyDescent="0.25">
      <c r="A627" s="580">
        <f>A625+1</f>
        <v>22</v>
      </c>
      <c r="B627" s="434"/>
      <c r="C627" s="581" t="s">
        <v>202</v>
      </c>
      <c r="D627" s="582"/>
      <c r="E627" s="435">
        <f t="shared" ref="E627:P627" si="224">E623+E625</f>
        <v>13.2</v>
      </c>
      <c r="F627" s="435">
        <f t="shared" si="224"/>
        <v>12.72</v>
      </c>
      <c r="G627" s="435">
        <f t="shared" si="224"/>
        <v>12.12</v>
      </c>
      <c r="H627" s="435">
        <f t="shared" si="224"/>
        <v>6.28</v>
      </c>
      <c r="I627" s="435">
        <f t="shared" si="224"/>
        <v>3.52</v>
      </c>
      <c r="J627" s="435">
        <f t="shared" si="224"/>
        <v>1</v>
      </c>
      <c r="K627" s="435">
        <f t="shared" si="224"/>
        <v>0.96</v>
      </c>
      <c r="L627" s="435">
        <f t="shared" si="224"/>
        <v>0.96</v>
      </c>
      <c r="M627" s="435">
        <f t="shared" si="224"/>
        <v>1.1200000000000001</v>
      </c>
      <c r="N627" s="435">
        <f t="shared" si="224"/>
        <v>1.56</v>
      </c>
      <c r="O627" s="435">
        <f t="shared" si="224"/>
        <v>4.12</v>
      </c>
      <c r="P627" s="435">
        <f t="shared" si="224"/>
        <v>9.16</v>
      </c>
      <c r="Q627" s="435">
        <f>SUM(E627:P627)</f>
        <v>66.72</v>
      </c>
    </row>
    <row r="628" spans="1:17" s="216" customFormat="1" ht="10.5" thickTop="1" x14ac:dyDescent="0.2">
      <c r="A628" s="242"/>
      <c r="D628" s="267"/>
      <c r="F628" s="269"/>
      <c r="G628" s="418"/>
      <c r="H628" s="269"/>
      <c r="I628" s="272"/>
      <c r="J628" s="269"/>
      <c r="K628" s="269"/>
      <c r="L628" s="269"/>
      <c r="M628" s="269"/>
      <c r="N628" s="269"/>
      <c r="O628" s="269"/>
      <c r="P628" s="269"/>
    </row>
    <row r="629" spans="1:17" s="216" customFormat="1" x14ac:dyDescent="0.2">
      <c r="A629" s="242"/>
      <c r="D629" s="267"/>
      <c r="F629" s="269"/>
      <c r="G629" s="418"/>
      <c r="H629" s="269"/>
      <c r="I629" s="272"/>
      <c r="J629" s="269"/>
      <c r="K629" s="269"/>
      <c r="L629" s="269"/>
      <c r="M629" s="269"/>
      <c r="N629" s="269"/>
      <c r="O629" s="269"/>
      <c r="P629" s="269"/>
      <c r="Q629" s="418"/>
    </row>
    <row r="630" spans="1:17" s="216" customFormat="1" x14ac:dyDescent="0.2">
      <c r="A630" s="504" t="str">
        <f>$A$265</f>
        <v>[1] Reflects Normalized Volumes.</v>
      </c>
      <c r="D630" s="267"/>
      <c r="F630" s="269"/>
      <c r="G630" s="418"/>
      <c r="H630" s="269"/>
      <c r="I630" s="272"/>
      <c r="J630" s="269"/>
      <c r="K630" s="269"/>
      <c r="L630" s="269"/>
      <c r="M630" s="269"/>
      <c r="N630" s="269"/>
      <c r="O630" s="269"/>
      <c r="P630" s="269"/>
    </row>
    <row r="631" spans="1:17" s="216" customFormat="1" ht="10.5" x14ac:dyDescent="0.25">
      <c r="A631" s="817" t="str">
        <f>CONAME</f>
        <v>Columbia Gas of Kentucky, Inc.</v>
      </c>
      <c r="B631" s="817"/>
      <c r="C631" s="817"/>
      <c r="D631" s="817"/>
      <c r="E631" s="817"/>
      <c r="F631" s="817"/>
      <c r="G631" s="817"/>
      <c r="H631" s="817"/>
      <c r="I631" s="817"/>
      <c r="J631" s="817"/>
      <c r="K631" s="817"/>
      <c r="L631" s="817"/>
      <c r="M631" s="817"/>
      <c r="N631" s="817"/>
      <c r="O631" s="817"/>
      <c r="P631" s="817"/>
      <c r="Q631" s="817"/>
    </row>
    <row r="632" spans="1:17" s="216" customFormat="1" ht="10.5" x14ac:dyDescent="0.25">
      <c r="A632" s="800" t="str">
        <f>case</f>
        <v>Case No. 2021-00183</v>
      </c>
      <c r="B632" s="800"/>
      <c r="C632" s="800"/>
      <c r="D632" s="800"/>
      <c r="E632" s="800"/>
      <c r="F632" s="800"/>
      <c r="G632" s="800"/>
      <c r="H632" s="800"/>
      <c r="I632" s="800"/>
      <c r="J632" s="800"/>
      <c r="K632" s="800"/>
      <c r="L632" s="800"/>
      <c r="M632" s="800"/>
      <c r="N632" s="800"/>
      <c r="O632" s="800"/>
      <c r="P632" s="800"/>
      <c r="Q632" s="800"/>
    </row>
    <row r="633" spans="1:17" s="216" customFormat="1" ht="10.5" x14ac:dyDescent="0.25">
      <c r="A633" s="815" t="s">
        <v>197</v>
      </c>
      <c r="B633" s="815"/>
      <c r="C633" s="815"/>
      <c r="D633" s="815"/>
      <c r="E633" s="815"/>
      <c r="F633" s="815"/>
      <c r="G633" s="815"/>
      <c r="H633" s="815"/>
      <c r="I633" s="815"/>
      <c r="J633" s="815"/>
      <c r="K633" s="815"/>
      <c r="L633" s="815"/>
      <c r="M633" s="815"/>
      <c r="N633" s="815"/>
      <c r="O633" s="815"/>
      <c r="P633" s="815"/>
      <c r="Q633" s="815"/>
    </row>
    <row r="634" spans="1:17" s="216" customFormat="1" ht="10.5" x14ac:dyDescent="0.25">
      <c r="A634" s="817" t="str">
        <f>TYDESC</f>
        <v>For the 12 Months Ended December 31, 2022</v>
      </c>
      <c r="B634" s="817"/>
      <c r="C634" s="817"/>
      <c r="D634" s="817"/>
      <c r="E634" s="817"/>
      <c r="F634" s="817"/>
      <c r="G634" s="817"/>
      <c r="H634" s="817"/>
      <c r="I634" s="817"/>
      <c r="J634" s="817"/>
      <c r="K634" s="817"/>
      <c r="L634" s="817"/>
      <c r="M634" s="817"/>
      <c r="N634" s="817"/>
      <c r="O634" s="817"/>
      <c r="P634" s="817"/>
      <c r="Q634" s="817"/>
    </row>
    <row r="635" spans="1:17" s="216" customFormat="1" ht="10.5" x14ac:dyDescent="0.25">
      <c r="A635" s="814" t="s">
        <v>39</v>
      </c>
      <c r="B635" s="814"/>
      <c r="C635" s="814"/>
      <c r="D635" s="814"/>
      <c r="E635" s="814"/>
      <c r="F635" s="814"/>
      <c r="G635" s="814"/>
      <c r="H635" s="814"/>
      <c r="I635" s="814"/>
      <c r="J635" s="814"/>
      <c r="K635" s="814"/>
      <c r="L635" s="814"/>
      <c r="M635" s="814"/>
      <c r="N635" s="814"/>
      <c r="O635" s="814"/>
      <c r="P635" s="814"/>
      <c r="Q635" s="814"/>
    </row>
    <row r="636" spans="1:17" s="216" customFormat="1" ht="10.5" x14ac:dyDescent="0.25">
      <c r="A636" s="575" t="str">
        <f>$A$52</f>
        <v>Data: __ Base Period _X_ Forecasted Period</v>
      </c>
      <c r="D636" s="267"/>
      <c r="F636" s="269"/>
      <c r="G636" s="418"/>
      <c r="H636" s="269"/>
      <c r="I636" s="272"/>
      <c r="J636" s="269"/>
      <c r="K636" s="269"/>
      <c r="L636" s="269"/>
      <c r="M636" s="269"/>
      <c r="N636" s="269"/>
      <c r="O636" s="269"/>
      <c r="P636" s="269"/>
    </row>
    <row r="637" spans="1:17" s="216" customFormat="1" ht="10.5" x14ac:dyDescent="0.25">
      <c r="A637" s="575" t="str">
        <f>$A$53</f>
        <v>Type of Filing: X Original _ Update _ Revised</v>
      </c>
      <c r="D637" s="267"/>
      <c r="F637" s="269"/>
      <c r="G637" s="418"/>
      <c r="H637" s="269"/>
      <c r="I637" s="272"/>
      <c r="J637" s="269"/>
      <c r="K637" s="269"/>
      <c r="L637" s="269"/>
      <c r="M637" s="269"/>
      <c r="N637" s="269"/>
      <c r="O637" s="269"/>
      <c r="P637" s="269"/>
      <c r="Q637" s="583" t="str">
        <f>$Q$53</f>
        <v>Schedule M-2.3</v>
      </c>
    </row>
    <row r="638" spans="1:17" s="216" customFormat="1" ht="10.5" x14ac:dyDescent="0.25">
      <c r="A638" s="575" t="str">
        <f>$A$54</f>
        <v>Work Paper Reference No(s):</v>
      </c>
      <c r="D638" s="267"/>
      <c r="F638" s="269"/>
      <c r="G638" s="418"/>
      <c r="H638" s="269"/>
      <c r="I638" s="272"/>
      <c r="J638" s="269"/>
      <c r="K638" s="269"/>
      <c r="L638" s="269"/>
      <c r="M638" s="269"/>
      <c r="N638" s="269"/>
      <c r="O638" s="269"/>
      <c r="P638" s="269"/>
      <c r="Q638" s="583" t="s">
        <v>423</v>
      </c>
    </row>
    <row r="639" spans="1:17" s="216" customFormat="1" ht="10.5" x14ac:dyDescent="0.25">
      <c r="A639" s="576" t="str">
        <f>$A$55</f>
        <v>12 Months Forecasted</v>
      </c>
      <c r="D639" s="267"/>
      <c r="F639" s="269"/>
      <c r="G639" s="418"/>
      <c r="H639" s="269"/>
      <c r="I639" s="272"/>
      <c r="J639" s="269"/>
      <c r="K639" s="269"/>
      <c r="L639" s="269"/>
      <c r="M639" s="269"/>
      <c r="N639" s="269"/>
      <c r="O639" s="269"/>
      <c r="P639" s="269"/>
      <c r="Q639" s="583" t="str">
        <f>Witness</f>
        <v>Witness:  Judith L. Siegler</v>
      </c>
    </row>
    <row r="640" spans="1:17" s="216" customFormat="1" ht="10.5" x14ac:dyDescent="0.25">
      <c r="A640" s="816" t="s">
        <v>291</v>
      </c>
      <c r="B640" s="816"/>
      <c r="C640" s="816"/>
      <c r="D640" s="816"/>
      <c r="E640" s="816"/>
      <c r="F640" s="816"/>
      <c r="G640" s="816"/>
      <c r="H640" s="816"/>
      <c r="I640" s="816"/>
      <c r="J640" s="816"/>
      <c r="K640" s="816"/>
      <c r="L640" s="816"/>
      <c r="M640" s="816"/>
      <c r="N640" s="816"/>
      <c r="O640" s="816"/>
      <c r="P640" s="816"/>
      <c r="Q640" s="816"/>
    </row>
    <row r="641" spans="1:17" s="216" customFormat="1" ht="10.5" x14ac:dyDescent="0.25">
      <c r="A641" s="219"/>
      <c r="B641" s="280"/>
      <c r="C641" s="280"/>
      <c r="D641" s="282"/>
      <c r="E641" s="280"/>
      <c r="F641" s="438"/>
      <c r="G641" s="439"/>
      <c r="H641" s="438"/>
      <c r="I641" s="440"/>
      <c r="J641" s="438"/>
      <c r="K641" s="438"/>
      <c r="L641" s="438"/>
      <c r="M641" s="438"/>
      <c r="N641" s="438"/>
      <c r="O641" s="438"/>
      <c r="P641" s="438"/>
      <c r="Q641" s="280"/>
    </row>
    <row r="642" spans="1:17" s="216" customFormat="1" ht="10.5" x14ac:dyDescent="0.25">
      <c r="A642" s="717" t="s">
        <v>1</v>
      </c>
      <c r="B642" s="717" t="s">
        <v>0</v>
      </c>
      <c r="C642" s="717" t="s">
        <v>41</v>
      </c>
      <c r="D642" s="721" t="s">
        <v>30</v>
      </c>
      <c r="E642" s="717"/>
      <c r="F642" s="584"/>
      <c r="G642" s="587"/>
      <c r="H642" s="584"/>
      <c r="I642" s="722"/>
      <c r="J642" s="584"/>
      <c r="K642" s="584"/>
      <c r="L642" s="584"/>
      <c r="M642" s="584"/>
      <c r="N642" s="584"/>
      <c r="O642" s="584"/>
      <c r="P642" s="584"/>
      <c r="Q642" s="723"/>
    </row>
    <row r="643" spans="1:17" s="216" customFormat="1" ht="10.5" x14ac:dyDescent="0.25">
      <c r="A643" s="263" t="s">
        <v>3</v>
      </c>
      <c r="B643" s="263" t="s">
        <v>40</v>
      </c>
      <c r="C643" s="263" t="s">
        <v>4</v>
      </c>
      <c r="D643" s="379" t="s">
        <v>48</v>
      </c>
      <c r="E643" s="380" t="str">
        <f>B!$D$11</f>
        <v>Jan-22</v>
      </c>
      <c r="F643" s="380" t="str">
        <f>B!$E$11</f>
        <v>Feb-22</v>
      </c>
      <c r="G643" s="380" t="str">
        <f>B!$F$11</f>
        <v>Mar-22</v>
      </c>
      <c r="H643" s="380" t="str">
        <f>B!$G$11</f>
        <v>Apr-22</v>
      </c>
      <c r="I643" s="380" t="str">
        <f>B!$H$11</f>
        <v>May-22</v>
      </c>
      <c r="J643" s="380" t="str">
        <f>B!$I$11</f>
        <v>Jun-22</v>
      </c>
      <c r="K643" s="380" t="str">
        <f>B!$J$11</f>
        <v>Jul-22</v>
      </c>
      <c r="L643" s="380" t="str">
        <f>B!$K$11</f>
        <v>Aug-22</v>
      </c>
      <c r="M643" s="380" t="str">
        <f>B!$L$11</f>
        <v>Sep-22</v>
      </c>
      <c r="N643" s="380" t="str">
        <f>B!$M$11</f>
        <v>Oct-22</v>
      </c>
      <c r="O643" s="380" t="str">
        <f>B!$N$11</f>
        <v>Nov-22</v>
      </c>
      <c r="P643" s="380" t="str">
        <f>B!$O$11</f>
        <v>Dec-22</v>
      </c>
      <c r="Q643" s="380" t="s">
        <v>9</v>
      </c>
    </row>
    <row r="644" spans="1:17" s="216" customFormat="1" ht="10.5" x14ac:dyDescent="0.25">
      <c r="A644" s="717"/>
      <c r="B644" s="719" t="s">
        <v>42</v>
      </c>
      <c r="C644" s="719" t="s">
        <v>43</v>
      </c>
      <c r="D644" s="382" t="s">
        <v>45</v>
      </c>
      <c r="E644" s="383" t="s">
        <v>46</v>
      </c>
      <c r="F644" s="383" t="s">
        <v>49</v>
      </c>
      <c r="G644" s="383" t="s">
        <v>50</v>
      </c>
      <c r="H644" s="383" t="s">
        <v>51</v>
      </c>
      <c r="I644" s="383" t="s">
        <v>52</v>
      </c>
      <c r="J644" s="384" t="s">
        <v>53</v>
      </c>
      <c r="K644" s="384" t="s">
        <v>54</v>
      </c>
      <c r="L644" s="384" t="s">
        <v>55</v>
      </c>
      <c r="M644" s="384" t="s">
        <v>56</v>
      </c>
      <c r="N644" s="384" t="s">
        <v>57</v>
      </c>
      <c r="O644" s="384" t="s">
        <v>58</v>
      </c>
      <c r="P644" s="384" t="s">
        <v>59</v>
      </c>
      <c r="Q644" s="384" t="s">
        <v>200</v>
      </c>
    </row>
    <row r="645" spans="1:17" s="216" customFormat="1" ht="10.5" x14ac:dyDescent="0.25">
      <c r="A645" s="242"/>
      <c r="D645" s="267"/>
      <c r="E645" s="723"/>
      <c r="F645" s="588"/>
      <c r="G645" s="585"/>
      <c r="H645" s="588"/>
      <c r="I645" s="586"/>
      <c r="J645" s="588"/>
      <c r="K645" s="588"/>
      <c r="L645" s="588"/>
      <c r="M645" s="588"/>
      <c r="N645" s="588"/>
      <c r="O645" s="588"/>
      <c r="P645" s="588"/>
      <c r="Q645" s="723"/>
    </row>
    <row r="646" spans="1:17" s="216" customFormat="1" x14ac:dyDescent="0.2">
      <c r="A646" s="242">
        <v>1</v>
      </c>
      <c r="B646" s="216" t="str">
        <f>B154</f>
        <v>GSO</v>
      </c>
      <c r="C646" s="216" t="str">
        <f>C154</f>
        <v>General Service - Commercial</v>
      </c>
      <c r="D646" s="267"/>
      <c r="F646" s="269"/>
      <c r="G646" s="418"/>
      <c r="H646" s="269"/>
      <c r="I646" s="272"/>
      <c r="J646" s="269"/>
      <c r="K646" s="269"/>
      <c r="L646" s="269"/>
      <c r="M646" s="269"/>
      <c r="N646" s="269"/>
      <c r="O646" s="269"/>
      <c r="P646" s="269"/>
    </row>
    <row r="647" spans="1:17" s="216" customFormat="1" x14ac:dyDescent="0.2">
      <c r="A647" s="242"/>
      <c r="D647" s="267"/>
      <c r="F647" s="269"/>
      <c r="G647" s="418"/>
      <c r="H647" s="269"/>
      <c r="I647" s="272"/>
      <c r="J647" s="269"/>
      <c r="K647" s="269"/>
      <c r="L647" s="269"/>
      <c r="M647" s="269"/>
      <c r="N647" s="269"/>
      <c r="O647" s="269"/>
      <c r="P647" s="269"/>
    </row>
    <row r="648" spans="1:17" s="216" customFormat="1" ht="10.5" x14ac:dyDescent="0.25">
      <c r="A648" s="242">
        <f>A646+1</f>
        <v>2</v>
      </c>
      <c r="C648" s="245" t="s">
        <v>111</v>
      </c>
      <c r="D648" s="267"/>
      <c r="F648" s="269"/>
      <c r="G648" s="418"/>
      <c r="H648" s="269"/>
      <c r="I648" s="272"/>
      <c r="J648" s="269"/>
      <c r="K648" s="269"/>
      <c r="L648" s="269"/>
      <c r="M648" s="269"/>
      <c r="N648" s="269"/>
      <c r="O648" s="269"/>
      <c r="P648" s="269"/>
    </row>
    <row r="649" spans="1:17" s="216" customFormat="1" ht="10.5" x14ac:dyDescent="0.25">
      <c r="A649" s="242"/>
      <c r="C649" s="245"/>
      <c r="D649" s="267"/>
      <c r="F649" s="269"/>
      <c r="G649" s="418"/>
      <c r="H649" s="269"/>
      <c r="I649" s="272"/>
      <c r="J649" s="269"/>
      <c r="K649" s="269"/>
      <c r="L649" s="269"/>
      <c r="M649" s="269"/>
      <c r="N649" s="269"/>
      <c r="O649" s="269"/>
      <c r="P649" s="269"/>
    </row>
    <row r="650" spans="1:17" s="216" customFormat="1" x14ac:dyDescent="0.2">
      <c r="A650" s="242">
        <f>A648+1</f>
        <v>3</v>
      </c>
      <c r="C650" s="216" t="s">
        <v>199</v>
      </c>
      <c r="D650" s="267"/>
      <c r="E650" s="421">
        <f>B!D81</f>
        <v>11642</v>
      </c>
      <c r="F650" s="421">
        <f>B!E81</f>
        <v>11663</v>
      </c>
      <c r="G650" s="421">
        <f>B!F81</f>
        <v>11728</v>
      </c>
      <c r="H650" s="421">
        <f>B!G81</f>
        <v>11667</v>
      </c>
      <c r="I650" s="421">
        <f>B!H81</f>
        <v>11584</v>
      </c>
      <c r="J650" s="421">
        <f>B!I81</f>
        <v>11516</v>
      </c>
      <c r="K650" s="421">
        <f>B!J81</f>
        <v>11467</v>
      </c>
      <c r="L650" s="421">
        <f>B!K81</f>
        <v>11414</v>
      </c>
      <c r="M650" s="421">
        <f>B!L81</f>
        <v>11412</v>
      </c>
      <c r="N650" s="421">
        <f>B!M81</f>
        <v>11433</v>
      </c>
      <c r="O650" s="421">
        <f>B!N81</f>
        <v>11622</v>
      </c>
      <c r="P650" s="421">
        <f>B!O81</f>
        <v>11778</v>
      </c>
      <c r="Q650" s="421">
        <f>SUM(E650:P650)</f>
        <v>138926</v>
      </c>
    </row>
    <row r="651" spans="1:17" s="216" customFormat="1" x14ac:dyDescent="0.2">
      <c r="A651" s="242">
        <f>A650+1</f>
        <v>4</v>
      </c>
      <c r="C651" s="216" t="s">
        <v>207</v>
      </c>
      <c r="D651" s="608">
        <f>Input!V27</f>
        <v>87.149999999999991</v>
      </c>
      <c r="E651" s="386">
        <f t="shared" ref="E651:P651" si="225">ROUND(E650*$D$651,2)</f>
        <v>1014600.3</v>
      </c>
      <c r="F651" s="386">
        <f t="shared" si="225"/>
        <v>1016430.45</v>
      </c>
      <c r="G651" s="386">
        <f t="shared" si="225"/>
        <v>1022095.2</v>
      </c>
      <c r="H651" s="386">
        <f t="shared" si="225"/>
        <v>1016779.05</v>
      </c>
      <c r="I651" s="386">
        <f t="shared" si="225"/>
        <v>1009545.6</v>
      </c>
      <c r="J651" s="386">
        <f t="shared" si="225"/>
        <v>1003619.4</v>
      </c>
      <c r="K651" s="386">
        <f t="shared" si="225"/>
        <v>999349.05</v>
      </c>
      <c r="L651" s="386">
        <f t="shared" si="225"/>
        <v>994730.1</v>
      </c>
      <c r="M651" s="386">
        <f t="shared" si="225"/>
        <v>994555.8</v>
      </c>
      <c r="N651" s="386">
        <f t="shared" si="225"/>
        <v>996385.95</v>
      </c>
      <c r="O651" s="386">
        <f t="shared" si="225"/>
        <v>1012857.3</v>
      </c>
      <c r="P651" s="386">
        <f t="shared" si="225"/>
        <v>1026452.7</v>
      </c>
      <c r="Q651" s="386">
        <f>SUM(E651:P651)</f>
        <v>12107400.899999999</v>
      </c>
    </row>
    <row r="652" spans="1:17" s="216" customFormat="1" x14ac:dyDescent="0.2">
      <c r="A652" s="242">
        <f>A651+1</f>
        <v>5</v>
      </c>
      <c r="C652" s="216" t="s">
        <v>208</v>
      </c>
      <c r="D652" s="608">
        <f>Input!X27</f>
        <v>0</v>
      </c>
      <c r="E652" s="386">
        <f t="shared" ref="E652:P652" si="226">ROUND(E650*$D$652,2)</f>
        <v>0</v>
      </c>
      <c r="F652" s="386">
        <f t="shared" si="226"/>
        <v>0</v>
      </c>
      <c r="G652" s="386">
        <f t="shared" si="226"/>
        <v>0</v>
      </c>
      <c r="H652" s="386">
        <f t="shared" si="226"/>
        <v>0</v>
      </c>
      <c r="I652" s="386">
        <f t="shared" si="226"/>
        <v>0</v>
      </c>
      <c r="J652" s="386">
        <f t="shared" si="226"/>
        <v>0</v>
      </c>
      <c r="K652" s="386">
        <f t="shared" si="226"/>
        <v>0</v>
      </c>
      <c r="L652" s="386">
        <f t="shared" si="226"/>
        <v>0</v>
      </c>
      <c r="M652" s="386">
        <f t="shared" si="226"/>
        <v>0</v>
      </c>
      <c r="N652" s="386">
        <f t="shared" si="226"/>
        <v>0</v>
      </c>
      <c r="O652" s="386">
        <f t="shared" si="226"/>
        <v>0</v>
      </c>
      <c r="P652" s="386">
        <f t="shared" si="226"/>
        <v>0</v>
      </c>
      <c r="Q652" s="386">
        <f>SUM(E652:P652)</f>
        <v>0</v>
      </c>
    </row>
    <row r="653" spans="1:17" s="216" customFormat="1" x14ac:dyDescent="0.2">
      <c r="A653" s="242"/>
      <c r="D653" s="592"/>
      <c r="F653" s="269"/>
      <c r="G653" s="418"/>
      <c r="H653" s="269"/>
      <c r="I653" s="272"/>
      <c r="J653" s="269"/>
      <c r="K653" s="269"/>
      <c r="L653" s="269"/>
      <c r="M653" s="269"/>
      <c r="N653" s="269"/>
      <c r="O653" s="269"/>
      <c r="P653" s="269"/>
    </row>
    <row r="654" spans="1:17" s="216" customFormat="1" x14ac:dyDescent="0.2">
      <c r="A654" s="242">
        <f>A652+1</f>
        <v>6</v>
      </c>
      <c r="C654" s="216" t="s">
        <v>206</v>
      </c>
      <c r="D654" s="592"/>
      <c r="F654" s="269"/>
      <c r="G654" s="418"/>
      <c r="H654" s="269"/>
      <c r="I654" s="272"/>
      <c r="J654" s="269"/>
      <c r="K654" s="269"/>
      <c r="L654" s="269"/>
      <c r="M654" s="269"/>
      <c r="N654" s="269"/>
      <c r="O654" s="269"/>
      <c r="P654" s="269"/>
    </row>
    <row r="655" spans="1:17" s="216" customFormat="1" x14ac:dyDescent="0.2">
      <c r="A655" s="242">
        <f>A654+1</f>
        <v>7</v>
      </c>
      <c r="C655" s="216" t="str">
        <f>'C'!B80</f>
        <v xml:space="preserve">    First 50 Mcf</v>
      </c>
      <c r="D655" s="592"/>
      <c r="E655" s="424">
        <f>'C'!D92</f>
        <v>301663.90000000002</v>
      </c>
      <c r="F655" s="424">
        <f>'C'!E92</f>
        <v>302959.2</v>
      </c>
      <c r="G655" s="424">
        <f>'C'!F92</f>
        <v>260556.9</v>
      </c>
      <c r="H655" s="424">
        <f>'C'!G92</f>
        <v>158803.79999999999</v>
      </c>
      <c r="I655" s="424">
        <f>'C'!H92</f>
        <v>111004.7</v>
      </c>
      <c r="J655" s="424">
        <f>'C'!I92</f>
        <v>72519</v>
      </c>
      <c r="K655" s="424">
        <f>'C'!J92</f>
        <v>57495.5</v>
      </c>
      <c r="L655" s="424">
        <f>'C'!K92</f>
        <v>53813.4</v>
      </c>
      <c r="M655" s="424">
        <f>'C'!L92</f>
        <v>55491.199999999997</v>
      </c>
      <c r="N655" s="424">
        <f>'C'!M92</f>
        <v>68357.600000000006</v>
      </c>
      <c r="O655" s="424">
        <f>'C'!N92</f>
        <v>127148.7</v>
      </c>
      <c r="P655" s="424">
        <f>'C'!O92</f>
        <v>237716.7</v>
      </c>
      <c r="Q655" s="424">
        <f>SUM(E655:P655)</f>
        <v>1807530.5999999999</v>
      </c>
    </row>
    <row r="656" spans="1:17" s="216" customFormat="1" x14ac:dyDescent="0.2">
      <c r="A656" s="242">
        <f>A655+1</f>
        <v>8</v>
      </c>
      <c r="C656" s="216" t="str">
        <f>'C'!B81</f>
        <v xml:space="preserve">    Next 350 Mcf</v>
      </c>
      <c r="D656" s="592"/>
      <c r="E656" s="424">
        <f>'C'!D93</f>
        <v>297277.8</v>
      </c>
      <c r="F656" s="424">
        <f>'C'!E93</f>
        <v>286181.40000000002</v>
      </c>
      <c r="G656" s="424">
        <f>'C'!F93</f>
        <v>236024.2</v>
      </c>
      <c r="H656" s="424">
        <f>'C'!G93</f>
        <v>103688.7</v>
      </c>
      <c r="I656" s="424">
        <f>'C'!H93</f>
        <v>51445.7</v>
      </c>
      <c r="J656" s="424">
        <f>'C'!I93</f>
        <v>35643.300000000003</v>
      </c>
      <c r="K656" s="424">
        <f>'C'!J93</f>
        <v>30872.6</v>
      </c>
      <c r="L656" s="424">
        <f>'C'!K93</f>
        <v>25999.1</v>
      </c>
      <c r="M656" s="424">
        <f>'C'!L93</f>
        <v>28865.599999999999</v>
      </c>
      <c r="N656" s="424">
        <f>'C'!M93</f>
        <v>37399</v>
      </c>
      <c r="O656" s="424">
        <f>'C'!N93</f>
        <v>82862.899999999994</v>
      </c>
      <c r="P656" s="424">
        <f>'C'!O93</f>
        <v>199877</v>
      </c>
      <c r="Q656" s="424">
        <f>SUM(E656:P656)</f>
        <v>1416137.2999999998</v>
      </c>
    </row>
    <row r="657" spans="1:17" s="216" customFormat="1" x14ac:dyDescent="0.2">
      <c r="A657" s="242">
        <f>A656+1</f>
        <v>9</v>
      </c>
      <c r="C657" s="216" t="str">
        <f>'C'!B82</f>
        <v xml:space="preserve">    Next 600 Mcf</v>
      </c>
      <c r="D657" s="592"/>
      <c r="E657" s="424">
        <f>'C'!D94</f>
        <v>79248.899999999994</v>
      </c>
      <c r="F657" s="424">
        <f>'C'!E94</f>
        <v>75073</v>
      </c>
      <c r="G657" s="424">
        <f>'C'!F94</f>
        <v>56078.400000000001</v>
      </c>
      <c r="H657" s="424">
        <f>'C'!G94</f>
        <v>19218.2</v>
      </c>
      <c r="I657" s="424">
        <f>'C'!H94</f>
        <v>7741.4</v>
      </c>
      <c r="J657" s="424">
        <f>'C'!I94</f>
        <v>7465.1</v>
      </c>
      <c r="K657" s="424">
        <f>'C'!J94</f>
        <v>7224.6</v>
      </c>
      <c r="L657" s="424">
        <f>'C'!K94</f>
        <v>7114.7</v>
      </c>
      <c r="M657" s="424">
        <f>'C'!L94</f>
        <v>6893.4</v>
      </c>
      <c r="N657" s="424">
        <f>'C'!M94</f>
        <v>8447.2000000000007</v>
      </c>
      <c r="O657" s="424">
        <f>'C'!N94</f>
        <v>16011.3</v>
      </c>
      <c r="P657" s="424">
        <f>'C'!O94</f>
        <v>47437.5</v>
      </c>
      <c r="Q657" s="424">
        <f>SUM(E657:P657)</f>
        <v>337953.7</v>
      </c>
    </row>
    <row r="658" spans="1:17" s="216" customFormat="1" x14ac:dyDescent="0.2">
      <c r="A658" s="242">
        <f>A657+1</f>
        <v>10</v>
      </c>
      <c r="C658" s="216" t="str">
        <f>'C'!B83</f>
        <v xml:space="preserve">    Over 1,000 Mcf</v>
      </c>
      <c r="D658" s="592"/>
      <c r="E658" s="448">
        <f>'C'!D95</f>
        <v>54852.4</v>
      </c>
      <c r="F658" s="448">
        <f>'C'!E95</f>
        <v>36770.400000000001</v>
      </c>
      <c r="G658" s="448">
        <f>'C'!F95</f>
        <v>30077.3</v>
      </c>
      <c r="H658" s="448">
        <f>'C'!G95</f>
        <v>12432.3</v>
      </c>
      <c r="I658" s="448">
        <f>'C'!H95</f>
        <v>4105.1000000000004</v>
      </c>
      <c r="J658" s="448">
        <f>'C'!I95</f>
        <v>6103.1</v>
      </c>
      <c r="K658" s="448">
        <f>'C'!J95</f>
        <v>4433.6000000000004</v>
      </c>
      <c r="L658" s="448">
        <f>'C'!K95</f>
        <v>3454.3</v>
      </c>
      <c r="M658" s="448">
        <f>'C'!L95</f>
        <v>4143.6000000000004</v>
      </c>
      <c r="N658" s="448">
        <f>'C'!M95</f>
        <v>3921.9</v>
      </c>
      <c r="O658" s="448">
        <f>'C'!N95</f>
        <v>10445.799999999999</v>
      </c>
      <c r="P658" s="448">
        <f>'C'!O95</f>
        <v>31647.7</v>
      </c>
      <c r="Q658" s="448">
        <f>SUM(E658:P658)</f>
        <v>202387.5</v>
      </c>
    </row>
    <row r="659" spans="1:17" s="216" customFormat="1" x14ac:dyDescent="0.2">
      <c r="A659" s="242"/>
      <c r="D659" s="592"/>
      <c r="E659" s="424">
        <f t="shared" ref="E659:P659" si="227">SUM(E655:E658)</f>
        <v>733043</v>
      </c>
      <c r="F659" s="424">
        <f t="shared" si="227"/>
        <v>700984.00000000012</v>
      </c>
      <c r="G659" s="424">
        <f t="shared" si="227"/>
        <v>582736.80000000005</v>
      </c>
      <c r="H659" s="424">
        <f t="shared" si="227"/>
        <v>294143</v>
      </c>
      <c r="I659" s="424">
        <f t="shared" si="227"/>
        <v>174296.9</v>
      </c>
      <c r="J659" s="424">
        <f t="shared" si="227"/>
        <v>121730.50000000001</v>
      </c>
      <c r="K659" s="424">
        <f t="shared" si="227"/>
        <v>100026.30000000002</v>
      </c>
      <c r="L659" s="424">
        <f t="shared" si="227"/>
        <v>90381.5</v>
      </c>
      <c r="M659" s="424">
        <f t="shared" si="227"/>
        <v>95393.799999999988</v>
      </c>
      <c r="N659" s="424">
        <f t="shared" si="227"/>
        <v>118125.7</v>
      </c>
      <c r="O659" s="424">
        <f t="shared" si="227"/>
        <v>236468.69999999995</v>
      </c>
      <c r="P659" s="424">
        <f t="shared" si="227"/>
        <v>516678.9</v>
      </c>
      <c r="Q659" s="424">
        <f>SUM(E659:P659)</f>
        <v>3764009.0999999992</v>
      </c>
    </row>
    <row r="660" spans="1:17" s="216" customFormat="1" x14ac:dyDescent="0.2">
      <c r="A660" s="242">
        <f>A658+1</f>
        <v>11</v>
      </c>
      <c r="C660" s="216" t="s">
        <v>204</v>
      </c>
      <c r="D660" s="592"/>
      <c r="F660" s="269"/>
      <c r="G660" s="418"/>
      <c r="H660" s="269"/>
      <c r="I660" s="272"/>
      <c r="J660" s="269"/>
      <c r="K660" s="269"/>
      <c r="L660" s="269"/>
      <c r="M660" s="269"/>
      <c r="N660" s="269"/>
      <c r="O660" s="269"/>
      <c r="P660" s="269"/>
      <c r="Q660" s="456"/>
    </row>
    <row r="661" spans="1:17" s="216" customFormat="1" x14ac:dyDescent="0.2">
      <c r="A661" s="242">
        <f>A660+1</f>
        <v>12</v>
      </c>
      <c r="C661" s="216" t="str">
        <f>C655</f>
        <v xml:space="preserve">    First 50 Mcf</v>
      </c>
      <c r="D661" s="609">
        <f>Input!Q27</f>
        <v>3.5621999999999998</v>
      </c>
      <c r="E661" s="386">
        <f t="shared" ref="E661:P661" si="228">ROUND(E655*$D$661,2)</f>
        <v>1074587.1399999999</v>
      </c>
      <c r="F661" s="386">
        <f t="shared" si="228"/>
        <v>1079201.26</v>
      </c>
      <c r="G661" s="386">
        <f t="shared" si="228"/>
        <v>928155.79</v>
      </c>
      <c r="H661" s="386">
        <f t="shared" si="228"/>
        <v>565690.9</v>
      </c>
      <c r="I661" s="386">
        <f t="shared" si="228"/>
        <v>395420.94</v>
      </c>
      <c r="J661" s="386">
        <f t="shared" si="228"/>
        <v>258327.18</v>
      </c>
      <c r="K661" s="386">
        <f t="shared" si="228"/>
        <v>204810.47</v>
      </c>
      <c r="L661" s="386">
        <f t="shared" si="228"/>
        <v>191694.09</v>
      </c>
      <c r="M661" s="386">
        <f t="shared" si="228"/>
        <v>197670.75</v>
      </c>
      <c r="N661" s="386">
        <f t="shared" si="228"/>
        <v>243503.44</v>
      </c>
      <c r="O661" s="386">
        <f t="shared" si="228"/>
        <v>452929.1</v>
      </c>
      <c r="P661" s="386">
        <f t="shared" si="228"/>
        <v>846794.43</v>
      </c>
      <c r="Q661" s="386">
        <f t="shared" ref="Q661:Q667" si="229">SUM(E661:P661)</f>
        <v>6438785.4899999993</v>
      </c>
    </row>
    <row r="662" spans="1:17" s="216" customFormat="1" x14ac:dyDescent="0.2">
      <c r="A662" s="242">
        <f>A661+1</f>
        <v>13</v>
      </c>
      <c r="C662" s="216" t="str">
        <f>C656</f>
        <v xml:space="preserve">    Next 350 Mcf</v>
      </c>
      <c r="D662" s="609">
        <f>Input!R27</f>
        <v>2.7494000000000001</v>
      </c>
      <c r="E662" s="421">
        <f t="shared" ref="E662:P662" si="230">ROUND(E656*$D$662,2)</f>
        <v>817335.58</v>
      </c>
      <c r="F662" s="421">
        <f t="shared" si="230"/>
        <v>786827.14</v>
      </c>
      <c r="G662" s="421">
        <f t="shared" si="230"/>
        <v>648924.93999999994</v>
      </c>
      <c r="H662" s="421">
        <f t="shared" si="230"/>
        <v>285081.71000000002</v>
      </c>
      <c r="I662" s="421">
        <f t="shared" si="230"/>
        <v>141444.81</v>
      </c>
      <c r="J662" s="421">
        <f t="shared" si="230"/>
        <v>97997.69</v>
      </c>
      <c r="K662" s="421">
        <f t="shared" si="230"/>
        <v>84881.13</v>
      </c>
      <c r="L662" s="421">
        <f t="shared" si="230"/>
        <v>71481.929999999993</v>
      </c>
      <c r="M662" s="421">
        <f t="shared" si="230"/>
        <v>79363.08</v>
      </c>
      <c r="N662" s="421">
        <f t="shared" si="230"/>
        <v>102824.81</v>
      </c>
      <c r="O662" s="421">
        <f t="shared" si="230"/>
        <v>227823.26</v>
      </c>
      <c r="P662" s="421">
        <f t="shared" si="230"/>
        <v>549541.81999999995</v>
      </c>
      <c r="Q662" s="421">
        <f t="shared" si="229"/>
        <v>3893527.9</v>
      </c>
    </row>
    <row r="663" spans="1:17" s="216" customFormat="1" x14ac:dyDescent="0.2">
      <c r="A663" s="242">
        <f>A662+1</f>
        <v>14</v>
      </c>
      <c r="C663" s="216" t="str">
        <f>C657</f>
        <v xml:space="preserve">    Next 600 Mcf</v>
      </c>
      <c r="D663" s="609">
        <f>Input!S27</f>
        <v>2.6135000000000002</v>
      </c>
      <c r="E663" s="421">
        <f t="shared" ref="E663:O663" si="231">ROUND(E657*$D$663,2)</f>
        <v>207117</v>
      </c>
      <c r="F663" s="421">
        <f t="shared" si="231"/>
        <v>196203.29</v>
      </c>
      <c r="G663" s="421">
        <f t="shared" si="231"/>
        <v>146560.9</v>
      </c>
      <c r="H663" s="421">
        <f t="shared" si="231"/>
        <v>50226.77</v>
      </c>
      <c r="I663" s="421">
        <f t="shared" si="231"/>
        <v>20232.150000000001</v>
      </c>
      <c r="J663" s="421">
        <f t="shared" si="231"/>
        <v>19510.04</v>
      </c>
      <c r="K663" s="421">
        <f t="shared" si="231"/>
        <v>18881.490000000002</v>
      </c>
      <c r="L663" s="421">
        <f t="shared" si="231"/>
        <v>18594.27</v>
      </c>
      <c r="M663" s="421">
        <f t="shared" si="231"/>
        <v>18015.900000000001</v>
      </c>
      <c r="N663" s="421">
        <f t="shared" si="231"/>
        <v>22076.76</v>
      </c>
      <c r="O663" s="421">
        <f t="shared" si="231"/>
        <v>41845.53</v>
      </c>
      <c r="P663" s="421">
        <f>ROUND(P657*$D$663,2)</f>
        <v>123977.91</v>
      </c>
      <c r="Q663" s="421">
        <f t="shared" si="229"/>
        <v>883242.01000000024</v>
      </c>
    </row>
    <row r="664" spans="1:17" s="216" customFormat="1" x14ac:dyDescent="0.2">
      <c r="A664" s="242">
        <f>A663+1</f>
        <v>15</v>
      </c>
      <c r="C664" s="216" t="str">
        <f>C658</f>
        <v xml:space="preserve">    Over 1,000 Mcf</v>
      </c>
      <c r="D664" s="609">
        <f>Input!T27</f>
        <v>2.3782000000000001</v>
      </c>
      <c r="E664" s="450">
        <f t="shared" ref="E664:O664" si="232">ROUND(E658*$D$664,2)</f>
        <v>130449.98</v>
      </c>
      <c r="F664" s="450">
        <f t="shared" si="232"/>
        <v>87447.37</v>
      </c>
      <c r="G664" s="450">
        <f t="shared" si="232"/>
        <v>71529.83</v>
      </c>
      <c r="H664" s="450">
        <f t="shared" si="232"/>
        <v>29566.5</v>
      </c>
      <c r="I664" s="450">
        <f t="shared" si="232"/>
        <v>9762.75</v>
      </c>
      <c r="J664" s="450">
        <f t="shared" si="232"/>
        <v>14514.39</v>
      </c>
      <c r="K664" s="450">
        <f t="shared" si="232"/>
        <v>10543.99</v>
      </c>
      <c r="L664" s="450">
        <f t="shared" si="232"/>
        <v>8215.02</v>
      </c>
      <c r="M664" s="450">
        <f t="shared" si="232"/>
        <v>9854.31</v>
      </c>
      <c r="N664" s="450">
        <f t="shared" si="232"/>
        <v>9327.06</v>
      </c>
      <c r="O664" s="450">
        <f t="shared" si="232"/>
        <v>24842.2</v>
      </c>
      <c r="P664" s="450">
        <f>ROUND(P658*$D$664,2)</f>
        <v>75264.56</v>
      </c>
      <c r="Q664" s="450">
        <f t="shared" si="229"/>
        <v>481317.96</v>
      </c>
    </row>
    <row r="665" spans="1:17" s="216" customFormat="1" x14ac:dyDescent="0.2">
      <c r="A665" s="242"/>
      <c r="D665" s="592"/>
      <c r="E665" s="386">
        <f t="shared" ref="E665:P665" si="233">SUM(E661:E664)</f>
        <v>2229489.6999999997</v>
      </c>
      <c r="F665" s="386">
        <f t="shared" si="233"/>
        <v>2149679.06</v>
      </c>
      <c r="G665" s="386">
        <f t="shared" si="233"/>
        <v>1795171.46</v>
      </c>
      <c r="H665" s="386">
        <f t="shared" si="233"/>
        <v>930565.88000000012</v>
      </c>
      <c r="I665" s="386">
        <f t="shared" si="233"/>
        <v>566860.65</v>
      </c>
      <c r="J665" s="386">
        <f t="shared" si="233"/>
        <v>390349.3</v>
      </c>
      <c r="K665" s="386">
        <f t="shared" si="233"/>
        <v>319117.07999999996</v>
      </c>
      <c r="L665" s="386">
        <f t="shared" si="233"/>
        <v>289985.31000000006</v>
      </c>
      <c r="M665" s="386">
        <f t="shared" si="233"/>
        <v>304904.04000000004</v>
      </c>
      <c r="N665" s="386">
        <f t="shared" si="233"/>
        <v>377732.07</v>
      </c>
      <c r="O665" s="386">
        <f t="shared" si="233"/>
        <v>747440.09</v>
      </c>
      <c r="P665" s="386">
        <f t="shared" si="233"/>
        <v>1595578.72</v>
      </c>
      <c r="Q665" s="386">
        <f t="shared" si="229"/>
        <v>11696873.360000001</v>
      </c>
    </row>
    <row r="666" spans="1:17" s="216" customFormat="1" x14ac:dyDescent="0.2">
      <c r="A666" s="242">
        <f>A664+1</f>
        <v>16</v>
      </c>
      <c r="C666" s="213" t="s">
        <v>529</v>
      </c>
      <c r="D666" s="609">
        <v>0</v>
      </c>
      <c r="E666" s="431">
        <f t="shared" ref="E666:P666" si="234">ROUND(E659*$D$666,2)</f>
        <v>0</v>
      </c>
      <c r="F666" s="431">
        <f t="shared" si="234"/>
        <v>0</v>
      </c>
      <c r="G666" s="431">
        <f t="shared" si="234"/>
        <v>0</v>
      </c>
      <c r="H666" s="431">
        <f t="shared" si="234"/>
        <v>0</v>
      </c>
      <c r="I666" s="431">
        <f t="shared" si="234"/>
        <v>0</v>
      </c>
      <c r="J666" s="431">
        <f t="shared" si="234"/>
        <v>0</v>
      </c>
      <c r="K666" s="431">
        <f t="shared" si="234"/>
        <v>0</v>
      </c>
      <c r="L666" s="431">
        <f t="shared" si="234"/>
        <v>0</v>
      </c>
      <c r="M666" s="431">
        <f t="shared" si="234"/>
        <v>0</v>
      </c>
      <c r="N666" s="431">
        <f t="shared" si="234"/>
        <v>0</v>
      </c>
      <c r="O666" s="431">
        <f t="shared" si="234"/>
        <v>0</v>
      </c>
      <c r="P666" s="431">
        <f t="shared" si="234"/>
        <v>0</v>
      </c>
      <c r="Q666" s="431">
        <f t="shared" si="229"/>
        <v>0</v>
      </c>
    </row>
    <row r="667" spans="1:17" s="216" customFormat="1" x14ac:dyDescent="0.2">
      <c r="A667" s="242">
        <f>A666+1</f>
        <v>17</v>
      </c>
      <c r="C667" s="216" t="s">
        <v>201</v>
      </c>
      <c r="D667" s="592"/>
      <c r="E667" s="386">
        <f t="shared" ref="E667:P667" si="235">E651+E666+E652+E665</f>
        <v>3244090</v>
      </c>
      <c r="F667" s="386">
        <f t="shared" si="235"/>
        <v>3166109.51</v>
      </c>
      <c r="G667" s="386">
        <f t="shared" si="235"/>
        <v>2817266.66</v>
      </c>
      <c r="H667" s="386">
        <f t="shared" si="235"/>
        <v>1947344.9300000002</v>
      </c>
      <c r="I667" s="386">
        <f t="shared" si="235"/>
        <v>1576406.25</v>
      </c>
      <c r="J667" s="386">
        <f t="shared" si="235"/>
        <v>1393968.7</v>
      </c>
      <c r="K667" s="386">
        <f t="shared" si="235"/>
        <v>1318466.1299999999</v>
      </c>
      <c r="L667" s="386">
        <f t="shared" si="235"/>
        <v>1284715.4100000001</v>
      </c>
      <c r="M667" s="386">
        <f t="shared" si="235"/>
        <v>1299459.8400000001</v>
      </c>
      <c r="N667" s="386">
        <f t="shared" si="235"/>
        <v>1374118.02</v>
      </c>
      <c r="O667" s="386">
        <f t="shared" si="235"/>
        <v>1760297.3900000001</v>
      </c>
      <c r="P667" s="386">
        <f t="shared" si="235"/>
        <v>2622031.42</v>
      </c>
      <c r="Q667" s="386">
        <f t="shared" si="229"/>
        <v>23804274.259999998</v>
      </c>
    </row>
    <row r="668" spans="1:17" s="216" customFormat="1" x14ac:dyDescent="0.2">
      <c r="A668" s="242"/>
      <c r="D668" s="592"/>
      <c r="E668" s="430"/>
      <c r="F668" s="430"/>
      <c r="G668" s="430"/>
      <c r="H668" s="430"/>
      <c r="I668" s="430"/>
      <c r="J668" s="430"/>
      <c r="K668" s="430"/>
      <c r="L668" s="430"/>
      <c r="M668" s="430"/>
      <c r="N668" s="430"/>
      <c r="O668" s="430"/>
      <c r="P668" s="430"/>
      <c r="Q668" s="430"/>
    </row>
    <row r="669" spans="1:17" s="216" customFormat="1" x14ac:dyDescent="0.2">
      <c r="A669" s="242">
        <f>A667+1</f>
        <v>18</v>
      </c>
      <c r="C669" s="216" t="s">
        <v>205</v>
      </c>
      <c r="D669" s="609">
        <f>EGC</f>
        <v>4.3869999999999996</v>
      </c>
      <c r="E669" s="386">
        <f t="shared" ref="E669:P669" si="236">ROUND(E659*$D$669,2)</f>
        <v>3215859.64</v>
      </c>
      <c r="F669" s="386">
        <f t="shared" si="236"/>
        <v>3075216.81</v>
      </c>
      <c r="G669" s="386">
        <f t="shared" si="236"/>
        <v>2556466.34</v>
      </c>
      <c r="H669" s="386">
        <f t="shared" si="236"/>
        <v>1290405.3400000001</v>
      </c>
      <c r="I669" s="386">
        <f t="shared" si="236"/>
        <v>764640.5</v>
      </c>
      <c r="J669" s="386">
        <f t="shared" si="236"/>
        <v>534031.69999999995</v>
      </c>
      <c r="K669" s="386">
        <f t="shared" si="236"/>
        <v>438815.38</v>
      </c>
      <c r="L669" s="386">
        <f t="shared" si="236"/>
        <v>396503.64</v>
      </c>
      <c r="M669" s="386">
        <f t="shared" si="236"/>
        <v>418492.6</v>
      </c>
      <c r="N669" s="386">
        <f t="shared" si="236"/>
        <v>518217.45</v>
      </c>
      <c r="O669" s="386">
        <f t="shared" si="236"/>
        <v>1037388.19</v>
      </c>
      <c r="P669" s="386">
        <f t="shared" si="236"/>
        <v>2266670.33</v>
      </c>
      <c r="Q669" s="386">
        <f>SUM(E669:P669)</f>
        <v>16512707.919999998</v>
      </c>
    </row>
    <row r="670" spans="1:17" s="216" customFormat="1" x14ac:dyDescent="0.2">
      <c r="A670" s="242"/>
      <c r="D670" s="592"/>
      <c r="E670" s="430"/>
      <c r="F670" s="430"/>
      <c r="G670" s="430"/>
      <c r="H670" s="430"/>
      <c r="I670" s="430"/>
      <c r="J670" s="430"/>
      <c r="K670" s="430"/>
      <c r="L670" s="430"/>
      <c r="M670" s="430"/>
      <c r="N670" s="430"/>
      <c r="O670" s="430"/>
      <c r="P670" s="430"/>
      <c r="Q670" s="430"/>
    </row>
    <row r="671" spans="1:17" s="216" customFormat="1" x14ac:dyDescent="0.2">
      <c r="A671" s="577">
        <f>A669+1</f>
        <v>19</v>
      </c>
      <c r="B671" s="402"/>
      <c r="C671" s="402" t="s">
        <v>203</v>
      </c>
      <c r="D671" s="593"/>
      <c r="E671" s="406">
        <f>E667+E669</f>
        <v>6459949.6400000006</v>
      </c>
      <c r="F671" s="406">
        <f t="shared" ref="F671:P671" si="237">F667+F669</f>
        <v>6241326.3200000003</v>
      </c>
      <c r="G671" s="406">
        <f t="shared" si="237"/>
        <v>5373733</v>
      </c>
      <c r="H671" s="406">
        <f t="shared" si="237"/>
        <v>3237750.2700000005</v>
      </c>
      <c r="I671" s="406">
        <f t="shared" si="237"/>
        <v>2341046.75</v>
      </c>
      <c r="J671" s="406">
        <f t="shared" si="237"/>
        <v>1928000.4</v>
      </c>
      <c r="K671" s="406">
        <f t="shared" si="237"/>
        <v>1757281.5099999998</v>
      </c>
      <c r="L671" s="406">
        <f t="shared" si="237"/>
        <v>1681219.0500000003</v>
      </c>
      <c r="M671" s="406">
        <f t="shared" si="237"/>
        <v>1717952.44</v>
      </c>
      <c r="N671" s="406">
        <f t="shared" si="237"/>
        <v>1892335.47</v>
      </c>
      <c r="O671" s="406">
        <f t="shared" si="237"/>
        <v>2797685.58</v>
      </c>
      <c r="P671" s="406">
        <f t="shared" si="237"/>
        <v>4888701.75</v>
      </c>
      <c r="Q671" s="406">
        <f>SUM(E671:P671)</f>
        <v>40316982.18</v>
      </c>
    </row>
    <row r="672" spans="1:17" s="216" customFormat="1" x14ac:dyDescent="0.2">
      <c r="A672" s="242"/>
      <c r="D672" s="725"/>
      <c r="F672" s="269"/>
      <c r="G672" s="418"/>
      <c r="H672" s="269"/>
      <c r="I672" s="272"/>
      <c r="J672" s="269"/>
      <c r="K672" s="269"/>
      <c r="L672" s="269"/>
      <c r="M672" s="269"/>
      <c r="N672" s="269"/>
      <c r="O672" s="269"/>
      <c r="P672" s="269"/>
      <c r="Q672" s="456"/>
    </row>
    <row r="673" spans="1:17" s="216" customFormat="1" x14ac:dyDescent="0.2">
      <c r="A673" s="242">
        <f>A671+1</f>
        <v>20</v>
      </c>
      <c r="C673" s="216" t="s">
        <v>193</v>
      </c>
      <c r="D673" s="725"/>
      <c r="F673" s="269"/>
      <c r="G673" s="418"/>
      <c r="H673" s="269"/>
      <c r="I673" s="272"/>
      <c r="J673" s="269"/>
      <c r="K673" s="269"/>
      <c r="L673" s="269"/>
      <c r="M673" s="269"/>
      <c r="N673" s="269"/>
      <c r="O673" s="269"/>
      <c r="P673" s="269"/>
      <c r="Q673" s="456"/>
    </row>
    <row r="674" spans="1:17" s="216" customFormat="1" x14ac:dyDescent="0.2">
      <c r="A674" s="242">
        <f>A673+1</f>
        <v>21</v>
      </c>
      <c r="C674" s="267" t="s">
        <v>211</v>
      </c>
      <c r="D674" s="609">
        <f>Input!AB27</f>
        <v>1.1900000000000001E-2</v>
      </c>
      <c r="E674" s="386">
        <f t="shared" ref="E674:P674" si="238">ROUND(E659*$D$674,2)</f>
        <v>8723.2099999999991</v>
      </c>
      <c r="F674" s="386">
        <f t="shared" si="238"/>
        <v>8341.7099999999991</v>
      </c>
      <c r="G674" s="386">
        <f t="shared" si="238"/>
        <v>6934.57</v>
      </c>
      <c r="H674" s="386">
        <f t="shared" si="238"/>
        <v>3500.3</v>
      </c>
      <c r="I674" s="386">
        <f t="shared" si="238"/>
        <v>2074.13</v>
      </c>
      <c r="J674" s="386">
        <f t="shared" si="238"/>
        <v>1448.59</v>
      </c>
      <c r="K674" s="386">
        <f t="shared" si="238"/>
        <v>1190.31</v>
      </c>
      <c r="L674" s="386">
        <f t="shared" si="238"/>
        <v>1075.54</v>
      </c>
      <c r="M674" s="386">
        <f t="shared" si="238"/>
        <v>1135.19</v>
      </c>
      <c r="N674" s="386">
        <f t="shared" si="238"/>
        <v>1405.7</v>
      </c>
      <c r="O674" s="386">
        <f t="shared" si="238"/>
        <v>2813.98</v>
      </c>
      <c r="P674" s="386">
        <f t="shared" si="238"/>
        <v>6148.48</v>
      </c>
      <c r="Q674" s="386">
        <f>SUM(E674:P674)</f>
        <v>44791.710000000006</v>
      </c>
    </row>
    <row r="675" spans="1:17" x14ac:dyDescent="0.2">
      <c r="A675" s="242">
        <f t="shared" ref="A675:A676" si="239">A674+1</f>
        <v>22</v>
      </c>
      <c r="C675" s="216" t="s">
        <v>553</v>
      </c>
      <c r="D675" s="609">
        <f>Input!$AA$27</f>
        <v>1.44E-2</v>
      </c>
      <c r="E675" s="390">
        <f>ROUND($D$675*E659,2)</f>
        <v>10555.82</v>
      </c>
      <c r="F675" s="390">
        <f t="shared" ref="F675:P675" si="240">ROUND($D$675*F659,2)</f>
        <v>10094.17</v>
      </c>
      <c r="G675" s="390">
        <f t="shared" si="240"/>
        <v>8391.41</v>
      </c>
      <c r="H675" s="390">
        <f t="shared" si="240"/>
        <v>4235.66</v>
      </c>
      <c r="I675" s="390">
        <f t="shared" si="240"/>
        <v>2509.88</v>
      </c>
      <c r="J675" s="390">
        <f t="shared" si="240"/>
        <v>1752.92</v>
      </c>
      <c r="K675" s="390">
        <f t="shared" si="240"/>
        <v>1440.38</v>
      </c>
      <c r="L675" s="390">
        <f t="shared" si="240"/>
        <v>1301.49</v>
      </c>
      <c r="M675" s="390">
        <f t="shared" si="240"/>
        <v>1373.67</v>
      </c>
      <c r="N675" s="390">
        <f t="shared" si="240"/>
        <v>1701.01</v>
      </c>
      <c r="O675" s="390">
        <f t="shared" si="240"/>
        <v>3405.15</v>
      </c>
      <c r="P675" s="390">
        <f t="shared" si="240"/>
        <v>7440.18</v>
      </c>
      <c r="Q675" s="390">
        <f>SUM(E675:P675)</f>
        <v>54201.739999999991</v>
      </c>
    </row>
    <row r="676" spans="1:17" s="216" customFormat="1" x14ac:dyDescent="0.2">
      <c r="A676" s="242">
        <f t="shared" si="239"/>
        <v>23</v>
      </c>
      <c r="C676" s="267" t="s">
        <v>558</v>
      </c>
      <c r="D676" s="609"/>
      <c r="E676" s="386">
        <f>SUM(E674:E675)</f>
        <v>19279.03</v>
      </c>
      <c r="F676" s="386">
        <f t="shared" ref="F676:Q676" si="241">SUM(F674:F675)</f>
        <v>18435.879999999997</v>
      </c>
      <c r="G676" s="386">
        <f t="shared" si="241"/>
        <v>15325.98</v>
      </c>
      <c r="H676" s="386">
        <f t="shared" si="241"/>
        <v>7735.96</v>
      </c>
      <c r="I676" s="386">
        <f t="shared" si="241"/>
        <v>4584.01</v>
      </c>
      <c r="J676" s="386">
        <f t="shared" si="241"/>
        <v>3201.51</v>
      </c>
      <c r="K676" s="386">
        <f t="shared" si="241"/>
        <v>2630.69</v>
      </c>
      <c r="L676" s="386">
        <f t="shared" si="241"/>
        <v>2377.0299999999997</v>
      </c>
      <c r="M676" s="386">
        <f t="shared" si="241"/>
        <v>2508.86</v>
      </c>
      <c r="N676" s="386">
        <f t="shared" si="241"/>
        <v>3106.71</v>
      </c>
      <c r="O676" s="386">
        <f t="shared" si="241"/>
        <v>6219.13</v>
      </c>
      <c r="P676" s="386">
        <f t="shared" si="241"/>
        <v>13588.66</v>
      </c>
      <c r="Q676" s="386">
        <f t="shared" si="241"/>
        <v>98993.45</v>
      </c>
    </row>
    <row r="677" spans="1:17" s="216" customFormat="1" x14ac:dyDescent="0.2">
      <c r="A677" s="242"/>
      <c r="D677" s="267"/>
      <c r="E677" s="430"/>
      <c r="F677" s="430"/>
      <c r="G677" s="430"/>
      <c r="H677" s="430"/>
      <c r="I677" s="430"/>
      <c r="J677" s="430"/>
      <c r="K677" s="430"/>
      <c r="L677" s="430"/>
      <c r="M677" s="430"/>
      <c r="N677" s="430"/>
      <c r="O677" s="430"/>
      <c r="P677" s="430"/>
      <c r="Q677" s="430"/>
    </row>
    <row r="678" spans="1:17" s="216" customFormat="1" ht="10.5" thickBot="1" x14ac:dyDescent="0.25">
      <c r="A678" s="580">
        <f>A676+1</f>
        <v>24</v>
      </c>
      <c r="B678" s="434"/>
      <c r="C678" s="581" t="s">
        <v>202</v>
      </c>
      <c r="D678" s="582"/>
      <c r="E678" s="435">
        <f>E671+E676</f>
        <v>6479228.6700000009</v>
      </c>
      <c r="F678" s="435">
        <f t="shared" ref="F678:P678" si="242">F671+F676</f>
        <v>6259762.2000000002</v>
      </c>
      <c r="G678" s="435">
        <f t="shared" si="242"/>
        <v>5389058.9800000004</v>
      </c>
      <c r="H678" s="435">
        <f t="shared" si="242"/>
        <v>3245486.2300000004</v>
      </c>
      <c r="I678" s="435">
        <f t="shared" si="242"/>
        <v>2345630.7599999998</v>
      </c>
      <c r="J678" s="435">
        <f t="shared" si="242"/>
        <v>1931201.91</v>
      </c>
      <c r="K678" s="435">
        <f t="shared" si="242"/>
        <v>1759912.1999999997</v>
      </c>
      <c r="L678" s="435">
        <f t="shared" si="242"/>
        <v>1683596.0800000003</v>
      </c>
      <c r="M678" s="435">
        <f t="shared" si="242"/>
        <v>1720461.3</v>
      </c>
      <c r="N678" s="435">
        <f t="shared" si="242"/>
        <v>1895442.18</v>
      </c>
      <c r="O678" s="435">
        <f t="shared" si="242"/>
        <v>2803904.71</v>
      </c>
      <c r="P678" s="435">
        <f t="shared" si="242"/>
        <v>4902290.41</v>
      </c>
      <c r="Q678" s="435">
        <f>SUM(E678:P678)</f>
        <v>40415975.63000001</v>
      </c>
    </row>
    <row r="679" spans="1:17" s="216" customFormat="1" ht="10.5" thickTop="1" x14ac:dyDescent="0.2">
      <c r="A679" s="242"/>
      <c r="D679" s="267"/>
      <c r="F679" s="269"/>
      <c r="G679" s="418"/>
      <c r="H679" s="269"/>
      <c r="I679" s="272"/>
      <c r="J679" s="269"/>
      <c r="K679" s="269"/>
      <c r="L679" s="269"/>
      <c r="M679" s="269"/>
      <c r="N679" s="269"/>
      <c r="O679" s="269"/>
      <c r="P679" s="269"/>
      <c r="Q679" s="418"/>
    </row>
    <row r="680" spans="1:17" s="216" customFormat="1" x14ac:dyDescent="0.2">
      <c r="A680" s="242"/>
      <c r="D680" s="267"/>
      <c r="F680" s="269"/>
      <c r="G680" s="418"/>
      <c r="H680" s="269"/>
      <c r="I680" s="272"/>
      <c r="J680" s="269"/>
      <c r="K680" s="269"/>
      <c r="L680" s="269"/>
      <c r="M680" s="269"/>
      <c r="N680" s="269"/>
      <c r="O680" s="269"/>
      <c r="P680" s="269"/>
    </row>
    <row r="681" spans="1:17" s="216" customFormat="1" x14ac:dyDescent="0.2">
      <c r="A681" s="242"/>
      <c r="D681" s="267"/>
      <c r="F681" s="269"/>
      <c r="G681" s="418"/>
      <c r="H681" s="269"/>
      <c r="I681" s="272"/>
      <c r="J681" s="269"/>
      <c r="K681" s="269"/>
      <c r="L681" s="269"/>
      <c r="M681" s="269"/>
      <c r="N681" s="269"/>
      <c r="O681" s="269"/>
      <c r="P681" s="269"/>
    </row>
    <row r="682" spans="1:17" s="216" customFormat="1" x14ac:dyDescent="0.2">
      <c r="A682" s="504" t="str">
        <f>$A$265</f>
        <v>[1] Reflects Normalized Volumes.</v>
      </c>
      <c r="D682" s="267"/>
      <c r="F682" s="269"/>
      <c r="G682" s="418"/>
      <c r="H682" s="269"/>
      <c r="I682" s="272"/>
      <c r="J682" s="269"/>
      <c r="K682" s="269"/>
      <c r="L682" s="269"/>
      <c r="M682" s="269"/>
      <c r="N682" s="269"/>
      <c r="O682" s="269"/>
      <c r="P682" s="269"/>
    </row>
    <row r="683" spans="1:17" s="216" customFormat="1" x14ac:dyDescent="0.2">
      <c r="A683" s="504" t="str">
        <f>"[2] Reflects Gas Cost Adjustment Rate"&amp;CONCATENATE(" as of ",EGCDATE)&amp;"."</f>
        <v>[2] Reflects Gas Cost Adjustment Rate as of March 1, 2021.</v>
      </c>
      <c r="D683" s="267"/>
      <c r="F683" s="269"/>
      <c r="G683" s="418"/>
      <c r="H683" s="269"/>
      <c r="I683" s="272"/>
      <c r="J683" s="269"/>
      <c r="K683" s="269"/>
      <c r="L683" s="269"/>
      <c r="M683" s="269"/>
      <c r="N683" s="269"/>
      <c r="O683" s="269"/>
      <c r="P683" s="269"/>
    </row>
    <row r="684" spans="1:17" s="216" customFormat="1" ht="10.5" x14ac:dyDescent="0.25">
      <c r="A684" s="817" t="str">
        <f>CONAME</f>
        <v>Columbia Gas of Kentucky, Inc.</v>
      </c>
      <c r="B684" s="817"/>
      <c r="C684" s="817"/>
      <c r="D684" s="817"/>
      <c r="E684" s="817"/>
      <c r="F684" s="817"/>
      <c r="G684" s="817"/>
      <c r="H684" s="817"/>
      <c r="I684" s="817"/>
      <c r="J684" s="817"/>
      <c r="K684" s="817"/>
      <c r="L684" s="817"/>
      <c r="M684" s="817"/>
      <c r="N684" s="817"/>
      <c r="O684" s="817"/>
      <c r="P684" s="817"/>
      <c r="Q684" s="817"/>
    </row>
    <row r="685" spans="1:17" s="216" customFormat="1" ht="10.5" x14ac:dyDescent="0.25">
      <c r="A685" s="800" t="str">
        <f>case</f>
        <v>Case No. 2021-00183</v>
      </c>
      <c r="B685" s="800"/>
      <c r="C685" s="800"/>
      <c r="D685" s="800"/>
      <c r="E685" s="800"/>
      <c r="F685" s="800"/>
      <c r="G685" s="800"/>
      <c r="H685" s="800"/>
      <c r="I685" s="800"/>
      <c r="J685" s="800"/>
      <c r="K685" s="800"/>
      <c r="L685" s="800"/>
      <c r="M685" s="800"/>
      <c r="N685" s="800"/>
      <c r="O685" s="800"/>
      <c r="P685" s="800"/>
      <c r="Q685" s="800"/>
    </row>
    <row r="686" spans="1:17" s="216" customFormat="1" ht="10.5" x14ac:dyDescent="0.25">
      <c r="A686" s="815" t="s">
        <v>197</v>
      </c>
      <c r="B686" s="815"/>
      <c r="C686" s="815"/>
      <c r="D686" s="815"/>
      <c r="E686" s="815"/>
      <c r="F686" s="815"/>
      <c r="G686" s="815"/>
      <c r="H686" s="815"/>
      <c r="I686" s="815"/>
      <c r="J686" s="815"/>
      <c r="K686" s="815"/>
      <c r="L686" s="815"/>
      <c r="M686" s="815"/>
      <c r="N686" s="815"/>
      <c r="O686" s="815"/>
      <c r="P686" s="815"/>
      <c r="Q686" s="815"/>
    </row>
    <row r="687" spans="1:17" s="216" customFormat="1" ht="10.5" x14ac:dyDescent="0.25">
      <c r="A687" s="817" t="str">
        <f>TYDESC</f>
        <v>For the 12 Months Ended December 31, 2022</v>
      </c>
      <c r="B687" s="817"/>
      <c r="C687" s="817"/>
      <c r="D687" s="817"/>
      <c r="E687" s="817"/>
      <c r="F687" s="817"/>
      <c r="G687" s="817"/>
      <c r="H687" s="817"/>
      <c r="I687" s="817"/>
      <c r="J687" s="817"/>
      <c r="K687" s="817"/>
      <c r="L687" s="817"/>
      <c r="M687" s="817"/>
      <c r="N687" s="817"/>
      <c r="O687" s="817"/>
      <c r="P687" s="817"/>
      <c r="Q687" s="817"/>
    </row>
    <row r="688" spans="1:17" s="216" customFormat="1" ht="10.5" x14ac:dyDescent="0.25">
      <c r="A688" s="814" t="s">
        <v>39</v>
      </c>
      <c r="B688" s="814"/>
      <c r="C688" s="814"/>
      <c r="D688" s="814"/>
      <c r="E688" s="814"/>
      <c r="F688" s="814"/>
      <c r="G688" s="814"/>
      <c r="H688" s="814"/>
      <c r="I688" s="814"/>
      <c r="J688" s="814"/>
      <c r="K688" s="814"/>
      <c r="L688" s="814"/>
      <c r="M688" s="814"/>
      <c r="N688" s="814"/>
      <c r="O688" s="814"/>
      <c r="P688" s="814"/>
      <c r="Q688" s="814"/>
    </row>
    <row r="689" spans="1:17" s="216" customFormat="1" ht="10.5" x14ac:dyDescent="0.25">
      <c r="A689" s="575" t="str">
        <f>$A$52</f>
        <v>Data: __ Base Period _X_ Forecasted Period</v>
      </c>
      <c r="D689" s="267"/>
      <c r="F689" s="269"/>
      <c r="G689" s="418"/>
      <c r="H689" s="269"/>
      <c r="I689" s="272"/>
      <c r="J689" s="269"/>
      <c r="K689" s="269"/>
      <c r="L689" s="269"/>
      <c r="M689" s="269"/>
      <c r="N689" s="269"/>
      <c r="O689" s="269"/>
      <c r="P689" s="269"/>
    </row>
    <row r="690" spans="1:17" s="216" customFormat="1" ht="10.5" x14ac:dyDescent="0.25">
      <c r="A690" s="575" t="str">
        <f>$A$53</f>
        <v>Type of Filing: X Original _ Update _ Revised</v>
      </c>
      <c r="D690" s="267"/>
      <c r="F690" s="269"/>
      <c r="G690" s="418"/>
      <c r="H690" s="269"/>
      <c r="I690" s="272"/>
      <c r="J690" s="269"/>
      <c r="K690" s="269"/>
      <c r="L690" s="269"/>
      <c r="M690" s="269"/>
      <c r="N690" s="269"/>
      <c r="O690" s="269"/>
      <c r="P690" s="269"/>
      <c r="Q690" s="583" t="str">
        <f>$Q$53</f>
        <v>Schedule M-2.3</v>
      </c>
    </row>
    <row r="691" spans="1:17" s="216" customFormat="1" ht="10.5" x14ac:dyDescent="0.25">
      <c r="A691" s="575" t="str">
        <f>$A$54</f>
        <v>Work Paper Reference No(s):</v>
      </c>
      <c r="D691" s="267"/>
      <c r="F691" s="269"/>
      <c r="G691" s="418"/>
      <c r="H691" s="269"/>
      <c r="I691" s="272"/>
      <c r="J691" s="269"/>
      <c r="K691" s="269"/>
      <c r="L691" s="269"/>
      <c r="M691" s="269"/>
      <c r="N691" s="269"/>
      <c r="O691" s="269"/>
      <c r="P691" s="269"/>
      <c r="Q691" s="583" t="s">
        <v>432</v>
      </c>
    </row>
    <row r="692" spans="1:17" s="216" customFormat="1" ht="10.5" x14ac:dyDescent="0.25">
      <c r="A692" s="576" t="str">
        <f>$A$55</f>
        <v>12 Months Forecasted</v>
      </c>
      <c r="D692" s="267"/>
      <c r="F692" s="269"/>
      <c r="G692" s="418"/>
      <c r="H692" s="269"/>
      <c r="I692" s="272"/>
      <c r="J692" s="269"/>
      <c r="K692" s="269"/>
      <c r="L692" s="269"/>
      <c r="M692" s="269"/>
      <c r="N692" s="269"/>
      <c r="O692" s="269"/>
      <c r="P692" s="269"/>
      <c r="Q692" s="583" t="str">
        <f>Witness</f>
        <v>Witness:  Judith L. Siegler</v>
      </c>
    </row>
    <row r="693" spans="1:17" s="216" customFormat="1" ht="10.5" x14ac:dyDescent="0.25">
      <c r="A693" s="816" t="s">
        <v>291</v>
      </c>
      <c r="B693" s="816"/>
      <c r="C693" s="816"/>
      <c r="D693" s="816"/>
      <c r="E693" s="816"/>
      <c r="F693" s="816"/>
      <c r="G693" s="816"/>
      <c r="H693" s="816"/>
      <c r="I693" s="816"/>
      <c r="J693" s="816"/>
      <c r="K693" s="816"/>
      <c r="L693" s="816"/>
      <c r="M693" s="816"/>
      <c r="N693" s="816"/>
      <c r="O693" s="816"/>
      <c r="P693" s="816"/>
      <c r="Q693" s="816"/>
    </row>
    <row r="694" spans="1:17" s="216" customFormat="1" ht="10.5" x14ac:dyDescent="0.25">
      <c r="A694" s="219"/>
      <c r="B694" s="280"/>
      <c r="C694" s="280"/>
      <c r="D694" s="282"/>
      <c r="E694" s="280"/>
      <c r="F694" s="438"/>
      <c r="G694" s="439"/>
      <c r="H694" s="438"/>
      <c r="I694" s="440"/>
      <c r="J694" s="438"/>
      <c r="K694" s="438"/>
      <c r="L694" s="438"/>
      <c r="M694" s="438"/>
      <c r="N694" s="438"/>
      <c r="O694" s="438"/>
      <c r="P694" s="438"/>
      <c r="Q694" s="280"/>
    </row>
    <row r="695" spans="1:17" s="216" customFormat="1" ht="10.5" x14ac:dyDescent="0.25">
      <c r="A695" s="717" t="s">
        <v>1</v>
      </c>
      <c r="B695" s="717" t="s">
        <v>0</v>
      </c>
      <c r="C695" s="717" t="s">
        <v>41</v>
      </c>
      <c r="D695" s="721" t="s">
        <v>30</v>
      </c>
      <c r="E695" s="717"/>
      <c r="F695" s="584"/>
      <c r="G695" s="587"/>
      <c r="H695" s="584"/>
      <c r="I695" s="722"/>
      <c r="J695" s="584"/>
      <c r="K695" s="584"/>
      <c r="L695" s="584"/>
      <c r="M695" s="584"/>
      <c r="N695" s="584"/>
      <c r="O695" s="584"/>
      <c r="P695" s="584"/>
      <c r="Q695" s="723"/>
    </row>
    <row r="696" spans="1:17" s="216" customFormat="1" ht="10.5" x14ac:dyDescent="0.25">
      <c r="A696" s="263" t="s">
        <v>3</v>
      </c>
      <c r="B696" s="263" t="s">
        <v>40</v>
      </c>
      <c r="C696" s="263" t="s">
        <v>4</v>
      </c>
      <c r="D696" s="379" t="s">
        <v>48</v>
      </c>
      <c r="E696" s="380" t="str">
        <f>B!$D$11</f>
        <v>Jan-22</v>
      </c>
      <c r="F696" s="380" t="str">
        <f>B!$E$11</f>
        <v>Feb-22</v>
      </c>
      <c r="G696" s="380" t="str">
        <f>B!$F$11</f>
        <v>Mar-22</v>
      </c>
      <c r="H696" s="380" t="str">
        <f>B!$G$11</f>
        <v>Apr-22</v>
      </c>
      <c r="I696" s="380" t="str">
        <f>B!$H$11</f>
        <v>May-22</v>
      </c>
      <c r="J696" s="380" t="str">
        <f>B!$I$11</f>
        <v>Jun-22</v>
      </c>
      <c r="K696" s="380" t="str">
        <f>B!$J$11</f>
        <v>Jul-22</v>
      </c>
      <c r="L696" s="380" t="str">
        <f>B!$K$11</f>
        <v>Aug-22</v>
      </c>
      <c r="M696" s="380" t="str">
        <f>B!$L$11</f>
        <v>Sep-22</v>
      </c>
      <c r="N696" s="380" t="str">
        <f>B!$M$11</f>
        <v>Oct-22</v>
      </c>
      <c r="O696" s="380" t="str">
        <f>B!$N$11</f>
        <v>Nov-22</v>
      </c>
      <c r="P696" s="380" t="str">
        <f>B!$O$11</f>
        <v>Dec-22</v>
      </c>
      <c r="Q696" s="380" t="s">
        <v>9</v>
      </c>
    </row>
    <row r="697" spans="1:17" s="216" customFormat="1" ht="10.5" x14ac:dyDescent="0.25">
      <c r="A697" s="717"/>
      <c r="B697" s="719" t="s">
        <v>42</v>
      </c>
      <c r="C697" s="719" t="s">
        <v>43</v>
      </c>
      <c r="D697" s="382" t="s">
        <v>45</v>
      </c>
      <c r="E697" s="383" t="s">
        <v>46</v>
      </c>
      <c r="F697" s="383" t="s">
        <v>49</v>
      </c>
      <c r="G697" s="383" t="s">
        <v>50</v>
      </c>
      <c r="H697" s="383" t="s">
        <v>51</v>
      </c>
      <c r="I697" s="383" t="s">
        <v>52</v>
      </c>
      <c r="J697" s="384" t="s">
        <v>53</v>
      </c>
      <c r="K697" s="384" t="s">
        <v>54</v>
      </c>
      <c r="L697" s="384" t="s">
        <v>55</v>
      </c>
      <c r="M697" s="384" t="s">
        <v>56</v>
      </c>
      <c r="N697" s="384" t="s">
        <v>57</v>
      </c>
      <c r="O697" s="384" t="s">
        <v>58</v>
      </c>
      <c r="P697" s="384" t="s">
        <v>59</v>
      </c>
      <c r="Q697" s="384" t="s">
        <v>200</v>
      </c>
    </row>
    <row r="698" spans="1:17" s="216" customFormat="1" ht="10.5" x14ac:dyDescent="0.25">
      <c r="A698" s="242"/>
      <c r="D698" s="267"/>
      <c r="E698" s="723"/>
      <c r="F698" s="588"/>
      <c r="G698" s="585"/>
      <c r="H698" s="588"/>
      <c r="I698" s="586"/>
      <c r="J698" s="588"/>
      <c r="K698" s="588"/>
      <c r="L698" s="588"/>
      <c r="M698" s="588"/>
      <c r="N698" s="588"/>
      <c r="O698" s="588"/>
      <c r="P698" s="588"/>
      <c r="Q698" s="723"/>
    </row>
    <row r="699" spans="1:17" s="216" customFormat="1" x14ac:dyDescent="0.2">
      <c r="A699" s="242">
        <v>1</v>
      </c>
      <c r="B699" s="216" t="str">
        <f>B181</f>
        <v>GSO</v>
      </c>
      <c r="C699" s="216" t="str">
        <f>C181</f>
        <v>General Service - Industrial</v>
      </c>
      <c r="D699" s="267"/>
      <c r="F699" s="269"/>
      <c r="G699" s="418"/>
      <c r="H699" s="269"/>
      <c r="I699" s="272"/>
      <c r="J699" s="269"/>
      <c r="K699" s="269"/>
      <c r="L699" s="269"/>
      <c r="M699" s="269"/>
      <c r="N699" s="269"/>
      <c r="O699" s="269"/>
      <c r="P699" s="269"/>
    </row>
    <row r="700" spans="1:17" s="216" customFormat="1" x14ac:dyDescent="0.2">
      <c r="A700" s="242"/>
      <c r="D700" s="267"/>
      <c r="F700" s="269"/>
      <c r="G700" s="418"/>
      <c r="H700" s="269"/>
      <c r="I700" s="272"/>
      <c r="J700" s="269"/>
      <c r="K700" s="269"/>
      <c r="L700" s="269"/>
      <c r="M700" s="269"/>
      <c r="N700" s="269"/>
      <c r="O700" s="269"/>
      <c r="P700" s="269"/>
    </row>
    <row r="701" spans="1:17" s="216" customFormat="1" ht="10.5" x14ac:dyDescent="0.25">
      <c r="A701" s="242">
        <f>A699+1</f>
        <v>2</v>
      </c>
      <c r="C701" s="245" t="s">
        <v>112</v>
      </c>
      <c r="D701" s="267"/>
      <c r="F701" s="269"/>
      <c r="G701" s="418"/>
      <c r="H701" s="269"/>
      <c r="I701" s="272"/>
      <c r="J701" s="269"/>
      <c r="K701" s="269"/>
      <c r="L701" s="269"/>
      <c r="M701" s="269"/>
      <c r="N701" s="269"/>
      <c r="O701" s="269"/>
      <c r="P701" s="269"/>
    </row>
    <row r="702" spans="1:17" s="216" customFormat="1" ht="10.5" x14ac:dyDescent="0.25">
      <c r="A702" s="242"/>
      <c r="C702" s="245"/>
      <c r="D702" s="267"/>
      <c r="F702" s="269"/>
      <c r="G702" s="418"/>
      <c r="H702" s="269"/>
      <c r="I702" s="272"/>
      <c r="J702" s="269"/>
      <c r="K702" s="269"/>
      <c r="L702" s="269"/>
      <c r="M702" s="269"/>
      <c r="N702" s="269"/>
      <c r="O702" s="269"/>
      <c r="P702" s="269"/>
    </row>
    <row r="703" spans="1:17" s="216" customFormat="1" x14ac:dyDescent="0.2">
      <c r="A703" s="242">
        <f>A701+1</f>
        <v>3</v>
      </c>
      <c r="C703" s="216" t="s">
        <v>199</v>
      </c>
      <c r="D703" s="267"/>
      <c r="E703" s="421">
        <f>B!D87</f>
        <v>52</v>
      </c>
      <c r="F703" s="421">
        <f>B!E87</f>
        <v>52</v>
      </c>
      <c r="G703" s="421">
        <f>B!F87</f>
        <v>51</v>
      </c>
      <c r="H703" s="421">
        <f>B!G87</f>
        <v>51</v>
      </c>
      <c r="I703" s="421">
        <f>B!H87</f>
        <v>50</v>
      </c>
      <c r="J703" s="421">
        <f>B!I87</f>
        <v>51</v>
      </c>
      <c r="K703" s="421">
        <f>B!J87</f>
        <v>51</v>
      </c>
      <c r="L703" s="421">
        <f>B!K87</f>
        <v>51</v>
      </c>
      <c r="M703" s="421">
        <f>B!L87</f>
        <v>51</v>
      </c>
      <c r="N703" s="421">
        <f>B!M87</f>
        <v>52</v>
      </c>
      <c r="O703" s="421">
        <f>B!N87</f>
        <v>53</v>
      </c>
      <c r="P703" s="421">
        <f>B!O87</f>
        <v>53</v>
      </c>
      <c r="Q703" s="421">
        <f>SUM(E703:P703)</f>
        <v>618</v>
      </c>
    </row>
    <row r="704" spans="1:17" s="216" customFormat="1" x14ac:dyDescent="0.2">
      <c r="A704" s="242">
        <f>A703+1</f>
        <v>4</v>
      </c>
      <c r="C704" s="216" t="s">
        <v>207</v>
      </c>
      <c r="D704" s="608">
        <f>Input!V28</f>
        <v>87.149999999999991</v>
      </c>
      <c r="E704" s="386">
        <f t="shared" ref="E704:P704" si="243">ROUND(E703*$D$704,2)</f>
        <v>4531.8</v>
      </c>
      <c r="F704" s="386">
        <f t="shared" si="243"/>
        <v>4531.8</v>
      </c>
      <c r="G704" s="386">
        <f t="shared" si="243"/>
        <v>4444.6499999999996</v>
      </c>
      <c r="H704" s="386">
        <f t="shared" si="243"/>
        <v>4444.6499999999996</v>
      </c>
      <c r="I704" s="386">
        <f t="shared" si="243"/>
        <v>4357.5</v>
      </c>
      <c r="J704" s="386">
        <f t="shared" si="243"/>
        <v>4444.6499999999996</v>
      </c>
      <c r="K704" s="386">
        <f t="shared" si="243"/>
        <v>4444.6499999999996</v>
      </c>
      <c r="L704" s="386">
        <f t="shared" si="243"/>
        <v>4444.6499999999996</v>
      </c>
      <c r="M704" s="386">
        <f t="shared" si="243"/>
        <v>4444.6499999999996</v>
      </c>
      <c r="N704" s="386">
        <f t="shared" si="243"/>
        <v>4531.8</v>
      </c>
      <c r="O704" s="386">
        <f t="shared" si="243"/>
        <v>4618.95</v>
      </c>
      <c r="P704" s="386">
        <f t="shared" si="243"/>
        <v>4618.95</v>
      </c>
      <c r="Q704" s="386">
        <f>SUM(E704:P704)</f>
        <v>53858.700000000004</v>
      </c>
    </row>
    <row r="705" spans="1:17" s="216" customFormat="1" x14ac:dyDescent="0.2">
      <c r="A705" s="242">
        <f>A704+1</f>
        <v>5</v>
      </c>
      <c r="C705" s="216" t="s">
        <v>208</v>
      </c>
      <c r="D705" s="608">
        <f>Input!X28</f>
        <v>0</v>
      </c>
      <c r="E705" s="386">
        <f t="shared" ref="E705:P705" si="244">ROUND(E703*$D$705,2)</f>
        <v>0</v>
      </c>
      <c r="F705" s="386">
        <f t="shared" si="244"/>
        <v>0</v>
      </c>
      <c r="G705" s="386">
        <f t="shared" si="244"/>
        <v>0</v>
      </c>
      <c r="H705" s="386">
        <f t="shared" si="244"/>
        <v>0</v>
      </c>
      <c r="I705" s="386">
        <f t="shared" si="244"/>
        <v>0</v>
      </c>
      <c r="J705" s="386">
        <f t="shared" si="244"/>
        <v>0</v>
      </c>
      <c r="K705" s="386">
        <f t="shared" si="244"/>
        <v>0</v>
      </c>
      <c r="L705" s="386">
        <f t="shared" si="244"/>
        <v>0</v>
      </c>
      <c r="M705" s="386">
        <f t="shared" si="244"/>
        <v>0</v>
      </c>
      <c r="N705" s="386">
        <f t="shared" si="244"/>
        <v>0</v>
      </c>
      <c r="O705" s="386">
        <f t="shared" si="244"/>
        <v>0</v>
      </c>
      <c r="P705" s="386">
        <f t="shared" si="244"/>
        <v>0</v>
      </c>
      <c r="Q705" s="386">
        <f>SUM(E705:P705)</f>
        <v>0</v>
      </c>
    </row>
    <row r="706" spans="1:17" s="216" customFormat="1" x14ac:dyDescent="0.2">
      <c r="A706" s="242"/>
      <c r="D706" s="592"/>
      <c r="F706" s="269"/>
      <c r="G706" s="418"/>
      <c r="H706" s="269"/>
      <c r="I706" s="272"/>
      <c r="J706" s="269"/>
      <c r="K706" s="269"/>
      <c r="L706" s="269"/>
      <c r="M706" s="269"/>
      <c r="N706" s="269"/>
      <c r="O706" s="269"/>
      <c r="P706" s="269"/>
    </row>
    <row r="707" spans="1:17" s="216" customFormat="1" x14ac:dyDescent="0.2">
      <c r="A707" s="242">
        <f>A705+1</f>
        <v>6</v>
      </c>
      <c r="C707" s="216" t="s">
        <v>206</v>
      </c>
      <c r="D707" s="592"/>
      <c r="F707" s="269"/>
      <c r="G707" s="418"/>
      <c r="H707" s="269"/>
      <c r="I707" s="272"/>
      <c r="J707" s="269"/>
      <c r="K707" s="269"/>
      <c r="L707" s="269"/>
      <c r="M707" s="269"/>
      <c r="N707" s="269"/>
      <c r="O707" s="269"/>
      <c r="P707" s="269"/>
    </row>
    <row r="708" spans="1:17" s="216" customFormat="1" x14ac:dyDescent="0.2">
      <c r="A708" s="242">
        <f>A707+1</f>
        <v>7</v>
      </c>
      <c r="C708" s="216" t="str">
        <f>'C'!B113</f>
        <v xml:space="preserve">    First 50 Mcf</v>
      </c>
      <c r="D708" s="592"/>
      <c r="E708" s="424">
        <f>'C'!D125</f>
        <v>2145.3000000000002</v>
      </c>
      <c r="F708" s="424">
        <f>'C'!E125</f>
        <v>2115.6</v>
      </c>
      <c r="G708" s="424">
        <f>'C'!F125</f>
        <v>2045.5</v>
      </c>
      <c r="H708" s="424">
        <f>'C'!G125</f>
        <v>1652.2</v>
      </c>
      <c r="I708" s="424">
        <f>'C'!H125</f>
        <v>1582.2</v>
      </c>
      <c r="J708" s="424">
        <f>'C'!I125</f>
        <v>1098.7</v>
      </c>
      <c r="K708" s="424">
        <f>'C'!J125</f>
        <v>747.9</v>
      </c>
      <c r="L708" s="424">
        <f>'C'!K125</f>
        <v>837.7</v>
      </c>
      <c r="M708" s="424">
        <f>'C'!L125</f>
        <v>975.90000000000009</v>
      </c>
      <c r="N708" s="424">
        <f>'C'!M125</f>
        <v>1208.8</v>
      </c>
      <c r="O708" s="424">
        <f>'C'!N125</f>
        <v>1668.8</v>
      </c>
      <c r="P708" s="424">
        <f>'C'!O125</f>
        <v>2030.3</v>
      </c>
      <c r="Q708" s="424">
        <f>SUM(E708:P708)</f>
        <v>18108.899999999998</v>
      </c>
    </row>
    <row r="709" spans="1:17" s="216" customFormat="1" x14ac:dyDescent="0.2">
      <c r="A709" s="242">
        <f>A708+1</f>
        <v>8</v>
      </c>
      <c r="C709" s="216" t="str">
        <f>'C'!B114</f>
        <v xml:space="preserve">    Next 350 Mcf</v>
      </c>
      <c r="D709" s="592"/>
      <c r="E709" s="424">
        <f>'C'!D126</f>
        <v>9954.7000000000007</v>
      </c>
      <c r="F709" s="424">
        <f>'C'!E126</f>
        <v>9961.7000000000007</v>
      </c>
      <c r="G709" s="424">
        <f>'C'!F126</f>
        <v>9287</v>
      </c>
      <c r="H709" s="424">
        <f>'C'!G126</f>
        <v>5626</v>
      </c>
      <c r="I709" s="424">
        <f>'C'!H126</f>
        <v>5225.6000000000004</v>
      </c>
      <c r="J709" s="424">
        <f>'C'!I126</f>
        <v>3671.8</v>
      </c>
      <c r="K709" s="424">
        <f>'C'!J126</f>
        <v>3224.1</v>
      </c>
      <c r="L709" s="424">
        <f>'C'!K126</f>
        <v>3915.9</v>
      </c>
      <c r="M709" s="424">
        <f>'C'!L126</f>
        <v>4195.5</v>
      </c>
      <c r="N709" s="424">
        <f>'C'!M126</f>
        <v>5273.7</v>
      </c>
      <c r="O709" s="424">
        <f>'C'!N126</f>
        <v>7257.1</v>
      </c>
      <c r="P709" s="424">
        <f>'C'!O126</f>
        <v>9459.2999999999993</v>
      </c>
      <c r="Q709" s="424">
        <f>SUM(E709:P709)</f>
        <v>77052.400000000009</v>
      </c>
    </row>
    <row r="710" spans="1:17" s="216" customFormat="1" x14ac:dyDescent="0.2">
      <c r="A710" s="242">
        <f>A709+1</f>
        <v>9</v>
      </c>
      <c r="C710" s="216" t="str">
        <f>'C'!B115</f>
        <v xml:space="preserve">    Next 600 Mcf</v>
      </c>
      <c r="D710" s="592"/>
      <c r="E710" s="424">
        <f>'C'!D127</f>
        <v>11094.6</v>
      </c>
      <c r="F710" s="424">
        <f>'C'!E127</f>
        <v>11265.1</v>
      </c>
      <c r="G710" s="424">
        <f>'C'!F127</f>
        <v>10457.6</v>
      </c>
      <c r="H710" s="424">
        <f>'C'!G127</f>
        <v>1393.4</v>
      </c>
      <c r="I710" s="424">
        <f>'C'!H127</f>
        <v>1689.1</v>
      </c>
      <c r="J710" s="424">
        <f>'C'!I127</f>
        <v>1178.9000000000001</v>
      </c>
      <c r="K710" s="424">
        <f>'C'!J127</f>
        <v>1053.0999999999999</v>
      </c>
      <c r="L710" s="424">
        <f>'C'!K127</f>
        <v>2126.5</v>
      </c>
      <c r="M710" s="424">
        <f>'C'!L127</f>
        <v>2718.9</v>
      </c>
      <c r="N710" s="424">
        <f>'C'!M127</f>
        <v>4845.1000000000004</v>
      </c>
      <c r="O710" s="424">
        <f>'C'!N127</f>
        <v>8364.9</v>
      </c>
      <c r="P710" s="424">
        <f>'C'!O127</f>
        <v>9666.7999999999993</v>
      </c>
      <c r="Q710" s="424">
        <f>SUM(E710:P710)</f>
        <v>65854</v>
      </c>
    </row>
    <row r="711" spans="1:17" s="216" customFormat="1" x14ac:dyDescent="0.2">
      <c r="A711" s="242">
        <f>A710+1</f>
        <v>10</v>
      </c>
      <c r="C711" s="216" t="str">
        <f>'C'!B116</f>
        <v xml:space="preserve">    Over 1,000 Mcf</v>
      </c>
      <c r="D711" s="592"/>
      <c r="E711" s="448">
        <f>'C'!D128</f>
        <v>25264.2</v>
      </c>
      <c r="F711" s="448">
        <f>'C'!E128</f>
        <v>22844</v>
      </c>
      <c r="G711" s="448">
        <f>'C'!F128</f>
        <v>8698.1</v>
      </c>
      <c r="H711" s="448">
        <f>'C'!G128</f>
        <v>1200</v>
      </c>
      <c r="I711" s="448">
        <f>'C'!H128</f>
        <v>1275</v>
      </c>
      <c r="J711" s="448">
        <f>'C'!I128</f>
        <v>1000</v>
      </c>
      <c r="K711" s="448">
        <f>'C'!J128</f>
        <v>1000</v>
      </c>
      <c r="L711" s="448">
        <f>'C'!K128</f>
        <v>1000</v>
      </c>
      <c r="M711" s="448">
        <f>'C'!L128</f>
        <v>1000</v>
      </c>
      <c r="N711" s="448">
        <f>'C'!M128</f>
        <v>1815.8</v>
      </c>
      <c r="O711" s="448">
        <f>'C'!N128</f>
        <v>10234.9</v>
      </c>
      <c r="P711" s="448">
        <f>'C'!O128</f>
        <v>19622.099999999999</v>
      </c>
      <c r="Q711" s="448">
        <f>SUM(E711:P711)</f>
        <v>94954.1</v>
      </c>
    </row>
    <row r="712" spans="1:17" s="216" customFormat="1" x14ac:dyDescent="0.2">
      <c r="A712" s="242"/>
      <c r="D712" s="592"/>
      <c r="E712" s="424">
        <f t="shared" ref="E712:P712" si="245">SUM(E708:E711)</f>
        <v>48458.8</v>
      </c>
      <c r="F712" s="424">
        <f t="shared" si="245"/>
        <v>46186.400000000001</v>
      </c>
      <c r="G712" s="424">
        <f t="shared" si="245"/>
        <v>30488.199999999997</v>
      </c>
      <c r="H712" s="424">
        <f t="shared" si="245"/>
        <v>9871.6</v>
      </c>
      <c r="I712" s="424">
        <f t="shared" si="245"/>
        <v>9771.9</v>
      </c>
      <c r="J712" s="424">
        <f t="shared" si="245"/>
        <v>6949.4</v>
      </c>
      <c r="K712" s="424">
        <f t="shared" si="245"/>
        <v>6025.1</v>
      </c>
      <c r="L712" s="424">
        <f t="shared" si="245"/>
        <v>7880.1</v>
      </c>
      <c r="M712" s="424">
        <f t="shared" si="245"/>
        <v>8890.2999999999993</v>
      </c>
      <c r="N712" s="424">
        <f t="shared" si="245"/>
        <v>13143.4</v>
      </c>
      <c r="O712" s="424">
        <f t="shared" si="245"/>
        <v>27525.699999999997</v>
      </c>
      <c r="P712" s="424">
        <f t="shared" si="245"/>
        <v>40778.5</v>
      </c>
      <c r="Q712" s="424">
        <f>SUM(E712:P712)</f>
        <v>255969.39999999997</v>
      </c>
    </row>
    <row r="713" spans="1:17" s="216" customFormat="1" x14ac:dyDescent="0.2">
      <c r="A713" s="242">
        <f>A711+1</f>
        <v>11</v>
      </c>
      <c r="C713" s="216" t="s">
        <v>204</v>
      </c>
      <c r="D713" s="592"/>
      <c r="F713" s="269"/>
      <c r="G713" s="418"/>
      <c r="H713" s="269"/>
      <c r="I713" s="272"/>
      <c r="J713" s="269"/>
      <c r="K713" s="269"/>
      <c r="L713" s="269"/>
      <c r="M713" s="269"/>
      <c r="N713" s="269"/>
      <c r="O713" s="269"/>
      <c r="P713" s="269"/>
      <c r="Q713" s="456"/>
    </row>
    <row r="714" spans="1:17" s="216" customFormat="1" x14ac:dyDescent="0.2">
      <c r="A714" s="242">
        <f>A713+1</f>
        <v>12</v>
      </c>
      <c r="C714" s="216" t="str">
        <f>C708</f>
        <v xml:space="preserve">    First 50 Mcf</v>
      </c>
      <c r="D714" s="609">
        <f>Input!Q28</f>
        <v>3.5621999999999998</v>
      </c>
      <c r="E714" s="386">
        <f t="shared" ref="E714:P714" si="246">ROUND(E708*$D$714,2)</f>
        <v>7641.99</v>
      </c>
      <c r="F714" s="386">
        <f t="shared" si="246"/>
        <v>7536.19</v>
      </c>
      <c r="G714" s="386">
        <f t="shared" si="246"/>
        <v>7286.48</v>
      </c>
      <c r="H714" s="386">
        <f t="shared" si="246"/>
        <v>5885.47</v>
      </c>
      <c r="I714" s="386">
        <f t="shared" si="246"/>
        <v>5636.11</v>
      </c>
      <c r="J714" s="386">
        <f t="shared" si="246"/>
        <v>3913.79</v>
      </c>
      <c r="K714" s="386">
        <f t="shared" si="246"/>
        <v>2664.17</v>
      </c>
      <c r="L714" s="386">
        <f t="shared" si="246"/>
        <v>2984.05</v>
      </c>
      <c r="M714" s="386">
        <f t="shared" si="246"/>
        <v>3476.35</v>
      </c>
      <c r="N714" s="386">
        <f t="shared" si="246"/>
        <v>4305.99</v>
      </c>
      <c r="O714" s="386">
        <f t="shared" si="246"/>
        <v>5944.6</v>
      </c>
      <c r="P714" s="386">
        <f t="shared" si="246"/>
        <v>7232.33</v>
      </c>
      <c r="Q714" s="386">
        <f t="shared" ref="Q714:Q720" si="247">SUM(E714:P714)</f>
        <v>64507.519999999997</v>
      </c>
    </row>
    <row r="715" spans="1:17" s="216" customFormat="1" x14ac:dyDescent="0.2">
      <c r="A715" s="242">
        <f>A714+1</f>
        <v>13</v>
      </c>
      <c r="C715" s="216" t="str">
        <f>C709</f>
        <v xml:space="preserve">    Next 350 Mcf</v>
      </c>
      <c r="D715" s="609">
        <f>Input!R28</f>
        <v>2.7494000000000001</v>
      </c>
      <c r="E715" s="421">
        <f t="shared" ref="E715:P715" si="248">ROUND(E709*$D$715,2)</f>
        <v>27369.45</v>
      </c>
      <c r="F715" s="421">
        <f t="shared" si="248"/>
        <v>27388.7</v>
      </c>
      <c r="G715" s="421">
        <f t="shared" si="248"/>
        <v>25533.68</v>
      </c>
      <c r="H715" s="421">
        <f t="shared" si="248"/>
        <v>15468.12</v>
      </c>
      <c r="I715" s="421">
        <f t="shared" si="248"/>
        <v>14367.26</v>
      </c>
      <c r="J715" s="421">
        <f t="shared" si="248"/>
        <v>10095.25</v>
      </c>
      <c r="K715" s="421">
        <f t="shared" si="248"/>
        <v>8864.34</v>
      </c>
      <c r="L715" s="421">
        <f t="shared" si="248"/>
        <v>10766.38</v>
      </c>
      <c r="M715" s="421">
        <f t="shared" si="248"/>
        <v>11535.11</v>
      </c>
      <c r="N715" s="421">
        <f t="shared" si="248"/>
        <v>14499.51</v>
      </c>
      <c r="O715" s="421">
        <f t="shared" si="248"/>
        <v>19952.669999999998</v>
      </c>
      <c r="P715" s="421">
        <f t="shared" si="248"/>
        <v>26007.4</v>
      </c>
      <c r="Q715" s="421">
        <f t="shared" si="247"/>
        <v>211847.86999999997</v>
      </c>
    </row>
    <row r="716" spans="1:17" s="216" customFormat="1" x14ac:dyDescent="0.2">
      <c r="A716" s="242">
        <f>A715+1</f>
        <v>14</v>
      </c>
      <c r="C716" s="216" t="str">
        <f>C710</f>
        <v xml:space="preserve">    Next 600 Mcf</v>
      </c>
      <c r="D716" s="609">
        <f>Input!S28</f>
        <v>2.6135000000000002</v>
      </c>
      <c r="E716" s="421">
        <f t="shared" ref="E716:O716" si="249">ROUND(E710*$D$716,2)</f>
        <v>28995.74</v>
      </c>
      <c r="F716" s="421">
        <f t="shared" si="249"/>
        <v>29441.34</v>
      </c>
      <c r="G716" s="421">
        <f t="shared" si="249"/>
        <v>27330.94</v>
      </c>
      <c r="H716" s="421">
        <f t="shared" si="249"/>
        <v>3641.65</v>
      </c>
      <c r="I716" s="421">
        <f t="shared" si="249"/>
        <v>4414.46</v>
      </c>
      <c r="J716" s="421">
        <f t="shared" si="249"/>
        <v>3081.06</v>
      </c>
      <c r="K716" s="421">
        <f t="shared" si="249"/>
        <v>2752.28</v>
      </c>
      <c r="L716" s="421">
        <f t="shared" si="249"/>
        <v>5557.61</v>
      </c>
      <c r="M716" s="421">
        <f t="shared" si="249"/>
        <v>7105.85</v>
      </c>
      <c r="N716" s="421">
        <f t="shared" si="249"/>
        <v>12662.67</v>
      </c>
      <c r="O716" s="421">
        <f t="shared" si="249"/>
        <v>21861.67</v>
      </c>
      <c r="P716" s="421">
        <f>ROUND(P710*$D$716,2)</f>
        <v>25264.18</v>
      </c>
      <c r="Q716" s="421">
        <f t="shared" si="247"/>
        <v>172109.45</v>
      </c>
    </row>
    <row r="717" spans="1:17" s="216" customFormat="1" x14ac:dyDescent="0.2">
      <c r="A717" s="242">
        <f>A716+1</f>
        <v>15</v>
      </c>
      <c r="C717" s="216" t="str">
        <f>C711</f>
        <v xml:space="preserve">    Over 1,000 Mcf</v>
      </c>
      <c r="D717" s="609">
        <f>Input!T28</f>
        <v>2.3782000000000001</v>
      </c>
      <c r="E717" s="450">
        <f t="shared" ref="E717:O717" si="250">ROUND(E711*$D$717,2)</f>
        <v>60083.32</v>
      </c>
      <c r="F717" s="450">
        <f t="shared" si="250"/>
        <v>54327.6</v>
      </c>
      <c r="G717" s="450">
        <f t="shared" si="250"/>
        <v>20685.82</v>
      </c>
      <c r="H717" s="450">
        <f t="shared" si="250"/>
        <v>2853.84</v>
      </c>
      <c r="I717" s="450">
        <f t="shared" si="250"/>
        <v>3032.21</v>
      </c>
      <c r="J717" s="450">
        <f t="shared" si="250"/>
        <v>2378.1999999999998</v>
      </c>
      <c r="K717" s="450">
        <f t="shared" si="250"/>
        <v>2378.1999999999998</v>
      </c>
      <c r="L717" s="450">
        <f t="shared" si="250"/>
        <v>2378.1999999999998</v>
      </c>
      <c r="M717" s="450">
        <f t="shared" si="250"/>
        <v>2378.1999999999998</v>
      </c>
      <c r="N717" s="450">
        <f t="shared" si="250"/>
        <v>4318.34</v>
      </c>
      <c r="O717" s="450">
        <f t="shared" si="250"/>
        <v>24340.639999999999</v>
      </c>
      <c r="P717" s="450">
        <f>ROUND(P711*$D$717,2)</f>
        <v>46665.279999999999</v>
      </c>
      <c r="Q717" s="450">
        <f t="shared" si="247"/>
        <v>225819.85</v>
      </c>
    </row>
    <row r="718" spans="1:17" s="216" customFormat="1" x14ac:dyDescent="0.2">
      <c r="A718" s="242"/>
      <c r="D718" s="592"/>
      <c r="E718" s="386">
        <f t="shared" ref="E718:P718" si="251">SUM(E714:E717)</f>
        <v>124090.5</v>
      </c>
      <c r="F718" s="386">
        <f t="shared" si="251"/>
        <v>118693.82999999999</v>
      </c>
      <c r="G718" s="386">
        <f t="shared" si="251"/>
        <v>80836.920000000013</v>
      </c>
      <c r="H718" s="386">
        <f t="shared" si="251"/>
        <v>27849.08</v>
      </c>
      <c r="I718" s="386">
        <f t="shared" si="251"/>
        <v>27450.039999999997</v>
      </c>
      <c r="J718" s="386">
        <f t="shared" si="251"/>
        <v>19468.300000000003</v>
      </c>
      <c r="K718" s="386">
        <f t="shared" si="251"/>
        <v>16658.990000000002</v>
      </c>
      <c r="L718" s="386">
        <f t="shared" si="251"/>
        <v>21686.240000000002</v>
      </c>
      <c r="M718" s="386">
        <f t="shared" si="251"/>
        <v>24495.510000000002</v>
      </c>
      <c r="N718" s="386">
        <f t="shared" si="251"/>
        <v>35786.509999999995</v>
      </c>
      <c r="O718" s="386">
        <f t="shared" si="251"/>
        <v>72099.579999999987</v>
      </c>
      <c r="P718" s="386">
        <f t="shared" si="251"/>
        <v>105169.19</v>
      </c>
      <c r="Q718" s="386">
        <f t="shared" si="247"/>
        <v>674284.69</v>
      </c>
    </row>
    <row r="719" spans="1:17" s="216" customFormat="1" x14ac:dyDescent="0.2">
      <c r="A719" s="242">
        <f>A717+1</f>
        <v>16</v>
      </c>
      <c r="B719" s="213"/>
      <c r="C719" s="213" t="s">
        <v>529</v>
      </c>
      <c r="D719" s="609">
        <v>0</v>
      </c>
      <c r="E719" s="431">
        <f t="shared" ref="E719:P719" si="252">ROUND(E712*$D$719,2)</f>
        <v>0</v>
      </c>
      <c r="F719" s="431">
        <f t="shared" si="252"/>
        <v>0</v>
      </c>
      <c r="G719" s="431">
        <f t="shared" si="252"/>
        <v>0</v>
      </c>
      <c r="H719" s="431">
        <f t="shared" si="252"/>
        <v>0</v>
      </c>
      <c r="I719" s="431">
        <f t="shared" si="252"/>
        <v>0</v>
      </c>
      <c r="J719" s="431">
        <f t="shared" si="252"/>
        <v>0</v>
      </c>
      <c r="K719" s="431">
        <f t="shared" si="252"/>
        <v>0</v>
      </c>
      <c r="L719" s="431">
        <f t="shared" si="252"/>
        <v>0</v>
      </c>
      <c r="M719" s="431">
        <f t="shared" si="252"/>
        <v>0</v>
      </c>
      <c r="N719" s="431">
        <f t="shared" si="252"/>
        <v>0</v>
      </c>
      <c r="O719" s="431">
        <f t="shared" si="252"/>
        <v>0</v>
      </c>
      <c r="P719" s="431">
        <f t="shared" si="252"/>
        <v>0</v>
      </c>
      <c r="Q719" s="431">
        <f t="shared" si="247"/>
        <v>0</v>
      </c>
    </row>
    <row r="720" spans="1:17" s="216" customFormat="1" x14ac:dyDescent="0.2">
      <c r="A720" s="242">
        <f>A719+1</f>
        <v>17</v>
      </c>
      <c r="B720" s="213"/>
      <c r="C720" s="213" t="s">
        <v>201</v>
      </c>
      <c r="D720" s="592"/>
      <c r="E720" s="386">
        <f t="shared" ref="E720:P720" si="253">E704+E705+E718+E719</f>
        <v>128622.3</v>
      </c>
      <c r="F720" s="386">
        <f t="shared" si="253"/>
        <v>123225.62999999999</v>
      </c>
      <c r="G720" s="386">
        <f t="shared" si="253"/>
        <v>85281.57</v>
      </c>
      <c r="H720" s="386">
        <f t="shared" si="253"/>
        <v>32293.730000000003</v>
      </c>
      <c r="I720" s="386">
        <f t="shared" si="253"/>
        <v>31807.539999999997</v>
      </c>
      <c r="J720" s="386">
        <f t="shared" si="253"/>
        <v>23912.950000000004</v>
      </c>
      <c r="K720" s="386">
        <f t="shared" si="253"/>
        <v>21103.64</v>
      </c>
      <c r="L720" s="386">
        <f t="shared" si="253"/>
        <v>26130.89</v>
      </c>
      <c r="M720" s="386">
        <f t="shared" si="253"/>
        <v>28940.160000000003</v>
      </c>
      <c r="N720" s="386">
        <f t="shared" si="253"/>
        <v>40318.31</v>
      </c>
      <c r="O720" s="386">
        <f t="shared" si="253"/>
        <v>76718.529999999984</v>
      </c>
      <c r="P720" s="386">
        <f t="shared" si="253"/>
        <v>109788.14</v>
      </c>
      <c r="Q720" s="386">
        <f t="shared" si="247"/>
        <v>728143.39</v>
      </c>
    </row>
    <row r="721" spans="1:17" s="216" customFormat="1" x14ac:dyDescent="0.2">
      <c r="A721" s="242"/>
      <c r="D721" s="592"/>
      <c r="E721" s="430"/>
      <c r="F721" s="430"/>
      <c r="G721" s="430"/>
      <c r="H721" s="430"/>
      <c r="I721" s="430"/>
      <c r="J721" s="430"/>
      <c r="K721" s="430"/>
      <c r="L721" s="430"/>
      <c r="M721" s="430"/>
      <c r="N721" s="430"/>
      <c r="O721" s="430"/>
      <c r="P721" s="430"/>
      <c r="Q721" s="430"/>
    </row>
    <row r="722" spans="1:17" s="216" customFormat="1" x14ac:dyDescent="0.2">
      <c r="A722" s="242">
        <f>A720+1</f>
        <v>18</v>
      </c>
      <c r="C722" s="216" t="s">
        <v>205</v>
      </c>
      <c r="D722" s="609">
        <f>EGC</f>
        <v>4.3869999999999996</v>
      </c>
      <c r="E722" s="386">
        <f t="shared" ref="E722:P722" si="254">ROUND(E712*$D$722,2)</f>
        <v>212588.76</v>
      </c>
      <c r="F722" s="386">
        <f t="shared" si="254"/>
        <v>202619.74</v>
      </c>
      <c r="G722" s="386">
        <f t="shared" si="254"/>
        <v>133751.73000000001</v>
      </c>
      <c r="H722" s="386">
        <f t="shared" si="254"/>
        <v>43306.71</v>
      </c>
      <c r="I722" s="386">
        <f t="shared" si="254"/>
        <v>42869.33</v>
      </c>
      <c r="J722" s="386">
        <f t="shared" si="254"/>
        <v>30487.02</v>
      </c>
      <c r="K722" s="386">
        <f t="shared" si="254"/>
        <v>26432.11</v>
      </c>
      <c r="L722" s="386">
        <f t="shared" si="254"/>
        <v>34570</v>
      </c>
      <c r="M722" s="386">
        <f t="shared" si="254"/>
        <v>39001.75</v>
      </c>
      <c r="N722" s="386">
        <f t="shared" si="254"/>
        <v>57660.1</v>
      </c>
      <c r="O722" s="386">
        <f t="shared" si="254"/>
        <v>120755.25</v>
      </c>
      <c r="P722" s="386">
        <f t="shared" si="254"/>
        <v>178895.28</v>
      </c>
      <c r="Q722" s="386">
        <f>SUM(E722:P722)</f>
        <v>1122937.7799999998</v>
      </c>
    </row>
    <row r="723" spans="1:17" s="216" customFormat="1" x14ac:dyDescent="0.2">
      <c r="A723" s="242"/>
      <c r="D723" s="592"/>
      <c r="E723" s="430"/>
      <c r="F723" s="430"/>
      <c r="G723" s="430"/>
      <c r="H723" s="430"/>
      <c r="I723" s="430"/>
      <c r="J723" s="430"/>
      <c r="K723" s="430"/>
      <c r="L723" s="430"/>
      <c r="M723" s="430"/>
      <c r="N723" s="430"/>
      <c r="O723" s="430"/>
      <c r="P723" s="430"/>
      <c r="Q723" s="430"/>
    </row>
    <row r="724" spans="1:17" s="216" customFormat="1" x14ac:dyDescent="0.2">
      <c r="A724" s="577">
        <f>A722+1</f>
        <v>19</v>
      </c>
      <c r="B724" s="402"/>
      <c r="C724" s="402" t="s">
        <v>203</v>
      </c>
      <c r="D724" s="593"/>
      <c r="E724" s="406">
        <f t="shared" ref="E724:O724" si="255">E720+E722</f>
        <v>341211.06</v>
      </c>
      <c r="F724" s="406">
        <f t="shared" si="255"/>
        <v>325845.37</v>
      </c>
      <c r="G724" s="406">
        <f t="shared" si="255"/>
        <v>219033.30000000002</v>
      </c>
      <c r="H724" s="406">
        <f t="shared" si="255"/>
        <v>75600.44</v>
      </c>
      <c r="I724" s="406">
        <f t="shared" si="255"/>
        <v>74676.87</v>
      </c>
      <c r="J724" s="406">
        <f t="shared" si="255"/>
        <v>54399.97</v>
      </c>
      <c r="K724" s="406">
        <f t="shared" si="255"/>
        <v>47535.75</v>
      </c>
      <c r="L724" s="406">
        <f t="shared" si="255"/>
        <v>60700.89</v>
      </c>
      <c r="M724" s="406">
        <f t="shared" si="255"/>
        <v>67941.91</v>
      </c>
      <c r="N724" s="406">
        <f t="shared" si="255"/>
        <v>97978.41</v>
      </c>
      <c r="O724" s="406">
        <f t="shared" si="255"/>
        <v>197473.77999999997</v>
      </c>
      <c r="P724" s="406">
        <f>P720+P722</f>
        <v>288683.42</v>
      </c>
      <c r="Q724" s="406">
        <f>SUM(E724:P724)</f>
        <v>1851081.1699999997</v>
      </c>
    </row>
    <row r="725" spans="1:17" s="216" customFormat="1" x14ac:dyDescent="0.2">
      <c r="A725" s="242"/>
      <c r="D725" s="725"/>
      <c r="F725" s="269"/>
      <c r="G725" s="418"/>
      <c r="H725" s="269"/>
      <c r="I725" s="272"/>
      <c r="J725" s="269"/>
      <c r="K725" s="269"/>
      <c r="L725" s="269"/>
      <c r="M725" s="269"/>
      <c r="N725" s="269"/>
      <c r="O725" s="269"/>
      <c r="P725" s="269"/>
      <c r="Q725" s="456"/>
    </row>
    <row r="726" spans="1:17" s="216" customFormat="1" x14ac:dyDescent="0.2">
      <c r="A726" s="242">
        <f>A724+1</f>
        <v>20</v>
      </c>
      <c r="C726" s="216" t="s">
        <v>193</v>
      </c>
      <c r="D726" s="725"/>
      <c r="F726" s="269"/>
      <c r="G726" s="418"/>
      <c r="H726" s="269"/>
      <c r="I726" s="272"/>
      <c r="J726" s="269"/>
      <c r="K726" s="269"/>
      <c r="L726" s="269"/>
      <c r="M726" s="269"/>
      <c r="N726" s="269"/>
      <c r="O726" s="269"/>
      <c r="P726" s="269"/>
      <c r="Q726" s="456"/>
    </row>
    <row r="727" spans="1:17" s="216" customFormat="1" x14ac:dyDescent="0.2">
      <c r="A727" s="242">
        <f>A726+1</f>
        <v>21</v>
      </c>
      <c r="C727" s="267" t="s">
        <v>211</v>
      </c>
      <c r="D727" s="609">
        <f>Input!AB28</f>
        <v>1.1900000000000001E-2</v>
      </c>
      <c r="E727" s="386">
        <f t="shared" ref="E727:P727" si="256">ROUND(E712*$D$727,2)</f>
        <v>576.66</v>
      </c>
      <c r="F727" s="386">
        <f t="shared" si="256"/>
        <v>549.62</v>
      </c>
      <c r="G727" s="386">
        <f t="shared" si="256"/>
        <v>362.81</v>
      </c>
      <c r="H727" s="386">
        <f t="shared" si="256"/>
        <v>117.47</v>
      </c>
      <c r="I727" s="386">
        <f t="shared" si="256"/>
        <v>116.29</v>
      </c>
      <c r="J727" s="386">
        <f t="shared" si="256"/>
        <v>82.7</v>
      </c>
      <c r="K727" s="386">
        <f t="shared" si="256"/>
        <v>71.7</v>
      </c>
      <c r="L727" s="386">
        <f t="shared" si="256"/>
        <v>93.77</v>
      </c>
      <c r="M727" s="386">
        <f t="shared" si="256"/>
        <v>105.79</v>
      </c>
      <c r="N727" s="386">
        <f t="shared" si="256"/>
        <v>156.41</v>
      </c>
      <c r="O727" s="386">
        <f t="shared" si="256"/>
        <v>327.56</v>
      </c>
      <c r="P727" s="386">
        <f t="shared" si="256"/>
        <v>485.26</v>
      </c>
      <c r="Q727" s="386">
        <f>SUM(E727:P727)</f>
        <v>3046.04</v>
      </c>
    </row>
    <row r="728" spans="1:17" s="216" customFormat="1" x14ac:dyDescent="0.2">
      <c r="A728" s="242">
        <f t="shared" ref="A728:A729" si="257">A727+1</f>
        <v>22</v>
      </c>
      <c r="B728" s="213"/>
      <c r="C728" s="216" t="s">
        <v>140</v>
      </c>
      <c r="D728" s="609">
        <f>Input!$AA$27</f>
        <v>1.44E-2</v>
      </c>
      <c r="E728" s="390">
        <f>ROUND($D$728*E712,2)</f>
        <v>697.81</v>
      </c>
      <c r="F728" s="390">
        <f t="shared" ref="F728:P728" si="258">ROUND($D$728*F712,2)</f>
        <v>665.08</v>
      </c>
      <c r="G728" s="390">
        <f t="shared" si="258"/>
        <v>439.03</v>
      </c>
      <c r="H728" s="390">
        <f t="shared" si="258"/>
        <v>142.15</v>
      </c>
      <c r="I728" s="390">
        <f t="shared" si="258"/>
        <v>140.72</v>
      </c>
      <c r="J728" s="390">
        <f t="shared" si="258"/>
        <v>100.07</v>
      </c>
      <c r="K728" s="390">
        <f t="shared" si="258"/>
        <v>86.76</v>
      </c>
      <c r="L728" s="390">
        <f t="shared" si="258"/>
        <v>113.47</v>
      </c>
      <c r="M728" s="390">
        <f t="shared" si="258"/>
        <v>128.02000000000001</v>
      </c>
      <c r="N728" s="390">
        <f t="shared" si="258"/>
        <v>189.26</v>
      </c>
      <c r="O728" s="390">
        <f t="shared" si="258"/>
        <v>396.37</v>
      </c>
      <c r="P728" s="390">
        <f t="shared" si="258"/>
        <v>587.21</v>
      </c>
      <c r="Q728" s="390">
        <f>SUM(E728:P728)</f>
        <v>3685.95</v>
      </c>
    </row>
    <row r="729" spans="1:17" s="216" customFormat="1" x14ac:dyDescent="0.2">
      <c r="A729" s="242">
        <f t="shared" si="257"/>
        <v>23</v>
      </c>
      <c r="C729" s="267" t="s">
        <v>558</v>
      </c>
      <c r="D729" s="609"/>
      <c r="E729" s="386">
        <f>SUM(E727:E728)</f>
        <v>1274.4699999999998</v>
      </c>
      <c r="F729" s="386">
        <f t="shared" ref="F729" si="259">SUM(F727:F728)</f>
        <v>1214.7</v>
      </c>
      <c r="G729" s="386">
        <f t="shared" ref="G729" si="260">SUM(G727:G728)</f>
        <v>801.83999999999992</v>
      </c>
      <c r="H729" s="386">
        <f t="shared" ref="H729" si="261">SUM(H727:H728)</f>
        <v>259.62</v>
      </c>
      <c r="I729" s="386">
        <f t="shared" ref="I729" si="262">SUM(I727:I728)</f>
        <v>257.01</v>
      </c>
      <c r="J729" s="386">
        <f t="shared" ref="J729" si="263">SUM(J727:J728)</f>
        <v>182.76999999999998</v>
      </c>
      <c r="K729" s="386">
        <f t="shared" ref="K729" si="264">SUM(K727:K728)</f>
        <v>158.46</v>
      </c>
      <c r="L729" s="386">
        <f t="shared" ref="L729" si="265">SUM(L727:L728)</f>
        <v>207.24</v>
      </c>
      <c r="M729" s="386">
        <f t="shared" ref="M729" si="266">SUM(M727:M728)</f>
        <v>233.81</v>
      </c>
      <c r="N729" s="386">
        <f t="shared" ref="N729" si="267">SUM(N727:N728)</f>
        <v>345.66999999999996</v>
      </c>
      <c r="O729" s="386">
        <f t="shared" ref="O729" si="268">SUM(O727:O728)</f>
        <v>723.93000000000006</v>
      </c>
      <c r="P729" s="386">
        <f t="shared" ref="P729" si="269">SUM(P727:P728)</f>
        <v>1072.47</v>
      </c>
      <c r="Q729" s="386">
        <f t="shared" ref="Q729" si="270">SUM(Q727:Q728)</f>
        <v>6731.99</v>
      </c>
    </row>
    <row r="730" spans="1:17" s="216" customFormat="1" x14ac:dyDescent="0.2">
      <c r="A730" s="242"/>
      <c r="D730" s="267"/>
      <c r="E730" s="430"/>
      <c r="F730" s="430"/>
      <c r="G730" s="430"/>
      <c r="H730" s="430"/>
      <c r="I730" s="430"/>
      <c r="J730" s="430"/>
      <c r="K730" s="430"/>
      <c r="L730" s="430"/>
      <c r="M730" s="430"/>
      <c r="N730" s="430"/>
      <c r="O730" s="430"/>
      <c r="P730" s="430"/>
      <c r="Q730" s="430"/>
    </row>
    <row r="731" spans="1:17" s="216" customFormat="1" ht="10.5" thickBot="1" x14ac:dyDescent="0.25">
      <c r="A731" s="580">
        <f>A729+1</f>
        <v>24</v>
      </c>
      <c r="B731" s="434"/>
      <c r="C731" s="581" t="s">
        <v>202</v>
      </c>
      <c r="D731" s="582"/>
      <c r="E731" s="435">
        <f>E724+E729</f>
        <v>342485.52999999997</v>
      </c>
      <c r="F731" s="435">
        <f t="shared" ref="F731:P731" si="271">F724+F729</f>
        <v>327060.07</v>
      </c>
      <c r="G731" s="435">
        <f t="shared" si="271"/>
        <v>219835.14</v>
      </c>
      <c r="H731" s="435">
        <f t="shared" si="271"/>
        <v>75860.06</v>
      </c>
      <c r="I731" s="435">
        <f t="shared" si="271"/>
        <v>74933.87999999999</v>
      </c>
      <c r="J731" s="435">
        <f t="shared" si="271"/>
        <v>54582.74</v>
      </c>
      <c r="K731" s="435">
        <f t="shared" si="271"/>
        <v>47694.21</v>
      </c>
      <c r="L731" s="435">
        <f t="shared" si="271"/>
        <v>60908.13</v>
      </c>
      <c r="M731" s="435">
        <f t="shared" si="271"/>
        <v>68175.72</v>
      </c>
      <c r="N731" s="435">
        <f t="shared" si="271"/>
        <v>98324.08</v>
      </c>
      <c r="O731" s="435">
        <f t="shared" si="271"/>
        <v>198197.70999999996</v>
      </c>
      <c r="P731" s="435">
        <f t="shared" si="271"/>
        <v>289755.88999999996</v>
      </c>
      <c r="Q731" s="435">
        <f>SUM(E731:P731)</f>
        <v>1857813.16</v>
      </c>
    </row>
    <row r="732" spans="1:17" s="216" customFormat="1" ht="10.5" thickTop="1" x14ac:dyDescent="0.2">
      <c r="A732" s="242"/>
      <c r="D732" s="267"/>
      <c r="F732" s="269"/>
      <c r="G732" s="418"/>
      <c r="H732" s="269"/>
      <c r="I732" s="272"/>
      <c r="J732" s="269"/>
      <c r="K732" s="269"/>
      <c r="L732" s="269"/>
      <c r="M732" s="269"/>
      <c r="N732" s="269"/>
      <c r="O732" s="269"/>
      <c r="P732" s="269"/>
    </row>
    <row r="733" spans="1:17" s="216" customFormat="1" x14ac:dyDescent="0.2">
      <c r="A733" s="242"/>
      <c r="D733" s="267"/>
      <c r="F733" s="269"/>
      <c r="G733" s="418"/>
      <c r="H733" s="269"/>
      <c r="I733" s="272"/>
      <c r="J733" s="269"/>
      <c r="K733" s="269"/>
      <c r="L733" s="269"/>
      <c r="M733" s="269"/>
      <c r="N733" s="269"/>
      <c r="O733" s="269"/>
      <c r="P733" s="269"/>
    </row>
    <row r="734" spans="1:17" s="216" customFormat="1" x14ac:dyDescent="0.2">
      <c r="A734" s="504" t="str">
        <f>$A$265</f>
        <v>[1] Reflects Normalized Volumes.</v>
      </c>
      <c r="D734" s="267"/>
      <c r="F734" s="269"/>
      <c r="G734" s="418"/>
      <c r="H734" s="269"/>
      <c r="I734" s="272"/>
      <c r="J734" s="269"/>
      <c r="K734" s="269"/>
      <c r="L734" s="269"/>
      <c r="M734" s="269"/>
      <c r="N734" s="269"/>
      <c r="O734" s="269"/>
      <c r="P734" s="269"/>
    </row>
    <row r="735" spans="1:17" s="216" customFormat="1" x14ac:dyDescent="0.2">
      <c r="A735" s="504" t="str">
        <f>"[2] Reflects Gas Cost Adjustment Rate"&amp;CONCATENATE(" as of ",EGCDATE)&amp;"."</f>
        <v>[2] Reflects Gas Cost Adjustment Rate as of March 1, 2021.</v>
      </c>
      <c r="D735" s="267"/>
      <c r="F735" s="269"/>
      <c r="G735" s="418"/>
      <c r="H735" s="269"/>
      <c r="I735" s="272"/>
      <c r="J735" s="269"/>
      <c r="K735" s="269"/>
      <c r="L735" s="269"/>
      <c r="M735" s="269"/>
      <c r="N735" s="269"/>
      <c r="O735" s="269"/>
      <c r="P735" s="269"/>
    </row>
    <row r="736" spans="1:17" s="216" customFormat="1" ht="10.5" x14ac:dyDescent="0.25">
      <c r="A736" s="817" t="str">
        <f>CONAME</f>
        <v>Columbia Gas of Kentucky, Inc.</v>
      </c>
      <c r="B736" s="817"/>
      <c r="C736" s="817"/>
      <c r="D736" s="817"/>
      <c r="E736" s="817"/>
      <c r="F736" s="817"/>
      <c r="G736" s="817"/>
      <c r="H736" s="817"/>
      <c r="I736" s="817"/>
      <c r="J736" s="817"/>
      <c r="K736" s="817"/>
      <c r="L736" s="817"/>
      <c r="M736" s="817"/>
      <c r="N736" s="817"/>
      <c r="O736" s="817"/>
      <c r="P736" s="817"/>
      <c r="Q736" s="817"/>
    </row>
    <row r="737" spans="1:17" s="216" customFormat="1" ht="10.5" x14ac:dyDescent="0.25">
      <c r="A737" s="800" t="str">
        <f>case</f>
        <v>Case No. 2021-00183</v>
      </c>
      <c r="B737" s="800"/>
      <c r="C737" s="800"/>
      <c r="D737" s="800"/>
      <c r="E737" s="800"/>
      <c r="F737" s="800"/>
      <c r="G737" s="800"/>
      <c r="H737" s="800"/>
      <c r="I737" s="800"/>
      <c r="J737" s="800"/>
      <c r="K737" s="800"/>
      <c r="L737" s="800"/>
      <c r="M737" s="800"/>
      <c r="N737" s="800"/>
      <c r="O737" s="800"/>
      <c r="P737" s="800"/>
      <c r="Q737" s="800"/>
    </row>
    <row r="738" spans="1:17" s="216" customFormat="1" ht="10.5" x14ac:dyDescent="0.25">
      <c r="A738" s="815" t="s">
        <v>197</v>
      </c>
      <c r="B738" s="815"/>
      <c r="C738" s="815"/>
      <c r="D738" s="815"/>
      <c r="E738" s="815"/>
      <c r="F738" s="815"/>
      <c r="G738" s="815"/>
      <c r="H738" s="815"/>
      <c r="I738" s="815"/>
      <c r="J738" s="815"/>
      <c r="K738" s="815"/>
      <c r="L738" s="815"/>
      <c r="M738" s="815"/>
      <c r="N738" s="815"/>
      <c r="O738" s="815"/>
      <c r="P738" s="815"/>
      <c r="Q738" s="815"/>
    </row>
    <row r="739" spans="1:17" s="216" customFormat="1" ht="10.5" x14ac:dyDescent="0.25">
      <c r="A739" s="817" t="str">
        <f>TYDESC</f>
        <v>For the 12 Months Ended December 31, 2022</v>
      </c>
      <c r="B739" s="817"/>
      <c r="C739" s="817"/>
      <c r="D739" s="817"/>
      <c r="E739" s="817"/>
      <c r="F739" s="817"/>
      <c r="G739" s="817"/>
      <c r="H739" s="817"/>
      <c r="I739" s="817"/>
      <c r="J739" s="817"/>
      <c r="K739" s="817"/>
      <c r="L739" s="817"/>
      <c r="M739" s="817"/>
      <c r="N739" s="817"/>
      <c r="O739" s="817"/>
      <c r="P739" s="817"/>
      <c r="Q739" s="817"/>
    </row>
    <row r="740" spans="1:17" s="216" customFormat="1" ht="10.5" x14ac:dyDescent="0.25">
      <c r="A740" s="814" t="s">
        <v>39</v>
      </c>
      <c r="B740" s="814"/>
      <c r="C740" s="814"/>
      <c r="D740" s="814"/>
      <c r="E740" s="814"/>
      <c r="F740" s="814"/>
      <c r="G740" s="814"/>
      <c r="H740" s="814"/>
      <c r="I740" s="814"/>
      <c r="J740" s="814"/>
      <c r="K740" s="814"/>
      <c r="L740" s="814"/>
      <c r="M740" s="814"/>
      <c r="N740" s="814"/>
      <c r="O740" s="814"/>
      <c r="P740" s="814"/>
      <c r="Q740" s="814"/>
    </row>
    <row r="741" spans="1:17" s="216" customFormat="1" ht="10.5" x14ac:dyDescent="0.25">
      <c r="A741" s="575" t="str">
        <f>$A$52</f>
        <v>Data: __ Base Period _X_ Forecasted Period</v>
      </c>
      <c r="D741" s="267"/>
      <c r="F741" s="269"/>
      <c r="G741" s="418"/>
      <c r="H741" s="269"/>
      <c r="I741" s="272"/>
      <c r="J741" s="269"/>
      <c r="K741" s="269"/>
      <c r="L741" s="269"/>
      <c r="M741" s="269"/>
      <c r="N741" s="269"/>
      <c r="O741" s="269"/>
      <c r="P741" s="269"/>
    </row>
    <row r="742" spans="1:17" s="216" customFormat="1" ht="10.5" x14ac:dyDescent="0.25">
      <c r="A742" s="575" t="str">
        <f>$A$53</f>
        <v>Type of Filing: X Original _ Update _ Revised</v>
      </c>
      <c r="D742" s="267"/>
      <c r="F742" s="269"/>
      <c r="G742" s="418"/>
      <c r="H742" s="269"/>
      <c r="I742" s="272"/>
      <c r="J742" s="269"/>
      <c r="K742" s="269"/>
      <c r="L742" s="269"/>
      <c r="M742" s="269"/>
      <c r="N742" s="269"/>
      <c r="O742" s="269"/>
      <c r="P742" s="269"/>
      <c r="Q742" s="583" t="str">
        <f>$Q$53</f>
        <v>Schedule M-2.3</v>
      </c>
    </row>
    <row r="743" spans="1:17" s="216" customFormat="1" ht="10.5" x14ac:dyDescent="0.25">
      <c r="A743" s="575" t="str">
        <f>$A$54</f>
        <v>Work Paper Reference No(s):</v>
      </c>
      <c r="D743" s="267"/>
      <c r="F743" s="269"/>
      <c r="G743" s="418"/>
      <c r="H743" s="269"/>
      <c r="I743" s="272"/>
      <c r="J743" s="269"/>
      <c r="K743" s="269"/>
      <c r="L743" s="269"/>
      <c r="M743" s="269"/>
      <c r="N743" s="269"/>
      <c r="O743" s="269"/>
      <c r="P743" s="269"/>
      <c r="Q743" s="583" t="s">
        <v>424</v>
      </c>
    </row>
    <row r="744" spans="1:17" s="216" customFormat="1" ht="10.5" x14ac:dyDescent="0.25">
      <c r="A744" s="576" t="str">
        <f>$A$55</f>
        <v>12 Months Forecasted</v>
      </c>
      <c r="D744" s="267"/>
      <c r="F744" s="269"/>
      <c r="G744" s="418"/>
      <c r="H744" s="269"/>
      <c r="I744" s="272"/>
      <c r="J744" s="269"/>
      <c r="K744" s="269"/>
      <c r="L744" s="269"/>
      <c r="M744" s="269"/>
      <c r="N744" s="269"/>
      <c r="O744" s="269"/>
      <c r="P744" s="269"/>
      <c r="Q744" s="583" t="str">
        <f>Witness</f>
        <v>Witness:  Judith L. Siegler</v>
      </c>
    </row>
    <row r="745" spans="1:17" s="216" customFormat="1" ht="10.5" x14ac:dyDescent="0.25">
      <c r="A745" s="816" t="s">
        <v>291</v>
      </c>
      <c r="B745" s="816"/>
      <c r="C745" s="816"/>
      <c r="D745" s="816"/>
      <c r="E745" s="816"/>
      <c r="F745" s="816"/>
      <c r="G745" s="816"/>
      <c r="H745" s="816"/>
      <c r="I745" s="816"/>
      <c r="J745" s="816"/>
      <c r="K745" s="816"/>
      <c r="L745" s="816"/>
      <c r="M745" s="816"/>
      <c r="N745" s="816"/>
      <c r="O745" s="816"/>
      <c r="P745" s="816"/>
      <c r="Q745" s="816"/>
    </row>
    <row r="746" spans="1:17" s="216" customFormat="1" ht="10.5" x14ac:dyDescent="0.25">
      <c r="A746" s="219"/>
      <c r="B746" s="280"/>
      <c r="C746" s="280"/>
      <c r="D746" s="282"/>
      <c r="E746" s="280"/>
      <c r="F746" s="438"/>
      <c r="G746" s="439"/>
      <c r="H746" s="438"/>
      <c r="I746" s="440"/>
      <c r="J746" s="438"/>
      <c r="K746" s="438"/>
      <c r="L746" s="438"/>
      <c r="M746" s="438"/>
      <c r="N746" s="438"/>
      <c r="O746" s="438"/>
      <c r="P746" s="438"/>
      <c r="Q746" s="280"/>
    </row>
    <row r="747" spans="1:17" s="216" customFormat="1" ht="10.5" x14ac:dyDescent="0.25">
      <c r="A747" s="717" t="s">
        <v>1</v>
      </c>
      <c r="B747" s="717" t="s">
        <v>0</v>
      </c>
      <c r="C747" s="717" t="s">
        <v>41</v>
      </c>
      <c r="D747" s="721" t="s">
        <v>30</v>
      </c>
      <c r="E747" s="717"/>
      <c r="F747" s="584"/>
      <c r="G747" s="587"/>
      <c r="H747" s="584"/>
      <c r="I747" s="722"/>
      <c r="J747" s="584"/>
      <c r="K747" s="584"/>
      <c r="L747" s="584"/>
      <c r="M747" s="584"/>
      <c r="N747" s="584"/>
      <c r="O747" s="584"/>
      <c r="P747" s="584"/>
      <c r="Q747" s="723"/>
    </row>
    <row r="748" spans="1:17" s="216" customFormat="1" ht="10.5" x14ac:dyDescent="0.25">
      <c r="A748" s="263" t="s">
        <v>3</v>
      </c>
      <c r="B748" s="263" t="s">
        <v>40</v>
      </c>
      <c r="C748" s="263" t="s">
        <v>4</v>
      </c>
      <c r="D748" s="379" t="s">
        <v>48</v>
      </c>
      <c r="E748" s="380" t="str">
        <f>B!$D$11</f>
        <v>Jan-22</v>
      </c>
      <c r="F748" s="380" t="str">
        <f>B!$E$11</f>
        <v>Feb-22</v>
      </c>
      <c r="G748" s="380" t="str">
        <f>B!$F$11</f>
        <v>Mar-22</v>
      </c>
      <c r="H748" s="380" t="str">
        <f>B!$G$11</f>
        <v>Apr-22</v>
      </c>
      <c r="I748" s="380" t="str">
        <f>B!$H$11</f>
        <v>May-22</v>
      </c>
      <c r="J748" s="380" t="str">
        <f>B!$I$11</f>
        <v>Jun-22</v>
      </c>
      <c r="K748" s="380" t="str">
        <f>B!$J$11</f>
        <v>Jul-22</v>
      </c>
      <c r="L748" s="380" t="str">
        <f>B!$K$11</f>
        <v>Aug-22</v>
      </c>
      <c r="M748" s="380" t="str">
        <f>B!$L$11</f>
        <v>Sep-22</v>
      </c>
      <c r="N748" s="380" t="str">
        <f>B!$M$11</f>
        <v>Oct-22</v>
      </c>
      <c r="O748" s="380" t="str">
        <f>B!$N$11</f>
        <v>Nov-22</v>
      </c>
      <c r="P748" s="380" t="str">
        <f>B!$O$11</f>
        <v>Dec-22</v>
      </c>
      <c r="Q748" s="380" t="s">
        <v>9</v>
      </c>
    </row>
    <row r="749" spans="1:17" s="216" customFormat="1" ht="10.5" x14ac:dyDescent="0.25">
      <c r="A749" s="717"/>
      <c r="B749" s="719" t="s">
        <v>42</v>
      </c>
      <c r="C749" s="719" t="s">
        <v>43</v>
      </c>
      <c r="D749" s="382" t="s">
        <v>45</v>
      </c>
      <c r="E749" s="383" t="s">
        <v>46</v>
      </c>
      <c r="F749" s="383" t="s">
        <v>49</v>
      </c>
      <c r="G749" s="383" t="s">
        <v>50</v>
      </c>
      <c r="H749" s="383" t="s">
        <v>51</v>
      </c>
      <c r="I749" s="383" t="s">
        <v>52</v>
      </c>
      <c r="J749" s="384" t="s">
        <v>53</v>
      </c>
      <c r="K749" s="384" t="s">
        <v>54</v>
      </c>
      <c r="L749" s="384" t="s">
        <v>55</v>
      </c>
      <c r="M749" s="384" t="s">
        <v>56</v>
      </c>
      <c r="N749" s="384" t="s">
        <v>57</v>
      </c>
      <c r="O749" s="384" t="s">
        <v>58</v>
      </c>
      <c r="P749" s="384" t="s">
        <v>59</v>
      </c>
      <c r="Q749" s="384" t="s">
        <v>200</v>
      </c>
    </row>
    <row r="750" spans="1:17" s="216" customFormat="1" ht="10.5" x14ac:dyDescent="0.25">
      <c r="A750" s="242"/>
      <c r="D750" s="267"/>
      <c r="E750" s="723"/>
      <c r="F750" s="588"/>
      <c r="G750" s="585"/>
      <c r="H750" s="588"/>
      <c r="I750" s="586"/>
      <c r="J750" s="588"/>
      <c r="K750" s="588"/>
      <c r="L750" s="588"/>
      <c r="M750" s="588"/>
      <c r="N750" s="588"/>
      <c r="O750" s="588"/>
      <c r="P750" s="588"/>
      <c r="Q750" s="723"/>
    </row>
    <row r="751" spans="1:17" s="216" customFormat="1" x14ac:dyDescent="0.2">
      <c r="A751" s="242">
        <v>1</v>
      </c>
      <c r="B751" s="216" t="str">
        <f>B188</f>
        <v xml:space="preserve">IS </v>
      </c>
      <c r="C751" s="216" t="str">
        <f>C188</f>
        <v>Interruptible Service - Industrial</v>
      </c>
      <c r="D751" s="267"/>
      <c r="F751" s="269"/>
      <c r="G751" s="418"/>
      <c r="H751" s="269"/>
      <c r="I751" s="272"/>
      <c r="J751" s="269"/>
      <c r="K751" s="269"/>
      <c r="L751" s="269"/>
      <c r="M751" s="269"/>
      <c r="N751" s="269"/>
      <c r="O751" s="269"/>
      <c r="P751" s="269"/>
    </row>
    <row r="752" spans="1:17" s="216" customFormat="1" x14ac:dyDescent="0.2">
      <c r="A752" s="242"/>
      <c r="D752" s="267"/>
      <c r="F752" s="269"/>
      <c r="G752" s="418"/>
      <c r="H752" s="269"/>
      <c r="I752" s="272"/>
      <c r="J752" s="269"/>
      <c r="K752" s="269"/>
      <c r="L752" s="269"/>
      <c r="M752" s="269"/>
      <c r="N752" s="269"/>
      <c r="O752" s="269"/>
      <c r="P752" s="269"/>
    </row>
    <row r="753" spans="1:17" s="216" customFormat="1" ht="10.5" x14ac:dyDescent="0.25">
      <c r="A753" s="242">
        <v>2</v>
      </c>
      <c r="C753" s="245" t="s">
        <v>112</v>
      </c>
      <c r="D753" s="267"/>
      <c r="F753" s="269"/>
      <c r="G753" s="418"/>
      <c r="H753" s="269"/>
      <c r="I753" s="272"/>
      <c r="J753" s="269"/>
      <c r="K753" s="269"/>
      <c r="L753" s="269"/>
      <c r="M753" s="269"/>
      <c r="N753" s="269"/>
      <c r="O753" s="269"/>
      <c r="P753" s="269"/>
    </row>
    <row r="754" spans="1:17" s="216" customFormat="1" x14ac:dyDescent="0.2">
      <c r="A754" s="242"/>
      <c r="D754" s="267"/>
      <c r="F754" s="269"/>
      <c r="G754" s="418"/>
      <c r="H754" s="269"/>
      <c r="I754" s="272"/>
      <c r="J754" s="269"/>
      <c r="K754" s="269"/>
      <c r="L754" s="269"/>
      <c r="M754" s="269"/>
      <c r="N754" s="269"/>
      <c r="O754" s="269"/>
      <c r="P754" s="269"/>
    </row>
    <row r="755" spans="1:17" s="216" customFormat="1" x14ac:dyDescent="0.2">
      <c r="A755" s="242">
        <v>3</v>
      </c>
      <c r="C755" s="216" t="s">
        <v>199</v>
      </c>
      <c r="D755" s="267"/>
      <c r="E755" s="267">
        <f>B!D93</f>
        <v>0</v>
      </c>
      <c r="F755" s="267">
        <f>B!E93</f>
        <v>0</v>
      </c>
      <c r="G755" s="267">
        <f>B!F93</f>
        <v>0</v>
      </c>
      <c r="H755" s="267">
        <f>B!G93</f>
        <v>0</v>
      </c>
      <c r="I755" s="267">
        <f>B!H93</f>
        <v>0</v>
      </c>
      <c r="J755" s="267">
        <f>B!I93</f>
        <v>0</v>
      </c>
      <c r="K755" s="267">
        <f>B!J93</f>
        <v>0</v>
      </c>
      <c r="L755" s="267">
        <f>B!K93</f>
        <v>0</v>
      </c>
      <c r="M755" s="267">
        <f>B!L93</f>
        <v>0</v>
      </c>
      <c r="N755" s="267">
        <f>B!M93</f>
        <v>0</v>
      </c>
      <c r="O755" s="267">
        <f>B!N93</f>
        <v>0</v>
      </c>
      <c r="P755" s="267">
        <f>B!O93</f>
        <v>0</v>
      </c>
      <c r="Q755" s="267">
        <f>SUM(E755:P755)</f>
        <v>0</v>
      </c>
    </row>
    <row r="756" spans="1:17" s="216" customFormat="1" x14ac:dyDescent="0.2">
      <c r="A756" s="242">
        <v>4</v>
      </c>
      <c r="C756" s="216" t="s">
        <v>207</v>
      </c>
      <c r="D756" s="608">
        <f>Input!V33</f>
        <v>4151</v>
      </c>
      <c r="E756" s="386">
        <f t="shared" ref="E756:P756" si="272">ROUND(E755*$D$756,2)</f>
        <v>0</v>
      </c>
      <c r="F756" s="386">
        <f t="shared" si="272"/>
        <v>0</v>
      </c>
      <c r="G756" s="386">
        <f t="shared" si="272"/>
        <v>0</v>
      </c>
      <c r="H756" s="386">
        <f t="shared" si="272"/>
        <v>0</v>
      </c>
      <c r="I756" s="386">
        <f t="shared" si="272"/>
        <v>0</v>
      </c>
      <c r="J756" s="386">
        <f t="shared" si="272"/>
        <v>0</v>
      </c>
      <c r="K756" s="386">
        <f t="shared" si="272"/>
        <v>0</v>
      </c>
      <c r="L756" s="386">
        <f t="shared" si="272"/>
        <v>0</v>
      </c>
      <c r="M756" s="386">
        <f t="shared" si="272"/>
        <v>0</v>
      </c>
      <c r="N756" s="386">
        <f t="shared" si="272"/>
        <v>0</v>
      </c>
      <c r="O756" s="386">
        <f t="shared" si="272"/>
        <v>0</v>
      </c>
      <c r="P756" s="386">
        <f t="shared" si="272"/>
        <v>0</v>
      </c>
      <c r="Q756" s="386">
        <f>SUM(E756:P756)</f>
        <v>0</v>
      </c>
    </row>
    <row r="757" spans="1:17" s="216" customFormat="1" x14ac:dyDescent="0.2">
      <c r="A757" s="242">
        <f>A756+1</f>
        <v>5</v>
      </c>
      <c r="C757" s="216" t="s">
        <v>208</v>
      </c>
      <c r="D757" s="608">
        <f>Input!X33</f>
        <v>0</v>
      </c>
      <c r="E757" s="386">
        <f t="shared" ref="E757:P757" si="273">ROUND(E755*$D$757,2)</f>
        <v>0</v>
      </c>
      <c r="F757" s="386">
        <f t="shared" si="273"/>
        <v>0</v>
      </c>
      <c r="G757" s="386">
        <f t="shared" si="273"/>
        <v>0</v>
      </c>
      <c r="H757" s="386">
        <f t="shared" si="273"/>
        <v>0</v>
      </c>
      <c r="I757" s="386">
        <f t="shared" si="273"/>
        <v>0</v>
      </c>
      <c r="J757" s="386">
        <f t="shared" si="273"/>
        <v>0</v>
      </c>
      <c r="K757" s="386">
        <f t="shared" si="273"/>
        <v>0</v>
      </c>
      <c r="L757" s="386">
        <f t="shared" si="273"/>
        <v>0</v>
      </c>
      <c r="M757" s="386">
        <f t="shared" si="273"/>
        <v>0</v>
      </c>
      <c r="N757" s="386">
        <f t="shared" si="273"/>
        <v>0</v>
      </c>
      <c r="O757" s="386">
        <f t="shared" si="273"/>
        <v>0</v>
      </c>
      <c r="P757" s="386">
        <f t="shared" si="273"/>
        <v>0</v>
      </c>
      <c r="Q757" s="386">
        <f>SUM(E757:P757)</f>
        <v>0</v>
      </c>
    </row>
    <row r="758" spans="1:17" s="216" customFormat="1" x14ac:dyDescent="0.2">
      <c r="A758" s="242"/>
      <c r="D758" s="447"/>
      <c r="E758" s="269"/>
      <c r="F758" s="269"/>
      <c r="G758" s="269"/>
      <c r="H758" s="269"/>
      <c r="I758" s="269"/>
      <c r="J758" s="269"/>
      <c r="K758" s="269"/>
      <c r="L758" s="269"/>
      <c r="M758" s="269"/>
      <c r="N758" s="269"/>
      <c r="O758" s="269"/>
      <c r="P758" s="269"/>
      <c r="Q758" s="269"/>
    </row>
    <row r="759" spans="1:17" s="216" customFormat="1" x14ac:dyDescent="0.2">
      <c r="A759" s="242">
        <f>A757+1</f>
        <v>6</v>
      </c>
      <c r="C759" s="267" t="s">
        <v>206</v>
      </c>
      <c r="D759" s="267"/>
      <c r="E759" s="272"/>
      <c r="F759" s="272"/>
      <c r="G759" s="272"/>
      <c r="H759" s="272"/>
      <c r="I759" s="272"/>
      <c r="J759" s="272"/>
      <c r="K759" s="272"/>
      <c r="L759" s="272"/>
      <c r="M759" s="272"/>
      <c r="N759" s="272"/>
      <c r="O759" s="272"/>
      <c r="P759" s="272"/>
      <c r="Q759" s="272"/>
    </row>
    <row r="760" spans="1:17" s="216" customFormat="1" x14ac:dyDescent="0.2">
      <c r="A760" s="242">
        <f>A759+1</f>
        <v>7</v>
      </c>
      <c r="C760" s="267" t="str">
        <f>'C'!B133</f>
        <v xml:space="preserve">    First 30,000 Mcf</v>
      </c>
      <c r="D760" s="267"/>
      <c r="E760" s="272">
        <f>'C'!D133</f>
        <v>0</v>
      </c>
      <c r="F760" s="272">
        <f>'C'!E133</f>
        <v>0</v>
      </c>
      <c r="G760" s="272">
        <f>'C'!F133</f>
        <v>0</v>
      </c>
      <c r="H760" s="272">
        <f>'C'!G133</f>
        <v>0</v>
      </c>
      <c r="I760" s="272">
        <f>'C'!H133</f>
        <v>0</v>
      </c>
      <c r="J760" s="272">
        <f>'C'!I133</f>
        <v>0</v>
      </c>
      <c r="K760" s="272">
        <f>'C'!J133</f>
        <v>0</v>
      </c>
      <c r="L760" s="272">
        <f>'C'!K133</f>
        <v>0</v>
      </c>
      <c r="M760" s="272">
        <f>'C'!L133</f>
        <v>0</v>
      </c>
      <c r="N760" s="272">
        <f>'C'!M133</f>
        <v>0</v>
      </c>
      <c r="O760" s="272">
        <f>'C'!N133</f>
        <v>0</v>
      </c>
      <c r="P760" s="272">
        <f>'C'!O133</f>
        <v>0</v>
      </c>
      <c r="Q760" s="272">
        <f>SUM(E760:P760)</f>
        <v>0</v>
      </c>
    </row>
    <row r="761" spans="1:17" s="216" customFormat="1" x14ac:dyDescent="0.2">
      <c r="A761" s="242">
        <f>A760+1</f>
        <v>8</v>
      </c>
      <c r="C761" s="267" t="str">
        <f>'C'!B135</f>
        <v xml:space="preserve">    Over 100,000 Mcf</v>
      </c>
      <c r="D761" s="267"/>
      <c r="E761" s="448">
        <f>'C'!D135</f>
        <v>0</v>
      </c>
      <c r="F761" s="448">
        <f>'C'!E135</f>
        <v>0</v>
      </c>
      <c r="G761" s="448">
        <f>'C'!F135</f>
        <v>0</v>
      </c>
      <c r="H761" s="448">
        <f>'C'!G135</f>
        <v>0</v>
      </c>
      <c r="I761" s="448">
        <f>'C'!H135</f>
        <v>0</v>
      </c>
      <c r="J761" s="448">
        <f>'C'!I135</f>
        <v>0</v>
      </c>
      <c r="K761" s="448">
        <f>'C'!J135</f>
        <v>0</v>
      </c>
      <c r="L761" s="448">
        <f>'C'!K135</f>
        <v>0</v>
      </c>
      <c r="M761" s="448">
        <f>'C'!L135</f>
        <v>0</v>
      </c>
      <c r="N761" s="448">
        <f>'C'!M135</f>
        <v>0</v>
      </c>
      <c r="O761" s="448">
        <f>'C'!N135</f>
        <v>0</v>
      </c>
      <c r="P761" s="448">
        <f>'C'!O135</f>
        <v>0</v>
      </c>
      <c r="Q761" s="448">
        <f>SUM(E761:P761)</f>
        <v>0</v>
      </c>
    </row>
    <row r="762" spans="1:17" s="216" customFormat="1" x14ac:dyDescent="0.2">
      <c r="A762" s="242"/>
      <c r="C762" s="267"/>
      <c r="D762" s="267"/>
      <c r="E762" s="272">
        <f t="shared" ref="E762:P762" si="274">SUM(E760:E761)</f>
        <v>0</v>
      </c>
      <c r="F762" s="272">
        <f t="shared" si="274"/>
        <v>0</v>
      </c>
      <c r="G762" s="272">
        <f t="shared" si="274"/>
        <v>0</v>
      </c>
      <c r="H762" s="272">
        <f t="shared" si="274"/>
        <v>0</v>
      </c>
      <c r="I762" s="272">
        <f t="shared" si="274"/>
        <v>0</v>
      </c>
      <c r="J762" s="272">
        <f t="shared" si="274"/>
        <v>0</v>
      </c>
      <c r="K762" s="272">
        <f t="shared" si="274"/>
        <v>0</v>
      </c>
      <c r="L762" s="272">
        <f t="shared" si="274"/>
        <v>0</v>
      </c>
      <c r="M762" s="272">
        <f t="shared" si="274"/>
        <v>0</v>
      </c>
      <c r="N762" s="272">
        <f t="shared" si="274"/>
        <v>0</v>
      </c>
      <c r="O762" s="272">
        <f t="shared" si="274"/>
        <v>0</v>
      </c>
      <c r="P762" s="272">
        <f t="shared" si="274"/>
        <v>0</v>
      </c>
      <c r="Q762" s="272">
        <f>SUM(E762:P762)</f>
        <v>0</v>
      </c>
    </row>
    <row r="763" spans="1:17" s="216" customFormat="1" x14ac:dyDescent="0.2">
      <c r="A763" s="242">
        <f>A761+1</f>
        <v>9</v>
      </c>
      <c r="C763" s="216" t="s">
        <v>204</v>
      </c>
      <c r="D763" s="591"/>
      <c r="E763" s="269"/>
      <c r="F763" s="269"/>
      <c r="G763" s="269"/>
      <c r="H763" s="269"/>
      <c r="I763" s="269"/>
      <c r="J763" s="269"/>
      <c r="K763" s="269"/>
      <c r="L763" s="269"/>
      <c r="M763" s="269"/>
      <c r="N763" s="269"/>
      <c r="O763" s="269"/>
      <c r="P763" s="269"/>
      <c r="Q763" s="269"/>
    </row>
    <row r="764" spans="1:17" s="216" customFormat="1" x14ac:dyDescent="0.2">
      <c r="A764" s="242">
        <f>A763+1</f>
        <v>10</v>
      </c>
      <c r="C764" s="267" t="str">
        <f>C760</f>
        <v xml:space="preserve">    First 30,000 Mcf</v>
      </c>
      <c r="D764" s="609">
        <f>Input!Q33</f>
        <v>0.77010000000000001</v>
      </c>
      <c r="E764" s="386">
        <f t="shared" ref="E764:P764" si="275">ROUND(E760*$D$764,2)</f>
        <v>0</v>
      </c>
      <c r="F764" s="386">
        <f t="shared" si="275"/>
        <v>0</v>
      </c>
      <c r="G764" s="386">
        <f t="shared" si="275"/>
        <v>0</v>
      </c>
      <c r="H764" s="386">
        <f t="shared" si="275"/>
        <v>0</v>
      </c>
      <c r="I764" s="386">
        <f t="shared" si="275"/>
        <v>0</v>
      </c>
      <c r="J764" s="386">
        <f t="shared" si="275"/>
        <v>0</v>
      </c>
      <c r="K764" s="386">
        <f t="shared" si="275"/>
        <v>0</v>
      </c>
      <c r="L764" s="386">
        <f t="shared" si="275"/>
        <v>0</v>
      </c>
      <c r="M764" s="386">
        <f t="shared" si="275"/>
        <v>0</v>
      </c>
      <c r="N764" s="386">
        <f t="shared" si="275"/>
        <v>0</v>
      </c>
      <c r="O764" s="386">
        <f t="shared" si="275"/>
        <v>0</v>
      </c>
      <c r="P764" s="386">
        <f t="shared" si="275"/>
        <v>0</v>
      </c>
      <c r="Q764" s="386">
        <f t="shared" ref="Q764:Q768" si="276">SUM(E764:P764)</f>
        <v>0</v>
      </c>
    </row>
    <row r="765" spans="1:17" s="216" customFormat="1" x14ac:dyDescent="0.2">
      <c r="A765" s="242">
        <f>A764+1</f>
        <v>11</v>
      </c>
      <c r="C765" s="267" t="str">
        <f>C761</f>
        <v xml:space="preserve">    Over 100,000 Mcf</v>
      </c>
      <c r="D765" s="609">
        <f>Input!R33</f>
        <v>0.45789999999999997</v>
      </c>
      <c r="E765" s="255">
        <f t="shared" ref="E765:P765" si="277">ROUND(E761*$D$765,2)</f>
        <v>0</v>
      </c>
      <c r="F765" s="255">
        <f t="shared" si="277"/>
        <v>0</v>
      </c>
      <c r="G765" s="255">
        <f t="shared" si="277"/>
        <v>0</v>
      </c>
      <c r="H765" s="255">
        <f t="shared" si="277"/>
        <v>0</v>
      </c>
      <c r="I765" s="255">
        <f t="shared" si="277"/>
        <v>0</v>
      </c>
      <c r="J765" s="255">
        <f t="shared" si="277"/>
        <v>0</v>
      </c>
      <c r="K765" s="255">
        <f t="shared" si="277"/>
        <v>0</v>
      </c>
      <c r="L765" s="255">
        <f t="shared" si="277"/>
        <v>0</v>
      </c>
      <c r="M765" s="255">
        <f t="shared" si="277"/>
        <v>0</v>
      </c>
      <c r="N765" s="255">
        <f t="shared" si="277"/>
        <v>0</v>
      </c>
      <c r="O765" s="255">
        <f t="shared" si="277"/>
        <v>0</v>
      </c>
      <c r="P765" s="255">
        <f t="shared" si="277"/>
        <v>0</v>
      </c>
      <c r="Q765" s="255">
        <f t="shared" si="276"/>
        <v>0</v>
      </c>
    </row>
    <row r="766" spans="1:17" s="216" customFormat="1" ht="9.65" customHeight="1" x14ac:dyDescent="0.2">
      <c r="A766" s="242"/>
      <c r="C766" s="267"/>
      <c r="D766" s="609"/>
      <c r="E766" s="386">
        <f t="shared" ref="E766:P766" si="278">SUM(E764:E765)</f>
        <v>0</v>
      </c>
      <c r="F766" s="386">
        <f t="shared" si="278"/>
        <v>0</v>
      </c>
      <c r="G766" s="386">
        <f t="shared" si="278"/>
        <v>0</v>
      </c>
      <c r="H766" s="386">
        <f t="shared" si="278"/>
        <v>0</v>
      </c>
      <c r="I766" s="386">
        <f t="shared" si="278"/>
        <v>0</v>
      </c>
      <c r="J766" s="386">
        <f t="shared" si="278"/>
        <v>0</v>
      </c>
      <c r="K766" s="386">
        <f t="shared" si="278"/>
        <v>0</v>
      </c>
      <c r="L766" s="386">
        <f t="shared" si="278"/>
        <v>0</v>
      </c>
      <c r="M766" s="386">
        <f t="shared" si="278"/>
        <v>0</v>
      </c>
      <c r="N766" s="386">
        <f t="shared" si="278"/>
        <v>0</v>
      </c>
      <c r="O766" s="386">
        <f t="shared" si="278"/>
        <v>0</v>
      </c>
      <c r="P766" s="386">
        <f t="shared" si="278"/>
        <v>0</v>
      </c>
      <c r="Q766" s="386">
        <f t="shared" si="276"/>
        <v>0</v>
      </c>
    </row>
    <row r="767" spans="1:17" s="216" customFormat="1" x14ac:dyDescent="0.2">
      <c r="A767" s="242">
        <f>A765+1</f>
        <v>12</v>
      </c>
      <c r="C767" s="213" t="s">
        <v>529</v>
      </c>
      <c r="D767" s="609">
        <v>0</v>
      </c>
      <c r="E767" s="431">
        <f t="shared" ref="E767:P767" si="279">ROUND(E762*$D$767,2)</f>
        <v>0</v>
      </c>
      <c r="F767" s="431">
        <f t="shared" si="279"/>
        <v>0</v>
      </c>
      <c r="G767" s="431">
        <f t="shared" si="279"/>
        <v>0</v>
      </c>
      <c r="H767" s="431">
        <f t="shared" si="279"/>
        <v>0</v>
      </c>
      <c r="I767" s="431">
        <f t="shared" si="279"/>
        <v>0</v>
      </c>
      <c r="J767" s="431">
        <f t="shared" si="279"/>
        <v>0</v>
      </c>
      <c r="K767" s="431">
        <f t="shared" si="279"/>
        <v>0</v>
      </c>
      <c r="L767" s="431">
        <f t="shared" si="279"/>
        <v>0</v>
      </c>
      <c r="M767" s="431">
        <f t="shared" si="279"/>
        <v>0</v>
      </c>
      <c r="N767" s="431">
        <f t="shared" si="279"/>
        <v>0</v>
      </c>
      <c r="O767" s="431">
        <f t="shared" si="279"/>
        <v>0</v>
      </c>
      <c r="P767" s="431">
        <f t="shared" si="279"/>
        <v>0</v>
      </c>
      <c r="Q767" s="431">
        <f t="shared" si="276"/>
        <v>0</v>
      </c>
    </row>
    <row r="768" spans="1:17" s="216" customFormat="1" x14ac:dyDescent="0.2">
      <c r="A768" s="242">
        <f>A767+1</f>
        <v>13</v>
      </c>
      <c r="C768" s="216" t="s">
        <v>201</v>
      </c>
      <c r="D768" s="267"/>
      <c r="E768" s="386">
        <f t="shared" ref="E768:P768" si="280">E756+E757+E766+E767</f>
        <v>0</v>
      </c>
      <c r="F768" s="386">
        <f t="shared" si="280"/>
        <v>0</v>
      </c>
      <c r="G768" s="386">
        <f t="shared" si="280"/>
        <v>0</v>
      </c>
      <c r="H768" s="386">
        <f t="shared" si="280"/>
        <v>0</v>
      </c>
      <c r="I768" s="386">
        <f t="shared" si="280"/>
        <v>0</v>
      </c>
      <c r="J768" s="386">
        <f t="shared" si="280"/>
        <v>0</v>
      </c>
      <c r="K768" s="386">
        <f t="shared" si="280"/>
        <v>0</v>
      </c>
      <c r="L768" s="386">
        <f t="shared" si="280"/>
        <v>0</v>
      </c>
      <c r="M768" s="386">
        <f t="shared" si="280"/>
        <v>0</v>
      </c>
      <c r="N768" s="386">
        <f t="shared" si="280"/>
        <v>0</v>
      </c>
      <c r="O768" s="386">
        <f t="shared" si="280"/>
        <v>0</v>
      </c>
      <c r="P768" s="386">
        <f t="shared" si="280"/>
        <v>0</v>
      </c>
      <c r="Q768" s="386">
        <f t="shared" si="276"/>
        <v>0</v>
      </c>
    </row>
    <row r="769" spans="1:17" s="216" customFormat="1" x14ac:dyDescent="0.2">
      <c r="A769" s="242"/>
      <c r="D769" s="267"/>
      <c r="F769" s="269"/>
      <c r="G769" s="418"/>
      <c r="H769" s="269"/>
      <c r="I769" s="272"/>
      <c r="J769" s="269"/>
      <c r="K769" s="269"/>
      <c r="L769" s="269"/>
      <c r="M769" s="269"/>
      <c r="N769" s="269"/>
      <c r="O769" s="269"/>
      <c r="P769" s="269"/>
    </row>
    <row r="770" spans="1:17" s="216" customFormat="1" x14ac:dyDescent="0.2">
      <c r="A770" s="242">
        <f>A768+1</f>
        <v>14</v>
      </c>
      <c r="C770" s="216" t="s">
        <v>205</v>
      </c>
      <c r="D770" s="609">
        <f>EGC</f>
        <v>4.3869999999999996</v>
      </c>
      <c r="E770" s="386">
        <f t="shared" ref="E770:P770" si="281">ROUND(E760*$D$770,2)</f>
        <v>0</v>
      </c>
      <c r="F770" s="386">
        <f t="shared" si="281"/>
        <v>0</v>
      </c>
      <c r="G770" s="386">
        <f t="shared" si="281"/>
        <v>0</v>
      </c>
      <c r="H770" s="386">
        <f t="shared" si="281"/>
        <v>0</v>
      </c>
      <c r="I770" s="386">
        <f t="shared" si="281"/>
        <v>0</v>
      </c>
      <c r="J770" s="386">
        <f t="shared" si="281"/>
        <v>0</v>
      </c>
      <c r="K770" s="386">
        <f t="shared" si="281"/>
        <v>0</v>
      </c>
      <c r="L770" s="386">
        <f t="shared" si="281"/>
        <v>0</v>
      </c>
      <c r="M770" s="386">
        <f t="shared" si="281"/>
        <v>0</v>
      </c>
      <c r="N770" s="386">
        <f t="shared" si="281"/>
        <v>0</v>
      </c>
      <c r="O770" s="386">
        <f t="shared" si="281"/>
        <v>0</v>
      </c>
      <c r="P770" s="386">
        <f t="shared" si="281"/>
        <v>0</v>
      </c>
      <c r="Q770" s="386">
        <f>SUM(E770:P770)</f>
        <v>0</v>
      </c>
    </row>
    <row r="771" spans="1:17" s="216" customFormat="1" x14ac:dyDescent="0.2">
      <c r="A771" s="242"/>
      <c r="D771" s="267"/>
      <c r="F771" s="269"/>
      <c r="G771" s="418"/>
      <c r="H771" s="269"/>
      <c r="I771" s="272"/>
      <c r="J771" s="269"/>
      <c r="K771" s="269"/>
      <c r="L771" s="269"/>
      <c r="M771" s="269"/>
      <c r="N771" s="269"/>
      <c r="O771" s="269"/>
      <c r="P771" s="269"/>
    </row>
    <row r="772" spans="1:17" s="216" customFormat="1" x14ac:dyDescent="0.2">
      <c r="A772" s="577">
        <f>A770+1</f>
        <v>15</v>
      </c>
      <c r="B772" s="402"/>
      <c r="C772" s="412" t="s">
        <v>203</v>
      </c>
      <c r="D772" s="412"/>
      <c r="E772" s="406">
        <f t="shared" ref="E772:P772" si="282">E768+E770</f>
        <v>0</v>
      </c>
      <c r="F772" s="406">
        <f t="shared" si="282"/>
        <v>0</v>
      </c>
      <c r="G772" s="406">
        <f t="shared" si="282"/>
        <v>0</v>
      </c>
      <c r="H772" s="406">
        <f t="shared" si="282"/>
        <v>0</v>
      </c>
      <c r="I772" s="406">
        <f t="shared" si="282"/>
        <v>0</v>
      </c>
      <c r="J772" s="406">
        <f t="shared" si="282"/>
        <v>0</v>
      </c>
      <c r="K772" s="406">
        <f t="shared" si="282"/>
        <v>0</v>
      </c>
      <c r="L772" s="406">
        <f t="shared" si="282"/>
        <v>0</v>
      </c>
      <c r="M772" s="406">
        <f t="shared" si="282"/>
        <v>0</v>
      </c>
      <c r="N772" s="406">
        <f t="shared" si="282"/>
        <v>0</v>
      </c>
      <c r="O772" s="406">
        <f t="shared" si="282"/>
        <v>0</v>
      </c>
      <c r="P772" s="406">
        <f t="shared" si="282"/>
        <v>0</v>
      </c>
      <c r="Q772" s="406">
        <f>SUM(E772:P772)</f>
        <v>0</v>
      </c>
    </row>
    <row r="773" spans="1:17" s="216" customFormat="1" x14ac:dyDescent="0.2">
      <c r="A773" s="242"/>
      <c r="D773" s="267"/>
      <c r="F773" s="269"/>
      <c r="G773" s="418"/>
      <c r="H773" s="269"/>
      <c r="I773" s="272"/>
      <c r="J773" s="269"/>
      <c r="K773" s="269"/>
      <c r="L773" s="269"/>
      <c r="M773" s="269"/>
      <c r="N773" s="269"/>
      <c r="O773" s="269"/>
      <c r="P773" s="269"/>
    </row>
    <row r="774" spans="1:17" s="216" customFormat="1" x14ac:dyDescent="0.2">
      <c r="A774" s="242">
        <f>A772+1</f>
        <v>16</v>
      </c>
      <c r="C774" s="267" t="s">
        <v>193</v>
      </c>
      <c r="D774" s="267"/>
      <c r="E774" s="430"/>
      <c r="F774" s="430"/>
      <c r="G774" s="430"/>
      <c r="H774" s="430"/>
      <c r="I774" s="430"/>
      <c r="J774" s="430"/>
      <c r="K774" s="430"/>
      <c r="L774" s="430"/>
      <c r="M774" s="430"/>
      <c r="N774" s="430"/>
      <c r="O774" s="430"/>
      <c r="P774" s="430"/>
      <c r="Q774" s="430"/>
    </row>
    <row r="775" spans="1:17" s="216" customFormat="1" x14ac:dyDescent="0.2">
      <c r="A775" s="242">
        <f>A774+1</f>
        <v>17</v>
      </c>
      <c r="C775" s="267" t="s">
        <v>211</v>
      </c>
      <c r="D775" s="609">
        <f>Input!AB33</f>
        <v>1.1900000000000001E-2</v>
      </c>
      <c r="E775" s="386">
        <f t="shared" ref="E775:P775" si="283">ROUND(E762*$D$775,2)</f>
        <v>0</v>
      </c>
      <c r="F775" s="386">
        <f t="shared" si="283"/>
        <v>0</v>
      </c>
      <c r="G775" s="386">
        <f t="shared" si="283"/>
        <v>0</v>
      </c>
      <c r="H775" s="386">
        <f t="shared" si="283"/>
        <v>0</v>
      </c>
      <c r="I775" s="386">
        <f t="shared" si="283"/>
        <v>0</v>
      </c>
      <c r="J775" s="386">
        <f t="shared" si="283"/>
        <v>0</v>
      </c>
      <c r="K775" s="386">
        <f t="shared" si="283"/>
        <v>0</v>
      </c>
      <c r="L775" s="386">
        <f t="shared" si="283"/>
        <v>0</v>
      </c>
      <c r="M775" s="386">
        <f t="shared" si="283"/>
        <v>0</v>
      </c>
      <c r="N775" s="386">
        <f t="shared" si="283"/>
        <v>0</v>
      </c>
      <c r="O775" s="386">
        <f t="shared" si="283"/>
        <v>0</v>
      </c>
      <c r="P775" s="386">
        <f t="shared" si="283"/>
        <v>0</v>
      </c>
      <c r="Q775" s="386">
        <f>SUM(E775:P775)</f>
        <v>0</v>
      </c>
    </row>
    <row r="776" spans="1:17" s="216" customFormat="1" x14ac:dyDescent="0.2">
      <c r="A776" s="242">
        <f t="shared" ref="A776:A777" si="284">A775+1</f>
        <v>18</v>
      </c>
      <c r="B776" s="213"/>
      <c r="C776" s="216" t="s">
        <v>140</v>
      </c>
      <c r="D776" s="609">
        <f>Input!$AA$34</f>
        <v>1.44E-2</v>
      </c>
      <c r="E776" s="390">
        <f>ROUND($D$776*E762,2)</f>
        <v>0</v>
      </c>
      <c r="F776" s="390">
        <f t="shared" ref="F776:P776" si="285">ROUND($D$776*F762,2)</f>
        <v>0</v>
      </c>
      <c r="G776" s="390">
        <f t="shared" si="285"/>
        <v>0</v>
      </c>
      <c r="H776" s="390">
        <f t="shared" si="285"/>
        <v>0</v>
      </c>
      <c r="I776" s="390">
        <f t="shared" si="285"/>
        <v>0</v>
      </c>
      <c r="J776" s="390">
        <f t="shared" si="285"/>
        <v>0</v>
      </c>
      <c r="K776" s="390">
        <f t="shared" si="285"/>
        <v>0</v>
      </c>
      <c r="L776" s="390">
        <f t="shared" si="285"/>
        <v>0</v>
      </c>
      <c r="M776" s="390">
        <f t="shared" si="285"/>
        <v>0</v>
      </c>
      <c r="N776" s="390">
        <f t="shared" si="285"/>
        <v>0</v>
      </c>
      <c r="O776" s="390">
        <f t="shared" si="285"/>
        <v>0</v>
      </c>
      <c r="P776" s="390">
        <f t="shared" si="285"/>
        <v>0</v>
      </c>
      <c r="Q776" s="390">
        <f>SUM(E776:P776)</f>
        <v>0</v>
      </c>
    </row>
    <row r="777" spans="1:17" s="216" customFormat="1" x14ac:dyDescent="0.2">
      <c r="A777" s="242">
        <f t="shared" si="284"/>
        <v>19</v>
      </c>
      <c r="C777" s="267" t="s">
        <v>558</v>
      </c>
      <c r="D777" s="609"/>
      <c r="E777" s="386">
        <f>SUM(E775:E776)</f>
        <v>0</v>
      </c>
      <c r="F777" s="386">
        <f t="shared" ref="F777" si="286">SUM(F775:F776)</f>
        <v>0</v>
      </c>
      <c r="G777" s="386">
        <f t="shared" ref="G777" si="287">SUM(G775:G776)</f>
        <v>0</v>
      </c>
      <c r="H777" s="386">
        <f t="shared" ref="H777" si="288">SUM(H775:H776)</f>
        <v>0</v>
      </c>
      <c r="I777" s="386">
        <f t="shared" ref="I777" si="289">SUM(I775:I776)</f>
        <v>0</v>
      </c>
      <c r="J777" s="386">
        <f t="shared" ref="J777" si="290">SUM(J775:J776)</f>
        <v>0</v>
      </c>
      <c r="K777" s="386">
        <f t="shared" ref="K777" si="291">SUM(K775:K776)</f>
        <v>0</v>
      </c>
      <c r="L777" s="386">
        <f t="shared" ref="L777" si="292">SUM(L775:L776)</f>
        <v>0</v>
      </c>
      <c r="M777" s="386">
        <f t="shared" ref="M777" si="293">SUM(M775:M776)</f>
        <v>0</v>
      </c>
      <c r="N777" s="386">
        <f t="shared" ref="N777" si="294">SUM(N775:N776)</f>
        <v>0</v>
      </c>
      <c r="O777" s="386">
        <f t="shared" ref="O777" si="295">SUM(O775:O776)</f>
        <v>0</v>
      </c>
      <c r="P777" s="386">
        <f t="shared" ref="P777" si="296">SUM(P775:P776)</f>
        <v>0</v>
      </c>
      <c r="Q777" s="386">
        <f t="shared" ref="Q777" si="297">SUM(Q775:Q776)</f>
        <v>0</v>
      </c>
    </row>
    <row r="778" spans="1:17" s="216" customFormat="1" x14ac:dyDescent="0.2">
      <c r="A778" s="242"/>
      <c r="D778" s="267"/>
      <c r="F778" s="269"/>
      <c r="G778" s="418"/>
      <c r="H778" s="269"/>
      <c r="I778" s="272"/>
      <c r="J778" s="269"/>
      <c r="K778" s="269"/>
      <c r="L778" s="269"/>
      <c r="M778" s="269"/>
      <c r="N778" s="269"/>
      <c r="O778" s="269"/>
      <c r="P778" s="269"/>
      <c r="Q778" s="418"/>
    </row>
    <row r="779" spans="1:17" s="216" customFormat="1" ht="10.5" thickBot="1" x14ac:dyDescent="0.25">
      <c r="A779" s="580">
        <f>A777+1</f>
        <v>20</v>
      </c>
      <c r="B779" s="434"/>
      <c r="C779" s="581" t="s">
        <v>202</v>
      </c>
      <c r="D779" s="582"/>
      <c r="E779" s="435">
        <f>E772+E777</f>
        <v>0</v>
      </c>
      <c r="F779" s="435">
        <f t="shared" ref="F779:P779" si="298">F772+F777</f>
        <v>0</v>
      </c>
      <c r="G779" s="435">
        <f t="shared" si="298"/>
        <v>0</v>
      </c>
      <c r="H779" s="435">
        <f t="shared" si="298"/>
        <v>0</v>
      </c>
      <c r="I779" s="435">
        <f t="shared" si="298"/>
        <v>0</v>
      </c>
      <c r="J779" s="435">
        <f t="shared" si="298"/>
        <v>0</v>
      </c>
      <c r="K779" s="435">
        <f t="shared" si="298"/>
        <v>0</v>
      </c>
      <c r="L779" s="435">
        <f t="shared" si="298"/>
        <v>0</v>
      </c>
      <c r="M779" s="435">
        <f t="shared" si="298"/>
        <v>0</v>
      </c>
      <c r="N779" s="435">
        <f t="shared" si="298"/>
        <v>0</v>
      </c>
      <c r="O779" s="435">
        <f t="shared" si="298"/>
        <v>0</v>
      </c>
      <c r="P779" s="435">
        <f t="shared" si="298"/>
        <v>0</v>
      </c>
      <c r="Q779" s="435">
        <f>SUM(E779:P779)</f>
        <v>0</v>
      </c>
    </row>
    <row r="780" spans="1:17" s="216" customFormat="1" ht="10.5" thickTop="1" x14ac:dyDescent="0.2">
      <c r="A780" s="242"/>
      <c r="D780" s="267"/>
      <c r="F780" s="269"/>
      <c r="G780" s="418"/>
      <c r="H780" s="269"/>
      <c r="I780" s="272"/>
      <c r="J780" s="269"/>
      <c r="K780" s="269"/>
      <c r="L780" s="269"/>
      <c r="M780" s="269"/>
      <c r="N780" s="269"/>
      <c r="O780" s="269"/>
      <c r="P780" s="269"/>
      <c r="Q780" s="269"/>
    </row>
    <row r="781" spans="1:17" s="216" customFormat="1" x14ac:dyDescent="0.2">
      <c r="A781" s="242"/>
      <c r="D781" s="267"/>
      <c r="F781" s="269"/>
      <c r="G781" s="418"/>
      <c r="H781" s="269"/>
      <c r="I781" s="272"/>
      <c r="J781" s="269"/>
      <c r="K781" s="269"/>
      <c r="L781" s="269"/>
      <c r="M781" s="269"/>
      <c r="N781" s="269"/>
      <c r="O781" s="269"/>
      <c r="P781" s="269"/>
      <c r="Q781" s="269"/>
    </row>
    <row r="782" spans="1:17" s="216" customFormat="1" x14ac:dyDescent="0.2">
      <c r="A782" s="242">
        <f>A779+1</f>
        <v>21</v>
      </c>
      <c r="B782" s="216" t="str">
        <f>B195</f>
        <v>IUS</v>
      </c>
      <c r="C782" s="216" t="str">
        <f>C195</f>
        <v>Intrastate Utility Service - Wholesale</v>
      </c>
      <c r="D782" s="267"/>
      <c r="F782" s="269"/>
      <c r="G782" s="418"/>
      <c r="H782" s="269"/>
      <c r="I782" s="272"/>
      <c r="J782" s="269"/>
      <c r="K782" s="269"/>
      <c r="L782" s="269"/>
      <c r="M782" s="269"/>
      <c r="N782" s="269"/>
      <c r="O782" s="269"/>
      <c r="P782" s="269"/>
    </row>
    <row r="783" spans="1:17" s="216" customFormat="1" x14ac:dyDescent="0.2">
      <c r="A783" s="242"/>
      <c r="D783" s="267"/>
      <c r="F783" s="269"/>
      <c r="G783" s="418"/>
      <c r="H783" s="269"/>
      <c r="I783" s="272"/>
      <c r="J783" s="269"/>
      <c r="K783" s="269"/>
      <c r="L783" s="269"/>
      <c r="M783" s="269"/>
      <c r="N783" s="269"/>
      <c r="O783" s="269"/>
      <c r="P783" s="269"/>
    </row>
    <row r="784" spans="1:17" s="216" customFormat="1" ht="10.5" x14ac:dyDescent="0.25">
      <c r="A784" s="242">
        <f>A782+1</f>
        <v>22</v>
      </c>
      <c r="C784" s="245" t="s">
        <v>115</v>
      </c>
      <c r="D784" s="267"/>
      <c r="F784" s="269"/>
      <c r="G784" s="418"/>
      <c r="H784" s="269"/>
      <c r="I784" s="272"/>
      <c r="J784" s="269"/>
      <c r="K784" s="269"/>
      <c r="L784" s="269"/>
      <c r="M784" s="269"/>
      <c r="N784" s="269"/>
      <c r="O784" s="269"/>
      <c r="P784" s="269"/>
    </row>
    <row r="785" spans="1:17" s="216" customFormat="1" x14ac:dyDescent="0.2">
      <c r="A785" s="242"/>
      <c r="D785" s="267"/>
      <c r="F785" s="269"/>
      <c r="G785" s="418"/>
      <c r="H785" s="269"/>
      <c r="I785" s="272"/>
      <c r="J785" s="269"/>
      <c r="K785" s="269"/>
      <c r="L785" s="269"/>
      <c r="M785" s="269"/>
      <c r="N785" s="269"/>
      <c r="O785" s="269"/>
      <c r="P785" s="269"/>
    </row>
    <row r="786" spans="1:17" s="216" customFormat="1" x14ac:dyDescent="0.2">
      <c r="A786" s="242">
        <f>A784+1</f>
        <v>23</v>
      </c>
      <c r="C786" s="216" t="s">
        <v>199</v>
      </c>
      <c r="D786" s="267"/>
      <c r="E786" s="421">
        <f>B!D99</f>
        <v>2</v>
      </c>
      <c r="F786" s="421">
        <f>B!E99</f>
        <v>2</v>
      </c>
      <c r="G786" s="421">
        <f>B!F99</f>
        <v>2</v>
      </c>
      <c r="H786" s="421">
        <f>B!G99</f>
        <v>2</v>
      </c>
      <c r="I786" s="421">
        <f>B!H99</f>
        <v>2</v>
      </c>
      <c r="J786" s="421">
        <f>B!I99</f>
        <v>2</v>
      </c>
      <c r="K786" s="421">
        <f>B!J99</f>
        <v>2</v>
      </c>
      <c r="L786" s="421">
        <f>B!K99</f>
        <v>2</v>
      </c>
      <c r="M786" s="421">
        <f>B!L99</f>
        <v>2</v>
      </c>
      <c r="N786" s="421">
        <f>B!M99</f>
        <v>2</v>
      </c>
      <c r="O786" s="421">
        <f>B!N99</f>
        <v>2</v>
      </c>
      <c r="P786" s="421">
        <f>B!O99</f>
        <v>2</v>
      </c>
      <c r="Q786" s="421">
        <f>SUM(E786:P786)</f>
        <v>24</v>
      </c>
    </row>
    <row r="787" spans="1:17" s="216" customFormat="1" x14ac:dyDescent="0.2">
      <c r="A787" s="242">
        <f>A786+1</f>
        <v>24</v>
      </c>
      <c r="C787" s="216" t="s">
        <v>207</v>
      </c>
      <c r="D787" s="608">
        <f>Input!V34</f>
        <v>991.2</v>
      </c>
      <c r="E787" s="386">
        <f t="shared" ref="E787:P787" si="299">ROUND(E786*$D$787,2)</f>
        <v>1982.4</v>
      </c>
      <c r="F787" s="386">
        <f t="shared" si="299"/>
        <v>1982.4</v>
      </c>
      <c r="G787" s="386">
        <f t="shared" si="299"/>
        <v>1982.4</v>
      </c>
      <c r="H787" s="386">
        <f t="shared" si="299"/>
        <v>1982.4</v>
      </c>
      <c r="I787" s="386">
        <f t="shared" si="299"/>
        <v>1982.4</v>
      </c>
      <c r="J787" s="386">
        <f t="shared" si="299"/>
        <v>1982.4</v>
      </c>
      <c r="K787" s="386">
        <f t="shared" si="299"/>
        <v>1982.4</v>
      </c>
      <c r="L787" s="386">
        <f t="shared" si="299"/>
        <v>1982.4</v>
      </c>
      <c r="M787" s="386">
        <f t="shared" si="299"/>
        <v>1982.4</v>
      </c>
      <c r="N787" s="386">
        <f t="shared" si="299"/>
        <v>1982.4</v>
      </c>
      <c r="O787" s="386">
        <f t="shared" si="299"/>
        <v>1982.4</v>
      </c>
      <c r="P787" s="386">
        <f t="shared" si="299"/>
        <v>1982.4</v>
      </c>
      <c r="Q787" s="386">
        <f>SUM(E787:P787)</f>
        <v>23788.800000000003</v>
      </c>
    </row>
    <row r="788" spans="1:17" s="216" customFormat="1" x14ac:dyDescent="0.2">
      <c r="A788" s="242">
        <f>A787+1</f>
        <v>25</v>
      </c>
      <c r="C788" s="216" t="s">
        <v>208</v>
      </c>
      <c r="D788" s="608">
        <f>Input!X34</f>
        <v>0</v>
      </c>
      <c r="E788" s="386">
        <f t="shared" ref="E788:P788" si="300">ROUND(E786*$D$788,2)</f>
        <v>0</v>
      </c>
      <c r="F788" s="386">
        <f t="shared" si="300"/>
        <v>0</v>
      </c>
      <c r="G788" s="386">
        <f t="shared" si="300"/>
        <v>0</v>
      </c>
      <c r="H788" s="386">
        <f t="shared" si="300"/>
        <v>0</v>
      </c>
      <c r="I788" s="386">
        <f t="shared" si="300"/>
        <v>0</v>
      </c>
      <c r="J788" s="386">
        <f t="shared" si="300"/>
        <v>0</v>
      </c>
      <c r="K788" s="386">
        <f t="shared" si="300"/>
        <v>0</v>
      </c>
      <c r="L788" s="386">
        <f t="shared" si="300"/>
        <v>0</v>
      </c>
      <c r="M788" s="386">
        <f t="shared" si="300"/>
        <v>0</v>
      </c>
      <c r="N788" s="386">
        <f t="shared" si="300"/>
        <v>0</v>
      </c>
      <c r="O788" s="386">
        <f t="shared" si="300"/>
        <v>0</v>
      </c>
      <c r="P788" s="386">
        <f t="shared" si="300"/>
        <v>0</v>
      </c>
      <c r="Q788" s="386">
        <f>SUM(E788:P788)</f>
        <v>0</v>
      </c>
    </row>
    <row r="789" spans="1:17" s="216" customFormat="1" x14ac:dyDescent="0.2">
      <c r="A789" s="242"/>
      <c r="D789" s="267"/>
      <c r="F789" s="269"/>
      <c r="G789" s="418"/>
      <c r="H789" s="269"/>
      <c r="I789" s="272"/>
      <c r="J789" s="269"/>
      <c r="K789" s="269"/>
      <c r="L789" s="269"/>
      <c r="M789" s="269"/>
      <c r="N789" s="269"/>
      <c r="O789" s="269"/>
      <c r="P789" s="269"/>
    </row>
    <row r="790" spans="1:17" s="216" customFormat="1" x14ac:dyDescent="0.2">
      <c r="A790" s="242">
        <f>A788+1</f>
        <v>26</v>
      </c>
      <c r="C790" s="267" t="s">
        <v>206</v>
      </c>
      <c r="D790" s="267"/>
      <c r="E790" s="451">
        <f>'C'!D141</f>
        <v>1938.9</v>
      </c>
      <c r="F790" s="451">
        <f>'C'!E141</f>
        <v>1673.4</v>
      </c>
      <c r="G790" s="451">
        <f>'C'!F141</f>
        <v>1850.8</v>
      </c>
      <c r="H790" s="451">
        <f>'C'!G141</f>
        <v>714.5</v>
      </c>
      <c r="I790" s="451">
        <f>'C'!H141</f>
        <v>576.5</v>
      </c>
      <c r="J790" s="451">
        <f>'C'!I141</f>
        <v>489.9</v>
      </c>
      <c r="K790" s="451">
        <f>'C'!J141</f>
        <v>341.7</v>
      </c>
      <c r="L790" s="451">
        <f>'C'!K141</f>
        <v>376.6</v>
      </c>
      <c r="M790" s="451">
        <f>'C'!L141</f>
        <v>306.3</v>
      </c>
      <c r="N790" s="451">
        <f>'C'!M141</f>
        <v>562.5</v>
      </c>
      <c r="O790" s="451">
        <f>'C'!N141</f>
        <v>936.2</v>
      </c>
      <c r="P790" s="451">
        <f>'C'!O141</f>
        <v>1483.9</v>
      </c>
      <c r="Q790" s="451">
        <f>SUM(E790:P790)</f>
        <v>11251.2</v>
      </c>
    </row>
    <row r="791" spans="1:17" s="216" customFormat="1" x14ac:dyDescent="0.2">
      <c r="A791" s="242">
        <f>A790+1</f>
        <v>27</v>
      </c>
      <c r="C791" s="280" t="s">
        <v>209</v>
      </c>
      <c r="D791" s="609">
        <f>Input!Q34</f>
        <v>1.3261000000000001</v>
      </c>
      <c r="E791" s="386">
        <f t="shared" ref="E791:P791" si="301">ROUND(E790*$D$791,2)</f>
        <v>2571.1799999999998</v>
      </c>
      <c r="F791" s="386">
        <f t="shared" si="301"/>
        <v>2219.1</v>
      </c>
      <c r="G791" s="386">
        <f t="shared" si="301"/>
        <v>2454.35</v>
      </c>
      <c r="H791" s="386">
        <f t="shared" si="301"/>
        <v>947.5</v>
      </c>
      <c r="I791" s="386">
        <f t="shared" si="301"/>
        <v>764.5</v>
      </c>
      <c r="J791" s="386">
        <f t="shared" si="301"/>
        <v>649.66</v>
      </c>
      <c r="K791" s="386">
        <f t="shared" si="301"/>
        <v>453.13</v>
      </c>
      <c r="L791" s="386">
        <f t="shared" si="301"/>
        <v>499.41</v>
      </c>
      <c r="M791" s="386">
        <f t="shared" si="301"/>
        <v>406.18</v>
      </c>
      <c r="N791" s="386">
        <f t="shared" si="301"/>
        <v>745.93</v>
      </c>
      <c r="O791" s="386">
        <f t="shared" si="301"/>
        <v>1241.49</v>
      </c>
      <c r="P791" s="386">
        <f t="shared" si="301"/>
        <v>1967.8</v>
      </c>
      <c r="Q791" s="386">
        <f>SUM(E791:P791)</f>
        <v>14920.229999999998</v>
      </c>
    </row>
    <row r="792" spans="1:17" s="216" customFormat="1" x14ac:dyDescent="0.2">
      <c r="A792" s="242">
        <f>A791+1</f>
        <v>28</v>
      </c>
      <c r="C792" s="667" t="s">
        <v>529</v>
      </c>
      <c r="D792" s="609">
        <v>0</v>
      </c>
      <c r="E792" s="431">
        <f t="shared" ref="E792:P792" si="302">ROUND(E790*$D$792,2)</f>
        <v>0</v>
      </c>
      <c r="F792" s="431">
        <f t="shared" si="302"/>
        <v>0</v>
      </c>
      <c r="G792" s="431">
        <f t="shared" si="302"/>
        <v>0</v>
      </c>
      <c r="H792" s="431">
        <f t="shared" si="302"/>
        <v>0</v>
      </c>
      <c r="I792" s="431">
        <f t="shared" si="302"/>
        <v>0</v>
      </c>
      <c r="J792" s="431">
        <f t="shared" si="302"/>
        <v>0</v>
      </c>
      <c r="K792" s="431">
        <f t="shared" si="302"/>
        <v>0</v>
      </c>
      <c r="L792" s="431">
        <f t="shared" si="302"/>
        <v>0</v>
      </c>
      <c r="M792" s="431">
        <f t="shared" si="302"/>
        <v>0</v>
      </c>
      <c r="N792" s="431">
        <f t="shared" si="302"/>
        <v>0</v>
      </c>
      <c r="O792" s="431">
        <f t="shared" si="302"/>
        <v>0</v>
      </c>
      <c r="P792" s="431">
        <f t="shared" si="302"/>
        <v>0</v>
      </c>
      <c r="Q792" s="431">
        <f>SUM(E792:P792)</f>
        <v>0</v>
      </c>
    </row>
    <row r="793" spans="1:17" s="216" customFormat="1" x14ac:dyDescent="0.2">
      <c r="A793" s="242">
        <f>A792+1</f>
        <v>29</v>
      </c>
      <c r="C793" s="216" t="s">
        <v>201</v>
      </c>
      <c r="D793" s="267"/>
      <c r="E793" s="386">
        <f t="shared" ref="E793:P793" si="303">E787+E788+E791+E792</f>
        <v>4553.58</v>
      </c>
      <c r="F793" s="386">
        <f t="shared" si="303"/>
        <v>4201.5</v>
      </c>
      <c r="G793" s="386">
        <f t="shared" si="303"/>
        <v>4436.75</v>
      </c>
      <c r="H793" s="386">
        <f t="shared" si="303"/>
        <v>2929.9</v>
      </c>
      <c r="I793" s="386">
        <f t="shared" si="303"/>
        <v>2746.9</v>
      </c>
      <c r="J793" s="386">
        <f t="shared" si="303"/>
        <v>2632.06</v>
      </c>
      <c r="K793" s="386">
        <f t="shared" si="303"/>
        <v>2435.5300000000002</v>
      </c>
      <c r="L793" s="386">
        <f t="shared" si="303"/>
        <v>2481.81</v>
      </c>
      <c r="M793" s="386">
        <f t="shared" si="303"/>
        <v>2388.58</v>
      </c>
      <c r="N793" s="386">
        <f t="shared" si="303"/>
        <v>2728.33</v>
      </c>
      <c r="O793" s="386">
        <f t="shared" si="303"/>
        <v>3223.8900000000003</v>
      </c>
      <c r="P793" s="386">
        <f t="shared" si="303"/>
        <v>3950.2</v>
      </c>
      <c r="Q793" s="386">
        <f>SUM(E793:P793)</f>
        <v>38709.03</v>
      </c>
    </row>
    <row r="794" spans="1:17" s="216" customFormat="1" x14ac:dyDescent="0.2">
      <c r="A794" s="242"/>
      <c r="C794" s="267"/>
      <c r="D794" s="267"/>
      <c r="E794" s="430"/>
      <c r="F794" s="430"/>
      <c r="G794" s="430"/>
      <c r="H794" s="430"/>
      <c r="I794" s="430"/>
      <c r="J794" s="430"/>
      <c r="K794" s="430"/>
      <c r="L794" s="430"/>
      <c r="M794" s="430"/>
      <c r="N794" s="430"/>
      <c r="O794" s="430"/>
      <c r="P794" s="430"/>
      <c r="Q794" s="430"/>
    </row>
    <row r="795" spans="1:17" s="216" customFormat="1" x14ac:dyDescent="0.2">
      <c r="A795" s="242">
        <f>A793+1</f>
        <v>30</v>
      </c>
      <c r="C795" s="267" t="s">
        <v>205</v>
      </c>
      <c r="D795" s="609">
        <f>EGC</f>
        <v>4.3869999999999996</v>
      </c>
      <c r="E795" s="386">
        <f t="shared" ref="E795:P795" si="304">ROUND(E790*$D$795,2)</f>
        <v>8505.9500000000007</v>
      </c>
      <c r="F795" s="386">
        <f t="shared" si="304"/>
        <v>7341.21</v>
      </c>
      <c r="G795" s="386">
        <f t="shared" si="304"/>
        <v>8119.46</v>
      </c>
      <c r="H795" s="386">
        <f t="shared" si="304"/>
        <v>3134.51</v>
      </c>
      <c r="I795" s="386">
        <f t="shared" si="304"/>
        <v>2529.11</v>
      </c>
      <c r="J795" s="386">
        <f t="shared" si="304"/>
        <v>2149.19</v>
      </c>
      <c r="K795" s="386">
        <f t="shared" si="304"/>
        <v>1499.04</v>
      </c>
      <c r="L795" s="386">
        <f t="shared" si="304"/>
        <v>1652.14</v>
      </c>
      <c r="M795" s="386">
        <f t="shared" si="304"/>
        <v>1343.74</v>
      </c>
      <c r="N795" s="386">
        <f t="shared" si="304"/>
        <v>2467.69</v>
      </c>
      <c r="O795" s="386">
        <f t="shared" si="304"/>
        <v>4107.1099999999997</v>
      </c>
      <c r="P795" s="386">
        <f t="shared" si="304"/>
        <v>6509.87</v>
      </c>
      <c r="Q795" s="386">
        <f>SUM(E795:P795)</f>
        <v>49359.02</v>
      </c>
    </row>
    <row r="796" spans="1:17" s="216" customFormat="1" x14ac:dyDescent="0.2">
      <c r="A796" s="242"/>
      <c r="C796" s="255"/>
      <c r="D796" s="267"/>
      <c r="E796" s="594"/>
      <c r="F796" s="594"/>
      <c r="G796" s="594"/>
      <c r="H796" s="594"/>
      <c r="I796" s="594"/>
      <c r="J796" s="594"/>
      <c r="K796" s="594"/>
      <c r="L796" s="594"/>
      <c r="M796" s="594"/>
      <c r="N796" s="594"/>
      <c r="O796" s="594"/>
      <c r="P796" s="594"/>
      <c r="Q796" s="594"/>
    </row>
    <row r="797" spans="1:17" s="216" customFormat="1" x14ac:dyDescent="0.2">
      <c r="A797" s="577">
        <f>A795+1</f>
        <v>31</v>
      </c>
      <c r="B797" s="402"/>
      <c r="C797" s="412" t="s">
        <v>203</v>
      </c>
      <c r="D797" s="412"/>
      <c r="E797" s="406">
        <f t="shared" ref="E797:P797" si="305">E793+E795</f>
        <v>13059.53</v>
      </c>
      <c r="F797" s="406">
        <f t="shared" si="305"/>
        <v>11542.71</v>
      </c>
      <c r="G797" s="406">
        <f t="shared" si="305"/>
        <v>12556.21</v>
      </c>
      <c r="H797" s="406">
        <f t="shared" si="305"/>
        <v>6064.41</v>
      </c>
      <c r="I797" s="406">
        <f t="shared" si="305"/>
        <v>5276.01</v>
      </c>
      <c r="J797" s="406">
        <f t="shared" si="305"/>
        <v>4781.25</v>
      </c>
      <c r="K797" s="406">
        <f t="shared" si="305"/>
        <v>3934.57</v>
      </c>
      <c r="L797" s="406">
        <f t="shared" si="305"/>
        <v>4133.95</v>
      </c>
      <c r="M797" s="406">
        <f t="shared" si="305"/>
        <v>3732.3199999999997</v>
      </c>
      <c r="N797" s="406">
        <f t="shared" si="305"/>
        <v>5196.0200000000004</v>
      </c>
      <c r="O797" s="406">
        <f t="shared" si="305"/>
        <v>7331</v>
      </c>
      <c r="P797" s="406">
        <f t="shared" si="305"/>
        <v>10460.07</v>
      </c>
      <c r="Q797" s="406">
        <f>SUM(E797:P797)</f>
        <v>88068.049999999988</v>
      </c>
    </row>
    <row r="798" spans="1:17" s="216" customFormat="1" x14ac:dyDescent="0.2">
      <c r="A798" s="242"/>
      <c r="C798" s="267"/>
      <c r="D798" s="267"/>
      <c r="E798" s="430"/>
      <c r="F798" s="430"/>
      <c r="G798" s="430"/>
      <c r="H798" s="430"/>
      <c r="I798" s="430"/>
      <c r="J798" s="430"/>
      <c r="K798" s="430"/>
      <c r="L798" s="430"/>
      <c r="M798" s="430"/>
      <c r="N798" s="430"/>
      <c r="O798" s="430"/>
      <c r="P798" s="430"/>
      <c r="Q798" s="430"/>
    </row>
    <row r="799" spans="1:17" s="216" customFormat="1" x14ac:dyDescent="0.2">
      <c r="A799" s="242">
        <f>A797+1</f>
        <v>32</v>
      </c>
      <c r="C799" s="267" t="s">
        <v>193</v>
      </c>
      <c r="D799" s="267"/>
      <c r="E799" s="430"/>
      <c r="F799" s="430"/>
      <c r="G799" s="430"/>
      <c r="H799" s="430"/>
      <c r="I799" s="430"/>
      <c r="J799" s="430"/>
      <c r="K799" s="430"/>
      <c r="L799" s="430"/>
      <c r="M799" s="430"/>
      <c r="N799" s="430"/>
      <c r="O799" s="430"/>
      <c r="P799" s="430"/>
      <c r="Q799" s="430"/>
    </row>
    <row r="800" spans="1:17" s="216" customFormat="1" x14ac:dyDescent="0.2">
      <c r="A800" s="242">
        <f>A799+1</f>
        <v>33</v>
      </c>
      <c r="C800" s="267" t="s">
        <v>211</v>
      </c>
      <c r="D800" s="609">
        <f>Input!AB34</f>
        <v>1.1900000000000001E-2</v>
      </c>
      <c r="E800" s="386">
        <f t="shared" ref="E800:P800" si="306">ROUND(E790*$D$800,2)</f>
        <v>23.07</v>
      </c>
      <c r="F800" s="386">
        <f t="shared" si="306"/>
        <v>19.91</v>
      </c>
      <c r="G800" s="386">
        <f t="shared" si="306"/>
        <v>22.02</v>
      </c>
      <c r="H800" s="386">
        <f t="shared" si="306"/>
        <v>8.5</v>
      </c>
      <c r="I800" s="386">
        <f t="shared" si="306"/>
        <v>6.86</v>
      </c>
      <c r="J800" s="386">
        <f t="shared" si="306"/>
        <v>5.83</v>
      </c>
      <c r="K800" s="386">
        <f t="shared" si="306"/>
        <v>4.07</v>
      </c>
      <c r="L800" s="386">
        <f t="shared" si="306"/>
        <v>4.4800000000000004</v>
      </c>
      <c r="M800" s="386">
        <f t="shared" si="306"/>
        <v>3.64</v>
      </c>
      <c r="N800" s="386">
        <f t="shared" si="306"/>
        <v>6.69</v>
      </c>
      <c r="O800" s="386">
        <f t="shared" si="306"/>
        <v>11.14</v>
      </c>
      <c r="P800" s="386">
        <f t="shared" si="306"/>
        <v>17.66</v>
      </c>
      <c r="Q800" s="386">
        <f>SUM(E800:P800)</f>
        <v>133.87</v>
      </c>
    </row>
    <row r="801" spans="1:17" s="216" customFormat="1" x14ac:dyDescent="0.2">
      <c r="A801" s="242">
        <f t="shared" ref="A801:A802" si="307">A800+1</f>
        <v>34</v>
      </c>
      <c r="B801" s="213"/>
      <c r="C801" s="216" t="s">
        <v>140</v>
      </c>
      <c r="D801" s="609">
        <f>Input!$AA$34</f>
        <v>1.44E-2</v>
      </c>
      <c r="E801" s="390">
        <f>ROUND($D$801*E790,2)</f>
        <v>27.92</v>
      </c>
      <c r="F801" s="390">
        <f t="shared" ref="F801:P801" si="308">ROUND($D$801*F790,2)</f>
        <v>24.1</v>
      </c>
      <c r="G801" s="390">
        <f t="shared" si="308"/>
        <v>26.65</v>
      </c>
      <c r="H801" s="390">
        <f t="shared" si="308"/>
        <v>10.29</v>
      </c>
      <c r="I801" s="390">
        <f t="shared" si="308"/>
        <v>8.3000000000000007</v>
      </c>
      <c r="J801" s="390">
        <f t="shared" si="308"/>
        <v>7.05</v>
      </c>
      <c r="K801" s="390">
        <f t="shared" si="308"/>
        <v>4.92</v>
      </c>
      <c r="L801" s="390">
        <f t="shared" si="308"/>
        <v>5.42</v>
      </c>
      <c r="M801" s="390">
        <f t="shared" si="308"/>
        <v>4.41</v>
      </c>
      <c r="N801" s="390">
        <f t="shared" si="308"/>
        <v>8.1</v>
      </c>
      <c r="O801" s="390">
        <f t="shared" si="308"/>
        <v>13.48</v>
      </c>
      <c r="P801" s="390">
        <f t="shared" si="308"/>
        <v>21.37</v>
      </c>
      <c r="Q801" s="390">
        <f>SUM(E801:P801)</f>
        <v>162.01</v>
      </c>
    </row>
    <row r="802" spans="1:17" s="216" customFormat="1" x14ac:dyDescent="0.2">
      <c r="A802" s="242">
        <f t="shared" si="307"/>
        <v>35</v>
      </c>
      <c r="C802" s="267" t="s">
        <v>558</v>
      </c>
      <c r="D802" s="609"/>
      <c r="E802" s="386">
        <f>SUM(E800:E801)</f>
        <v>50.99</v>
      </c>
      <c r="F802" s="386">
        <f t="shared" ref="F802" si="309">SUM(F800:F801)</f>
        <v>44.010000000000005</v>
      </c>
      <c r="G802" s="386">
        <f t="shared" ref="G802" si="310">SUM(G800:G801)</f>
        <v>48.67</v>
      </c>
      <c r="H802" s="386">
        <f t="shared" ref="H802" si="311">SUM(H800:H801)</f>
        <v>18.79</v>
      </c>
      <c r="I802" s="386">
        <f t="shared" ref="I802" si="312">SUM(I800:I801)</f>
        <v>15.16</v>
      </c>
      <c r="J802" s="386">
        <f t="shared" ref="J802" si="313">SUM(J800:J801)</f>
        <v>12.879999999999999</v>
      </c>
      <c r="K802" s="386">
        <f t="shared" ref="K802" si="314">SUM(K800:K801)</f>
        <v>8.99</v>
      </c>
      <c r="L802" s="386">
        <f t="shared" ref="L802" si="315">SUM(L800:L801)</f>
        <v>9.9</v>
      </c>
      <c r="M802" s="386">
        <f t="shared" ref="M802" si="316">SUM(M800:M801)</f>
        <v>8.0500000000000007</v>
      </c>
      <c r="N802" s="386">
        <f t="shared" ref="N802" si="317">SUM(N800:N801)</f>
        <v>14.79</v>
      </c>
      <c r="O802" s="386">
        <f t="shared" ref="O802" si="318">SUM(O800:O801)</f>
        <v>24.62</v>
      </c>
      <c r="P802" s="386">
        <f t="shared" ref="P802" si="319">SUM(P800:P801)</f>
        <v>39.03</v>
      </c>
      <c r="Q802" s="386">
        <f t="shared" ref="Q802" si="320">SUM(Q800:Q801)</f>
        <v>295.88</v>
      </c>
    </row>
    <row r="803" spans="1:17" s="216" customFormat="1" x14ac:dyDescent="0.2">
      <c r="A803" s="242"/>
      <c r="D803" s="267"/>
      <c r="F803" s="269"/>
      <c r="G803" s="418"/>
      <c r="H803" s="269"/>
      <c r="I803" s="272"/>
      <c r="J803" s="269"/>
      <c r="K803" s="269"/>
      <c r="L803" s="269"/>
      <c r="M803" s="269"/>
      <c r="N803" s="269"/>
      <c r="O803" s="269"/>
      <c r="P803" s="269"/>
    </row>
    <row r="804" spans="1:17" s="216" customFormat="1" ht="10.5" thickBot="1" x14ac:dyDescent="0.25">
      <c r="A804" s="580">
        <f>A802+1</f>
        <v>36</v>
      </c>
      <c r="B804" s="434"/>
      <c r="C804" s="581" t="s">
        <v>202</v>
      </c>
      <c r="D804" s="582"/>
      <c r="E804" s="435">
        <f>E797+E802</f>
        <v>13110.52</v>
      </c>
      <c r="F804" s="435">
        <f t="shared" ref="F804:P804" si="321">F797+F802</f>
        <v>11586.72</v>
      </c>
      <c r="G804" s="435">
        <f t="shared" si="321"/>
        <v>12604.88</v>
      </c>
      <c r="H804" s="435">
        <f t="shared" si="321"/>
        <v>6083.2</v>
      </c>
      <c r="I804" s="435">
        <f t="shared" si="321"/>
        <v>5291.17</v>
      </c>
      <c r="J804" s="435">
        <f t="shared" si="321"/>
        <v>4794.13</v>
      </c>
      <c r="K804" s="435">
        <f t="shared" si="321"/>
        <v>3943.56</v>
      </c>
      <c r="L804" s="435">
        <f t="shared" si="321"/>
        <v>4143.8499999999995</v>
      </c>
      <c r="M804" s="435">
        <f t="shared" si="321"/>
        <v>3740.37</v>
      </c>
      <c r="N804" s="435">
        <f t="shared" si="321"/>
        <v>5210.8100000000004</v>
      </c>
      <c r="O804" s="435">
        <f t="shared" si="321"/>
        <v>7355.62</v>
      </c>
      <c r="P804" s="435">
        <f t="shared" si="321"/>
        <v>10499.1</v>
      </c>
      <c r="Q804" s="435">
        <f>SUM(E804:P804)</f>
        <v>88363.93</v>
      </c>
    </row>
    <row r="805" spans="1:17" s="216" customFormat="1" ht="10.5" thickTop="1" x14ac:dyDescent="0.2">
      <c r="A805" s="242"/>
      <c r="D805" s="267"/>
      <c r="F805" s="269"/>
      <c r="G805" s="418"/>
      <c r="H805" s="269"/>
      <c r="I805" s="272"/>
      <c r="J805" s="269"/>
      <c r="K805" s="269"/>
      <c r="L805" s="269"/>
      <c r="M805" s="269"/>
      <c r="N805" s="269"/>
      <c r="O805" s="269"/>
      <c r="P805" s="269"/>
      <c r="Q805" s="269"/>
    </row>
    <row r="806" spans="1:17" s="216" customFormat="1" x14ac:dyDescent="0.2">
      <c r="A806" s="242"/>
      <c r="D806" s="267"/>
      <c r="F806" s="269"/>
      <c r="G806" s="418"/>
      <c r="H806" s="269"/>
      <c r="I806" s="272"/>
      <c r="J806" s="269"/>
      <c r="K806" s="269"/>
      <c r="L806" s="269"/>
      <c r="M806" s="269"/>
      <c r="N806" s="269"/>
      <c r="O806" s="269"/>
      <c r="P806" s="269"/>
      <c r="Q806" s="269"/>
    </row>
    <row r="807" spans="1:17" s="216" customFormat="1" x14ac:dyDescent="0.2">
      <c r="A807" s="504" t="str">
        <f>$A$265</f>
        <v>[1] Reflects Normalized Volumes.</v>
      </c>
      <c r="D807" s="267"/>
      <c r="F807" s="269"/>
      <c r="G807" s="418"/>
      <c r="H807" s="269"/>
      <c r="I807" s="272"/>
      <c r="J807" s="269"/>
      <c r="K807" s="269"/>
      <c r="L807" s="269"/>
      <c r="M807" s="269"/>
      <c r="N807" s="269"/>
      <c r="O807" s="269"/>
      <c r="P807" s="269"/>
    </row>
    <row r="808" spans="1:17" s="216" customFormat="1" x14ac:dyDescent="0.2">
      <c r="A808" s="504" t="str">
        <f>"[2] Reflects Gas Cost Adjustment Rate"&amp;CONCATENATE(" as of ",EGCDATE)&amp;"."</f>
        <v>[2] Reflects Gas Cost Adjustment Rate as of March 1, 2021.</v>
      </c>
      <c r="D808" s="267"/>
      <c r="F808" s="269"/>
      <c r="G808" s="418"/>
      <c r="H808" s="269"/>
      <c r="I808" s="272"/>
      <c r="J808" s="269"/>
      <c r="K808" s="269"/>
      <c r="L808" s="269"/>
      <c r="M808" s="269"/>
      <c r="N808" s="269"/>
      <c r="O808" s="269"/>
      <c r="P808" s="269"/>
    </row>
    <row r="809" spans="1:17" s="216" customFormat="1" ht="10.5" x14ac:dyDescent="0.25">
      <c r="A809" s="817" t="str">
        <f>CONAME</f>
        <v>Columbia Gas of Kentucky, Inc.</v>
      </c>
      <c r="B809" s="817"/>
      <c r="C809" s="817"/>
      <c r="D809" s="817"/>
      <c r="E809" s="817"/>
      <c r="F809" s="817"/>
      <c r="G809" s="817"/>
      <c r="H809" s="817"/>
      <c r="I809" s="817"/>
      <c r="J809" s="817"/>
      <c r="K809" s="817"/>
      <c r="L809" s="817"/>
      <c r="M809" s="817"/>
      <c r="N809" s="817"/>
      <c r="O809" s="817"/>
      <c r="P809" s="817"/>
      <c r="Q809" s="817"/>
    </row>
    <row r="810" spans="1:17" s="216" customFormat="1" ht="10.5" x14ac:dyDescent="0.25">
      <c r="A810" s="800" t="str">
        <f>case</f>
        <v>Case No. 2021-00183</v>
      </c>
      <c r="B810" s="800"/>
      <c r="C810" s="800"/>
      <c r="D810" s="800"/>
      <c r="E810" s="800"/>
      <c r="F810" s="800"/>
      <c r="G810" s="800"/>
      <c r="H810" s="800"/>
      <c r="I810" s="800"/>
      <c r="J810" s="800"/>
      <c r="K810" s="800"/>
      <c r="L810" s="800"/>
      <c r="M810" s="800"/>
      <c r="N810" s="800"/>
      <c r="O810" s="800"/>
      <c r="P810" s="800"/>
      <c r="Q810" s="800"/>
    </row>
    <row r="811" spans="1:17" s="216" customFormat="1" ht="10.5" x14ac:dyDescent="0.25">
      <c r="A811" s="815" t="s">
        <v>197</v>
      </c>
      <c r="B811" s="815"/>
      <c r="C811" s="815"/>
      <c r="D811" s="815"/>
      <c r="E811" s="815"/>
      <c r="F811" s="815"/>
      <c r="G811" s="815"/>
      <c r="H811" s="815"/>
      <c r="I811" s="815"/>
      <c r="J811" s="815"/>
      <c r="K811" s="815"/>
      <c r="L811" s="815"/>
      <c r="M811" s="815"/>
      <c r="N811" s="815"/>
      <c r="O811" s="815"/>
      <c r="P811" s="815"/>
      <c r="Q811" s="815"/>
    </row>
    <row r="812" spans="1:17" s="216" customFormat="1" ht="10.5" x14ac:dyDescent="0.25">
      <c r="A812" s="817" t="str">
        <f>TYDESC</f>
        <v>For the 12 Months Ended December 31, 2022</v>
      </c>
      <c r="B812" s="817"/>
      <c r="C812" s="817"/>
      <c r="D812" s="817"/>
      <c r="E812" s="817"/>
      <c r="F812" s="817"/>
      <c r="G812" s="817"/>
      <c r="H812" s="817"/>
      <c r="I812" s="817"/>
      <c r="J812" s="817"/>
      <c r="K812" s="817"/>
      <c r="L812" s="817"/>
      <c r="M812" s="817"/>
      <c r="N812" s="817"/>
      <c r="O812" s="817"/>
      <c r="P812" s="817"/>
      <c r="Q812" s="817"/>
    </row>
    <row r="813" spans="1:17" s="216" customFormat="1" ht="10.5" x14ac:dyDescent="0.25">
      <c r="A813" s="814" t="s">
        <v>39</v>
      </c>
      <c r="B813" s="814"/>
      <c r="C813" s="814"/>
      <c r="D813" s="814"/>
      <c r="E813" s="814"/>
      <c r="F813" s="814"/>
      <c r="G813" s="814"/>
      <c r="H813" s="814"/>
      <c r="I813" s="814"/>
      <c r="J813" s="814"/>
      <c r="K813" s="814"/>
      <c r="L813" s="814"/>
      <c r="M813" s="814"/>
      <c r="N813" s="814"/>
      <c r="O813" s="814"/>
      <c r="P813" s="814"/>
      <c r="Q813" s="814"/>
    </row>
    <row r="814" spans="1:17" s="216" customFormat="1" ht="10.5" x14ac:dyDescent="0.25">
      <c r="A814" s="575" t="str">
        <f>$A$52</f>
        <v>Data: __ Base Period _X_ Forecasted Period</v>
      </c>
      <c r="D814" s="267"/>
      <c r="F814" s="269"/>
      <c r="G814" s="418"/>
      <c r="H814" s="269"/>
      <c r="I814" s="272"/>
      <c r="J814" s="269"/>
      <c r="K814" s="269"/>
      <c r="L814" s="269"/>
      <c r="M814" s="269"/>
      <c r="N814" s="269"/>
      <c r="O814" s="269"/>
      <c r="P814" s="269"/>
    </row>
    <row r="815" spans="1:17" s="216" customFormat="1" ht="10.5" x14ac:dyDescent="0.25">
      <c r="A815" s="575" t="str">
        <f>$A$53</f>
        <v>Type of Filing: X Original _ Update _ Revised</v>
      </c>
      <c r="D815" s="267"/>
      <c r="F815" s="269"/>
      <c r="G815" s="418"/>
      <c r="H815" s="269"/>
      <c r="I815" s="272"/>
      <c r="J815" s="269"/>
      <c r="K815" s="269"/>
      <c r="L815" s="269"/>
      <c r="M815" s="269"/>
      <c r="N815" s="269"/>
      <c r="O815" s="269"/>
      <c r="P815" s="269"/>
      <c r="Q815" s="583" t="str">
        <f>$Q$53</f>
        <v>Schedule M-2.3</v>
      </c>
    </row>
    <row r="816" spans="1:17" s="216" customFormat="1" ht="10.5" x14ac:dyDescent="0.25">
      <c r="A816" s="575" t="str">
        <f>$A$54</f>
        <v>Work Paper Reference No(s):</v>
      </c>
      <c r="D816" s="267"/>
      <c r="F816" s="269"/>
      <c r="G816" s="418"/>
      <c r="H816" s="269"/>
      <c r="I816" s="272"/>
      <c r="J816" s="269"/>
      <c r="K816" s="269"/>
      <c r="L816" s="269"/>
      <c r="M816" s="269"/>
      <c r="N816" s="269"/>
      <c r="O816" s="269"/>
      <c r="P816" s="269"/>
      <c r="Q816" s="583" t="s">
        <v>431</v>
      </c>
    </row>
    <row r="817" spans="1:17" s="216" customFormat="1" ht="10.5" x14ac:dyDescent="0.25">
      <c r="A817" s="576" t="str">
        <f>$A$55</f>
        <v>12 Months Forecasted</v>
      </c>
      <c r="D817" s="267"/>
      <c r="F817" s="269"/>
      <c r="G817" s="418"/>
      <c r="H817" s="269"/>
      <c r="I817" s="272"/>
      <c r="J817" s="269"/>
      <c r="K817" s="269"/>
      <c r="L817" s="269"/>
      <c r="M817" s="269"/>
      <c r="N817" s="269"/>
      <c r="O817" s="269"/>
      <c r="P817" s="269"/>
      <c r="Q817" s="583" t="str">
        <f>Witness</f>
        <v>Witness:  Judith L. Siegler</v>
      </c>
    </row>
    <row r="818" spans="1:17" s="216" customFormat="1" ht="10.5" x14ac:dyDescent="0.25">
      <c r="A818" s="816" t="s">
        <v>291</v>
      </c>
      <c r="B818" s="816"/>
      <c r="C818" s="816"/>
      <c r="D818" s="816"/>
      <c r="E818" s="816"/>
      <c r="F818" s="816"/>
      <c r="G818" s="816"/>
      <c r="H818" s="816"/>
      <c r="I818" s="816"/>
      <c r="J818" s="816"/>
      <c r="K818" s="816"/>
      <c r="L818" s="816"/>
      <c r="M818" s="816"/>
      <c r="N818" s="816"/>
      <c r="O818" s="816"/>
      <c r="P818" s="816"/>
      <c r="Q818" s="816"/>
    </row>
    <row r="819" spans="1:17" s="216" customFormat="1" ht="10.5" x14ac:dyDescent="0.25">
      <c r="A819" s="219"/>
      <c r="B819" s="280"/>
      <c r="C819" s="280"/>
      <c r="D819" s="282"/>
      <c r="E819" s="280"/>
      <c r="F819" s="438"/>
      <c r="G819" s="439"/>
      <c r="H819" s="438"/>
      <c r="I819" s="440"/>
      <c r="J819" s="438"/>
      <c r="K819" s="438"/>
      <c r="L819" s="438"/>
      <c r="M819" s="438"/>
      <c r="N819" s="438"/>
      <c r="O819" s="438"/>
      <c r="P819" s="438"/>
      <c r="Q819" s="280"/>
    </row>
    <row r="820" spans="1:17" s="216" customFormat="1" ht="10.5" x14ac:dyDescent="0.25">
      <c r="A820" s="717"/>
      <c r="B820" s="717"/>
      <c r="C820" s="717"/>
      <c r="D820" s="724"/>
      <c r="E820" s="717"/>
      <c r="F820" s="584"/>
      <c r="G820" s="585"/>
      <c r="H820" s="584"/>
      <c r="I820" s="586"/>
      <c r="J820" s="584"/>
      <c r="K820" s="584"/>
      <c r="L820" s="584"/>
      <c r="M820" s="584"/>
      <c r="N820" s="584"/>
      <c r="O820" s="584"/>
      <c r="P820" s="584"/>
      <c r="Q820" s="717"/>
    </row>
    <row r="821" spans="1:17" s="216" customFormat="1" ht="10.5" x14ac:dyDescent="0.25">
      <c r="A821" s="717"/>
      <c r="B821" s="717"/>
      <c r="C821" s="717"/>
      <c r="D821" s="721"/>
      <c r="E821" s="717"/>
      <c r="F821" s="584"/>
      <c r="G821" s="587"/>
      <c r="H821" s="584"/>
      <c r="I821" s="722"/>
      <c r="J821" s="584"/>
      <c r="K821" s="584"/>
      <c r="L821" s="584"/>
      <c r="M821" s="584"/>
      <c r="N821" s="584"/>
      <c r="O821" s="584"/>
      <c r="P821" s="584"/>
      <c r="Q821" s="717"/>
    </row>
    <row r="822" spans="1:17" s="216" customFormat="1" ht="10.5" x14ac:dyDescent="0.25">
      <c r="A822" s="717" t="s">
        <v>1</v>
      </c>
      <c r="B822" s="717" t="s">
        <v>0</v>
      </c>
      <c r="C822" s="717" t="s">
        <v>41</v>
      </c>
      <c r="D822" s="721" t="s">
        <v>30</v>
      </c>
      <c r="E822" s="717"/>
      <c r="F822" s="584"/>
      <c r="G822" s="587"/>
      <c r="H822" s="584"/>
      <c r="I822" s="722"/>
      <c r="J822" s="584"/>
      <c r="K822" s="584"/>
      <c r="L822" s="584"/>
      <c r="M822" s="584"/>
      <c r="N822" s="584"/>
      <c r="O822" s="584"/>
      <c r="P822" s="584"/>
      <c r="Q822" s="723"/>
    </row>
    <row r="823" spans="1:17" s="216" customFormat="1" ht="10.5" x14ac:dyDescent="0.25">
      <c r="A823" s="263" t="s">
        <v>3</v>
      </c>
      <c r="B823" s="263" t="s">
        <v>40</v>
      </c>
      <c r="C823" s="263" t="s">
        <v>4</v>
      </c>
      <c r="D823" s="379" t="s">
        <v>48</v>
      </c>
      <c r="E823" s="380" t="str">
        <f>B!$D$11</f>
        <v>Jan-22</v>
      </c>
      <c r="F823" s="380" t="str">
        <f>B!$E$11</f>
        <v>Feb-22</v>
      </c>
      <c r="G823" s="380" t="str">
        <f>B!$F$11</f>
        <v>Mar-22</v>
      </c>
      <c r="H823" s="380" t="str">
        <f>B!$G$11</f>
        <v>Apr-22</v>
      </c>
      <c r="I823" s="380" t="str">
        <f>B!$H$11</f>
        <v>May-22</v>
      </c>
      <c r="J823" s="380" t="str">
        <f>B!$I$11</f>
        <v>Jun-22</v>
      </c>
      <c r="K823" s="380" t="str">
        <f>B!$J$11</f>
        <v>Jul-22</v>
      </c>
      <c r="L823" s="380" t="str">
        <f>B!$K$11</f>
        <v>Aug-22</v>
      </c>
      <c r="M823" s="380" t="str">
        <f>B!$L$11</f>
        <v>Sep-22</v>
      </c>
      <c r="N823" s="380" t="str">
        <f>B!$M$11</f>
        <v>Oct-22</v>
      </c>
      <c r="O823" s="380" t="str">
        <f>B!$N$11</f>
        <v>Nov-22</v>
      </c>
      <c r="P823" s="380" t="str">
        <f>B!$O$11</f>
        <v>Dec-22</v>
      </c>
      <c r="Q823" s="380" t="s">
        <v>9</v>
      </c>
    </row>
    <row r="824" spans="1:17" s="216" customFormat="1" ht="10.5" x14ac:dyDescent="0.25">
      <c r="A824" s="717"/>
      <c r="B824" s="719" t="s">
        <v>42</v>
      </c>
      <c r="C824" s="719" t="s">
        <v>43</v>
      </c>
      <c r="D824" s="382" t="s">
        <v>45</v>
      </c>
      <c r="E824" s="383" t="s">
        <v>46</v>
      </c>
      <c r="F824" s="383" t="s">
        <v>49</v>
      </c>
      <c r="G824" s="383" t="s">
        <v>50</v>
      </c>
      <c r="H824" s="383" t="s">
        <v>51</v>
      </c>
      <c r="I824" s="383" t="s">
        <v>52</v>
      </c>
      <c r="J824" s="384" t="s">
        <v>53</v>
      </c>
      <c r="K824" s="384" t="s">
        <v>54</v>
      </c>
      <c r="L824" s="384" t="s">
        <v>55</v>
      </c>
      <c r="M824" s="384" t="s">
        <v>56</v>
      </c>
      <c r="N824" s="384" t="s">
        <v>57</v>
      </c>
      <c r="O824" s="384" t="s">
        <v>58</v>
      </c>
      <c r="P824" s="384" t="s">
        <v>59</v>
      </c>
      <c r="Q824" s="384" t="s">
        <v>200</v>
      </c>
    </row>
    <row r="825" spans="1:17" s="216" customFormat="1" ht="10.5" x14ac:dyDescent="0.25">
      <c r="A825" s="242"/>
      <c r="D825" s="267"/>
      <c r="E825" s="723"/>
      <c r="F825" s="588"/>
      <c r="G825" s="585"/>
      <c r="H825" s="588"/>
      <c r="I825" s="586"/>
      <c r="J825" s="588"/>
      <c r="K825" s="588"/>
      <c r="L825" s="588"/>
      <c r="M825" s="588"/>
      <c r="N825" s="588"/>
      <c r="O825" s="588"/>
      <c r="P825" s="588"/>
      <c r="Q825" s="723"/>
    </row>
    <row r="826" spans="1:17" s="216" customFormat="1" x14ac:dyDescent="0.2">
      <c r="A826" s="242">
        <v>1</v>
      </c>
      <c r="B826" s="216" t="str">
        <f>B222</f>
        <v>GTR</v>
      </c>
      <c r="C826" s="216" t="str">
        <f>C222</f>
        <v xml:space="preserve">GTS Choice - Residential </v>
      </c>
      <c r="D826" s="267"/>
      <c r="F826" s="269"/>
      <c r="G826" s="418"/>
      <c r="H826" s="269"/>
      <c r="I826" s="272"/>
      <c r="J826" s="269"/>
      <c r="K826" s="269"/>
      <c r="L826" s="269"/>
      <c r="M826" s="269"/>
      <c r="N826" s="269"/>
      <c r="O826" s="269"/>
      <c r="P826" s="269"/>
    </row>
    <row r="827" spans="1:17" s="216" customFormat="1" x14ac:dyDescent="0.2">
      <c r="A827" s="242"/>
      <c r="D827" s="267"/>
      <c r="F827" s="269"/>
      <c r="G827" s="418"/>
      <c r="H827" s="269"/>
      <c r="I827" s="272"/>
      <c r="J827" s="269"/>
      <c r="K827" s="269"/>
      <c r="L827" s="269"/>
      <c r="M827" s="269"/>
      <c r="N827" s="269"/>
      <c r="O827" s="269"/>
      <c r="P827" s="269"/>
    </row>
    <row r="828" spans="1:17" s="216" customFormat="1" ht="10.5" x14ac:dyDescent="0.25">
      <c r="A828" s="242">
        <f>A826+1</f>
        <v>2</v>
      </c>
      <c r="C828" s="245" t="s">
        <v>109</v>
      </c>
      <c r="D828" s="267"/>
      <c r="F828" s="269"/>
      <c r="G828" s="418"/>
      <c r="H828" s="269"/>
      <c r="I828" s="272"/>
      <c r="J828" s="269"/>
      <c r="K828" s="269"/>
      <c r="L828" s="269"/>
      <c r="M828" s="269"/>
      <c r="N828" s="269"/>
      <c r="O828" s="269"/>
      <c r="P828" s="269"/>
    </row>
    <row r="829" spans="1:17" s="216" customFormat="1" ht="10.5" x14ac:dyDescent="0.25">
      <c r="A829" s="242"/>
      <c r="C829" s="245"/>
      <c r="D829" s="267"/>
      <c r="F829" s="269"/>
      <c r="G829" s="418"/>
      <c r="H829" s="269"/>
      <c r="I829" s="272"/>
      <c r="J829" s="269"/>
      <c r="K829" s="269"/>
      <c r="L829" s="269"/>
      <c r="M829" s="269"/>
      <c r="N829" s="269"/>
      <c r="O829" s="269"/>
      <c r="P829" s="269"/>
    </row>
    <row r="830" spans="1:17" s="216" customFormat="1" x14ac:dyDescent="0.2">
      <c r="A830" s="242">
        <f>A828+1</f>
        <v>3</v>
      </c>
      <c r="C830" s="216" t="s">
        <v>199</v>
      </c>
      <c r="D830" s="267"/>
      <c r="E830" s="421">
        <f>B!D164</f>
        <v>14412</v>
      </c>
      <c r="F830" s="421">
        <f>B!E164</f>
        <v>14308</v>
      </c>
      <c r="G830" s="421">
        <f>B!F164</f>
        <v>14237</v>
      </c>
      <c r="H830" s="421">
        <f>B!G164</f>
        <v>14116</v>
      </c>
      <c r="I830" s="421">
        <f>B!H164</f>
        <v>14041</v>
      </c>
      <c r="J830" s="421">
        <f>B!I164</f>
        <v>13964</v>
      </c>
      <c r="K830" s="421">
        <f>B!J164</f>
        <v>13875</v>
      </c>
      <c r="L830" s="421">
        <f>B!K164</f>
        <v>13809</v>
      </c>
      <c r="M830" s="421">
        <f>B!L164</f>
        <v>13699</v>
      </c>
      <c r="N830" s="421">
        <f>B!M164</f>
        <v>13597</v>
      </c>
      <c r="O830" s="421">
        <f>B!N164</f>
        <v>13511</v>
      </c>
      <c r="P830" s="421">
        <f>B!O164</f>
        <v>13424</v>
      </c>
      <c r="Q830" s="421">
        <f>SUM(E830:P830)</f>
        <v>166993</v>
      </c>
    </row>
    <row r="831" spans="1:17" s="216" customFormat="1" x14ac:dyDescent="0.2">
      <c r="A831" s="242">
        <f>A830+1</f>
        <v>4</v>
      </c>
      <c r="C831" s="216" t="s">
        <v>207</v>
      </c>
      <c r="D831" s="608">
        <f>Input!V38</f>
        <v>29.2</v>
      </c>
      <c r="E831" s="386">
        <f t="shared" ref="E831:P831" si="322">ROUND(E830*$D$831,2)</f>
        <v>420830.4</v>
      </c>
      <c r="F831" s="386">
        <f t="shared" si="322"/>
        <v>417793.6</v>
      </c>
      <c r="G831" s="386">
        <f t="shared" si="322"/>
        <v>415720.4</v>
      </c>
      <c r="H831" s="386">
        <f t="shared" si="322"/>
        <v>412187.2</v>
      </c>
      <c r="I831" s="386">
        <f t="shared" si="322"/>
        <v>409997.2</v>
      </c>
      <c r="J831" s="386">
        <f t="shared" si="322"/>
        <v>407748.8</v>
      </c>
      <c r="K831" s="386">
        <f t="shared" si="322"/>
        <v>405150</v>
      </c>
      <c r="L831" s="386">
        <f t="shared" si="322"/>
        <v>403222.8</v>
      </c>
      <c r="M831" s="386">
        <f t="shared" si="322"/>
        <v>400010.8</v>
      </c>
      <c r="N831" s="386">
        <f t="shared" si="322"/>
        <v>397032.4</v>
      </c>
      <c r="O831" s="386">
        <f t="shared" si="322"/>
        <v>394521.2</v>
      </c>
      <c r="P831" s="386">
        <f t="shared" si="322"/>
        <v>391980.79999999999</v>
      </c>
      <c r="Q831" s="386">
        <f>SUM(E831:P831)</f>
        <v>4876195.5999999987</v>
      </c>
    </row>
    <row r="832" spans="1:17" s="216" customFormat="1" x14ac:dyDescent="0.2">
      <c r="A832" s="242">
        <f>A831+1</f>
        <v>5</v>
      </c>
      <c r="C832" s="216" t="s">
        <v>208</v>
      </c>
      <c r="D832" s="608">
        <f>Input!X38</f>
        <v>0</v>
      </c>
      <c r="E832" s="386">
        <f t="shared" ref="E832:P832" si="323">ROUND(E830*$D$832,2)</f>
        <v>0</v>
      </c>
      <c r="F832" s="386">
        <f t="shared" si="323"/>
        <v>0</v>
      </c>
      <c r="G832" s="386">
        <f t="shared" si="323"/>
        <v>0</v>
      </c>
      <c r="H832" s="386">
        <f t="shared" si="323"/>
        <v>0</v>
      </c>
      <c r="I832" s="386">
        <f t="shared" si="323"/>
        <v>0</v>
      </c>
      <c r="J832" s="386">
        <f t="shared" si="323"/>
        <v>0</v>
      </c>
      <c r="K832" s="386">
        <f t="shared" si="323"/>
        <v>0</v>
      </c>
      <c r="L832" s="386">
        <f t="shared" si="323"/>
        <v>0</v>
      </c>
      <c r="M832" s="386">
        <f t="shared" si="323"/>
        <v>0</v>
      </c>
      <c r="N832" s="386">
        <f t="shared" si="323"/>
        <v>0</v>
      </c>
      <c r="O832" s="386">
        <f t="shared" si="323"/>
        <v>0</v>
      </c>
      <c r="P832" s="386">
        <f t="shared" si="323"/>
        <v>0</v>
      </c>
      <c r="Q832" s="386">
        <f>SUM(E832:P832)</f>
        <v>0</v>
      </c>
    </row>
    <row r="833" spans="1:17" s="216" customFormat="1" x14ac:dyDescent="0.2">
      <c r="A833" s="242"/>
      <c r="D833" s="267"/>
      <c r="F833" s="269"/>
      <c r="G833" s="418"/>
      <c r="H833" s="269"/>
      <c r="I833" s="272"/>
      <c r="J833" s="269"/>
      <c r="K833" s="269"/>
      <c r="L833" s="269"/>
      <c r="M833" s="269"/>
      <c r="N833" s="269"/>
      <c r="O833" s="269"/>
      <c r="P833" s="269"/>
    </row>
    <row r="834" spans="1:17" s="216" customFormat="1" x14ac:dyDescent="0.2">
      <c r="A834" s="242">
        <f>A832+1</f>
        <v>6</v>
      </c>
      <c r="C834" s="216" t="s">
        <v>206</v>
      </c>
      <c r="D834" s="267"/>
      <c r="E834" s="424">
        <f>'C'!D187</f>
        <v>212675.3</v>
      </c>
      <c r="F834" s="424">
        <f>'C'!E187</f>
        <v>214378.7</v>
      </c>
      <c r="G834" s="424">
        <f>'C'!F187</f>
        <v>164319.6</v>
      </c>
      <c r="H834" s="424">
        <f>'C'!G187</f>
        <v>95714.2</v>
      </c>
      <c r="I834" s="424">
        <f>'C'!H187</f>
        <v>41538.6</v>
      </c>
      <c r="J834" s="424">
        <f>'C'!I187</f>
        <v>20296.2</v>
      </c>
      <c r="K834" s="424">
        <f>'C'!J187</f>
        <v>10992.1</v>
      </c>
      <c r="L834" s="424">
        <f>'C'!K187</f>
        <v>11810.7</v>
      </c>
      <c r="M834" s="424">
        <f>'C'!L187</f>
        <v>13181.9</v>
      </c>
      <c r="N834" s="424">
        <f>'C'!M187</f>
        <v>24764.3</v>
      </c>
      <c r="O834" s="424">
        <f>'C'!N187</f>
        <v>64840.6</v>
      </c>
      <c r="P834" s="424">
        <f>'C'!O187</f>
        <v>148097.5</v>
      </c>
      <c r="Q834" s="424">
        <f>SUM(E834:P834)</f>
        <v>1022609.6999999998</v>
      </c>
    </row>
    <row r="835" spans="1:17" s="216" customFormat="1" x14ac:dyDescent="0.2">
      <c r="A835" s="242">
        <f>A834+1</f>
        <v>7</v>
      </c>
      <c r="C835" s="216" t="s">
        <v>209</v>
      </c>
      <c r="D835" s="609">
        <f>Input!Q38</f>
        <v>4.2263000000000002</v>
      </c>
      <c r="E835" s="386">
        <f t="shared" ref="E835:P835" si="324">ROUND(E834*$D$835,2)</f>
        <v>898829.62</v>
      </c>
      <c r="F835" s="386">
        <f t="shared" si="324"/>
        <v>906028.7</v>
      </c>
      <c r="G835" s="386">
        <f t="shared" si="324"/>
        <v>694463.93</v>
      </c>
      <c r="H835" s="386">
        <f t="shared" si="324"/>
        <v>404516.92</v>
      </c>
      <c r="I835" s="386">
        <f t="shared" si="324"/>
        <v>175554.59</v>
      </c>
      <c r="J835" s="386">
        <f t="shared" si="324"/>
        <v>85777.83</v>
      </c>
      <c r="K835" s="386">
        <f t="shared" si="324"/>
        <v>46455.91</v>
      </c>
      <c r="L835" s="386">
        <f t="shared" si="324"/>
        <v>49915.56</v>
      </c>
      <c r="M835" s="386">
        <f t="shared" si="324"/>
        <v>55710.66</v>
      </c>
      <c r="N835" s="386">
        <f t="shared" si="324"/>
        <v>104661.36</v>
      </c>
      <c r="O835" s="386">
        <f t="shared" si="324"/>
        <v>274035.83</v>
      </c>
      <c r="P835" s="386">
        <f t="shared" si="324"/>
        <v>625904.46</v>
      </c>
      <c r="Q835" s="386">
        <f>SUM(E835:P835)</f>
        <v>4321855.37</v>
      </c>
    </row>
    <row r="836" spans="1:17" s="216" customFormat="1" x14ac:dyDescent="0.2">
      <c r="A836" s="242">
        <f>A835+1</f>
        <v>8</v>
      </c>
      <c r="C836" s="667" t="s">
        <v>529</v>
      </c>
      <c r="D836" s="609">
        <v>0</v>
      </c>
      <c r="E836" s="431">
        <f t="shared" ref="E836:P836" si="325">ROUND(E834*$D$836,2)</f>
        <v>0</v>
      </c>
      <c r="F836" s="431">
        <f t="shared" si="325"/>
        <v>0</v>
      </c>
      <c r="G836" s="431">
        <f t="shared" si="325"/>
        <v>0</v>
      </c>
      <c r="H836" s="431">
        <f t="shared" si="325"/>
        <v>0</v>
      </c>
      <c r="I836" s="431">
        <f t="shared" si="325"/>
        <v>0</v>
      </c>
      <c r="J836" s="431">
        <f t="shared" si="325"/>
        <v>0</v>
      </c>
      <c r="K836" s="431">
        <f t="shared" si="325"/>
        <v>0</v>
      </c>
      <c r="L836" s="431">
        <f t="shared" si="325"/>
        <v>0</v>
      </c>
      <c r="M836" s="431">
        <f t="shared" si="325"/>
        <v>0</v>
      </c>
      <c r="N836" s="431">
        <f t="shared" si="325"/>
        <v>0</v>
      </c>
      <c r="O836" s="431">
        <f t="shared" si="325"/>
        <v>0</v>
      </c>
      <c r="P836" s="431">
        <f t="shared" si="325"/>
        <v>0</v>
      </c>
      <c r="Q836" s="431">
        <f>SUM(E836:P836)</f>
        <v>0</v>
      </c>
    </row>
    <row r="837" spans="1:17" s="216" customFormat="1" x14ac:dyDescent="0.2">
      <c r="A837" s="242">
        <f t="shared" ref="A837" si="326">A836+1</f>
        <v>9</v>
      </c>
      <c r="C837" s="216" t="s">
        <v>201</v>
      </c>
      <c r="D837" s="267"/>
      <c r="E837" s="386">
        <f t="shared" ref="E837:P837" si="327">E831+E832+E835+E836</f>
        <v>1319660.02</v>
      </c>
      <c r="F837" s="386">
        <f t="shared" si="327"/>
        <v>1323822.2999999998</v>
      </c>
      <c r="G837" s="386">
        <f t="shared" si="327"/>
        <v>1110184.33</v>
      </c>
      <c r="H837" s="386">
        <f t="shared" si="327"/>
        <v>816704.12</v>
      </c>
      <c r="I837" s="386">
        <f t="shared" si="327"/>
        <v>585551.79</v>
      </c>
      <c r="J837" s="386">
        <f t="shared" si="327"/>
        <v>493526.63</v>
      </c>
      <c r="K837" s="386">
        <f t="shared" si="327"/>
        <v>451605.91000000003</v>
      </c>
      <c r="L837" s="386">
        <f t="shared" si="327"/>
        <v>453138.36</v>
      </c>
      <c r="M837" s="386">
        <f t="shared" si="327"/>
        <v>455721.45999999996</v>
      </c>
      <c r="N837" s="386">
        <f t="shared" si="327"/>
        <v>501693.76</v>
      </c>
      <c r="O837" s="386">
        <f t="shared" si="327"/>
        <v>668557.03</v>
      </c>
      <c r="P837" s="386">
        <f t="shared" si="327"/>
        <v>1017885.26</v>
      </c>
      <c r="Q837" s="386">
        <f>SUM(E837:P837)</f>
        <v>9198050.9700000007</v>
      </c>
    </row>
    <row r="838" spans="1:17" s="216" customFormat="1" x14ac:dyDescent="0.2">
      <c r="A838" s="242"/>
      <c r="D838" s="267"/>
      <c r="E838" s="726"/>
      <c r="F838" s="726"/>
      <c r="G838" s="726"/>
      <c r="H838" s="726"/>
      <c r="I838" s="726"/>
      <c r="J838" s="726"/>
      <c r="K838" s="726"/>
      <c r="L838" s="726"/>
      <c r="M838" s="726"/>
      <c r="N838" s="726"/>
      <c r="O838" s="726"/>
      <c r="P838" s="726"/>
      <c r="Q838" s="595"/>
    </row>
    <row r="839" spans="1:17" s="216" customFormat="1" x14ac:dyDescent="0.2">
      <c r="A839" s="242">
        <f>A837+1</f>
        <v>10</v>
      </c>
      <c r="C839" s="216" t="s">
        <v>148</v>
      </c>
      <c r="D839" s="609">
        <v>0</v>
      </c>
      <c r="E839" s="386">
        <v>0</v>
      </c>
      <c r="F839" s="386">
        <v>0</v>
      </c>
      <c r="G839" s="386">
        <v>0</v>
      </c>
      <c r="H839" s="386">
        <v>0</v>
      </c>
      <c r="I839" s="386">
        <v>0</v>
      </c>
      <c r="J839" s="386">
        <v>0</v>
      </c>
      <c r="K839" s="386">
        <v>0</v>
      </c>
      <c r="L839" s="386">
        <v>0</v>
      </c>
      <c r="M839" s="386">
        <v>0</v>
      </c>
      <c r="N839" s="386">
        <v>0</v>
      </c>
      <c r="O839" s="386">
        <v>0</v>
      </c>
      <c r="P839" s="386">
        <v>0</v>
      </c>
      <c r="Q839" s="386">
        <f>SUM(E839:P839)</f>
        <v>0</v>
      </c>
    </row>
    <row r="840" spans="1:17" s="216" customFormat="1" x14ac:dyDescent="0.2">
      <c r="A840" s="242"/>
      <c r="D840" s="267"/>
      <c r="E840" s="594"/>
      <c r="F840" s="594"/>
      <c r="G840" s="594"/>
      <c r="H840" s="594"/>
      <c r="I840" s="594"/>
      <c r="J840" s="594"/>
      <c r="K840" s="594"/>
      <c r="L840" s="594"/>
      <c r="M840" s="594"/>
      <c r="N840" s="594"/>
      <c r="O840" s="594"/>
      <c r="P840" s="594"/>
      <c r="Q840" s="594"/>
    </row>
    <row r="841" spans="1:17" s="216" customFormat="1" x14ac:dyDescent="0.2">
      <c r="A841" s="577">
        <f>A839+1</f>
        <v>11</v>
      </c>
      <c r="B841" s="402"/>
      <c r="C841" s="412" t="s">
        <v>203</v>
      </c>
      <c r="D841" s="412"/>
      <c r="E841" s="406">
        <f t="shared" ref="E841:N841" si="328">E837+E839</f>
        <v>1319660.02</v>
      </c>
      <c r="F841" s="406">
        <f t="shared" si="328"/>
        <v>1323822.2999999998</v>
      </c>
      <c r="G841" s="406">
        <f t="shared" si="328"/>
        <v>1110184.33</v>
      </c>
      <c r="H841" s="406">
        <f t="shared" si="328"/>
        <v>816704.12</v>
      </c>
      <c r="I841" s="406">
        <f t="shared" si="328"/>
        <v>585551.79</v>
      </c>
      <c r="J841" s="406">
        <f t="shared" si="328"/>
        <v>493526.63</v>
      </c>
      <c r="K841" s="406">
        <f t="shared" si="328"/>
        <v>451605.91000000003</v>
      </c>
      <c r="L841" s="406">
        <f t="shared" si="328"/>
        <v>453138.36</v>
      </c>
      <c r="M841" s="406">
        <f t="shared" si="328"/>
        <v>455721.45999999996</v>
      </c>
      <c r="N841" s="406">
        <f t="shared" si="328"/>
        <v>501693.76</v>
      </c>
      <c r="O841" s="406">
        <f>O837+O839</f>
        <v>668557.03</v>
      </c>
      <c r="P841" s="406">
        <f>P837+P839</f>
        <v>1017885.26</v>
      </c>
      <c r="Q841" s="406">
        <f>SUM(E841:P841)</f>
        <v>9198050.9700000007</v>
      </c>
    </row>
    <row r="842" spans="1:17" s="216" customFormat="1" x14ac:dyDescent="0.2">
      <c r="A842" s="242"/>
      <c r="D842" s="267"/>
      <c r="E842" s="430"/>
      <c r="F842" s="430"/>
      <c r="G842" s="430"/>
      <c r="H842" s="430"/>
      <c r="I842" s="430"/>
      <c r="J842" s="430"/>
      <c r="K842" s="430"/>
      <c r="L842" s="430"/>
      <c r="M842" s="430"/>
      <c r="N842" s="430"/>
      <c r="O842" s="430"/>
      <c r="P842" s="430"/>
      <c r="Q842" s="430"/>
    </row>
    <row r="843" spans="1:17" s="216" customFormat="1" x14ac:dyDescent="0.2">
      <c r="A843" s="242">
        <f>A841+1</f>
        <v>12</v>
      </c>
      <c r="C843" s="216" t="s">
        <v>193</v>
      </c>
      <c r="D843" s="267"/>
      <c r="E843" s="430"/>
      <c r="F843" s="430"/>
      <c r="G843" s="430"/>
      <c r="H843" s="430"/>
      <c r="I843" s="430"/>
      <c r="J843" s="430"/>
      <c r="K843" s="430"/>
      <c r="L843" s="430"/>
      <c r="M843" s="430"/>
      <c r="N843" s="430"/>
      <c r="O843" s="430"/>
      <c r="P843" s="430"/>
      <c r="Q843" s="430"/>
    </row>
    <row r="844" spans="1:17" s="216" customFormat="1" x14ac:dyDescent="0.2">
      <c r="A844" s="242">
        <f>A843+1</f>
        <v>13</v>
      </c>
      <c r="C844" s="216" t="s">
        <v>210</v>
      </c>
      <c r="D844" s="609">
        <f>Input!Y38</f>
        <v>0.28999999999999998</v>
      </c>
      <c r="E844" s="386">
        <f t="shared" ref="E844:P844" si="329">ROUND(E830*$D$844,2)</f>
        <v>4179.4799999999996</v>
      </c>
      <c r="F844" s="386">
        <f t="shared" si="329"/>
        <v>4149.32</v>
      </c>
      <c r="G844" s="386">
        <f t="shared" si="329"/>
        <v>4128.7299999999996</v>
      </c>
      <c r="H844" s="386">
        <f t="shared" si="329"/>
        <v>4093.64</v>
      </c>
      <c r="I844" s="386">
        <f t="shared" si="329"/>
        <v>4071.89</v>
      </c>
      <c r="J844" s="386">
        <f t="shared" si="329"/>
        <v>4049.56</v>
      </c>
      <c r="K844" s="386">
        <f t="shared" si="329"/>
        <v>4023.75</v>
      </c>
      <c r="L844" s="386">
        <f t="shared" si="329"/>
        <v>4004.61</v>
      </c>
      <c r="M844" s="386">
        <f t="shared" si="329"/>
        <v>3972.71</v>
      </c>
      <c r="N844" s="386">
        <f t="shared" si="329"/>
        <v>3943.13</v>
      </c>
      <c r="O844" s="386">
        <f t="shared" si="329"/>
        <v>3918.19</v>
      </c>
      <c r="P844" s="386">
        <f t="shared" si="329"/>
        <v>3892.96</v>
      </c>
      <c r="Q844" s="386">
        <f>SUM(E844:P844)</f>
        <v>48427.97</v>
      </c>
    </row>
    <row r="845" spans="1:17" s="216" customFormat="1" x14ac:dyDescent="0.2">
      <c r="A845" s="242">
        <f t="shared" ref="A845:A846" si="330">A844+1</f>
        <v>14</v>
      </c>
      <c r="C845" s="667" t="s">
        <v>140</v>
      </c>
      <c r="D845" s="609">
        <f>Input!$AA$38</f>
        <v>1.44E-2</v>
      </c>
      <c r="E845" s="267">
        <f>$D$845*E834</f>
        <v>3062.5243199999995</v>
      </c>
      <c r="F845" s="267">
        <f t="shared" ref="F845:P845" si="331">$D$845*F834</f>
        <v>3087.0532800000001</v>
      </c>
      <c r="G845" s="267">
        <f t="shared" si="331"/>
        <v>2366.2022400000001</v>
      </c>
      <c r="H845" s="267">
        <f t="shared" si="331"/>
        <v>1378.28448</v>
      </c>
      <c r="I845" s="267">
        <f t="shared" si="331"/>
        <v>598.15584000000001</v>
      </c>
      <c r="J845" s="267">
        <f t="shared" si="331"/>
        <v>292.26528000000002</v>
      </c>
      <c r="K845" s="267">
        <f t="shared" si="331"/>
        <v>158.28623999999999</v>
      </c>
      <c r="L845" s="267">
        <f t="shared" si="331"/>
        <v>170.07408000000001</v>
      </c>
      <c r="M845" s="267">
        <f t="shared" si="331"/>
        <v>189.81935999999999</v>
      </c>
      <c r="N845" s="267">
        <f t="shared" si="331"/>
        <v>356.60591999999997</v>
      </c>
      <c r="O845" s="267">
        <f t="shared" si="331"/>
        <v>933.70463999999993</v>
      </c>
      <c r="P845" s="267">
        <f t="shared" si="331"/>
        <v>2132.6039999999998</v>
      </c>
      <c r="Q845" s="386">
        <f>SUM(E845:P845)</f>
        <v>14725.579679999997</v>
      </c>
    </row>
    <row r="846" spans="1:17" s="216" customFormat="1" x14ac:dyDescent="0.2">
      <c r="A846" s="242">
        <f t="shared" si="330"/>
        <v>15</v>
      </c>
      <c r="C846" s="216" t="s">
        <v>212</v>
      </c>
      <c r="D846" s="609">
        <f>Input!Z38</f>
        <v>0.3</v>
      </c>
      <c r="E846" s="255">
        <f t="shared" ref="E846:P846" si="332">ROUND(E830*$D$846,2)</f>
        <v>4323.6000000000004</v>
      </c>
      <c r="F846" s="255">
        <f t="shared" si="332"/>
        <v>4292.3999999999996</v>
      </c>
      <c r="G846" s="255">
        <f t="shared" si="332"/>
        <v>4271.1000000000004</v>
      </c>
      <c r="H846" s="255">
        <f t="shared" si="332"/>
        <v>4234.8</v>
      </c>
      <c r="I846" s="255">
        <f t="shared" si="332"/>
        <v>4212.3</v>
      </c>
      <c r="J846" s="255">
        <f t="shared" si="332"/>
        <v>4189.2</v>
      </c>
      <c r="K846" s="255">
        <f t="shared" si="332"/>
        <v>4162.5</v>
      </c>
      <c r="L846" s="255">
        <f t="shared" si="332"/>
        <v>4142.7</v>
      </c>
      <c r="M846" s="255">
        <f t="shared" si="332"/>
        <v>4109.7</v>
      </c>
      <c r="N846" s="255">
        <f t="shared" si="332"/>
        <v>4079.1</v>
      </c>
      <c r="O846" s="255">
        <f t="shared" si="332"/>
        <v>4053.3</v>
      </c>
      <c r="P846" s="255">
        <f t="shared" si="332"/>
        <v>4027.2</v>
      </c>
      <c r="Q846" s="255">
        <f>SUM(E846:P846)</f>
        <v>50097.899999999994</v>
      </c>
    </row>
    <row r="847" spans="1:17" s="216" customFormat="1" x14ac:dyDescent="0.2">
      <c r="A847" s="242">
        <f>A846+1</f>
        <v>16</v>
      </c>
      <c r="C847" s="216" t="s">
        <v>213</v>
      </c>
      <c r="D847" s="267"/>
      <c r="E847" s="386">
        <f>SUM(E844:E846)</f>
        <v>11565.604319999999</v>
      </c>
      <c r="F847" s="386">
        <f t="shared" ref="F847:P847" si="333">SUM(F844:F846)</f>
        <v>11528.773279999999</v>
      </c>
      <c r="G847" s="386">
        <f t="shared" si="333"/>
        <v>10766.03224</v>
      </c>
      <c r="H847" s="386">
        <f t="shared" si="333"/>
        <v>9706.7244800000008</v>
      </c>
      <c r="I847" s="386">
        <f t="shared" si="333"/>
        <v>8882.34584</v>
      </c>
      <c r="J847" s="386">
        <f t="shared" si="333"/>
        <v>8531.0252799999998</v>
      </c>
      <c r="K847" s="386">
        <f t="shared" si="333"/>
        <v>8344.5362400000013</v>
      </c>
      <c r="L847" s="386">
        <f t="shared" si="333"/>
        <v>8317.3840799999998</v>
      </c>
      <c r="M847" s="386">
        <f t="shared" si="333"/>
        <v>8272.2293600000012</v>
      </c>
      <c r="N847" s="386">
        <f t="shared" si="333"/>
        <v>8378.8359199999995</v>
      </c>
      <c r="O847" s="386">
        <f t="shared" si="333"/>
        <v>8905.1946400000015</v>
      </c>
      <c r="P847" s="386">
        <f t="shared" si="333"/>
        <v>10052.763999999999</v>
      </c>
      <c r="Q847" s="386">
        <f>SUM(E847:P847)</f>
        <v>113251.44967999999</v>
      </c>
    </row>
    <row r="848" spans="1:17" s="216" customFormat="1" x14ac:dyDescent="0.2">
      <c r="A848" s="242"/>
      <c r="D848" s="267"/>
      <c r="F848" s="269"/>
      <c r="G848" s="418"/>
      <c r="H848" s="269"/>
      <c r="I848" s="272"/>
      <c r="J848" s="269"/>
      <c r="K848" s="269"/>
      <c r="L848" s="269"/>
      <c r="M848" s="269"/>
      <c r="N848" s="269"/>
      <c r="O848" s="269"/>
      <c r="P848" s="269"/>
    </row>
    <row r="849" spans="1:17" s="280" customFormat="1" ht="10.5" thickBot="1" x14ac:dyDescent="0.25">
      <c r="A849" s="580">
        <f>A847+1</f>
        <v>17</v>
      </c>
      <c r="B849" s="434"/>
      <c r="C849" s="581" t="s">
        <v>202</v>
      </c>
      <c r="D849" s="582"/>
      <c r="E849" s="435">
        <f>E841+E847</f>
        <v>1331225.6243199999</v>
      </c>
      <c r="F849" s="435">
        <f t="shared" ref="F849:P849" si="334">F841+F847</f>
        <v>1335351.0732799999</v>
      </c>
      <c r="G849" s="435">
        <f t="shared" si="334"/>
        <v>1120950.3622400002</v>
      </c>
      <c r="H849" s="435">
        <f t="shared" si="334"/>
        <v>826410.84447999997</v>
      </c>
      <c r="I849" s="435">
        <f t="shared" si="334"/>
        <v>594434.13584</v>
      </c>
      <c r="J849" s="435">
        <f t="shared" si="334"/>
        <v>502057.65528000001</v>
      </c>
      <c r="K849" s="435">
        <f t="shared" si="334"/>
        <v>459950.44624000002</v>
      </c>
      <c r="L849" s="435">
        <f t="shared" si="334"/>
        <v>461455.74407999997</v>
      </c>
      <c r="M849" s="435">
        <f t="shared" si="334"/>
        <v>463993.68935999996</v>
      </c>
      <c r="N849" s="435">
        <f t="shared" si="334"/>
        <v>510072.59591999999</v>
      </c>
      <c r="O849" s="435">
        <f t="shared" si="334"/>
        <v>677462.22464000003</v>
      </c>
      <c r="P849" s="435">
        <f t="shared" si="334"/>
        <v>1027938.024</v>
      </c>
      <c r="Q849" s="435">
        <f>SUM(E849:P849)</f>
        <v>9311302.4196799994</v>
      </c>
    </row>
    <row r="850" spans="1:17" s="216" customFormat="1" ht="10.5" thickTop="1" x14ac:dyDescent="0.2">
      <c r="A850" s="242"/>
      <c r="D850" s="267"/>
      <c r="F850" s="269"/>
      <c r="G850" s="418"/>
      <c r="H850" s="269"/>
      <c r="I850" s="272"/>
      <c r="J850" s="269"/>
      <c r="K850" s="269"/>
      <c r="L850" s="269"/>
      <c r="M850" s="269"/>
      <c r="N850" s="269"/>
      <c r="O850" s="269"/>
      <c r="P850" s="269"/>
    </row>
    <row r="851" spans="1:17" s="216" customFormat="1" x14ac:dyDescent="0.2">
      <c r="A851" s="242"/>
      <c r="D851" s="267"/>
      <c r="F851" s="269"/>
      <c r="G851" s="418"/>
      <c r="H851" s="269"/>
      <c r="I851" s="272"/>
      <c r="J851" s="269"/>
      <c r="K851" s="269"/>
      <c r="L851" s="269"/>
      <c r="M851" s="269"/>
      <c r="N851" s="269"/>
      <c r="O851" s="269"/>
      <c r="P851" s="269"/>
    </row>
    <row r="852" spans="1:17" s="216" customFormat="1" x14ac:dyDescent="0.2">
      <c r="A852" s="242">
        <f>A849+1</f>
        <v>18</v>
      </c>
      <c r="B852" s="216" t="str">
        <f>B229</f>
        <v>GTO</v>
      </c>
      <c r="C852" s="216" t="str">
        <f>C229</f>
        <v>GTS Choice - Commercial</v>
      </c>
      <c r="D852" s="267"/>
      <c r="F852" s="269"/>
      <c r="G852" s="418"/>
      <c r="H852" s="269"/>
      <c r="I852" s="272"/>
      <c r="J852" s="269"/>
      <c r="K852" s="269"/>
      <c r="L852" s="269"/>
      <c r="M852" s="269"/>
      <c r="N852" s="269"/>
      <c r="O852" s="269"/>
      <c r="P852" s="269"/>
    </row>
    <row r="853" spans="1:17" s="216" customFormat="1" x14ac:dyDescent="0.2">
      <c r="A853" s="242"/>
      <c r="D853" s="267"/>
      <c r="F853" s="269"/>
      <c r="G853" s="418"/>
      <c r="H853" s="269"/>
      <c r="I853" s="272"/>
      <c r="J853" s="269"/>
      <c r="K853" s="269"/>
      <c r="L853" s="269"/>
      <c r="M853" s="269"/>
      <c r="N853" s="269"/>
      <c r="O853" s="269"/>
      <c r="P853" s="269"/>
    </row>
    <row r="854" spans="1:17" s="216" customFormat="1" ht="10.5" x14ac:dyDescent="0.25">
      <c r="A854" s="242">
        <f>A852+1</f>
        <v>19</v>
      </c>
      <c r="C854" s="245" t="s">
        <v>111</v>
      </c>
      <c r="D854" s="267"/>
      <c r="F854" s="269"/>
      <c r="G854" s="418"/>
      <c r="H854" s="269"/>
      <c r="I854" s="272"/>
      <c r="J854" s="269"/>
      <c r="K854" s="269"/>
      <c r="L854" s="269"/>
      <c r="M854" s="269"/>
      <c r="N854" s="269"/>
      <c r="O854" s="269"/>
      <c r="P854" s="269"/>
    </row>
    <row r="855" spans="1:17" s="216" customFormat="1" ht="10.5" x14ac:dyDescent="0.25">
      <c r="A855" s="242"/>
      <c r="C855" s="245"/>
      <c r="D855" s="267"/>
      <c r="F855" s="269"/>
      <c r="G855" s="418"/>
      <c r="H855" s="269"/>
      <c r="I855" s="272"/>
      <c r="J855" s="269"/>
      <c r="K855" s="269"/>
      <c r="L855" s="269"/>
      <c r="M855" s="269"/>
      <c r="N855" s="269"/>
      <c r="O855" s="269"/>
      <c r="P855" s="269"/>
    </row>
    <row r="856" spans="1:17" s="216" customFormat="1" x14ac:dyDescent="0.2">
      <c r="A856" s="242">
        <f>A854+1</f>
        <v>20</v>
      </c>
      <c r="C856" s="216" t="s">
        <v>199</v>
      </c>
      <c r="D856" s="267"/>
      <c r="E856" s="421">
        <f>B!D170</f>
        <v>2990</v>
      </c>
      <c r="F856" s="421">
        <f>B!E170</f>
        <v>2989</v>
      </c>
      <c r="G856" s="421">
        <f>B!F170</f>
        <v>3221</v>
      </c>
      <c r="H856" s="421">
        <f>B!G170</f>
        <v>3224</v>
      </c>
      <c r="I856" s="421">
        <f>B!H170</f>
        <v>3231</v>
      </c>
      <c r="J856" s="421">
        <f>B!I170</f>
        <v>3234</v>
      </c>
      <c r="K856" s="421">
        <f>B!J170</f>
        <v>3237</v>
      </c>
      <c r="L856" s="421">
        <f>B!K170</f>
        <v>3238</v>
      </c>
      <c r="M856" s="421">
        <f>B!L170</f>
        <v>3227</v>
      </c>
      <c r="N856" s="421">
        <f>B!M170</f>
        <v>3233</v>
      </c>
      <c r="O856" s="421">
        <f>B!N170</f>
        <v>3232</v>
      </c>
      <c r="P856" s="421">
        <f>B!O170</f>
        <v>3230</v>
      </c>
      <c r="Q856" s="421">
        <f>SUM(E856:P856)</f>
        <v>38286</v>
      </c>
    </row>
    <row r="857" spans="1:17" s="216" customFormat="1" x14ac:dyDescent="0.2">
      <c r="A857" s="242">
        <f>A856+1</f>
        <v>21</v>
      </c>
      <c r="C857" s="216" t="s">
        <v>207</v>
      </c>
      <c r="D857" s="608">
        <f>Input!V39</f>
        <v>87.149999999999991</v>
      </c>
      <c r="E857" s="386">
        <f t="shared" ref="E857:P857" si="335">ROUND(E856*$D$857,2)</f>
        <v>260578.5</v>
      </c>
      <c r="F857" s="386">
        <f t="shared" si="335"/>
        <v>260491.35</v>
      </c>
      <c r="G857" s="386">
        <f t="shared" si="335"/>
        <v>280710.15000000002</v>
      </c>
      <c r="H857" s="386">
        <f t="shared" si="335"/>
        <v>280971.59999999998</v>
      </c>
      <c r="I857" s="386">
        <f t="shared" si="335"/>
        <v>281581.65000000002</v>
      </c>
      <c r="J857" s="386">
        <f t="shared" si="335"/>
        <v>281843.09999999998</v>
      </c>
      <c r="K857" s="386">
        <f t="shared" si="335"/>
        <v>282104.55</v>
      </c>
      <c r="L857" s="386">
        <f t="shared" si="335"/>
        <v>282191.7</v>
      </c>
      <c r="M857" s="386">
        <f t="shared" si="335"/>
        <v>281233.05</v>
      </c>
      <c r="N857" s="386">
        <f t="shared" si="335"/>
        <v>281755.95</v>
      </c>
      <c r="O857" s="386">
        <f t="shared" si="335"/>
        <v>281668.8</v>
      </c>
      <c r="P857" s="386">
        <f t="shared" si="335"/>
        <v>281494.5</v>
      </c>
      <c r="Q857" s="386">
        <f>SUM(E857:P857)</f>
        <v>3336624.9</v>
      </c>
    </row>
    <row r="858" spans="1:17" s="216" customFormat="1" x14ac:dyDescent="0.2">
      <c r="A858" s="242">
        <f>A857+1</f>
        <v>22</v>
      </c>
      <c r="C858" s="216" t="s">
        <v>208</v>
      </c>
      <c r="D858" s="608">
        <f>Input!X39</f>
        <v>0</v>
      </c>
      <c r="E858" s="386">
        <f t="shared" ref="E858:P858" si="336">ROUND(E856*$D$858,2)</f>
        <v>0</v>
      </c>
      <c r="F858" s="386">
        <f t="shared" si="336"/>
        <v>0</v>
      </c>
      <c r="G858" s="386">
        <f t="shared" si="336"/>
        <v>0</v>
      </c>
      <c r="H858" s="386">
        <f t="shared" si="336"/>
        <v>0</v>
      </c>
      <c r="I858" s="386">
        <f t="shared" si="336"/>
        <v>0</v>
      </c>
      <c r="J858" s="386">
        <f t="shared" si="336"/>
        <v>0</v>
      </c>
      <c r="K858" s="386">
        <f t="shared" si="336"/>
        <v>0</v>
      </c>
      <c r="L858" s="386">
        <f t="shared" si="336"/>
        <v>0</v>
      </c>
      <c r="M858" s="386">
        <f t="shared" si="336"/>
        <v>0</v>
      </c>
      <c r="N858" s="386">
        <f t="shared" si="336"/>
        <v>0</v>
      </c>
      <c r="O858" s="386">
        <f t="shared" si="336"/>
        <v>0</v>
      </c>
      <c r="P858" s="386">
        <f t="shared" si="336"/>
        <v>0</v>
      </c>
      <c r="Q858" s="386">
        <f>SUM(E858:P858)</f>
        <v>0</v>
      </c>
    </row>
    <row r="859" spans="1:17" s="216" customFormat="1" x14ac:dyDescent="0.2">
      <c r="A859" s="242"/>
      <c r="D859" s="267"/>
      <c r="F859" s="269"/>
      <c r="G859" s="418"/>
      <c r="H859" s="269"/>
      <c r="I859" s="272"/>
      <c r="J859" s="269"/>
      <c r="K859" s="269"/>
      <c r="L859" s="269"/>
      <c r="M859" s="269"/>
      <c r="N859" s="269"/>
      <c r="O859" s="269"/>
      <c r="P859" s="269"/>
    </row>
    <row r="860" spans="1:17" s="216" customFormat="1" x14ac:dyDescent="0.2">
      <c r="A860" s="242">
        <f>A858+1</f>
        <v>23</v>
      </c>
      <c r="C860" s="216" t="s">
        <v>206</v>
      </c>
      <c r="D860" s="267"/>
      <c r="F860" s="269"/>
      <c r="G860" s="418"/>
      <c r="H860" s="269"/>
      <c r="I860" s="272"/>
      <c r="J860" s="269"/>
      <c r="K860" s="269"/>
      <c r="L860" s="269"/>
      <c r="M860" s="269"/>
      <c r="N860" s="269"/>
      <c r="O860" s="269"/>
      <c r="P860" s="269"/>
    </row>
    <row r="861" spans="1:17" s="216" customFormat="1" x14ac:dyDescent="0.2">
      <c r="A861" s="242">
        <f>A860+1</f>
        <v>24</v>
      </c>
      <c r="C861" s="216" t="str">
        <f>'C'!B191</f>
        <v xml:space="preserve">    First 50 Mcf</v>
      </c>
      <c r="D861" s="267"/>
      <c r="E861" s="424">
        <f>'C'!D203</f>
        <v>89918.2</v>
      </c>
      <c r="F861" s="424">
        <f>'C'!E203</f>
        <v>90045.7</v>
      </c>
      <c r="G861" s="424">
        <f>'C'!F203</f>
        <v>81475</v>
      </c>
      <c r="H861" s="424">
        <f>'C'!G203</f>
        <v>55183.9</v>
      </c>
      <c r="I861" s="424">
        <f>'C'!H203</f>
        <v>42704.6</v>
      </c>
      <c r="J861" s="424">
        <f>'C'!I203</f>
        <v>27100.2</v>
      </c>
      <c r="K861" s="424">
        <f>'C'!J203</f>
        <v>20573</v>
      </c>
      <c r="L861" s="424">
        <f>'C'!K203</f>
        <v>19647.099999999999</v>
      </c>
      <c r="M861" s="424">
        <f>'C'!L203</f>
        <v>20361.400000000001</v>
      </c>
      <c r="N861" s="424">
        <f>'C'!M203</f>
        <v>25159</v>
      </c>
      <c r="O861" s="424">
        <f>'C'!N203</f>
        <v>45291.199999999997</v>
      </c>
      <c r="P861" s="424">
        <f>'C'!O203</f>
        <v>73567</v>
      </c>
      <c r="Q861" s="424">
        <f>SUM(E861:P861)</f>
        <v>591026.30000000005</v>
      </c>
    </row>
    <row r="862" spans="1:17" s="216" customFormat="1" x14ac:dyDescent="0.2">
      <c r="A862" s="242">
        <f>A861+1</f>
        <v>25</v>
      </c>
      <c r="C862" s="216" t="str">
        <f>'C'!B192</f>
        <v xml:space="preserve">    Next 350 Mcf</v>
      </c>
      <c r="D862" s="267"/>
      <c r="E862" s="424">
        <f>'C'!D204</f>
        <v>132725.29999999999</v>
      </c>
      <c r="F862" s="424">
        <f>'C'!E204</f>
        <v>126451.3</v>
      </c>
      <c r="G862" s="424">
        <f>'C'!F204</f>
        <v>104252.8</v>
      </c>
      <c r="H862" s="424">
        <f>'C'!G204</f>
        <v>50775.8</v>
      </c>
      <c r="I862" s="424">
        <f>'C'!H204</f>
        <v>32530.3</v>
      </c>
      <c r="J862" s="424">
        <f>'C'!I204</f>
        <v>23049.4</v>
      </c>
      <c r="K862" s="424">
        <f>'C'!J204</f>
        <v>16342.5</v>
      </c>
      <c r="L862" s="424">
        <f>'C'!K204</f>
        <v>15042.4</v>
      </c>
      <c r="M862" s="424">
        <f>'C'!L204</f>
        <v>16572</v>
      </c>
      <c r="N862" s="424">
        <f>'C'!M204</f>
        <v>21101.200000000001</v>
      </c>
      <c r="O862" s="424">
        <f>'C'!N204</f>
        <v>42393.8</v>
      </c>
      <c r="P862" s="424">
        <f>'C'!O204</f>
        <v>87220.1</v>
      </c>
      <c r="Q862" s="424">
        <f>SUM(E862:P862)</f>
        <v>668456.9</v>
      </c>
    </row>
    <row r="863" spans="1:17" s="216" customFormat="1" x14ac:dyDescent="0.2">
      <c r="A863" s="242">
        <f>A862+1</f>
        <v>26</v>
      </c>
      <c r="C863" s="216" t="str">
        <f>'C'!B193</f>
        <v xml:space="preserve">    Next 600 Mcf</v>
      </c>
      <c r="D863" s="267"/>
      <c r="E863" s="424">
        <f>'C'!D205</f>
        <v>38854.6</v>
      </c>
      <c r="F863" s="424">
        <f>'C'!E205</f>
        <v>35384.400000000001</v>
      </c>
      <c r="G863" s="424">
        <f>'C'!F205</f>
        <v>28835.4</v>
      </c>
      <c r="H863" s="424">
        <f>'C'!G205</f>
        <v>9699.6</v>
      </c>
      <c r="I863" s="424">
        <f>'C'!H205</f>
        <v>3903.4</v>
      </c>
      <c r="J863" s="424">
        <f>'C'!I205</f>
        <v>3727.8</v>
      </c>
      <c r="K863" s="424">
        <f>'C'!J205</f>
        <v>3354</v>
      </c>
      <c r="L863" s="424">
        <f>'C'!K205</f>
        <v>3243.8</v>
      </c>
      <c r="M863" s="424">
        <f>'C'!L205</f>
        <v>4678.6000000000004</v>
      </c>
      <c r="N863" s="424">
        <f>'C'!M205</f>
        <v>5004.7</v>
      </c>
      <c r="O863" s="424">
        <f>'C'!N205</f>
        <v>9489.5</v>
      </c>
      <c r="P863" s="424">
        <f>'C'!O205</f>
        <v>19791.400000000001</v>
      </c>
      <c r="Q863" s="424">
        <f>SUM(E863:P863)</f>
        <v>165967.20000000001</v>
      </c>
    </row>
    <row r="864" spans="1:17" s="216" customFormat="1" x14ac:dyDescent="0.2">
      <c r="A864" s="242">
        <f>A863+1</f>
        <v>27</v>
      </c>
      <c r="C864" s="216" t="str">
        <f>'C'!B194</f>
        <v xml:space="preserve">    Over 1,000 Mcf</v>
      </c>
      <c r="D864" s="255"/>
      <c r="E864" s="448">
        <f>'C'!D206</f>
        <v>14396.1</v>
      </c>
      <c r="F864" s="448">
        <f>'C'!E206</f>
        <v>12237.7</v>
      </c>
      <c r="G864" s="448">
        <f>'C'!F206</f>
        <v>8399.2999999999993</v>
      </c>
      <c r="H864" s="448">
        <f>'C'!G206</f>
        <v>2143.3000000000002</v>
      </c>
      <c r="I864" s="448">
        <f>'C'!H206</f>
        <v>494.6</v>
      </c>
      <c r="J864" s="448">
        <f>'C'!I206</f>
        <v>316.5</v>
      </c>
      <c r="K864" s="448">
        <f>'C'!J206</f>
        <v>331.7</v>
      </c>
      <c r="L864" s="448">
        <f>'C'!K206</f>
        <v>630</v>
      </c>
      <c r="M864" s="448">
        <f>'C'!L206</f>
        <v>1176.4000000000001</v>
      </c>
      <c r="N864" s="448">
        <f>'C'!M206</f>
        <v>1193.0999999999999</v>
      </c>
      <c r="O864" s="448">
        <f>'C'!N206</f>
        <v>2542.8000000000002</v>
      </c>
      <c r="P864" s="448">
        <f>'C'!O206</f>
        <v>6955.7</v>
      </c>
      <c r="Q864" s="448">
        <f>SUM(E864:P864)</f>
        <v>50817.200000000004</v>
      </c>
    </row>
    <row r="865" spans="1:17" s="216" customFormat="1" x14ac:dyDescent="0.2">
      <c r="A865" s="242"/>
      <c r="D865" s="255"/>
      <c r="E865" s="424">
        <f t="shared" ref="E865:P865" si="337">SUM(E861:E864)</f>
        <v>275894.2</v>
      </c>
      <c r="F865" s="424">
        <f t="shared" si="337"/>
        <v>264119.09999999998</v>
      </c>
      <c r="G865" s="424">
        <f t="shared" si="337"/>
        <v>222962.49999999997</v>
      </c>
      <c r="H865" s="424">
        <f t="shared" si="337"/>
        <v>117802.60000000002</v>
      </c>
      <c r="I865" s="424">
        <f t="shared" si="337"/>
        <v>79632.899999999994</v>
      </c>
      <c r="J865" s="424">
        <f t="shared" si="337"/>
        <v>54193.900000000009</v>
      </c>
      <c r="K865" s="424">
        <f t="shared" si="337"/>
        <v>40601.199999999997</v>
      </c>
      <c r="L865" s="424">
        <f t="shared" si="337"/>
        <v>38563.300000000003</v>
      </c>
      <c r="M865" s="424">
        <f t="shared" si="337"/>
        <v>42788.4</v>
      </c>
      <c r="N865" s="424">
        <f t="shared" si="337"/>
        <v>52457.999999999993</v>
      </c>
      <c r="O865" s="424">
        <f t="shared" si="337"/>
        <v>99717.3</v>
      </c>
      <c r="P865" s="424">
        <f t="shared" si="337"/>
        <v>187534.2</v>
      </c>
      <c r="Q865" s="424">
        <f>SUM(E865:P865)</f>
        <v>1476267.6</v>
      </c>
    </row>
    <row r="866" spans="1:17" s="216" customFormat="1" x14ac:dyDescent="0.2">
      <c r="A866" s="242">
        <f>A864+1</f>
        <v>28</v>
      </c>
      <c r="C866" s="216" t="s">
        <v>204</v>
      </c>
      <c r="D866" s="255"/>
      <c r="F866" s="269"/>
      <c r="G866" s="418"/>
      <c r="H866" s="269"/>
      <c r="I866" s="272"/>
      <c r="J866" s="269"/>
      <c r="K866" s="269"/>
      <c r="L866" s="269"/>
      <c r="M866" s="269"/>
      <c r="N866" s="269"/>
      <c r="O866" s="269"/>
      <c r="P866" s="269"/>
      <c r="Q866" s="456"/>
    </row>
    <row r="867" spans="1:17" s="216" customFormat="1" x14ac:dyDescent="0.2">
      <c r="A867" s="242">
        <f>A866+1</f>
        <v>29</v>
      </c>
      <c r="C867" s="216" t="str">
        <f>C861</f>
        <v xml:space="preserve">    First 50 Mcf</v>
      </c>
      <c r="D867" s="609">
        <f>Input!Q39</f>
        <v>3.5621999999999998</v>
      </c>
      <c r="E867" s="386">
        <f t="shared" ref="E867:P867" si="338">ROUND(E861*$D$867,2)</f>
        <v>320306.61</v>
      </c>
      <c r="F867" s="386">
        <f t="shared" si="338"/>
        <v>320760.78999999998</v>
      </c>
      <c r="G867" s="386">
        <f t="shared" si="338"/>
        <v>290230.25</v>
      </c>
      <c r="H867" s="386">
        <f t="shared" si="338"/>
        <v>196576.09</v>
      </c>
      <c r="I867" s="386">
        <f t="shared" si="338"/>
        <v>152122.32999999999</v>
      </c>
      <c r="J867" s="386">
        <f t="shared" si="338"/>
        <v>96536.33</v>
      </c>
      <c r="K867" s="386">
        <f t="shared" si="338"/>
        <v>73285.14</v>
      </c>
      <c r="L867" s="386">
        <f t="shared" si="338"/>
        <v>69986.899999999994</v>
      </c>
      <c r="M867" s="386">
        <f t="shared" si="338"/>
        <v>72531.38</v>
      </c>
      <c r="N867" s="386">
        <f t="shared" si="338"/>
        <v>89621.39</v>
      </c>
      <c r="O867" s="386">
        <f t="shared" si="338"/>
        <v>161336.31</v>
      </c>
      <c r="P867" s="386">
        <f t="shared" si="338"/>
        <v>262060.37</v>
      </c>
      <c r="Q867" s="386">
        <f t="shared" ref="Q867:Q874" si="339">SUM(E867:P867)</f>
        <v>2105353.8899999997</v>
      </c>
    </row>
    <row r="868" spans="1:17" s="216" customFormat="1" x14ac:dyDescent="0.2">
      <c r="A868" s="242">
        <f>A867+1</f>
        <v>30</v>
      </c>
      <c r="C868" s="216" t="str">
        <f>C862</f>
        <v xml:space="preserve">    Next 350 Mcf</v>
      </c>
      <c r="D868" s="609">
        <f>Input!R39</f>
        <v>2.7494000000000001</v>
      </c>
      <c r="E868" s="421">
        <f t="shared" ref="E868:P868" si="340">ROUND(E862*$D$868,2)</f>
        <v>364914.94</v>
      </c>
      <c r="F868" s="421">
        <f t="shared" si="340"/>
        <v>347665.2</v>
      </c>
      <c r="G868" s="421">
        <f t="shared" si="340"/>
        <v>286632.65000000002</v>
      </c>
      <c r="H868" s="421">
        <f t="shared" si="340"/>
        <v>139602.98000000001</v>
      </c>
      <c r="I868" s="421">
        <f t="shared" si="340"/>
        <v>89438.81</v>
      </c>
      <c r="J868" s="421">
        <f t="shared" si="340"/>
        <v>63372.02</v>
      </c>
      <c r="K868" s="421">
        <f t="shared" si="340"/>
        <v>44932.07</v>
      </c>
      <c r="L868" s="421">
        <f t="shared" si="340"/>
        <v>41357.57</v>
      </c>
      <c r="M868" s="421">
        <f t="shared" si="340"/>
        <v>45563.06</v>
      </c>
      <c r="N868" s="421">
        <f t="shared" si="340"/>
        <v>58015.64</v>
      </c>
      <c r="O868" s="421">
        <f t="shared" si="340"/>
        <v>116557.51</v>
      </c>
      <c r="P868" s="421">
        <f t="shared" si="340"/>
        <v>239802.94</v>
      </c>
      <c r="Q868" s="421">
        <f t="shared" si="339"/>
        <v>1837855.3900000001</v>
      </c>
    </row>
    <row r="869" spans="1:17" s="216" customFormat="1" x14ac:dyDescent="0.2">
      <c r="A869" s="242">
        <f>A868+1</f>
        <v>31</v>
      </c>
      <c r="C869" s="216" t="str">
        <f>C863</f>
        <v xml:space="preserve">    Next 600 Mcf</v>
      </c>
      <c r="D869" s="609">
        <f>Input!S39</f>
        <v>2.6135000000000002</v>
      </c>
      <c r="E869" s="421">
        <f t="shared" ref="E869:O869" si="341">ROUND(E863*$D$869,2)</f>
        <v>101546.5</v>
      </c>
      <c r="F869" s="421">
        <f t="shared" si="341"/>
        <v>92477.13</v>
      </c>
      <c r="G869" s="421">
        <f t="shared" si="341"/>
        <v>75361.320000000007</v>
      </c>
      <c r="H869" s="421">
        <f t="shared" si="341"/>
        <v>25349.9</v>
      </c>
      <c r="I869" s="421">
        <f t="shared" si="341"/>
        <v>10201.540000000001</v>
      </c>
      <c r="J869" s="421">
        <f t="shared" si="341"/>
        <v>9742.61</v>
      </c>
      <c r="K869" s="421">
        <f t="shared" si="341"/>
        <v>8765.68</v>
      </c>
      <c r="L869" s="421">
        <f t="shared" si="341"/>
        <v>8477.67</v>
      </c>
      <c r="M869" s="421">
        <f t="shared" si="341"/>
        <v>12227.52</v>
      </c>
      <c r="N869" s="421">
        <f t="shared" si="341"/>
        <v>13079.78</v>
      </c>
      <c r="O869" s="421">
        <f t="shared" si="341"/>
        <v>24800.81</v>
      </c>
      <c r="P869" s="421">
        <f>ROUND(P863*$D$869,2)</f>
        <v>51724.82</v>
      </c>
      <c r="Q869" s="421">
        <f t="shared" si="339"/>
        <v>433755.28</v>
      </c>
    </row>
    <row r="870" spans="1:17" s="216" customFormat="1" x14ac:dyDescent="0.2">
      <c r="A870" s="242">
        <f>A869+1</f>
        <v>32</v>
      </c>
      <c r="C870" s="216" t="str">
        <f>C864</f>
        <v xml:space="preserve">    Over 1,000 Mcf</v>
      </c>
      <c r="D870" s="609">
        <f>Input!T39</f>
        <v>2.3782000000000001</v>
      </c>
      <c r="E870" s="450">
        <f t="shared" ref="E870:O870" si="342">ROUND(E864*$D$870,2)</f>
        <v>34236.81</v>
      </c>
      <c r="F870" s="450">
        <f t="shared" si="342"/>
        <v>29103.7</v>
      </c>
      <c r="G870" s="450">
        <f t="shared" si="342"/>
        <v>19975.22</v>
      </c>
      <c r="H870" s="450">
        <f t="shared" si="342"/>
        <v>5097.2</v>
      </c>
      <c r="I870" s="450">
        <f t="shared" si="342"/>
        <v>1176.26</v>
      </c>
      <c r="J870" s="450">
        <f t="shared" si="342"/>
        <v>752.7</v>
      </c>
      <c r="K870" s="450">
        <f t="shared" si="342"/>
        <v>788.85</v>
      </c>
      <c r="L870" s="450">
        <f t="shared" si="342"/>
        <v>1498.27</v>
      </c>
      <c r="M870" s="450">
        <f t="shared" si="342"/>
        <v>2797.71</v>
      </c>
      <c r="N870" s="450">
        <f t="shared" si="342"/>
        <v>2837.43</v>
      </c>
      <c r="O870" s="450">
        <f t="shared" si="342"/>
        <v>6047.29</v>
      </c>
      <c r="P870" s="450">
        <f>ROUND(P864*$D$870,2)</f>
        <v>16542.05</v>
      </c>
      <c r="Q870" s="450">
        <f t="shared" si="339"/>
        <v>120853.48999999999</v>
      </c>
    </row>
    <row r="871" spans="1:17" s="216" customFormat="1" x14ac:dyDescent="0.2">
      <c r="A871" s="242"/>
      <c r="D871" s="267"/>
      <c r="E871" s="386">
        <f t="shared" ref="E871:P871" si="343">SUM(E867:E870)</f>
        <v>821004.8600000001</v>
      </c>
      <c r="F871" s="386">
        <f t="shared" si="343"/>
        <v>790006.82</v>
      </c>
      <c r="G871" s="386">
        <f t="shared" si="343"/>
        <v>672199.44</v>
      </c>
      <c r="H871" s="386">
        <f t="shared" si="343"/>
        <v>366626.17000000004</v>
      </c>
      <c r="I871" s="386">
        <f t="shared" si="343"/>
        <v>252938.94</v>
      </c>
      <c r="J871" s="386">
        <f t="shared" si="343"/>
        <v>170403.66000000003</v>
      </c>
      <c r="K871" s="386">
        <f t="shared" si="343"/>
        <v>127771.73999999999</v>
      </c>
      <c r="L871" s="386">
        <f t="shared" si="343"/>
        <v>121320.41</v>
      </c>
      <c r="M871" s="386">
        <f t="shared" si="343"/>
        <v>133119.67000000001</v>
      </c>
      <c r="N871" s="386">
        <f t="shared" si="343"/>
        <v>163554.23999999999</v>
      </c>
      <c r="O871" s="386">
        <f t="shared" si="343"/>
        <v>308741.92</v>
      </c>
      <c r="P871" s="386">
        <f t="shared" si="343"/>
        <v>570130.18000000005</v>
      </c>
      <c r="Q871" s="386">
        <f t="shared" si="339"/>
        <v>4497818.05</v>
      </c>
    </row>
    <row r="872" spans="1:17" s="216" customFormat="1" x14ac:dyDescent="0.2">
      <c r="A872" s="242">
        <f>A870+1</f>
        <v>33</v>
      </c>
      <c r="C872" s="667" t="s">
        <v>140</v>
      </c>
      <c r="D872" s="609">
        <f>Input!$AA$39</f>
        <v>1.44E-2</v>
      </c>
      <c r="E872" s="386">
        <f>ROUND($D$872*E865,2)</f>
        <v>3972.88</v>
      </c>
      <c r="F872" s="386">
        <f t="shared" ref="F872:P872" si="344">ROUND($D$872*F865,2)</f>
        <v>3803.32</v>
      </c>
      <c r="G872" s="386">
        <f t="shared" si="344"/>
        <v>3210.66</v>
      </c>
      <c r="H872" s="386">
        <f t="shared" si="344"/>
        <v>1696.36</v>
      </c>
      <c r="I872" s="386">
        <f t="shared" si="344"/>
        <v>1146.71</v>
      </c>
      <c r="J872" s="386">
        <f t="shared" si="344"/>
        <v>780.39</v>
      </c>
      <c r="K872" s="386">
        <f t="shared" si="344"/>
        <v>584.66</v>
      </c>
      <c r="L872" s="386">
        <f t="shared" si="344"/>
        <v>555.30999999999995</v>
      </c>
      <c r="M872" s="386">
        <f t="shared" si="344"/>
        <v>616.15</v>
      </c>
      <c r="N872" s="386">
        <f t="shared" si="344"/>
        <v>755.4</v>
      </c>
      <c r="O872" s="386">
        <f t="shared" si="344"/>
        <v>1435.93</v>
      </c>
      <c r="P872" s="386">
        <f t="shared" si="344"/>
        <v>2700.49</v>
      </c>
      <c r="Q872" s="386">
        <f>SUM(E872:P872)</f>
        <v>21258.260000000002</v>
      </c>
    </row>
    <row r="873" spans="1:17" s="216" customFormat="1" x14ac:dyDescent="0.2">
      <c r="A873" s="242">
        <f>A872+1</f>
        <v>34</v>
      </c>
      <c r="C873" s="667" t="s">
        <v>529</v>
      </c>
      <c r="D873" s="609">
        <v>0</v>
      </c>
      <c r="E873" s="431">
        <f>ROUND(E865*$D$873,2)</f>
        <v>0</v>
      </c>
      <c r="F873" s="431">
        <f t="shared" ref="F873:P873" si="345">ROUND(F865*$D$873,2)</f>
        <v>0</v>
      </c>
      <c r="G873" s="431">
        <f t="shared" si="345"/>
        <v>0</v>
      </c>
      <c r="H873" s="431">
        <f t="shared" si="345"/>
        <v>0</v>
      </c>
      <c r="I873" s="431">
        <f t="shared" si="345"/>
        <v>0</v>
      </c>
      <c r="J873" s="431">
        <f t="shared" si="345"/>
        <v>0</v>
      </c>
      <c r="K873" s="431">
        <f t="shared" si="345"/>
        <v>0</v>
      </c>
      <c r="L873" s="431">
        <f t="shared" si="345"/>
        <v>0</v>
      </c>
      <c r="M873" s="431">
        <f t="shared" si="345"/>
        <v>0</v>
      </c>
      <c r="N873" s="431">
        <f t="shared" si="345"/>
        <v>0</v>
      </c>
      <c r="O873" s="431">
        <f t="shared" si="345"/>
        <v>0</v>
      </c>
      <c r="P873" s="431">
        <f t="shared" si="345"/>
        <v>0</v>
      </c>
      <c r="Q873" s="431">
        <f t="shared" si="339"/>
        <v>0</v>
      </c>
    </row>
    <row r="874" spans="1:17" s="216" customFormat="1" x14ac:dyDescent="0.2">
      <c r="A874" s="242">
        <f>A873+1</f>
        <v>35</v>
      </c>
      <c r="C874" s="216" t="s">
        <v>201</v>
      </c>
      <c r="D874" s="267"/>
      <c r="E874" s="386">
        <f>E857+E858+E871+E873+E872</f>
        <v>1085556.24</v>
      </c>
      <c r="F874" s="386">
        <f t="shared" ref="F874:P874" si="346">F857+F858+F871+F873+F872</f>
        <v>1054301.49</v>
      </c>
      <c r="G874" s="386">
        <f t="shared" si="346"/>
        <v>956120.25</v>
      </c>
      <c r="H874" s="386">
        <f t="shared" si="346"/>
        <v>649294.13</v>
      </c>
      <c r="I874" s="386">
        <f t="shared" si="346"/>
        <v>535667.30000000005</v>
      </c>
      <c r="J874" s="386">
        <f t="shared" si="346"/>
        <v>453027.15</v>
      </c>
      <c r="K874" s="386">
        <f t="shared" si="346"/>
        <v>410460.94999999995</v>
      </c>
      <c r="L874" s="386">
        <f t="shared" si="346"/>
        <v>404067.42</v>
      </c>
      <c r="M874" s="386">
        <f t="shared" si="346"/>
        <v>414968.87</v>
      </c>
      <c r="N874" s="386">
        <f t="shared" si="346"/>
        <v>446065.59</v>
      </c>
      <c r="O874" s="386">
        <f t="shared" si="346"/>
        <v>591846.65</v>
      </c>
      <c r="P874" s="386">
        <f t="shared" si="346"/>
        <v>854325.17</v>
      </c>
      <c r="Q874" s="386">
        <f t="shared" si="339"/>
        <v>7855701.2100000009</v>
      </c>
    </row>
    <row r="875" spans="1:17" s="216" customFormat="1" x14ac:dyDescent="0.2">
      <c r="A875" s="242"/>
      <c r="E875" s="430"/>
      <c r="F875" s="430"/>
      <c r="G875" s="430"/>
      <c r="H875" s="430"/>
      <c r="I875" s="430"/>
      <c r="J875" s="430"/>
      <c r="K875" s="430"/>
      <c r="L875" s="430"/>
      <c r="M875" s="430"/>
      <c r="N875" s="430"/>
      <c r="O875" s="430"/>
      <c r="P875" s="430"/>
      <c r="Q875" s="430"/>
    </row>
    <row r="876" spans="1:17" s="216" customFormat="1" x14ac:dyDescent="0.2">
      <c r="A876" s="242">
        <f>A874+1</f>
        <v>36</v>
      </c>
      <c r="C876" s="216" t="s">
        <v>148</v>
      </c>
      <c r="D876" s="609">
        <v>0</v>
      </c>
      <c r="E876" s="386">
        <v>0</v>
      </c>
      <c r="F876" s="386">
        <v>0</v>
      </c>
      <c r="G876" s="386">
        <v>0</v>
      </c>
      <c r="H876" s="386">
        <v>0</v>
      </c>
      <c r="I876" s="386">
        <v>0</v>
      </c>
      <c r="J876" s="386">
        <v>0</v>
      </c>
      <c r="K876" s="386">
        <v>0</v>
      </c>
      <c r="L876" s="386">
        <v>0</v>
      </c>
      <c r="M876" s="386">
        <v>0</v>
      </c>
      <c r="N876" s="386">
        <v>0</v>
      </c>
      <c r="O876" s="386">
        <v>0</v>
      </c>
      <c r="P876" s="386">
        <v>0</v>
      </c>
      <c r="Q876" s="386">
        <f>SUM(E876:P876)</f>
        <v>0</v>
      </c>
    </row>
    <row r="877" spans="1:17" s="216" customFormat="1" x14ac:dyDescent="0.2">
      <c r="A877" s="242"/>
      <c r="D877" s="267"/>
      <c r="F877" s="269"/>
      <c r="G877" s="418"/>
      <c r="H877" s="269"/>
      <c r="I877" s="272"/>
      <c r="J877" s="269"/>
      <c r="K877" s="269"/>
      <c r="L877" s="269"/>
      <c r="M877" s="269"/>
      <c r="N877" s="269"/>
      <c r="O877" s="269"/>
      <c r="P877" s="269"/>
      <c r="Q877" s="418"/>
    </row>
    <row r="878" spans="1:17" s="216" customFormat="1" ht="10.5" thickBot="1" x14ac:dyDescent="0.25">
      <c r="A878" s="580">
        <f>A876+1</f>
        <v>37</v>
      </c>
      <c r="B878" s="434"/>
      <c r="C878" s="581" t="s">
        <v>202</v>
      </c>
      <c r="D878" s="582"/>
      <c r="E878" s="435">
        <f t="shared" ref="E878:P878" si="347">E874+E876</f>
        <v>1085556.24</v>
      </c>
      <c r="F878" s="435">
        <f t="shared" si="347"/>
        <v>1054301.49</v>
      </c>
      <c r="G878" s="435">
        <f t="shared" si="347"/>
        <v>956120.25</v>
      </c>
      <c r="H878" s="435">
        <f t="shared" si="347"/>
        <v>649294.13</v>
      </c>
      <c r="I878" s="435">
        <f t="shared" si="347"/>
        <v>535667.30000000005</v>
      </c>
      <c r="J878" s="435">
        <f t="shared" si="347"/>
        <v>453027.15</v>
      </c>
      <c r="K878" s="435">
        <f t="shared" si="347"/>
        <v>410460.94999999995</v>
      </c>
      <c r="L878" s="435">
        <f t="shared" si="347"/>
        <v>404067.42</v>
      </c>
      <c r="M878" s="435">
        <f t="shared" si="347"/>
        <v>414968.87</v>
      </c>
      <c r="N878" s="435">
        <f t="shared" si="347"/>
        <v>446065.59</v>
      </c>
      <c r="O878" s="435">
        <f t="shared" si="347"/>
        <v>591846.65</v>
      </c>
      <c r="P878" s="435">
        <f t="shared" si="347"/>
        <v>854325.17</v>
      </c>
      <c r="Q878" s="435">
        <f>SUM(E878:P878)</f>
        <v>7855701.2100000009</v>
      </c>
    </row>
    <row r="879" spans="1:17" s="216" customFormat="1" ht="10.5" thickTop="1" x14ac:dyDescent="0.2">
      <c r="A879" s="242"/>
      <c r="D879" s="267"/>
      <c r="F879" s="269"/>
      <c r="G879" s="418"/>
      <c r="H879" s="269"/>
      <c r="I879" s="272"/>
      <c r="J879" s="269"/>
      <c r="K879" s="269"/>
      <c r="L879" s="269"/>
      <c r="M879" s="269"/>
      <c r="N879" s="269"/>
      <c r="O879" s="269"/>
      <c r="P879" s="269"/>
      <c r="Q879" s="418"/>
    </row>
    <row r="880" spans="1:17" s="216" customFormat="1" x14ac:dyDescent="0.2">
      <c r="A880" s="242"/>
      <c r="D880" s="267"/>
      <c r="F880" s="269"/>
      <c r="G880" s="418"/>
      <c r="H880" s="269"/>
      <c r="I880" s="272"/>
      <c r="J880" s="269"/>
      <c r="K880" s="269"/>
      <c r="L880" s="269"/>
      <c r="M880" s="269"/>
      <c r="N880" s="269"/>
      <c r="O880" s="269"/>
      <c r="P880" s="269"/>
    </row>
    <row r="881" spans="1:17" s="216" customFormat="1" x14ac:dyDescent="0.2">
      <c r="A881" s="504" t="str">
        <f>$A$265</f>
        <v>[1] Reflects Normalized Volumes.</v>
      </c>
      <c r="D881" s="267"/>
      <c r="F881" s="269"/>
      <c r="G881" s="418"/>
      <c r="H881" s="269"/>
      <c r="I881" s="272"/>
      <c r="J881" s="269"/>
      <c r="K881" s="269"/>
      <c r="L881" s="269"/>
      <c r="M881" s="269"/>
      <c r="N881" s="269"/>
      <c r="O881" s="269"/>
      <c r="P881" s="269"/>
    </row>
    <row r="882" spans="1:17" s="216" customFormat="1" ht="10.5" x14ac:dyDescent="0.25">
      <c r="A882" s="817" t="str">
        <f>CONAME</f>
        <v>Columbia Gas of Kentucky, Inc.</v>
      </c>
      <c r="B882" s="817"/>
      <c r="C882" s="817"/>
      <c r="D882" s="817"/>
      <c r="E882" s="817"/>
      <c r="F882" s="817"/>
      <c r="G882" s="817"/>
      <c r="H882" s="817"/>
      <c r="I882" s="817"/>
      <c r="J882" s="817"/>
      <c r="K882" s="817"/>
      <c r="L882" s="817"/>
      <c r="M882" s="817"/>
      <c r="N882" s="817"/>
      <c r="O882" s="817"/>
      <c r="P882" s="817"/>
      <c r="Q882" s="817"/>
    </row>
    <row r="883" spans="1:17" s="216" customFormat="1" ht="10.5" x14ac:dyDescent="0.25">
      <c r="A883" s="800" t="str">
        <f>case</f>
        <v>Case No. 2021-00183</v>
      </c>
      <c r="B883" s="800"/>
      <c r="C883" s="800"/>
      <c r="D883" s="800"/>
      <c r="E883" s="800"/>
      <c r="F883" s="800"/>
      <c r="G883" s="800"/>
      <c r="H883" s="800"/>
      <c r="I883" s="800"/>
      <c r="J883" s="800"/>
      <c r="K883" s="800"/>
      <c r="L883" s="800"/>
      <c r="M883" s="800"/>
      <c r="N883" s="800"/>
      <c r="O883" s="800"/>
      <c r="P883" s="800"/>
      <c r="Q883" s="800"/>
    </row>
    <row r="884" spans="1:17" s="216" customFormat="1" ht="10.5" x14ac:dyDescent="0.25">
      <c r="A884" s="815" t="s">
        <v>197</v>
      </c>
      <c r="B884" s="815"/>
      <c r="C884" s="815"/>
      <c r="D884" s="815"/>
      <c r="E884" s="815"/>
      <c r="F884" s="815"/>
      <c r="G884" s="815"/>
      <c r="H884" s="815"/>
      <c r="I884" s="815"/>
      <c r="J884" s="815"/>
      <c r="K884" s="815"/>
      <c r="L884" s="815"/>
      <c r="M884" s="815"/>
      <c r="N884" s="815"/>
      <c r="O884" s="815"/>
      <c r="P884" s="815"/>
      <c r="Q884" s="815"/>
    </row>
    <row r="885" spans="1:17" s="216" customFormat="1" ht="10.5" x14ac:dyDescent="0.25">
      <c r="A885" s="817" t="str">
        <f>TYDESC</f>
        <v>For the 12 Months Ended December 31, 2022</v>
      </c>
      <c r="B885" s="817"/>
      <c r="C885" s="817"/>
      <c r="D885" s="817"/>
      <c r="E885" s="817"/>
      <c r="F885" s="817"/>
      <c r="G885" s="817"/>
      <c r="H885" s="817"/>
      <c r="I885" s="817"/>
      <c r="J885" s="817"/>
      <c r="K885" s="817"/>
      <c r="L885" s="817"/>
      <c r="M885" s="817"/>
      <c r="N885" s="817"/>
      <c r="O885" s="817"/>
      <c r="P885" s="817"/>
      <c r="Q885" s="817"/>
    </row>
    <row r="886" spans="1:17" s="216" customFormat="1" ht="10.5" x14ac:dyDescent="0.25">
      <c r="A886" s="814" t="s">
        <v>39</v>
      </c>
      <c r="B886" s="814"/>
      <c r="C886" s="814"/>
      <c r="D886" s="814"/>
      <c r="E886" s="814"/>
      <c r="F886" s="814"/>
      <c r="G886" s="814"/>
      <c r="H886" s="814"/>
      <c r="I886" s="814"/>
      <c r="J886" s="814"/>
      <c r="K886" s="814"/>
      <c r="L886" s="814"/>
      <c r="M886" s="814"/>
      <c r="N886" s="814"/>
      <c r="O886" s="814"/>
      <c r="P886" s="814"/>
      <c r="Q886" s="814"/>
    </row>
    <row r="887" spans="1:17" s="216" customFormat="1" ht="10.5" x14ac:dyDescent="0.25">
      <c r="A887" s="575" t="str">
        <f>$A$52</f>
        <v>Data: __ Base Period _X_ Forecasted Period</v>
      </c>
      <c r="D887" s="267"/>
      <c r="F887" s="269"/>
      <c r="G887" s="418"/>
      <c r="H887" s="269"/>
      <c r="I887" s="272"/>
      <c r="J887" s="269"/>
      <c r="K887" s="269"/>
      <c r="L887" s="269"/>
      <c r="M887" s="269"/>
      <c r="N887" s="269"/>
      <c r="O887" s="269"/>
      <c r="P887" s="269"/>
    </row>
    <row r="888" spans="1:17" s="216" customFormat="1" ht="10.5" x14ac:dyDescent="0.25">
      <c r="A888" s="575" t="str">
        <f>$A$53</f>
        <v>Type of Filing: X Original _ Update _ Revised</v>
      </c>
      <c r="D888" s="267"/>
      <c r="F888" s="269"/>
      <c r="G888" s="418"/>
      <c r="H888" s="269"/>
      <c r="I888" s="272"/>
      <c r="J888" s="269"/>
      <c r="K888" s="269"/>
      <c r="L888" s="269"/>
      <c r="M888" s="269"/>
      <c r="N888" s="269"/>
      <c r="O888" s="269"/>
      <c r="P888" s="269"/>
      <c r="Q888" s="583" t="str">
        <f>$Q$53</f>
        <v>Schedule M-2.3</v>
      </c>
    </row>
    <row r="889" spans="1:17" s="216" customFormat="1" ht="10.5" x14ac:dyDescent="0.25">
      <c r="A889" s="575" t="str">
        <f>$A$54</f>
        <v>Work Paper Reference No(s):</v>
      </c>
      <c r="D889" s="267"/>
      <c r="F889" s="269"/>
      <c r="G889" s="418"/>
      <c r="H889" s="269"/>
      <c r="I889" s="272"/>
      <c r="J889" s="269"/>
      <c r="K889" s="269"/>
      <c r="L889" s="269"/>
      <c r="M889" s="269"/>
      <c r="N889" s="269"/>
      <c r="O889" s="269"/>
      <c r="P889" s="269"/>
      <c r="Q889" s="583" t="s">
        <v>425</v>
      </c>
    </row>
    <row r="890" spans="1:17" s="216" customFormat="1" ht="10.5" x14ac:dyDescent="0.25">
      <c r="A890" s="576" t="str">
        <f>$A$55</f>
        <v>12 Months Forecasted</v>
      </c>
      <c r="D890" s="267"/>
      <c r="F890" s="269"/>
      <c r="G890" s="418"/>
      <c r="H890" s="269"/>
      <c r="I890" s="272"/>
      <c r="J890" s="269"/>
      <c r="K890" s="269"/>
      <c r="L890" s="269"/>
      <c r="M890" s="269"/>
      <c r="N890" s="269"/>
      <c r="O890" s="269"/>
      <c r="P890" s="269"/>
      <c r="Q890" s="583" t="str">
        <f>Witness</f>
        <v>Witness:  Judith L. Siegler</v>
      </c>
    </row>
    <row r="891" spans="1:17" s="216" customFormat="1" ht="10.5" x14ac:dyDescent="0.25">
      <c r="A891" s="816" t="s">
        <v>291</v>
      </c>
      <c r="B891" s="816"/>
      <c r="C891" s="816"/>
      <c r="D891" s="816"/>
      <c r="E891" s="816"/>
      <c r="F891" s="816"/>
      <c r="G891" s="816"/>
      <c r="H891" s="816"/>
      <c r="I891" s="816"/>
      <c r="J891" s="816"/>
      <c r="K891" s="816"/>
      <c r="L891" s="816"/>
      <c r="M891" s="816"/>
      <c r="N891" s="816"/>
      <c r="O891" s="816"/>
      <c r="P891" s="816"/>
      <c r="Q891" s="816"/>
    </row>
    <row r="892" spans="1:17" s="216" customFormat="1" ht="10.5" x14ac:dyDescent="0.25">
      <c r="A892" s="219"/>
      <c r="B892" s="280"/>
      <c r="C892" s="280"/>
      <c r="D892" s="282"/>
      <c r="E892" s="280"/>
      <c r="F892" s="438"/>
      <c r="G892" s="439"/>
      <c r="H892" s="438"/>
      <c r="I892" s="440"/>
      <c r="J892" s="438"/>
      <c r="K892" s="438"/>
      <c r="L892" s="438"/>
      <c r="M892" s="438"/>
      <c r="N892" s="438"/>
      <c r="O892" s="438"/>
      <c r="P892" s="438"/>
      <c r="Q892" s="280"/>
    </row>
    <row r="893" spans="1:17" s="216" customFormat="1" ht="10.5" x14ac:dyDescent="0.25">
      <c r="A893" s="717" t="s">
        <v>1</v>
      </c>
      <c r="B893" s="717" t="s">
        <v>0</v>
      </c>
      <c r="C893" s="717" t="s">
        <v>41</v>
      </c>
      <c r="D893" s="721" t="s">
        <v>30</v>
      </c>
      <c r="E893" s="717"/>
      <c r="F893" s="584"/>
      <c r="G893" s="587"/>
      <c r="H893" s="584"/>
      <c r="I893" s="722"/>
      <c r="J893" s="584"/>
      <c r="K893" s="584"/>
      <c r="L893" s="584"/>
      <c r="M893" s="584"/>
      <c r="N893" s="584"/>
      <c r="O893" s="584"/>
      <c r="P893" s="584"/>
      <c r="Q893" s="723"/>
    </row>
    <row r="894" spans="1:17" s="216" customFormat="1" ht="10.5" x14ac:dyDescent="0.25">
      <c r="A894" s="263" t="s">
        <v>3</v>
      </c>
      <c r="B894" s="263" t="s">
        <v>40</v>
      </c>
      <c r="C894" s="263" t="s">
        <v>4</v>
      </c>
      <c r="D894" s="379" t="s">
        <v>48</v>
      </c>
      <c r="E894" s="380" t="str">
        <f>B!$D$11</f>
        <v>Jan-22</v>
      </c>
      <c r="F894" s="380" t="str">
        <f>B!$E$11</f>
        <v>Feb-22</v>
      </c>
      <c r="G894" s="380" t="str">
        <f>B!$F$11</f>
        <v>Mar-22</v>
      </c>
      <c r="H894" s="380" t="str">
        <f>B!$G$11</f>
        <v>Apr-22</v>
      </c>
      <c r="I894" s="380" t="str">
        <f>B!$H$11</f>
        <v>May-22</v>
      </c>
      <c r="J894" s="380" t="str">
        <f>B!$I$11</f>
        <v>Jun-22</v>
      </c>
      <c r="K894" s="380" t="str">
        <f>B!$J$11</f>
        <v>Jul-22</v>
      </c>
      <c r="L894" s="380" t="str">
        <f>B!$K$11</f>
        <v>Aug-22</v>
      </c>
      <c r="M894" s="380" t="str">
        <f>B!$L$11</f>
        <v>Sep-22</v>
      </c>
      <c r="N894" s="380" t="str">
        <f>B!$M$11</f>
        <v>Oct-22</v>
      </c>
      <c r="O894" s="380" t="str">
        <f>B!$N$11</f>
        <v>Nov-22</v>
      </c>
      <c r="P894" s="380" t="str">
        <f>B!$O$11</f>
        <v>Dec-22</v>
      </c>
      <c r="Q894" s="380" t="s">
        <v>9</v>
      </c>
    </row>
    <row r="895" spans="1:17" s="216" customFormat="1" ht="10.5" x14ac:dyDescent="0.25">
      <c r="A895" s="717"/>
      <c r="B895" s="719" t="s">
        <v>42</v>
      </c>
      <c r="C895" s="719" t="s">
        <v>43</v>
      </c>
      <c r="D895" s="382" t="s">
        <v>45</v>
      </c>
      <c r="E895" s="383" t="s">
        <v>46</v>
      </c>
      <c r="F895" s="383" t="s">
        <v>49</v>
      </c>
      <c r="G895" s="383" t="s">
        <v>50</v>
      </c>
      <c r="H895" s="383" t="s">
        <v>51</v>
      </c>
      <c r="I895" s="383" t="s">
        <v>52</v>
      </c>
      <c r="J895" s="384" t="s">
        <v>53</v>
      </c>
      <c r="K895" s="384" t="s">
        <v>54</v>
      </c>
      <c r="L895" s="384" t="s">
        <v>55</v>
      </c>
      <c r="M895" s="384" t="s">
        <v>56</v>
      </c>
      <c r="N895" s="384" t="s">
        <v>57</v>
      </c>
      <c r="O895" s="384" t="s">
        <v>58</v>
      </c>
      <c r="P895" s="384" t="s">
        <v>59</v>
      </c>
      <c r="Q895" s="384" t="s">
        <v>200</v>
      </c>
    </row>
    <row r="896" spans="1:17" s="216" customFormat="1" ht="10.5" x14ac:dyDescent="0.25">
      <c r="A896" s="242"/>
      <c r="D896" s="267"/>
      <c r="E896" s="723"/>
      <c r="F896" s="588"/>
      <c r="G896" s="585"/>
      <c r="H896" s="588"/>
      <c r="I896" s="586"/>
      <c r="J896" s="588"/>
      <c r="K896" s="588"/>
      <c r="L896" s="588"/>
      <c r="M896" s="588"/>
      <c r="N896" s="588"/>
      <c r="O896" s="588"/>
      <c r="P896" s="588"/>
      <c r="Q896" s="723"/>
    </row>
    <row r="897" spans="1:17" s="216" customFormat="1" x14ac:dyDescent="0.2">
      <c r="A897" s="242">
        <v>1</v>
      </c>
      <c r="B897" s="216" t="str">
        <f>B236</f>
        <v>GTO</v>
      </c>
      <c r="C897" s="216" t="str">
        <f>C236</f>
        <v>GTS Choice - Industrial</v>
      </c>
      <c r="D897" s="267"/>
      <c r="F897" s="269"/>
      <c r="G897" s="418"/>
      <c r="H897" s="269"/>
      <c r="I897" s="272"/>
      <c r="J897" s="269"/>
      <c r="K897" s="269"/>
      <c r="L897" s="269"/>
      <c r="M897" s="269"/>
      <c r="N897" s="269"/>
      <c r="O897" s="269"/>
      <c r="P897" s="269"/>
    </row>
    <row r="898" spans="1:17" s="216" customFormat="1" x14ac:dyDescent="0.2">
      <c r="A898" s="242"/>
      <c r="D898" s="267"/>
      <c r="F898" s="269"/>
      <c r="G898" s="418"/>
      <c r="H898" s="269"/>
      <c r="I898" s="272"/>
      <c r="J898" s="269"/>
      <c r="K898" s="269"/>
      <c r="L898" s="269"/>
      <c r="M898" s="269"/>
      <c r="N898" s="269"/>
      <c r="O898" s="269"/>
      <c r="P898" s="269"/>
    </row>
    <row r="899" spans="1:17" s="216" customFormat="1" ht="10.5" x14ac:dyDescent="0.25">
      <c r="A899" s="242">
        <f>A897+1</f>
        <v>2</v>
      </c>
      <c r="C899" s="245" t="s">
        <v>112</v>
      </c>
      <c r="D899" s="267"/>
      <c r="F899" s="269"/>
      <c r="G899" s="418"/>
      <c r="H899" s="269"/>
      <c r="I899" s="272"/>
      <c r="J899" s="269"/>
      <c r="K899" s="269"/>
      <c r="L899" s="269"/>
      <c r="M899" s="269"/>
      <c r="N899" s="269"/>
      <c r="O899" s="269"/>
      <c r="P899" s="269"/>
    </row>
    <row r="900" spans="1:17" s="216" customFormat="1" ht="10.5" x14ac:dyDescent="0.25">
      <c r="A900" s="242"/>
      <c r="C900" s="245"/>
      <c r="D900" s="267"/>
      <c r="F900" s="269"/>
      <c r="G900" s="418"/>
      <c r="H900" s="269"/>
      <c r="I900" s="272"/>
      <c r="J900" s="269"/>
      <c r="K900" s="269"/>
      <c r="L900" s="269"/>
      <c r="M900" s="269"/>
      <c r="N900" s="269"/>
      <c r="O900" s="269"/>
      <c r="P900" s="269"/>
    </row>
    <row r="901" spans="1:17" s="216" customFormat="1" x14ac:dyDescent="0.2">
      <c r="A901" s="242">
        <f>A899+1</f>
        <v>3</v>
      </c>
      <c r="C901" s="216" t="s">
        <v>199</v>
      </c>
      <c r="D901" s="267"/>
      <c r="E901" s="421">
        <f>B!D176</f>
        <v>12</v>
      </c>
      <c r="F901" s="421">
        <f>B!E176</f>
        <v>12</v>
      </c>
      <c r="G901" s="421">
        <f>B!F176</f>
        <v>12</v>
      </c>
      <c r="H901" s="421">
        <f>B!G176</f>
        <v>12</v>
      </c>
      <c r="I901" s="421">
        <f>B!H176</f>
        <v>12</v>
      </c>
      <c r="J901" s="421">
        <f>B!I176</f>
        <v>12</v>
      </c>
      <c r="K901" s="421">
        <f>B!J176</f>
        <v>12</v>
      </c>
      <c r="L901" s="421">
        <f>B!K176</f>
        <v>12</v>
      </c>
      <c r="M901" s="421">
        <f>B!L176</f>
        <v>12</v>
      </c>
      <c r="N901" s="421">
        <f>B!M176</f>
        <v>12</v>
      </c>
      <c r="O901" s="421">
        <f>B!N176</f>
        <v>12</v>
      </c>
      <c r="P901" s="421">
        <f>B!O176</f>
        <v>12</v>
      </c>
      <c r="Q901" s="421">
        <f>SUM(E901:P901)</f>
        <v>144</v>
      </c>
    </row>
    <row r="902" spans="1:17" s="216" customFormat="1" x14ac:dyDescent="0.2">
      <c r="A902" s="242">
        <f>A901+1</f>
        <v>4</v>
      </c>
      <c r="C902" s="216" t="s">
        <v>207</v>
      </c>
      <c r="D902" s="608">
        <f>Input!V40</f>
        <v>87.149999999999991</v>
      </c>
      <c r="E902" s="386">
        <f t="shared" ref="E902:P902" si="348">ROUND(E901*$D$902,2)</f>
        <v>1045.8</v>
      </c>
      <c r="F902" s="386">
        <f t="shared" si="348"/>
        <v>1045.8</v>
      </c>
      <c r="G902" s="386">
        <f t="shared" si="348"/>
        <v>1045.8</v>
      </c>
      <c r="H902" s="386">
        <f t="shared" si="348"/>
        <v>1045.8</v>
      </c>
      <c r="I902" s="386">
        <f t="shared" si="348"/>
        <v>1045.8</v>
      </c>
      <c r="J902" s="386">
        <f t="shared" si="348"/>
        <v>1045.8</v>
      </c>
      <c r="K902" s="386">
        <f t="shared" si="348"/>
        <v>1045.8</v>
      </c>
      <c r="L902" s="386">
        <f t="shared" si="348"/>
        <v>1045.8</v>
      </c>
      <c r="M902" s="386">
        <f t="shared" si="348"/>
        <v>1045.8</v>
      </c>
      <c r="N902" s="386">
        <f t="shared" si="348"/>
        <v>1045.8</v>
      </c>
      <c r="O902" s="386">
        <f t="shared" si="348"/>
        <v>1045.8</v>
      </c>
      <c r="P902" s="386">
        <f t="shared" si="348"/>
        <v>1045.8</v>
      </c>
      <c r="Q902" s="386">
        <f>SUM(E902:P902)</f>
        <v>12549.599999999997</v>
      </c>
    </row>
    <row r="903" spans="1:17" s="216" customFormat="1" x14ac:dyDescent="0.2">
      <c r="A903" s="242">
        <f>A902+1</f>
        <v>5</v>
      </c>
      <c r="C903" s="216" t="s">
        <v>208</v>
      </c>
      <c r="D903" s="608">
        <f>Input!X40</f>
        <v>0</v>
      </c>
      <c r="E903" s="386">
        <f t="shared" ref="E903:P903" si="349">ROUND(E901*$D$903,2)</f>
        <v>0</v>
      </c>
      <c r="F903" s="386">
        <f t="shared" si="349"/>
        <v>0</v>
      </c>
      <c r="G903" s="386">
        <f t="shared" si="349"/>
        <v>0</v>
      </c>
      <c r="H903" s="386">
        <f t="shared" si="349"/>
        <v>0</v>
      </c>
      <c r="I903" s="386">
        <f t="shared" si="349"/>
        <v>0</v>
      </c>
      <c r="J903" s="386">
        <f t="shared" si="349"/>
        <v>0</v>
      </c>
      <c r="K903" s="386">
        <f t="shared" si="349"/>
        <v>0</v>
      </c>
      <c r="L903" s="386">
        <f t="shared" si="349"/>
        <v>0</v>
      </c>
      <c r="M903" s="386">
        <f t="shared" si="349"/>
        <v>0</v>
      </c>
      <c r="N903" s="386">
        <f t="shared" si="349"/>
        <v>0</v>
      </c>
      <c r="O903" s="386">
        <f t="shared" si="349"/>
        <v>0</v>
      </c>
      <c r="P903" s="386">
        <f t="shared" si="349"/>
        <v>0</v>
      </c>
      <c r="Q903" s="386">
        <f>SUM(E903:P903)</f>
        <v>0</v>
      </c>
    </row>
    <row r="904" spans="1:17" s="216" customFormat="1" x14ac:dyDescent="0.2">
      <c r="A904" s="242"/>
      <c r="D904" s="267"/>
      <c r="F904" s="269"/>
      <c r="G904" s="418"/>
      <c r="H904" s="269"/>
      <c r="I904" s="272"/>
      <c r="J904" s="269"/>
      <c r="K904" s="269"/>
      <c r="L904" s="269"/>
      <c r="M904" s="269"/>
      <c r="N904" s="269"/>
      <c r="O904" s="269"/>
      <c r="P904" s="269"/>
    </row>
    <row r="905" spans="1:17" s="216" customFormat="1" x14ac:dyDescent="0.2">
      <c r="A905" s="242">
        <f>A903+1</f>
        <v>6</v>
      </c>
      <c r="C905" s="216" t="s">
        <v>206</v>
      </c>
      <c r="D905" s="267"/>
      <c r="F905" s="269"/>
      <c r="G905" s="418"/>
      <c r="H905" s="269"/>
      <c r="I905" s="272"/>
      <c r="J905" s="269"/>
      <c r="K905" s="269"/>
      <c r="L905" s="269"/>
      <c r="M905" s="269"/>
      <c r="N905" s="269"/>
      <c r="O905" s="269"/>
      <c r="P905" s="269"/>
    </row>
    <row r="906" spans="1:17" s="216" customFormat="1" x14ac:dyDescent="0.2">
      <c r="A906" s="242">
        <f>A905+1</f>
        <v>7</v>
      </c>
      <c r="C906" s="216" t="str">
        <f>'C'!B224</f>
        <v xml:space="preserve">    First 50 Mcf</v>
      </c>
      <c r="D906" s="267"/>
      <c r="E906" s="424">
        <f>'C'!D236</f>
        <v>489.2</v>
      </c>
      <c r="F906" s="424">
        <f>'C'!E236</f>
        <v>480.4</v>
      </c>
      <c r="G906" s="424">
        <f>'C'!F236</f>
        <v>500.9</v>
      </c>
      <c r="H906" s="424">
        <f>'C'!G236</f>
        <v>404.6</v>
      </c>
      <c r="I906" s="424">
        <f>'C'!H236</f>
        <v>401.7</v>
      </c>
      <c r="J906" s="424">
        <f>'C'!I236</f>
        <v>357</v>
      </c>
      <c r="K906" s="424">
        <f>'C'!J236</f>
        <v>329</v>
      </c>
      <c r="L906" s="424">
        <f>'C'!K236</f>
        <v>300.5</v>
      </c>
      <c r="M906" s="424">
        <f>'C'!L236</f>
        <v>286.89999999999998</v>
      </c>
      <c r="N906" s="424">
        <f>'C'!M236</f>
        <v>353.4</v>
      </c>
      <c r="O906" s="424">
        <f>'C'!N236</f>
        <v>434.5</v>
      </c>
      <c r="P906" s="424">
        <f>'C'!O236</f>
        <v>474</v>
      </c>
      <c r="Q906" s="424">
        <f>SUM(E906:P906)</f>
        <v>4812.1000000000004</v>
      </c>
    </row>
    <row r="907" spans="1:17" s="216" customFormat="1" x14ac:dyDescent="0.2">
      <c r="A907" s="242">
        <f>A906+1</f>
        <v>8</v>
      </c>
      <c r="C907" s="216" t="str">
        <f>'C'!B225</f>
        <v xml:space="preserve">    Next 350 Mcf</v>
      </c>
      <c r="D907" s="267"/>
      <c r="E907" s="424">
        <f>'C'!D237</f>
        <v>2267</v>
      </c>
      <c r="F907" s="424">
        <f>'C'!E237</f>
        <v>2251.6999999999998</v>
      </c>
      <c r="G907" s="424">
        <f>'C'!F237</f>
        <v>2233.1999999999998</v>
      </c>
      <c r="H907" s="424">
        <f>'C'!G237</f>
        <v>1371.5</v>
      </c>
      <c r="I907" s="424">
        <f>'C'!H237</f>
        <v>1147.4000000000001</v>
      </c>
      <c r="J907" s="424">
        <f>'C'!I237</f>
        <v>938.6</v>
      </c>
      <c r="K907" s="424">
        <f>'C'!J237</f>
        <v>877.8</v>
      </c>
      <c r="L907" s="424">
        <f>'C'!K237</f>
        <v>1342.2</v>
      </c>
      <c r="M907" s="424">
        <f>'C'!L237</f>
        <v>1279.5</v>
      </c>
      <c r="N907" s="424">
        <f>'C'!M237</f>
        <v>1297.5999999999999</v>
      </c>
      <c r="O907" s="424">
        <f>'C'!N237</f>
        <v>1561.5</v>
      </c>
      <c r="P907" s="424">
        <f>'C'!O237</f>
        <v>2271.3000000000002</v>
      </c>
      <c r="Q907" s="424">
        <f>SUM(E907:P907)</f>
        <v>18839.3</v>
      </c>
    </row>
    <row r="908" spans="1:17" s="216" customFormat="1" x14ac:dyDescent="0.2">
      <c r="A908" s="242">
        <f>A907+1</f>
        <v>9</v>
      </c>
      <c r="C908" s="216" t="str">
        <f>'C'!B226</f>
        <v xml:space="preserve">    Next 600 Mcf</v>
      </c>
      <c r="D908" s="267"/>
      <c r="E908" s="424">
        <f>'C'!D238</f>
        <v>1915.4</v>
      </c>
      <c r="F908" s="424">
        <f>'C'!E238</f>
        <v>1905.2</v>
      </c>
      <c r="G908" s="424">
        <f>'C'!F238</f>
        <v>2141.3000000000002</v>
      </c>
      <c r="H908" s="424">
        <f>'C'!G238</f>
        <v>644</v>
      </c>
      <c r="I908" s="272">
        <f>'C'!H238</f>
        <v>758.5</v>
      </c>
      <c r="J908" s="272">
        <f>'C'!I238</f>
        <v>600</v>
      </c>
      <c r="K908" s="272">
        <f>'C'!J238</f>
        <v>600</v>
      </c>
      <c r="L908" s="272">
        <f>'C'!K238</f>
        <v>648.9</v>
      </c>
      <c r="M908" s="272">
        <f>'C'!L238</f>
        <v>1247.9000000000001</v>
      </c>
      <c r="N908" s="424">
        <f>'C'!M238</f>
        <v>787.6</v>
      </c>
      <c r="O908" s="424">
        <f>'C'!N238</f>
        <v>1253.4000000000001</v>
      </c>
      <c r="P908" s="424">
        <f>'C'!O238</f>
        <v>1790.6</v>
      </c>
      <c r="Q908" s="424">
        <f>SUM(E908:P908)</f>
        <v>14292.800000000001</v>
      </c>
    </row>
    <row r="909" spans="1:17" s="216" customFormat="1" x14ac:dyDescent="0.2">
      <c r="A909" s="242">
        <f>A908+1</f>
        <v>10</v>
      </c>
      <c r="C909" s="216" t="str">
        <f>'C'!B227</f>
        <v xml:space="preserve">    Over 1,000 Mcf</v>
      </c>
      <c r="D909" s="255"/>
      <c r="E909" s="448">
        <f>'C'!D239</f>
        <v>468.4</v>
      </c>
      <c r="F909" s="448">
        <f>'C'!E239</f>
        <v>404.5</v>
      </c>
      <c r="G909" s="448">
        <f>'C'!F239</f>
        <v>814.6</v>
      </c>
      <c r="H909" s="448">
        <f>'C'!G239</f>
        <v>0</v>
      </c>
      <c r="I909" s="448">
        <f>'C'!H239</f>
        <v>180.8</v>
      </c>
      <c r="J909" s="448">
        <f>'C'!I239</f>
        <v>460.2</v>
      </c>
      <c r="K909" s="448">
        <f>'C'!J239</f>
        <v>573</v>
      </c>
      <c r="L909" s="448">
        <f>'C'!K239</f>
        <v>624.70000000000005</v>
      </c>
      <c r="M909" s="448">
        <f>'C'!L239</f>
        <v>35.200000000000003</v>
      </c>
      <c r="N909" s="448">
        <f>'C'!M239</f>
        <v>856.1</v>
      </c>
      <c r="O909" s="448">
        <f>'C'!N239</f>
        <v>724.1</v>
      </c>
      <c r="P909" s="448">
        <f>'C'!O239</f>
        <v>2001</v>
      </c>
      <c r="Q909" s="448">
        <f>SUM(E909:P909)</f>
        <v>7142.6</v>
      </c>
    </row>
    <row r="910" spans="1:17" s="216" customFormat="1" x14ac:dyDescent="0.2">
      <c r="A910" s="242"/>
      <c r="D910" s="255"/>
      <c r="E910" s="424">
        <f t="shared" ref="E910:P910" si="350">SUM(E906:E909)</f>
        <v>5140</v>
      </c>
      <c r="F910" s="424">
        <f t="shared" si="350"/>
        <v>5041.8</v>
      </c>
      <c r="G910" s="424">
        <f t="shared" si="350"/>
        <v>5690</v>
      </c>
      <c r="H910" s="424">
        <f t="shared" si="350"/>
        <v>2420.1</v>
      </c>
      <c r="I910" s="424">
        <f t="shared" si="350"/>
        <v>2488.4000000000005</v>
      </c>
      <c r="J910" s="424">
        <f t="shared" si="350"/>
        <v>2355.7999999999997</v>
      </c>
      <c r="K910" s="424">
        <f t="shared" si="350"/>
        <v>2379.8000000000002</v>
      </c>
      <c r="L910" s="424">
        <f t="shared" si="350"/>
        <v>2916.3</v>
      </c>
      <c r="M910" s="424">
        <f t="shared" si="350"/>
        <v>2849.5</v>
      </c>
      <c r="N910" s="424">
        <f t="shared" si="350"/>
        <v>3294.7</v>
      </c>
      <c r="O910" s="424">
        <f t="shared" si="350"/>
        <v>3973.5</v>
      </c>
      <c r="P910" s="424">
        <f t="shared" si="350"/>
        <v>6536.9</v>
      </c>
      <c r="Q910" s="424">
        <f>SUM(E910:P910)</f>
        <v>45086.799999999996</v>
      </c>
    </row>
    <row r="911" spans="1:17" s="216" customFormat="1" x14ac:dyDescent="0.2">
      <c r="A911" s="242">
        <f>A909+1</f>
        <v>11</v>
      </c>
      <c r="C911" s="216" t="s">
        <v>204</v>
      </c>
      <c r="D911" s="255"/>
      <c r="F911" s="269"/>
      <c r="G911" s="418"/>
      <c r="H911" s="269"/>
      <c r="I911" s="272"/>
      <c r="J911" s="269"/>
      <c r="K911" s="269"/>
      <c r="L911" s="269"/>
      <c r="M911" s="269"/>
      <c r="N911" s="269"/>
      <c r="O911" s="269"/>
      <c r="P911" s="269"/>
      <c r="Q911" s="456"/>
    </row>
    <row r="912" spans="1:17" s="216" customFormat="1" x14ac:dyDescent="0.2">
      <c r="A912" s="242">
        <f>A911+1</f>
        <v>12</v>
      </c>
      <c r="C912" s="216" t="str">
        <f>C906</f>
        <v xml:space="preserve">    First 50 Mcf</v>
      </c>
      <c r="D912" s="609">
        <f>Input!Q40</f>
        <v>3.5621999999999998</v>
      </c>
      <c r="E912" s="386">
        <f t="shared" ref="E912:P912" si="351">ROUND(E906*$D$912,2)</f>
        <v>1742.63</v>
      </c>
      <c r="F912" s="386">
        <f t="shared" si="351"/>
        <v>1711.28</v>
      </c>
      <c r="G912" s="386">
        <f t="shared" si="351"/>
        <v>1784.31</v>
      </c>
      <c r="H912" s="386">
        <f t="shared" si="351"/>
        <v>1441.27</v>
      </c>
      <c r="I912" s="386">
        <f t="shared" si="351"/>
        <v>1430.94</v>
      </c>
      <c r="J912" s="386">
        <f t="shared" si="351"/>
        <v>1271.71</v>
      </c>
      <c r="K912" s="386">
        <f t="shared" si="351"/>
        <v>1171.96</v>
      </c>
      <c r="L912" s="386">
        <f t="shared" si="351"/>
        <v>1070.44</v>
      </c>
      <c r="M912" s="386">
        <f t="shared" si="351"/>
        <v>1022</v>
      </c>
      <c r="N912" s="386">
        <f t="shared" si="351"/>
        <v>1258.8800000000001</v>
      </c>
      <c r="O912" s="386">
        <f t="shared" si="351"/>
        <v>1547.78</v>
      </c>
      <c r="P912" s="386">
        <f t="shared" si="351"/>
        <v>1688.48</v>
      </c>
      <c r="Q912" s="386">
        <f t="shared" ref="Q912:Q919" si="352">SUM(E912:P912)</f>
        <v>17141.68</v>
      </c>
    </row>
    <row r="913" spans="1:17" s="216" customFormat="1" x14ac:dyDescent="0.2">
      <c r="A913" s="242">
        <f>A912+1</f>
        <v>13</v>
      </c>
      <c r="C913" s="216" t="str">
        <f>C907</f>
        <v xml:space="preserve">    Next 350 Mcf</v>
      </c>
      <c r="D913" s="609">
        <f>Input!R40</f>
        <v>2.7494000000000001</v>
      </c>
      <c r="E913" s="421">
        <f t="shared" ref="E913:P913" si="353">ROUND(E907*$D$913,2)</f>
        <v>6232.89</v>
      </c>
      <c r="F913" s="421">
        <f t="shared" si="353"/>
        <v>6190.82</v>
      </c>
      <c r="G913" s="421">
        <f t="shared" si="353"/>
        <v>6139.96</v>
      </c>
      <c r="H913" s="421">
        <f t="shared" si="353"/>
        <v>3770.8</v>
      </c>
      <c r="I913" s="421">
        <f t="shared" si="353"/>
        <v>3154.66</v>
      </c>
      <c r="J913" s="421">
        <f t="shared" si="353"/>
        <v>2580.59</v>
      </c>
      <c r="K913" s="421">
        <f t="shared" si="353"/>
        <v>2413.42</v>
      </c>
      <c r="L913" s="421">
        <f t="shared" si="353"/>
        <v>3690.24</v>
      </c>
      <c r="M913" s="421">
        <f t="shared" si="353"/>
        <v>3517.86</v>
      </c>
      <c r="N913" s="421">
        <f t="shared" si="353"/>
        <v>3567.62</v>
      </c>
      <c r="O913" s="421">
        <f t="shared" si="353"/>
        <v>4293.1899999999996</v>
      </c>
      <c r="P913" s="421">
        <f t="shared" si="353"/>
        <v>6244.71</v>
      </c>
      <c r="Q913" s="421">
        <f t="shared" si="352"/>
        <v>51796.76</v>
      </c>
    </row>
    <row r="914" spans="1:17" s="216" customFormat="1" x14ac:dyDescent="0.2">
      <c r="A914" s="242">
        <f>A913+1</f>
        <v>14</v>
      </c>
      <c r="C914" s="216" t="str">
        <f>C908</f>
        <v xml:space="preserve">    Next 600 Mcf</v>
      </c>
      <c r="D914" s="609">
        <f>Input!S40</f>
        <v>2.6135000000000002</v>
      </c>
      <c r="E914" s="421">
        <f t="shared" ref="E914:O914" si="354">ROUND(E908*$D$914,2)</f>
        <v>5005.8999999999996</v>
      </c>
      <c r="F914" s="421">
        <f t="shared" si="354"/>
        <v>4979.24</v>
      </c>
      <c r="G914" s="421">
        <f t="shared" si="354"/>
        <v>5596.29</v>
      </c>
      <c r="H914" s="421">
        <f t="shared" si="354"/>
        <v>1683.09</v>
      </c>
      <c r="I914" s="453">
        <f t="shared" si="354"/>
        <v>1982.34</v>
      </c>
      <c r="J914" s="453">
        <f t="shared" si="354"/>
        <v>1568.1</v>
      </c>
      <c r="K914" s="453">
        <f t="shared" si="354"/>
        <v>1568.1</v>
      </c>
      <c r="L914" s="453">
        <f t="shared" si="354"/>
        <v>1695.9</v>
      </c>
      <c r="M914" s="453">
        <f t="shared" si="354"/>
        <v>3261.39</v>
      </c>
      <c r="N914" s="421">
        <f t="shared" si="354"/>
        <v>2058.39</v>
      </c>
      <c r="O914" s="421">
        <f t="shared" si="354"/>
        <v>3275.76</v>
      </c>
      <c r="P914" s="421">
        <f>ROUND(P908*$D$914,2)</f>
        <v>4679.7299999999996</v>
      </c>
      <c r="Q914" s="421">
        <f t="shared" si="352"/>
        <v>37354.229999999996</v>
      </c>
    </row>
    <row r="915" spans="1:17" s="216" customFormat="1" x14ac:dyDescent="0.2">
      <c r="A915" s="242">
        <f>A914+1</f>
        <v>15</v>
      </c>
      <c r="C915" s="216" t="str">
        <f>C909</f>
        <v xml:space="preserve">    Over 1,000 Mcf</v>
      </c>
      <c r="D915" s="609">
        <f>Input!T40</f>
        <v>2.3782000000000001</v>
      </c>
      <c r="E915" s="450">
        <f t="shared" ref="E915:O915" si="355">ROUND(E909*$D$915,2)</f>
        <v>1113.95</v>
      </c>
      <c r="F915" s="450">
        <f t="shared" si="355"/>
        <v>961.98</v>
      </c>
      <c r="G915" s="450">
        <f t="shared" si="355"/>
        <v>1937.28</v>
      </c>
      <c r="H915" s="450">
        <f t="shared" si="355"/>
        <v>0</v>
      </c>
      <c r="I915" s="450">
        <f t="shared" si="355"/>
        <v>429.98</v>
      </c>
      <c r="J915" s="450">
        <f t="shared" si="355"/>
        <v>1094.45</v>
      </c>
      <c r="K915" s="450">
        <f t="shared" si="355"/>
        <v>1362.71</v>
      </c>
      <c r="L915" s="450">
        <f t="shared" si="355"/>
        <v>1485.66</v>
      </c>
      <c r="M915" s="450">
        <f t="shared" si="355"/>
        <v>83.71</v>
      </c>
      <c r="N915" s="450">
        <f t="shared" si="355"/>
        <v>2035.98</v>
      </c>
      <c r="O915" s="450">
        <f t="shared" si="355"/>
        <v>1722.05</v>
      </c>
      <c r="P915" s="450">
        <f>ROUND(P909*$D$915,2)</f>
        <v>4758.78</v>
      </c>
      <c r="Q915" s="450">
        <f t="shared" si="352"/>
        <v>16986.53</v>
      </c>
    </row>
    <row r="916" spans="1:17" s="216" customFormat="1" x14ac:dyDescent="0.2">
      <c r="A916" s="242"/>
      <c r="D916" s="267"/>
      <c r="E916" s="386">
        <f t="shared" ref="E916:P916" si="356">SUM(E912:E915)</f>
        <v>14095.37</v>
      </c>
      <c r="F916" s="386">
        <f t="shared" si="356"/>
        <v>13843.32</v>
      </c>
      <c r="G916" s="386">
        <f t="shared" si="356"/>
        <v>15457.840000000002</v>
      </c>
      <c r="H916" s="386">
        <f t="shared" si="356"/>
        <v>6895.16</v>
      </c>
      <c r="I916" s="386">
        <f t="shared" si="356"/>
        <v>6997.92</v>
      </c>
      <c r="J916" s="386">
        <f t="shared" si="356"/>
        <v>6514.8499999999995</v>
      </c>
      <c r="K916" s="386">
        <f t="shared" si="356"/>
        <v>6516.19</v>
      </c>
      <c r="L916" s="386">
        <f t="shared" si="356"/>
        <v>7942.24</v>
      </c>
      <c r="M916" s="386">
        <f t="shared" si="356"/>
        <v>7884.96</v>
      </c>
      <c r="N916" s="386">
        <f t="shared" si="356"/>
        <v>8920.869999999999</v>
      </c>
      <c r="O916" s="386">
        <f t="shared" si="356"/>
        <v>10838.779999999999</v>
      </c>
      <c r="P916" s="386">
        <f t="shared" si="356"/>
        <v>17371.7</v>
      </c>
      <c r="Q916" s="386">
        <f t="shared" si="352"/>
        <v>123279.2</v>
      </c>
    </row>
    <row r="917" spans="1:17" s="216" customFormat="1" x14ac:dyDescent="0.2">
      <c r="A917" s="242">
        <f>A915+1</f>
        <v>16</v>
      </c>
      <c r="C917" s="667" t="s">
        <v>140</v>
      </c>
      <c r="D917" s="609">
        <f>Input!$AA$40</f>
        <v>1.44E-2</v>
      </c>
      <c r="E917" s="386">
        <f>ROUND($D$917*E910,2)</f>
        <v>74.02</v>
      </c>
      <c r="F917" s="386">
        <f t="shared" ref="F917:P917" si="357">ROUND($D$917*F910,2)</f>
        <v>72.599999999999994</v>
      </c>
      <c r="G917" s="386">
        <f t="shared" si="357"/>
        <v>81.94</v>
      </c>
      <c r="H917" s="386">
        <f t="shared" si="357"/>
        <v>34.85</v>
      </c>
      <c r="I917" s="386">
        <f t="shared" si="357"/>
        <v>35.83</v>
      </c>
      <c r="J917" s="386">
        <f t="shared" si="357"/>
        <v>33.92</v>
      </c>
      <c r="K917" s="386">
        <f t="shared" si="357"/>
        <v>34.270000000000003</v>
      </c>
      <c r="L917" s="386">
        <f t="shared" si="357"/>
        <v>41.99</v>
      </c>
      <c r="M917" s="386">
        <f t="shared" si="357"/>
        <v>41.03</v>
      </c>
      <c r="N917" s="386">
        <f t="shared" si="357"/>
        <v>47.44</v>
      </c>
      <c r="O917" s="386">
        <f t="shared" si="357"/>
        <v>57.22</v>
      </c>
      <c r="P917" s="386">
        <f t="shared" si="357"/>
        <v>94.13</v>
      </c>
      <c r="Q917" s="386">
        <f>SUM(E917:P917)</f>
        <v>649.24</v>
      </c>
    </row>
    <row r="918" spans="1:17" s="216" customFormat="1" x14ac:dyDescent="0.2">
      <c r="A918" s="242">
        <f>A917+1</f>
        <v>17</v>
      </c>
      <c r="C918" s="667" t="s">
        <v>529</v>
      </c>
      <c r="D918" s="609">
        <v>0</v>
      </c>
      <c r="E918" s="431">
        <f>ROUND(E910*$D$918,2)</f>
        <v>0</v>
      </c>
      <c r="F918" s="431">
        <f t="shared" ref="F918:P918" si="358">ROUND(F910*$D$918,2)</f>
        <v>0</v>
      </c>
      <c r="G918" s="431">
        <f t="shared" si="358"/>
        <v>0</v>
      </c>
      <c r="H918" s="431">
        <f t="shared" si="358"/>
        <v>0</v>
      </c>
      <c r="I918" s="431">
        <f t="shared" si="358"/>
        <v>0</v>
      </c>
      <c r="J918" s="431">
        <f t="shared" si="358"/>
        <v>0</v>
      </c>
      <c r="K918" s="431">
        <f t="shared" si="358"/>
        <v>0</v>
      </c>
      <c r="L918" s="431">
        <f t="shared" si="358"/>
        <v>0</v>
      </c>
      <c r="M918" s="431">
        <f t="shared" si="358"/>
        <v>0</v>
      </c>
      <c r="N918" s="431">
        <f t="shared" si="358"/>
        <v>0</v>
      </c>
      <c r="O918" s="431">
        <f t="shared" si="358"/>
        <v>0</v>
      </c>
      <c r="P918" s="431">
        <f t="shared" si="358"/>
        <v>0</v>
      </c>
      <c r="Q918" s="431">
        <f t="shared" si="352"/>
        <v>0</v>
      </c>
    </row>
    <row r="919" spans="1:17" s="216" customFormat="1" x14ac:dyDescent="0.2">
      <c r="A919" s="242">
        <f>A918+1</f>
        <v>18</v>
      </c>
      <c r="C919" s="216" t="s">
        <v>201</v>
      </c>
      <c r="D919" s="267"/>
      <c r="E919" s="684">
        <f>E902+E903+E916+E918+E917</f>
        <v>15215.19</v>
      </c>
      <c r="F919" s="684">
        <f t="shared" ref="F919:P919" si="359">F902+F903+F916+F918+F917</f>
        <v>14961.72</v>
      </c>
      <c r="G919" s="684">
        <f t="shared" si="359"/>
        <v>16585.580000000002</v>
      </c>
      <c r="H919" s="684">
        <f t="shared" si="359"/>
        <v>7975.81</v>
      </c>
      <c r="I919" s="684">
        <f t="shared" si="359"/>
        <v>8079.55</v>
      </c>
      <c r="J919" s="684">
        <f t="shared" si="359"/>
        <v>7594.57</v>
      </c>
      <c r="K919" s="684">
        <f t="shared" si="359"/>
        <v>7596.26</v>
      </c>
      <c r="L919" s="684">
        <f t="shared" si="359"/>
        <v>9030.0299999999988</v>
      </c>
      <c r="M919" s="684">
        <f t="shared" si="359"/>
        <v>8971.7900000000009</v>
      </c>
      <c r="N919" s="684">
        <f t="shared" si="359"/>
        <v>10014.109999999999</v>
      </c>
      <c r="O919" s="684">
        <f t="shared" si="359"/>
        <v>11941.799999999997</v>
      </c>
      <c r="P919" s="684">
        <f t="shared" si="359"/>
        <v>18511.63</v>
      </c>
      <c r="Q919" s="430">
        <f t="shared" si="352"/>
        <v>136478.04</v>
      </c>
    </row>
    <row r="920" spans="1:17" s="216" customFormat="1" x14ac:dyDescent="0.2">
      <c r="A920" s="242"/>
      <c r="E920" s="430"/>
      <c r="F920" s="430"/>
      <c r="G920" s="430"/>
      <c r="H920" s="430"/>
      <c r="I920" s="430"/>
      <c r="J920" s="430"/>
      <c r="K920" s="430"/>
      <c r="L920" s="430"/>
      <c r="M920" s="430"/>
      <c r="N920" s="430"/>
      <c r="O920" s="430"/>
      <c r="P920" s="430"/>
      <c r="Q920" s="430"/>
    </row>
    <row r="921" spans="1:17" s="216" customFormat="1" x14ac:dyDescent="0.2">
      <c r="A921" s="242">
        <f>A919+1</f>
        <v>19</v>
      </c>
      <c r="C921" s="216" t="s">
        <v>148</v>
      </c>
      <c r="D921" s="609">
        <v>0</v>
      </c>
      <c r="E921" s="386">
        <v>0</v>
      </c>
      <c r="F921" s="386">
        <v>0</v>
      </c>
      <c r="G921" s="386">
        <v>0</v>
      </c>
      <c r="H921" s="386">
        <v>0</v>
      </c>
      <c r="I921" s="386">
        <v>0</v>
      </c>
      <c r="J921" s="386">
        <v>0</v>
      </c>
      <c r="K921" s="386">
        <v>0</v>
      </c>
      <c r="L921" s="386">
        <v>0</v>
      </c>
      <c r="M921" s="386">
        <v>0</v>
      </c>
      <c r="N921" s="386">
        <v>0</v>
      </c>
      <c r="O921" s="386">
        <v>0</v>
      </c>
      <c r="P921" s="386">
        <v>0</v>
      </c>
      <c r="Q921" s="386">
        <f>SUM(E921:P921)</f>
        <v>0</v>
      </c>
    </row>
    <row r="922" spans="1:17" s="216" customFormat="1" x14ac:dyDescent="0.2">
      <c r="A922" s="242"/>
      <c r="D922" s="267"/>
      <c r="F922" s="269"/>
      <c r="G922" s="418"/>
      <c r="H922" s="269"/>
      <c r="I922" s="272"/>
      <c r="J922" s="269"/>
      <c r="K922" s="269"/>
      <c r="L922" s="269"/>
      <c r="M922" s="269"/>
      <c r="N922" s="269"/>
      <c r="O922" s="269"/>
      <c r="P922" s="269"/>
      <c r="Q922" s="418"/>
    </row>
    <row r="923" spans="1:17" s="216" customFormat="1" ht="10.5" thickBot="1" x14ac:dyDescent="0.25">
      <c r="A923" s="580">
        <f>A921+1</f>
        <v>20</v>
      </c>
      <c r="B923" s="434"/>
      <c r="C923" s="581" t="s">
        <v>202</v>
      </c>
      <c r="D923" s="582"/>
      <c r="E923" s="435">
        <f t="shared" ref="E923:P923" si="360">E919+E921</f>
        <v>15215.19</v>
      </c>
      <c r="F923" s="435">
        <f t="shared" si="360"/>
        <v>14961.72</v>
      </c>
      <c r="G923" s="435">
        <f t="shared" si="360"/>
        <v>16585.580000000002</v>
      </c>
      <c r="H923" s="435">
        <f t="shared" si="360"/>
        <v>7975.81</v>
      </c>
      <c r="I923" s="435">
        <f t="shared" si="360"/>
        <v>8079.55</v>
      </c>
      <c r="J923" s="435">
        <f t="shared" si="360"/>
        <v>7594.57</v>
      </c>
      <c r="K923" s="435">
        <f t="shared" si="360"/>
        <v>7596.26</v>
      </c>
      <c r="L923" s="435">
        <f t="shared" si="360"/>
        <v>9030.0299999999988</v>
      </c>
      <c r="M923" s="435">
        <f t="shared" si="360"/>
        <v>8971.7900000000009</v>
      </c>
      <c r="N923" s="435">
        <f t="shared" si="360"/>
        <v>10014.109999999999</v>
      </c>
      <c r="O923" s="435">
        <f t="shared" si="360"/>
        <v>11941.799999999997</v>
      </c>
      <c r="P923" s="435">
        <f t="shared" si="360"/>
        <v>18511.63</v>
      </c>
      <c r="Q923" s="435">
        <f>SUM(E923:P923)</f>
        <v>136478.04</v>
      </c>
    </row>
    <row r="924" spans="1:17" s="216" customFormat="1" ht="10.5" thickTop="1" x14ac:dyDescent="0.2">
      <c r="A924" s="242"/>
      <c r="D924" s="267"/>
      <c r="F924" s="269"/>
      <c r="G924" s="418"/>
      <c r="H924" s="269"/>
      <c r="I924" s="272"/>
      <c r="J924" s="269"/>
      <c r="K924" s="269"/>
      <c r="L924" s="269"/>
      <c r="M924" s="269"/>
      <c r="N924" s="269"/>
      <c r="O924" s="269"/>
      <c r="P924" s="269"/>
      <c r="Q924" s="418"/>
    </row>
    <row r="925" spans="1:17" s="216" customFormat="1" x14ac:dyDescent="0.2">
      <c r="A925" s="242"/>
      <c r="D925" s="267"/>
      <c r="F925" s="269"/>
      <c r="G925" s="418"/>
      <c r="H925" s="269"/>
      <c r="I925" s="272"/>
      <c r="J925" s="269"/>
      <c r="K925" s="269"/>
      <c r="L925" s="269"/>
      <c r="M925" s="269"/>
      <c r="N925" s="269"/>
      <c r="O925" s="269"/>
      <c r="P925" s="269"/>
    </row>
    <row r="926" spans="1:17" s="216" customFormat="1" x14ac:dyDescent="0.2">
      <c r="A926" s="504" t="str">
        <f>$A$265</f>
        <v>[1] Reflects Normalized Volumes.</v>
      </c>
      <c r="D926" s="267"/>
      <c r="F926" s="269"/>
      <c r="G926" s="418"/>
      <c r="H926" s="269"/>
      <c r="I926" s="272"/>
      <c r="J926" s="269"/>
      <c r="K926" s="269"/>
      <c r="L926" s="269"/>
      <c r="M926" s="269"/>
      <c r="N926" s="269"/>
      <c r="O926" s="269"/>
      <c r="P926" s="269"/>
    </row>
    <row r="927" spans="1:17" s="216" customFormat="1" ht="10.5" x14ac:dyDescent="0.25">
      <c r="A927" s="817" t="str">
        <f>CONAME</f>
        <v>Columbia Gas of Kentucky, Inc.</v>
      </c>
      <c r="B927" s="817"/>
      <c r="C927" s="817"/>
      <c r="D927" s="817"/>
      <c r="E927" s="817"/>
      <c r="F927" s="817"/>
      <c r="G927" s="817"/>
      <c r="H927" s="817"/>
      <c r="I927" s="817"/>
      <c r="J927" s="817"/>
      <c r="K927" s="817"/>
      <c r="L927" s="817"/>
      <c r="M927" s="817"/>
      <c r="N927" s="817"/>
      <c r="O927" s="817"/>
      <c r="P927" s="817"/>
      <c r="Q927" s="817"/>
    </row>
    <row r="928" spans="1:17" s="216" customFormat="1" ht="10.5" x14ac:dyDescent="0.25">
      <c r="A928" s="800" t="str">
        <f>case</f>
        <v>Case No. 2021-00183</v>
      </c>
      <c r="B928" s="800"/>
      <c r="C928" s="800"/>
      <c r="D928" s="800"/>
      <c r="E928" s="800"/>
      <c r="F928" s="800"/>
      <c r="G928" s="800"/>
      <c r="H928" s="800"/>
      <c r="I928" s="800"/>
      <c r="J928" s="800"/>
      <c r="K928" s="800"/>
      <c r="L928" s="800"/>
      <c r="M928" s="800"/>
      <c r="N928" s="800"/>
      <c r="O928" s="800"/>
      <c r="P928" s="800"/>
      <c r="Q928" s="800"/>
    </row>
    <row r="929" spans="1:17" s="216" customFormat="1" ht="10.5" x14ac:dyDescent="0.25">
      <c r="A929" s="815" t="s">
        <v>197</v>
      </c>
      <c r="B929" s="815"/>
      <c r="C929" s="815"/>
      <c r="D929" s="815"/>
      <c r="E929" s="815"/>
      <c r="F929" s="815"/>
      <c r="G929" s="815"/>
      <c r="H929" s="815"/>
      <c r="I929" s="815"/>
      <c r="J929" s="815"/>
      <c r="K929" s="815"/>
      <c r="L929" s="815"/>
      <c r="M929" s="815"/>
      <c r="N929" s="815"/>
      <c r="O929" s="815"/>
      <c r="P929" s="815"/>
      <c r="Q929" s="815"/>
    </row>
    <row r="930" spans="1:17" s="216" customFormat="1" ht="10.5" x14ac:dyDescent="0.25">
      <c r="A930" s="817" t="str">
        <f>TYDESC</f>
        <v>For the 12 Months Ended December 31, 2022</v>
      </c>
      <c r="B930" s="817"/>
      <c r="C930" s="817"/>
      <c r="D930" s="817"/>
      <c r="E930" s="817"/>
      <c r="F930" s="817"/>
      <c r="G930" s="817"/>
      <c r="H930" s="817"/>
      <c r="I930" s="817"/>
      <c r="J930" s="817"/>
      <c r="K930" s="817"/>
      <c r="L930" s="817"/>
      <c r="M930" s="817"/>
      <c r="N930" s="817"/>
      <c r="O930" s="817"/>
      <c r="P930" s="817"/>
      <c r="Q930" s="817"/>
    </row>
    <row r="931" spans="1:17" s="216" customFormat="1" ht="10.5" x14ac:dyDescent="0.25">
      <c r="A931" s="814" t="s">
        <v>39</v>
      </c>
      <c r="B931" s="814"/>
      <c r="C931" s="814"/>
      <c r="D931" s="814"/>
      <c r="E931" s="814"/>
      <c r="F931" s="814"/>
      <c r="G931" s="814"/>
      <c r="H931" s="814"/>
      <c r="I931" s="814"/>
      <c r="J931" s="814"/>
      <c r="K931" s="814"/>
      <c r="L931" s="814"/>
      <c r="M931" s="814"/>
      <c r="N931" s="814"/>
      <c r="O931" s="814"/>
      <c r="P931" s="814"/>
      <c r="Q931" s="814"/>
    </row>
    <row r="932" spans="1:17" s="216" customFormat="1" ht="10.5" x14ac:dyDescent="0.25">
      <c r="A932" s="575" t="str">
        <f>$A$52</f>
        <v>Data: __ Base Period _X_ Forecasted Period</v>
      </c>
      <c r="D932" s="267"/>
      <c r="F932" s="269"/>
      <c r="G932" s="418"/>
      <c r="H932" s="269"/>
      <c r="I932" s="272"/>
      <c r="J932" s="269"/>
      <c r="K932" s="269"/>
      <c r="L932" s="269"/>
      <c r="M932" s="269"/>
      <c r="N932" s="269"/>
      <c r="O932" s="269"/>
      <c r="P932" s="269"/>
    </row>
    <row r="933" spans="1:17" s="216" customFormat="1" ht="10.5" x14ac:dyDescent="0.25">
      <c r="A933" s="575" t="str">
        <f>$A$53</f>
        <v>Type of Filing: X Original _ Update _ Revised</v>
      </c>
      <c r="D933" s="267"/>
      <c r="F933" s="269"/>
      <c r="G933" s="418"/>
      <c r="H933" s="269"/>
      <c r="I933" s="272"/>
      <c r="J933" s="269"/>
      <c r="K933" s="269"/>
      <c r="L933" s="269"/>
      <c r="M933" s="269"/>
      <c r="N933" s="269"/>
      <c r="O933" s="269"/>
      <c r="P933" s="269"/>
      <c r="Q933" s="583" t="str">
        <f>$Q$53</f>
        <v>Schedule M-2.3</v>
      </c>
    </row>
    <row r="934" spans="1:17" s="216" customFormat="1" ht="10.5" x14ac:dyDescent="0.25">
      <c r="A934" s="575" t="str">
        <f>$A$54</f>
        <v>Work Paper Reference No(s):</v>
      </c>
      <c r="D934" s="267"/>
      <c r="F934" s="269"/>
      <c r="G934" s="418"/>
      <c r="H934" s="269"/>
      <c r="I934" s="272"/>
      <c r="J934" s="269"/>
      <c r="K934" s="269"/>
      <c r="L934" s="269"/>
      <c r="M934" s="269"/>
      <c r="N934" s="269"/>
      <c r="O934" s="269"/>
      <c r="P934" s="269"/>
      <c r="Q934" s="583" t="s">
        <v>430</v>
      </c>
    </row>
    <row r="935" spans="1:17" s="216" customFormat="1" ht="10.5" x14ac:dyDescent="0.25">
      <c r="A935" s="576" t="str">
        <f>$A$55</f>
        <v>12 Months Forecasted</v>
      </c>
      <c r="D935" s="267"/>
      <c r="F935" s="269"/>
      <c r="G935" s="418"/>
      <c r="H935" s="269"/>
      <c r="I935" s="272"/>
      <c r="J935" s="269"/>
      <c r="K935" s="269"/>
      <c r="L935" s="269"/>
      <c r="M935" s="269"/>
      <c r="N935" s="269"/>
      <c r="O935" s="269"/>
      <c r="P935" s="269"/>
      <c r="Q935" s="583" t="str">
        <f>Witness</f>
        <v>Witness:  Judith L. Siegler</v>
      </c>
    </row>
    <row r="936" spans="1:17" s="216" customFormat="1" ht="10.5" x14ac:dyDescent="0.25">
      <c r="A936" s="816" t="s">
        <v>291</v>
      </c>
      <c r="B936" s="816"/>
      <c r="C936" s="816"/>
      <c r="D936" s="816"/>
      <c r="E936" s="816"/>
      <c r="F936" s="816"/>
      <c r="G936" s="816"/>
      <c r="H936" s="816"/>
      <c r="I936" s="816"/>
      <c r="J936" s="816"/>
      <c r="K936" s="816"/>
      <c r="L936" s="816"/>
      <c r="M936" s="816"/>
      <c r="N936" s="816"/>
      <c r="O936" s="816"/>
      <c r="P936" s="816"/>
      <c r="Q936" s="816"/>
    </row>
    <row r="937" spans="1:17" s="216" customFormat="1" ht="10.5" x14ac:dyDescent="0.25">
      <c r="A937" s="219"/>
      <c r="B937" s="280"/>
      <c r="C937" s="280"/>
      <c r="D937" s="282"/>
      <c r="E937" s="280"/>
      <c r="F937" s="438"/>
      <c r="G937" s="439"/>
      <c r="H937" s="438"/>
      <c r="I937" s="440"/>
      <c r="J937" s="438"/>
      <c r="K937" s="438"/>
      <c r="L937" s="438"/>
      <c r="M937" s="438"/>
      <c r="N937" s="438"/>
      <c r="O937" s="438"/>
      <c r="P937" s="438"/>
      <c r="Q937" s="280"/>
    </row>
    <row r="938" spans="1:17" s="216" customFormat="1" ht="10.5" x14ac:dyDescent="0.25">
      <c r="A938" s="717" t="s">
        <v>1</v>
      </c>
      <c r="B938" s="717" t="s">
        <v>0</v>
      </c>
      <c r="C938" s="717" t="s">
        <v>41</v>
      </c>
      <c r="D938" s="721" t="s">
        <v>30</v>
      </c>
      <c r="E938" s="717"/>
      <c r="F938" s="584"/>
      <c r="G938" s="587"/>
      <c r="H938" s="584"/>
      <c r="I938" s="722"/>
      <c r="J938" s="584"/>
      <c r="K938" s="584"/>
      <c r="L938" s="584"/>
      <c r="M938" s="584"/>
      <c r="N938" s="584"/>
      <c r="O938" s="584"/>
      <c r="P938" s="584"/>
      <c r="Q938" s="723"/>
    </row>
    <row r="939" spans="1:17" s="216" customFormat="1" ht="10.5" x14ac:dyDescent="0.25">
      <c r="A939" s="263" t="s">
        <v>3</v>
      </c>
      <c r="B939" s="263" t="s">
        <v>40</v>
      </c>
      <c r="C939" s="263" t="s">
        <v>4</v>
      </c>
      <c r="D939" s="379" t="s">
        <v>48</v>
      </c>
      <c r="E939" s="380" t="str">
        <f>B!$D$11</f>
        <v>Jan-22</v>
      </c>
      <c r="F939" s="380" t="str">
        <f>B!$E$11</f>
        <v>Feb-22</v>
      </c>
      <c r="G939" s="380" t="str">
        <f>B!$F$11</f>
        <v>Mar-22</v>
      </c>
      <c r="H939" s="380" t="str">
        <f>B!$G$11</f>
        <v>Apr-22</v>
      </c>
      <c r="I939" s="380" t="str">
        <f>B!$H$11</f>
        <v>May-22</v>
      </c>
      <c r="J939" s="380" t="str">
        <f>B!$I$11</f>
        <v>Jun-22</v>
      </c>
      <c r="K939" s="380" t="str">
        <f>B!$J$11</f>
        <v>Jul-22</v>
      </c>
      <c r="L939" s="380" t="str">
        <f>B!$K$11</f>
        <v>Aug-22</v>
      </c>
      <c r="M939" s="380" t="str">
        <f>B!$L$11</f>
        <v>Sep-22</v>
      </c>
      <c r="N939" s="380" t="str">
        <f>B!$M$11</f>
        <v>Oct-22</v>
      </c>
      <c r="O939" s="380" t="str">
        <f>B!$N$11</f>
        <v>Nov-22</v>
      </c>
      <c r="P939" s="380" t="str">
        <f>B!$O$11</f>
        <v>Dec-22</v>
      </c>
      <c r="Q939" s="380" t="s">
        <v>9</v>
      </c>
    </row>
    <row r="940" spans="1:17" s="216" customFormat="1" ht="10.5" x14ac:dyDescent="0.25">
      <c r="A940" s="717"/>
      <c r="B940" s="719" t="s">
        <v>42</v>
      </c>
      <c r="C940" s="719" t="s">
        <v>43</v>
      </c>
      <c r="D940" s="382" t="s">
        <v>45</v>
      </c>
      <c r="E940" s="383" t="s">
        <v>46</v>
      </c>
      <c r="F940" s="383" t="s">
        <v>49</v>
      </c>
      <c r="G940" s="383" t="s">
        <v>50</v>
      </c>
      <c r="H940" s="383" t="s">
        <v>51</v>
      </c>
      <c r="I940" s="383" t="s">
        <v>52</v>
      </c>
      <c r="J940" s="384" t="s">
        <v>53</v>
      </c>
      <c r="K940" s="384" t="s">
        <v>54</v>
      </c>
      <c r="L940" s="384" t="s">
        <v>55</v>
      </c>
      <c r="M940" s="384" t="s">
        <v>56</v>
      </c>
      <c r="N940" s="384" t="s">
        <v>57</v>
      </c>
      <c r="O940" s="384" t="s">
        <v>58</v>
      </c>
      <c r="P940" s="384" t="s">
        <v>59</v>
      </c>
      <c r="Q940" s="384" t="s">
        <v>200</v>
      </c>
    </row>
    <row r="941" spans="1:17" s="216" customFormat="1" ht="10.5" x14ac:dyDescent="0.25">
      <c r="A941" s="242"/>
      <c r="D941" s="267"/>
      <c r="E941" s="723"/>
      <c r="F941" s="588"/>
      <c r="G941" s="585"/>
      <c r="H941" s="588"/>
      <c r="I941" s="586"/>
      <c r="J941" s="588"/>
      <c r="K941" s="588"/>
      <c r="L941" s="588"/>
      <c r="M941" s="588"/>
      <c r="N941" s="588"/>
      <c r="O941" s="588"/>
      <c r="P941" s="588"/>
      <c r="Q941" s="723"/>
    </row>
    <row r="942" spans="1:17" s="216" customFormat="1" x14ac:dyDescent="0.2">
      <c r="A942" s="242">
        <v>1</v>
      </c>
      <c r="B942" s="216" t="str">
        <f>B243</f>
        <v>DS</v>
      </c>
      <c r="C942" s="216" t="str">
        <f>C243</f>
        <v>GTS Delivery Service - Commercial</v>
      </c>
      <c r="D942" s="267"/>
      <c r="F942" s="269"/>
      <c r="G942" s="418"/>
      <c r="H942" s="269"/>
      <c r="I942" s="272"/>
      <c r="J942" s="269"/>
      <c r="K942" s="269"/>
      <c r="L942" s="269"/>
      <c r="M942" s="269"/>
      <c r="N942" s="269"/>
      <c r="O942" s="269"/>
      <c r="P942" s="269"/>
    </row>
    <row r="943" spans="1:17" s="216" customFormat="1" x14ac:dyDescent="0.2">
      <c r="A943" s="242"/>
      <c r="D943" s="267"/>
      <c r="F943" s="269"/>
      <c r="G943" s="418"/>
      <c r="H943" s="269"/>
      <c r="I943" s="272"/>
      <c r="J943" s="269"/>
      <c r="K943" s="269"/>
      <c r="L943" s="269"/>
      <c r="M943" s="269"/>
      <c r="N943" s="269"/>
      <c r="O943" s="269"/>
      <c r="P943" s="269"/>
    </row>
    <row r="944" spans="1:17" s="216" customFormat="1" ht="10.5" x14ac:dyDescent="0.25">
      <c r="A944" s="242">
        <f>A942+1</f>
        <v>2</v>
      </c>
      <c r="C944" s="245" t="s">
        <v>111</v>
      </c>
      <c r="D944" s="267"/>
      <c r="F944" s="269"/>
      <c r="G944" s="418"/>
      <c r="H944" s="269"/>
      <c r="I944" s="272"/>
      <c r="J944" s="269"/>
      <c r="K944" s="269"/>
      <c r="L944" s="269"/>
      <c r="M944" s="269"/>
      <c r="N944" s="269"/>
      <c r="O944" s="269"/>
      <c r="P944" s="269"/>
    </row>
    <row r="945" spans="1:17" s="216" customFormat="1" ht="10.5" x14ac:dyDescent="0.25">
      <c r="A945" s="242"/>
      <c r="C945" s="245"/>
      <c r="D945" s="267"/>
      <c r="F945" s="269"/>
      <c r="G945" s="418"/>
      <c r="H945" s="269"/>
      <c r="I945" s="272"/>
      <c r="J945" s="269"/>
      <c r="K945" s="269"/>
      <c r="L945" s="269"/>
      <c r="M945" s="269"/>
      <c r="N945" s="269"/>
      <c r="O945" s="269"/>
      <c r="P945" s="269"/>
    </row>
    <row r="946" spans="1:17" s="216" customFormat="1" x14ac:dyDescent="0.2">
      <c r="A946" s="242">
        <f>A944+1</f>
        <v>3</v>
      </c>
      <c r="C946" s="216" t="s">
        <v>199</v>
      </c>
      <c r="D946" s="267"/>
      <c r="E946" s="421">
        <f>B!D182</f>
        <v>28</v>
      </c>
      <c r="F946" s="421">
        <f>B!E182</f>
        <v>28</v>
      </c>
      <c r="G946" s="421">
        <f>B!F182</f>
        <v>28</v>
      </c>
      <c r="H946" s="421">
        <f>B!G182</f>
        <v>28</v>
      </c>
      <c r="I946" s="421">
        <f>B!H182</f>
        <v>28</v>
      </c>
      <c r="J946" s="421">
        <f>B!I182</f>
        <v>28</v>
      </c>
      <c r="K946" s="421">
        <f>B!J182</f>
        <v>28</v>
      </c>
      <c r="L946" s="421">
        <f>B!K182</f>
        <v>28</v>
      </c>
      <c r="M946" s="421">
        <f>B!L182</f>
        <v>28</v>
      </c>
      <c r="N946" s="421">
        <f>B!M182</f>
        <v>28</v>
      </c>
      <c r="O946" s="421">
        <f>B!N182</f>
        <v>28</v>
      </c>
      <c r="P946" s="421">
        <f>B!O182</f>
        <v>28</v>
      </c>
      <c r="Q946" s="421">
        <f>SUM(E946:P946)</f>
        <v>336</v>
      </c>
    </row>
    <row r="947" spans="1:17" s="216" customFormat="1" x14ac:dyDescent="0.2">
      <c r="A947" s="242">
        <f>A946+1</f>
        <v>4</v>
      </c>
      <c r="C947" s="216" t="s">
        <v>207</v>
      </c>
      <c r="D947" s="608">
        <f>Input!V41</f>
        <v>4151</v>
      </c>
      <c r="E947" s="386">
        <f t="shared" ref="E947:P947" si="361">ROUND(E946*$D$947,2)</f>
        <v>116228</v>
      </c>
      <c r="F947" s="386">
        <f t="shared" si="361"/>
        <v>116228</v>
      </c>
      <c r="G947" s="386">
        <f t="shared" si="361"/>
        <v>116228</v>
      </c>
      <c r="H947" s="386">
        <f t="shared" si="361"/>
        <v>116228</v>
      </c>
      <c r="I947" s="386">
        <f t="shared" si="361"/>
        <v>116228</v>
      </c>
      <c r="J947" s="386">
        <f t="shared" si="361"/>
        <v>116228</v>
      </c>
      <c r="K947" s="386">
        <f t="shared" si="361"/>
        <v>116228</v>
      </c>
      <c r="L947" s="386">
        <f t="shared" si="361"/>
        <v>116228</v>
      </c>
      <c r="M947" s="386">
        <f t="shared" si="361"/>
        <v>116228</v>
      </c>
      <c r="N947" s="386">
        <f t="shared" si="361"/>
        <v>116228</v>
      </c>
      <c r="O947" s="386">
        <f t="shared" si="361"/>
        <v>116228</v>
      </c>
      <c r="P947" s="386">
        <f t="shared" si="361"/>
        <v>116228</v>
      </c>
      <c r="Q947" s="386">
        <f>SUM(E947:P947)</f>
        <v>1394736</v>
      </c>
    </row>
    <row r="948" spans="1:17" s="216" customFormat="1" x14ac:dyDescent="0.2">
      <c r="A948" s="242">
        <f>A947+1</f>
        <v>5</v>
      </c>
      <c r="C948" s="216" t="s">
        <v>214</v>
      </c>
      <c r="D948" s="608">
        <f>Input!W41</f>
        <v>0</v>
      </c>
      <c r="E948" s="386">
        <f t="shared" ref="E948:P948" si="362">ROUND(E946*$D$948,2)</f>
        <v>0</v>
      </c>
      <c r="F948" s="386">
        <f t="shared" si="362"/>
        <v>0</v>
      </c>
      <c r="G948" s="386">
        <f t="shared" si="362"/>
        <v>0</v>
      </c>
      <c r="H948" s="386">
        <f t="shared" si="362"/>
        <v>0</v>
      </c>
      <c r="I948" s="386">
        <f t="shared" si="362"/>
        <v>0</v>
      </c>
      <c r="J948" s="386">
        <f t="shared" si="362"/>
        <v>0</v>
      </c>
      <c r="K948" s="386">
        <f t="shared" si="362"/>
        <v>0</v>
      </c>
      <c r="L948" s="386">
        <f t="shared" si="362"/>
        <v>0</v>
      </c>
      <c r="M948" s="386">
        <f t="shared" si="362"/>
        <v>0</v>
      </c>
      <c r="N948" s="386">
        <f t="shared" si="362"/>
        <v>0</v>
      </c>
      <c r="O948" s="386">
        <f t="shared" si="362"/>
        <v>0</v>
      </c>
      <c r="P948" s="386">
        <f t="shared" si="362"/>
        <v>0</v>
      </c>
      <c r="Q948" s="386">
        <f>SUM(E948:P948)</f>
        <v>0</v>
      </c>
    </row>
    <row r="949" spans="1:17" s="216" customFormat="1" x14ac:dyDescent="0.2">
      <c r="A949" s="242">
        <f>A948+1</f>
        <v>6</v>
      </c>
      <c r="C949" s="216" t="s">
        <v>208</v>
      </c>
      <c r="D949" s="608">
        <f>Input!X41</f>
        <v>0</v>
      </c>
      <c r="E949" s="386">
        <f t="shared" ref="E949:P949" si="363">ROUND(E946*$D$949,2)</f>
        <v>0</v>
      </c>
      <c r="F949" s="386">
        <f t="shared" si="363"/>
        <v>0</v>
      </c>
      <c r="G949" s="386">
        <f t="shared" si="363"/>
        <v>0</v>
      </c>
      <c r="H949" s="386">
        <f t="shared" si="363"/>
        <v>0</v>
      </c>
      <c r="I949" s="386">
        <f t="shared" si="363"/>
        <v>0</v>
      </c>
      <c r="J949" s="386">
        <f t="shared" si="363"/>
        <v>0</v>
      </c>
      <c r="K949" s="386">
        <f t="shared" si="363"/>
        <v>0</v>
      </c>
      <c r="L949" s="386">
        <f t="shared" si="363"/>
        <v>0</v>
      </c>
      <c r="M949" s="386">
        <f t="shared" si="363"/>
        <v>0</v>
      </c>
      <c r="N949" s="386">
        <f t="shared" si="363"/>
        <v>0</v>
      </c>
      <c r="O949" s="386">
        <f t="shared" si="363"/>
        <v>0</v>
      </c>
      <c r="P949" s="386">
        <f t="shared" si="363"/>
        <v>0</v>
      </c>
      <c r="Q949" s="386">
        <f>SUM(E949:P949)</f>
        <v>0</v>
      </c>
    </row>
    <row r="950" spans="1:17" s="216" customFormat="1" x14ac:dyDescent="0.2">
      <c r="A950" s="242"/>
      <c r="D950" s="267"/>
      <c r="F950" s="269"/>
      <c r="G950" s="418"/>
      <c r="H950" s="269"/>
      <c r="I950" s="272"/>
      <c r="J950" s="269"/>
      <c r="K950" s="269"/>
      <c r="L950" s="269"/>
      <c r="M950" s="269"/>
      <c r="N950" s="269"/>
      <c r="O950" s="269"/>
      <c r="P950" s="269"/>
    </row>
    <row r="951" spans="1:17" s="216" customFormat="1" x14ac:dyDescent="0.2">
      <c r="A951" s="242">
        <f>A949+1</f>
        <v>7</v>
      </c>
      <c r="C951" s="216" t="s">
        <v>206</v>
      </c>
      <c r="D951" s="267"/>
      <c r="F951" s="269"/>
      <c r="G951" s="418"/>
      <c r="H951" s="269"/>
      <c r="I951" s="272"/>
      <c r="J951" s="269"/>
      <c r="K951" s="269"/>
      <c r="L951" s="269"/>
      <c r="M951" s="269"/>
      <c r="N951" s="269"/>
      <c r="O951" s="269"/>
      <c r="P951" s="269"/>
    </row>
    <row r="952" spans="1:17" s="216" customFormat="1" x14ac:dyDescent="0.2">
      <c r="A952" s="242">
        <f>A951+1</f>
        <v>8</v>
      </c>
      <c r="C952" s="216" t="str">
        <f>'C'!B244</f>
        <v xml:space="preserve">    First 30,000 Mcf</v>
      </c>
      <c r="D952" s="267"/>
      <c r="E952" s="424">
        <f>'C'!D254</f>
        <v>276510.2</v>
      </c>
      <c r="F952" s="424">
        <f>'C'!E254</f>
        <v>249661.8</v>
      </c>
      <c r="G952" s="424">
        <f>'C'!F254</f>
        <v>230122.1</v>
      </c>
      <c r="H952" s="424">
        <f>'C'!G254</f>
        <v>200391.1</v>
      </c>
      <c r="I952" s="424">
        <f>'C'!H254</f>
        <v>167235</v>
      </c>
      <c r="J952" s="424">
        <f>'C'!I254</f>
        <v>151250</v>
      </c>
      <c r="K952" s="424">
        <f>'C'!J254</f>
        <v>150440.6</v>
      </c>
      <c r="L952" s="424">
        <f>'C'!K254</f>
        <v>151637.20000000001</v>
      </c>
      <c r="M952" s="424">
        <f>'C'!L254</f>
        <v>154716.20000000001</v>
      </c>
      <c r="N952" s="424">
        <f>'C'!M254</f>
        <v>171061.4</v>
      </c>
      <c r="O952" s="424">
        <f>'C'!N254</f>
        <v>225043.6</v>
      </c>
      <c r="P952" s="424">
        <f>'C'!O254</f>
        <v>259887.8</v>
      </c>
      <c r="Q952" s="424">
        <f>SUM(E952:P952)</f>
        <v>2387956.9999999995</v>
      </c>
    </row>
    <row r="953" spans="1:17" s="216" customFormat="1" x14ac:dyDescent="0.2">
      <c r="A953" s="242">
        <f>A952+1</f>
        <v>9</v>
      </c>
      <c r="C953" s="216" t="str">
        <f>'C'!B245</f>
        <v xml:space="preserve">    Next 70,000 Mcf</v>
      </c>
      <c r="D953" s="267"/>
      <c r="E953" s="272">
        <f>'C'!D255</f>
        <v>86500</v>
      </c>
      <c r="F953" s="272">
        <f>'C'!E255</f>
        <v>58500</v>
      </c>
      <c r="G953" s="272">
        <f>'C'!F255</f>
        <v>56000</v>
      </c>
      <c r="H953" s="272">
        <f>'C'!G255</f>
        <v>36000</v>
      </c>
      <c r="I953" s="272">
        <f>'C'!H255</f>
        <v>17500</v>
      </c>
      <c r="J953" s="272">
        <f>'C'!I255</f>
        <v>5500</v>
      </c>
      <c r="K953" s="272">
        <f>'C'!J255</f>
        <v>9000</v>
      </c>
      <c r="L953" s="272">
        <f>'C'!K255</f>
        <v>5000</v>
      </c>
      <c r="M953" s="272">
        <f>'C'!L255</f>
        <v>10500</v>
      </c>
      <c r="N953" s="272">
        <f>'C'!M255</f>
        <v>35000</v>
      </c>
      <c r="O953" s="272">
        <f>'C'!N255</f>
        <v>62500</v>
      </c>
      <c r="P953" s="272">
        <f>'C'!O255</f>
        <v>81500</v>
      </c>
      <c r="Q953" s="272">
        <f>SUM(E953:P953)</f>
        <v>463500</v>
      </c>
    </row>
    <row r="954" spans="1:17" s="216" customFormat="1" x14ac:dyDescent="0.2">
      <c r="A954" s="242">
        <f>A953+1</f>
        <v>10</v>
      </c>
      <c r="C954" s="216" t="str">
        <f>'C'!B246</f>
        <v xml:space="preserve">    Over 100,000 Mcf</v>
      </c>
      <c r="D954" s="267"/>
      <c r="E954" s="448">
        <f>'C'!D256</f>
        <v>0</v>
      </c>
      <c r="F954" s="448">
        <f>'C'!E256</f>
        <v>0</v>
      </c>
      <c r="G954" s="448">
        <f>'C'!F256</f>
        <v>0</v>
      </c>
      <c r="H954" s="448">
        <f>'C'!G256</f>
        <v>0</v>
      </c>
      <c r="I954" s="448">
        <f>'C'!H256</f>
        <v>0</v>
      </c>
      <c r="J954" s="448">
        <f>'C'!I256</f>
        <v>0</v>
      </c>
      <c r="K954" s="448">
        <f>'C'!J256</f>
        <v>0</v>
      </c>
      <c r="L954" s="448">
        <f>'C'!K256</f>
        <v>0</v>
      </c>
      <c r="M954" s="448">
        <f>'C'!L256</f>
        <v>0</v>
      </c>
      <c r="N954" s="448">
        <f>'C'!M256</f>
        <v>0</v>
      </c>
      <c r="O954" s="448">
        <f>'C'!N256</f>
        <v>0</v>
      </c>
      <c r="P954" s="448">
        <f>'C'!O256</f>
        <v>0</v>
      </c>
      <c r="Q954" s="448">
        <f>SUM(E954:P954)</f>
        <v>0</v>
      </c>
    </row>
    <row r="955" spans="1:17" s="216" customFormat="1" x14ac:dyDescent="0.2">
      <c r="A955" s="242"/>
      <c r="D955" s="267"/>
      <c r="E955" s="424">
        <f>SUM(E952:E954)</f>
        <v>363010.2</v>
      </c>
      <c r="F955" s="424">
        <f t="shared" ref="F955:P955" si="364">SUM(F952:F954)</f>
        <v>308161.8</v>
      </c>
      <c r="G955" s="424">
        <f t="shared" si="364"/>
        <v>286122.09999999998</v>
      </c>
      <c r="H955" s="424">
        <f t="shared" si="364"/>
        <v>236391.1</v>
      </c>
      <c r="I955" s="424">
        <f t="shared" si="364"/>
        <v>184735</v>
      </c>
      <c r="J955" s="424">
        <f t="shared" si="364"/>
        <v>156750</v>
      </c>
      <c r="K955" s="424">
        <f t="shared" si="364"/>
        <v>159440.6</v>
      </c>
      <c r="L955" s="424">
        <f t="shared" si="364"/>
        <v>156637.20000000001</v>
      </c>
      <c r="M955" s="424">
        <f t="shared" si="364"/>
        <v>165216.20000000001</v>
      </c>
      <c r="N955" s="424">
        <f t="shared" si="364"/>
        <v>206061.4</v>
      </c>
      <c r="O955" s="424">
        <f t="shared" si="364"/>
        <v>287543.59999999998</v>
      </c>
      <c r="P955" s="424">
        <f t="shared" si="364"/>
        <v>341387.8</v>
      </c>
      <c r="Q955" s="424">
        <f>SUM(E955:P955)</f>
        <v>2851457</v>
      </c>
    </row>
    <row r="956" spans="1:17" s="216" customFormat="1" x14ac:dyDescent="0.2">
      <c r="A956" s="242">
        <f>A954+1</f>
        <v>11</v>
      </c>
      <c r="C956" s="216" t="s">
        <v>204</v>
      </c>
      <c r="D956" s="267"/>
      <c r="F956" s="438"/>
      <c r="G956" s="418"/>
      <c r="H956" s="438"/>
      <c r="I956" s="440"/>
      <c r="J956" s="438"/>
      <c r="K956" s="438"/>
      <c r="L956" s="438"/>
      <c r="M956" s="438"/>
      <c r="N956" s="438"/>
      <c r="O956" s="438"/>
      <c r="P956" s="438"/>
      <c r="Q956" s="418"/>
    </row>
    <row r="957" spans="1:17" s="216" customFormat="1" x14ac:dyDescent="0.2">
      <c r="A957" s="242">
        <f>A956+1</f>
        <v>12</v>
      </c>
      <c r="C957" s="216" t="str">
        <f>C952</f>
        <v xml:space="preserve">    First 30,000 Mcf</v>
      </c>
      <c r="D957" s="609">
        <f>Input!Q41</f>
        <v>0.77010000000000001</v>
      </c>
      <c r="E957" s="386">
        <f t="shared" ref="E957:P957" si="365">ROUND(E952*$D$957,2)</f>
        <v>212940.51</v>
      </c>
      <c r="F957" s="386">
        <f t="shared" si="365"/>
        <v>192264.55</v>
      </c>
      <c r="G957" s="386">
        <f t="shared" si="365"/>
        <v>177217.03</v>
      </c>
      <c r="H957" s="386">
        <f t="shared" si="365"/>
        <v>154321.19</v>
      </c>
      <c r="I957" s="386">
        <f t="shared" si="365"/>
        <v>128787.67</v>
      </c>
      <c r="J957" s="386">
        <f t="shared" si="365"/>
        <v>116477.63</v>
      </c>
      <c r="K957" s="386">
        <f t="shared" si="365"/>
        <v>115854.31</v>
      </c>
      <c r="L957" s="386">
        <f t="shared" si="365"/>
        <v>116775.81</v>
      </c>
      <c r="M957" s="386">
        <f t="shared" si="365"/>
        <v>119146.95</v>
      </c>
      <c r="N957" s="386">
        <f t="shared" si="365"/>
        <v>131734.38</v>
      </c>
      <c r="O957" s="386">
        <f t="shared" si="365"/>
        <v>173306.08</v>
      </c>
      <c r="P957" s="386">
        <f t="shared" si="365"/>
        <v>200139.59</v>
      </c>
      <c r="Q957" s="386">
        <f t="shared" ref="Q957:Q963" si="366">SUM(E957:P957)</f>
        <v>1838965.7000000004</v>
      </c>
    </row>
    <row r="958" spans="1:17" s="216" customFormat="1" x14ac:dyDescent="0.2">
      <c r="A958" s="242">
        <f>A957+1</f>
        <v>13</v>
      </c>
      <c r="C958" s="216" t="str">
        <f>C953</f>
        <v xml:space="preserve">    Next 70,000 Mcf</v>
      </c>
      <c r="D958" s="609">
        <f>Input!R41</f>
        <v>0.45789999999999997</v>
      </c>
      <c r="E958" s="267">
        <f t="shared" ref="E958:P958" si="367">ROUND(E953*$D$958,2)</f>
        <v>39608.35</v>
      </c>
      <c r="F958" s="267">
        <f t="shared" si="367"/>
        <v>26787.15</v>
      </c>
      <c r="G958" s="267">
        <f t="shared" si="367"/>
        <v>25642.400000000001</v>
      </c>
      <c r="H958" s="267">
        <f t="shared" si="367"/>
        <v>16484.400000000001</v>
      </c>
      <c r="I958" s="267">
        <f t="shared" si="367"/>
        <v>8013.25</v>
      </c>
      <c r="J958" s="267">
        <f t="shared" si="367"/>
        <v>2518.4499999999998</v>
      </c>
      <c r="K958" s="267">
        <f t="shared" si="367"/>
        <v>4121.1000000000004</v>
      </c>
      <c r="L958" s="267">
        <f t="shared" si="367"/>
        <v>2289.5</v>
      </c>
      <c r="M958" s="267">
        <f t="shared" si="367"/>
        <v>4807.95</v>
      </c>
      <c r="N958" s="267">
        <f t="shared" si="367"/>
        <v>16026.5</v>
      </c>
      <c r="O958" s="267">
        <f t="shared" si="367"/>
        <v>28618.75</v>
      </c>
      <c r="P958" s="267">
        <f t="shared" si="367"/>
        <v>37318.85</v>
      </c>
      <c r="Q958" s="267">
        <f t="shared" si="366"/>
        <v>212236.65</v>
      </c>
    </row>
    <row r="959" spans="1:17" s="216" customFormat="1" x14ac:dyDescent="0.2">
      <c r="A959" s="242">
        <f>A958+1</f>
        <v>14</v>
      </c>
      <c r="C959" s="216" t="str">
        <f>C954</f>
        <v xml:space="preserve">    Over 100,000 Mcf</v>
      </c>
      <c r="D959" s="609">
        <f>Input!S41</f>
        <v>0.39749999999999996</v>
      </c>
      <c r="E959" s="255">
        <f>ROUND(E954*$D$959,2)</f>
        <v>0</v>
      </c>
      <c r="F959" s="255">
        <f>ROUND(F954*$D$959,2)</f>
        <v>0</v>
      </c>
      <c r="G959" s="255">
        <f t="shared" ref="G959:P959" si="368">ROUND(G954*$D$959,2)</f>
        <v>0</v>
      </c>
      <c r="H959" s="255">
        <f t="shared" si="368"/>
        <v>0</v>
      </c>
      <c r="I959" s="255">
        <f t="shared" si="368"/>
        <v>0</v>
      </c>
      <c r="J959" s="255">
        <f t="shared" si="368"/>
        <v>0</v>
      </c>
      <c r="K959" s="255">
        <f t="shared" si="368"/>
        <v>0</v>
      </c>
      <c r="L959" s="255">
        <f t="shared" si="368"/>
        <v>0</v>
      </c>
      <c r="M959" s="255">
        <f t="shared" si="368"/>
        <v>0</v>
      </c>
      <c r="N959" s="255">
        <f t="shared" si="368"/>
        <v>0</v>
      </c>
      <c r="O959" s="255">
        <f t="shared" si="368"/>
        <v>0</v>
      </c>
      <c r="P959" s="255">
        <f t="shared" si="368"/>
        <v>0</v>
      </c>
      <c r="Q959" s="255">
        <f t="shared" si="366"/>
        <v>0</v>
      </c>
    </row>
    <row r="960" spans="1:17" s="216" customFormat="1" x14ac:dyDescent="0.2">
      <c r="A960" s="242"/>
      <c r="D960" s="267"/>
      <c r="E960" s="386">
        <f>SUM(E957:E959)</f>
        <v>252548.86000000002</v>
      </c>
      <c r="F960" s="386">
        <f t="shared" ref="F960:P960" si="369">SUM(F957:F959)</f>
        <v>219051.69999999998</v>
      </c>
      <c r="G960" s="386">
        <f t="shared" si="369"/>
        <v>202859.43</v>
      </c>
      <c r="H960" s="386">
        <f t="shared" si="369"/>
        <v>170805.59</v>
      </c>
      <c r="I960" s="386">
        <f t="shared" si="369"/>
        <v>136800.91999999998</v>
      </c>
      <c r="J960" s="386">
        <f t="shared" si="369"/>
        <v>118996.08</v>
      </c>
      <c r="K960" s="386">
        <f t="shared" si="369"/>
        <v>119975.41</v>
      </c>
      <c r="L960" s="386">
        <f t="shared" si="369"/>
        <v>119065.31</v>
      </c>
      <c r="M960" s="386">
        <f t="shared" si="369"/>
        <v>123954.9</v>
      </c>
      <c r="N960" s="386">
        <f t="shared" si="369"/>
        <v>147760.88</v>
      </c>
      <c r="O960" s="386">
        <f t="shared" si="369"/>
        <v>201924.83</v>
      </c>
      <c r="P960" s="386">
        <f t="shared" si="369"/>
        <v>237458.44</v>
      </c>
      <c r="Q960" s="386">
        <f t="shared" si="366"/>
        <v>2051202.35</v>
      </c>
    </row>
    <row r="961" spans="1:17" s="216" customFormat="1" x14ac:dyDescent="0.2">
      <c r="A961" s="242">
        <f>A959+1</f>
        <v>15</v>
      </c>
      <c r="C961" s="667" t="s">
        <v>140</v>
      </c>
      <c r="D961" s="609">
        <f>Input!$AA$41</f>
        <v>1.44E-2</v>
      </c>
      <c r="E961" s="386">
        <f>ROUND($D$961*E955,2)</f>
        <v>5227.3500000000004</v>
      </c>
      <c r="F961" s="386">
        <f t="shared" ref="F961:P961" si="370">ROUND($D$961*F955,2)</f>
        <v>4437.53</v>
      </c>
      <c r="G961" s="386">
        <f t="shared" si="370"/>
        <v>4120.16</v>
      </c>
      <c r="H961" s="386">
        <f t="shared" si="370"/>
        <v>3404.03</v>
      </c>
      <c r="I961" s="386">
        <f t="shared" si="370"/>
        <v>2660.18</v>
      </c>
      <c r="J961" s="386">
        <f t="shared" si="370"/>
        <v>2257.1999999999998</v>
      </c>
      <c r="K961" s="386">
        <f t="shared" si="370"/>
        <v>2295.94</v>
      </c>
      <c r="L961" s="386">
        <f t="shared" si="370"/>
        <v>2255.58</v>
      </c>
      <c r="M961" s="386">
        <f t="shared" si="370"/>
        <v>2379.11</v>
      </c>
      <c r="N961" s="386">
        <f t="shared" si="370"/>
        <v>2967.28</v>
      </c>
      <c r="O961" s="386">
        <f t="shared" si="370"/>
        <v>4140.63</v>
      </c>
      <c r="P961" s="386">
        <f t="shared" si="370"/>
        <v>4915.9799999999996</v>
      </c>
      <c r="Q961" s="386">
        <f>SUM(E961:P961)</f>
        <v>41060.97</v>
      </c>
    </row>
    <row r="962" spans="1:17" s="216" customFormat="1" x14ac:dyDescent="0.2">
      <c r="A962" s="242">
        <f>A961+1</f>
        <v>16</v>
      </c>
      <c r="C962" s="667" t="s">
        <v>529</v>
      </c>
      <c r="D962" s="609">
        <v>0</v>
      </c>
      <c r="E962" s="431">
        <f>ROUND(E955*$D$962,2)</f>
        <v>0</v>
      </c>
      <c r="F962" s="431">
        <f t="shared" ref="F962:P962" si="371">ROUND(F955*$D$962,2)</f>
        <v>0</v>
      </c>
      <c r="G962" s="431">
        <f t="shared" si="371"/>
        <v>0</v>
      </c>
      <c r="H962" s="431">
        <f t="shared" si="371"/>
        <v>0</v>
      </c>
      <c r="I962" s="431">
        <f t="shared" si="371"/>
        <v>0</v>
      </c>
      <c r="J962" s="431">
        <f t="shared" si="371"/>
        <v>0</v>
      </c>
      <c r="K962" s="431">
        <f t="shared" si="371"/>
        <v>0</v>
      </c>
      <c r="L962" s="431">
        <f t="shared" si="371"/>
        <v>0</v>
      </c>
      <c r="M962" s="431">
        <f t="shared" si="371"/>
        <v>0</v>
      </c>
      <c r="N962" s="431">
        <f t="shared" si="371"/>
        <v>0</v>
      </c>
      <c r="O962" s="431">
        <f t="shared" si="371"/>
        <v>0</v>
      </c>
      <c r="P962" s="431">
        <f t="shared" si="371"/>
        <v>0</v>
      </c>
      <c r="Q962" s="431">
        <f t="shared" si="366"/>
        <v>0</v>
      </c>
    </row>
    <row r="963" spans="1:17" s="216" customFormat="1" x14ac:dyDescent="0.2">
      <c r="A963" s="242">
        <f>A962+1</f>
        <v>17</v>
      </c>
      <c r="C963" s="216" t="s">
        <v>201</v>
      </c>
      <c r="D963" s="267"/>
      <c r="E963" s="386">
        <f>E947+E948+E949+E960+E962+E961</f>
        <v>374004.20999999996</v>
      </c>
      <c r="F963" s="386">
        <f t="shared" ref="F963:P963" si="372">F947+F948+F949+F960+F962+F961</f>
        <v>339717.23</v>
      </c>
      <c r="G963" s="386">
        <f t="shared" si="372"/>
        <v>323207.58999999997</v>
      </c>
      <c r="H963" s="386">
        <f t="shared" si="372"/>
        <v>290437.62</v>
      </c>
      <c r="I963" s="386">
        <f t="shared" si="372"/>
        <v>255689.09999999998</v>
      </c>
      <c r="J963" s="386">
        <f t="shared" si="372"/>
        <v>237481.28000000003</v>
      </c>
      <c r="K963" s="386">
        <f t="shared" si="372"/>
        <v>238499.35</v>
      </c>
      <c r="L963" s="386">
        <f t="shared" si="372"/>
        <v>237548.88999999998</v>
      </c>
      <c r="M963" s="386">
        <f t="shared" si="372"/>
        <v>242562.00999999998</v>
      </c>
      <c r="N963" s="386">
        <f t="shared" si="372"/>
        <v>266956.16000000003</v>
      </c>
      <c r="O963" s="386">
        <f t="shared" si="372"/>
        <v>322293.45999999996</v>
      </c>
      <c r="P963" s="386">
        <f t="shared" si="372"/>
        <v>358602.42</v>
      </c>
      <c r="Q963" s="386">
        <f t="shared" si="366"/>
        <v>3486999.32</v>
      </c>
    </row>
    <row r="964" spans="1:17" s="216" customFormat="1" x14ac:dyDescent="0.2">
      <c r="A964" s="242"/>
      <c r="D964" s="267"/>
      <c r="E964" s="726"/>
      <c r="F964" s="726"/>
      <c r="G964" s="726"/>
      <c r="H964" s="726"/>
      <c r="I964" s="726"/>
      <c r="J964" s="726"/>
      <c r="K964" s="726"/>
      <c r="L964" s="726"/>
      <c r="M964" s="726"/>
      <c r="N964" s="726"/>
      <c r="O964" s="726"/>
      <c r="P964" s="726"/>
      <c r="Q964" s="595"/>
    </row>
    <row r="965" spans="1:17" s="216" customFormat="1" x14ac:dyDescent="0.2">
      <c r="A965" s="242">
        <f>A963+1</f>
        <v>18</v>
      </c>
      <c r="C965" s="216" t="s">
        <v>148</v>
      </c>
      <c r="D965" s="609">
        <v>0</v>
      </c>
      <c r="E965" s="386">
        <v>0</v>
      </c>
      <c r="F965" s="386">
        <v>0</v>
      </c>
      <c r="G965" s="386">
        <v>0</v>
      </c>
      <c r="H965" s="386">
        <v>0</v>
      </c>
      <c r="I965" s="386">
        <v>0</v>
      </c>
      <c r="J965" s="386">
        <v>0</v>
      </c>
      <c r="K965" s="386">
        <v>0</v>
      </c>
      <c r="L965" s="386">
        <v>0</v>
      </c>
      <c r="M965" s="386">
        <v>0</v>
      </c>
      <c r="N965" s="386">
        <v>0</v>
      </c>
      <c r="O965" s="386">
        <v>0</v>
      </c>
      <c r="P965" s="386">
        <v>0</v>
      </c>
      <c r="Q965" s="386">
        <f>SUM(E965:P965)</f>
        <v>0</v>
      </c>
    </row>
    <row r="966" spans="1:17" s="216" customFormat="1" x14ac:dyDescent="0.2">
      <c r="A966" s="242"/>
      <c r="D966" s="267"/>
      <c r="F966" s="455"/>
      <c r="G966" s="456"/>
      <c r="H966" s="455"/>
      <c r="I966" s="448"/>
      <c r="J966" s="455"/>
      <c r="K966" s="455"/>
      <c r="L966" s="455"/>
      <c r="M966" s="455"/>
      <c r="N966" s="455"/>
      <c r="O966" s="455"/>
      <c r="P966" s="455"/>
      <c r="Q966" s="418"/>
    </row>
    <row r="967" spans="1:17" s="216" customFormat="1" ht="10.5" thickBot="1" x14ac:dyDescent="0.25">
      <c r="A967" s="580">
        <f>A965+1</f>
        <v>19</v>
      </c>
      <c r="B967" s="434"/>
      <c r="C967" s="581" t="s">
        <v>202</v>
      </c>
      <c r="D967" s="582"/>
      <c r="E967" s="435">
        <f>E963+E965</f>
        <v>374004.20999999996</v>
      </c>
      <c r="F967" s="435">
        <f t="shared" ref="F967:P967" si="373">F963+F965</f>
        <v>339717.23</v>
      </c>
      <c r="G967" s="435">
        <f t="shared" si="373"/>
        <v>323207.58999999997</v>
      </c>
      <c r="H967" s="435">
        <f t="shared" si="373"/>
        <v>290437.62</v>
      </c>
      <c r="I967" s="435">
        <f t="shared" si="373"/>
        <v>255689.09999999998</v>
      </c>
      <c r="J967" s="435">
        <f t="shared" si="373"/>
        <v>237481.28000000003</v>
      </c>
      <c r="K967" s="435">
        <f t="shared" si="373"/>
        <v>238499.35</v>
      </c>
      <c r="L967" s="435">
        <f t="shared" si="373"/>
        <v>237548.88999999998</v>
      </c>
      <c r="M967" s="435">
        <f t="shared" si="373"/>
        <v>242562.00999999998</v>
      </c>
      <c r="N967" s="435">
        <f t="shared" si="373"/>
        <v>266956.16000000003</v>
      </c>
      <c r="O967" s="435">
        <f t="shared" si="373"/>
        <v>322293.45999999996</v>
      </c>
      <c r="P967" s="435">
        <f t="shared" si="373"/>
        <v>358602.42</v>
      </c>
      <c r="Q967" s="435">
        <f>SUM(E967:P967)</f>
        <v>3486999.32</v>
      </c>
    </row>
    <row r="968" spans="1:17" s="216" customFormat="1" ht="10.5" thickTop="1" x14ac:dyDescent="0.2">
      <c r="A968" s="242"/>
      <c r="D968" s="267"/>
      <c r="F968" s="269"/>
      <c r="G968" s="418"/>
      <c r="H968" s="269"/>
      <c r="I968" s="272"/>
      <c r="J968" s="269"/>
      <c r="K968" s="269"/>
      <c r="L968" s="269"/>
      <c r="M968" s="269"/>
      <c r="N968" s="269"/>
      <c r="O968" s="269"/>
      <c r="P968" s="269"/>
    </row>
    <row r="969" spans="1:17" s="216" customFormat="1" x14ac:dyDescent="0.2">
      <c r="A969" s="242"/>
      <c r="D969" s="267"/>
      <c r="F969" s="269"/>
      <c r="G969" s="418"/>
      <c r="H969" s="269"/>
      <c r="I969" s="272"/>
      <c r="J969" s="269"/>
      <c r="K969" s="269"/>
      <c r="L969" s="269"/>
      <c r="M969" s="269"/>
      <c r="N969" s="269"/>
      <c r="O969" s="269"/>
      <c r="P969" s="269"/>
      <c r="Q969" s="418"/>
    </row>
    <row r="970" spans="1:17" s="216" customFormat="1" x14ac:dyDescent="0.2">
      <c r="A970" s="242">
        <f>A967+1</f>
        <v>20</v>
      </c>
      <c r="B970" s="216" t="str">
        <f>B250</f>
        <v>DS</v>
      </c>
      <c r="C970" s="216" t="str">
        <f>C250</f>
        <v>GTS Delivery Service - Industrial</v>
      </c>
      <c r="D970" s="267"/>
      <c r="F970" s="269"/>
      <c r="G970" s="418"/>
      <c r="H970" s="269"/>
      <c r="I970" s="272"/>
      <c r="J970" s="269"/>
      <c r="K970" s="269"/>
      <c r="L970" s="269"/>
      <c r="M970" s="269"/>
      <c r="N970" s="269"/>
      <c r="O970" s="269"/>
      <c r="P970" s="269"/>
    </row>
    <row r="971" spans="1:17" s="216" customFormat="1" x14ac:dyDescent="0.2">
      <c r="A971" s="242"/>
      <c r="D971" s="267"/>
      <c r="F971" s="269"/>
      <c r="G971" s="418"/>
      <c r="H971" s="269"/>
      <c r="I971" s="272"/>
      <c r="J971" s="269"/>
      <c r="K971" s="269"/>
      <c r="L971" s="269"/>
      <c r="M971" s="269"/>
      <c r="N971" s="269"/>
      <c r="O971" s="269"/>
      <c r="P971" s="269"/>
    </row>
    <row r="972" spans="1:17" s="216" customFormat="1" ht="10.5" x14ac:dyDescent="0.25">
      <c r="A972" s="242">
        <f>A970+1</f>
        <v>21</v>
      </c>
      <c r="C972" s="245" t="s">
        <v>112</v>
      </c>
      <c r="D972" s="267"/>
      <c r="F972" s="269"/>
      <c r="G972" s="418"/>
      <c r="H972" s="269"/>
      <c r="I972" s="272"/>
      <c r="J972" s="269"/>
      <c r="K972" s="269"/>
      <c r="L972" s="269"/>
      <c r="M972" s="269"/>
      <c r="N972" s="269"/>
      <c r="O972" s="269"/>
      <c r="P972" s="269"/>
    </row>
    <row r="973" spans="1:17" s="216" customFormat="1" ht="10.5" x14ac:dyDescent="0.25">
      <c r="A973" s="242"/>
      <c r="C973" s="245"/>
      <c r="D973" s="267"/>
      <c r="F973" s="269"/>
      <c r="G973" s="418"/>
      <c r="H973" s="269"/>
      <c r="I973" s="272"/>
      <c r="J973" s="269"/>
      <c r="K973" s="269"/>
      <c r="L973" s="269"/>
      <c r="M973" s="269"/>
      <c r="N973" s="269"/>
      <c r="O973" s="269"/>
      <c r="P973" s="269"/>
    </row>
    <row r="974" spans="1:17" s="216" customFormat="1" x14ac:dyDescent="0.2">
      <c r="A974" s="242">
        <f>A972+1</f>
        <v>22</v>
      </c>
      <c r="C974" s="216" t="s">
        <v>199</v>
      </c>
      <c r="D974" s="267"/>
      <c r="E974" s="421">
        <f>B!D188</f>
        <v>41</v>
      </c>
      <c r="F974" s="421">
        <f>B!E188</f>
        <v>41</v>
      </c>
      <c r="G974" s="421">
        <f>B!F188</f>
        <v>41</v>
      </c>
      <c r="H974" s="421">
        <f>B!G188</f>
        <v>41</v>
      </c>
      <c r="I974" s="421">
        <f>B!H188</f>
        <v>41</v>
      </c>
      <c r="J974" s="421">
        <f>B!I188</f>
        <v>41</v>
      </c>
      <c r="K974" s="421">
        <f>B!J188</f>
        <v>42</v>
      </c>
      <c r="L974" s="421">
        <f>B!K188</f>
        <v>41</v>
      </c>
      <c r="M974" s="421">
        <f>B!L188</f>
        <v>42</v>
      </c>
      <c r="N974" s="421">
        <f>B!M188</f>
        <v>41</v>
      </c>
      <c r="O974" s="421">
        <f>B!N188</f>
        <v>41</v>
      </c>
      <c r="P974" s="421">
        <f>B!O188</f>
        <v>41</v>
      </c>
      <c r="Q974" s="421">
        <f>SUM(E974:P974)</f>
        <v>494</v>
      </c>
    </row>
    <row r="975" spans="1:17" s="216" customFormat="1" x14ac:dyDescent="0.2">
      <c r="A975" s="242">
        <f>A974+1</f>
        <v>23</v>
      </c>
      <c r="C975" s="216" t="s">
        <v>207</v>
      </c>
      <c r="D975" s="608">
        <f>Input!V42</f>
        <v>4151</v>
      </c>
      <c r="E975" s="386">
        <f t="shared" ref="E975:P975" si="374">ROUND(E974*$D$975,2)</f>
        <v>170191</v>
      </c>
      <c r="F975" s="386">
        <f t="shared" si="374"/>
        <v>170191</v>
      </c>
      <c r="G975" s="386">
        <f t="shared" si="374"/>
        <v>170191</v>
      </c>
      <c r="H975" s="386">
        <f t="shared" si="374"/>
        <v>170191</v>
      </c>
      <c r="I975" s="386">
        <f t="shared" si="374"/>
        <v>170191</v>
      </c>
      <c r="J975" s="386">
        <f t="shared" si="374"/>
        <v>170191</v>
      </c>
      <c r="K975" s="386">
        <f t="shared" si="374"/>
        <v>174342</v>
      </c>
      <c r="L975" s="386">
        <f t="shared" si="374"/>
        <v>170191</v>
      </c>
      <c r="M975" s="386">
        <f t="shared" si="374"/>
        <v>174342</v>
      </c>
      <c r="N975" s="386">
        <f t="shared" si="374"/>
        <v>170191</v>
      </c>
      <c r="O975" s="386">
        <f t="shared" si="374"/>
        <v>170191</v>
      </c>
      <c r="P975" s="386">
        <f t="shared" si="374"/>
        <v>170191</v>
      </c>
      <c r="Q975" s="386">
        <f>SUM(E975:P975)</f>
        <v>2050594</v>
      </c>
    </row>
    <row r="976" spans="1:17" s="216" customFormat="1" x14ac:dyDescent="0.2">
      <c r="A976" s="242">
        <f>A975+1</f>
        <v>24</v>
      </c>
      <c r="C976" s="216" t="s">
        <v>214</v>
      </c>
      <c r="D976" s="608">
        <f>Input!W42</f>
        <v>0</v>
      </c>
      <c r="E976" s="386">
        <f t="shared" ref="E976:P976" si="375">ROUND(E974*$D$976,2)</f>
        <v>0</v>
      </c>
      <c r="F976" s="386">
        <f t="shared" si="375"/>
        <v>0</v>
      </c>
      <c r="G976" s="386">
        <f t="shared" si="375"/>
        <v>0</v>
      </c>
      <c r="H976" s="386">
        <f t="shared" si="375"/>
        <v>0</v>
      </c>
      <c r="I976" s="386">
        <f t="shared" si="375"/>
        <v>0</v>
      </c>
      <c r="J976" s="386">
        <f t="shared" si="375"/>
        <v>0</v>
      </c>
      <c r="K976" s="386">
        <f t="shared" si="375"/>
        <v>0</v>
      </c>
      <c r="L976" s="386">
        <f t="shared" si="375"/>
        <v>0</v>
      </c>
      <c r="M976" s="386">
        <f t="shared" si="375"/>
        <v>0</v>
      </c>
      <c r="N976" s="386">
        <f t="shared" si="375"/>
        <v>0</v>
      </c>
      <c r="O976" s="386">
        <f t="shared" si="375"/>
        <v>0</v>
      </c>
      <c r="P976" s="386">
        <f t="shared" si="375"/>
        <v>0</v>
      </c>
      <c r="Q976" s="386">
        <f>SUM(E976:P976)</f>
        <v>0</v>
      </c>
    </row>
    <row r="977" spans="1:17" s="216" customFormat="1" x14ac:dyDescent="0.2">
      <c r="A977" s="242">
        <f>A976+1</f>
        <v>25</v>
      </c>
      <c r="C977" s="216" t="s">
        <v>208</v>
      </c>
      <c r="D977" s="608">
        <f>Input!X42</f>
        <v>0</v>
      </c>
      <c r="E977" s="386">
        <f t="shared" ref="E977:P977" si="376">ROUND(E974*$D$977,2)</f>
        <v>0</v>
      </c>
      <c r="F977" s="386">
        <f t="shared" si="376"/>
        <v>0</v>
      </c>
      <c r="G977" s="386">
        <f t="shared" si="376"/>
        <v>0</v>
      </c>
      <c r="H977" s="386">
        <f t="shared" si="376"/>
        <v>0</v>
      </c>
      <c r="I977" s="386">
        <f t="shared" si="376"/>
        <v>0</v>
      </c>
      <c r="J977" s="386">
        <f t="shared" si="376"/>
        <v>0</v>
      </c>
      <c r="K977" s="386">
        <f t="shared" si="376"/>
        <v>0</v>
      </c>
      <c r="L977" s="386">
        <f t="shared" si="376"/>
        <v>0</v>
      </c>
      <c r="M977" s="386">
        <f t="shared" si="376"/>
        <v>0</v>
      </c>
      <c r="N977" s="386">
        <f t="shared" si="376"/>
        <v>0</v>
      </c>
      <c r="O977" s="386">
        <f t="shared" si="376"/>
        <v>0</v>
      </c>
      <c r="P977" s="386">
        <f t="shared" si="376"/>
        <v>0</v>
      </c>
      <c r="Q977" s="386">
        <f>SUM(E977:P977)</f>
        <v>0</v>
      </c>
    </row>
    <row r="978" spans="1:17" s="216" customFormat="1" x14ac:dyDescent="0.2">
      <c r="A978" s="242"/>
      <c r="D978" s="267"/>
      <c r="F978" s="269"/>
      <c r="G978" s="418"/>
      <c r="H978" s="269"/>
      <c r="I978" s="272"/>
      <c r="J978" s="269"/>
      <c r="K978" s="269"/>
      <c r="L978" s="269"/>
      <c r="M978" s="269"/>
      <c r="N978" s="269"/>
      <c r="O978" s="269"/>
      <c r="P978" s="269"/>
    </row>
    <row r="979" spans="1:17" s="216" customFormat="1" x14ac:dyDescent="0.2">
      <c r="A979" s="242">
        <f>A977+1</f>
        <v>26</v>
      </c>
      <c r="C979" s="216" t="s">
        <v>206</v>
      </c>
      <c r="D979" s="267"/>
      <c r="F979" s="269"/>
      <c r="G979" s="418"/>
      <c r="H979" s="269"/>
      <c r="I979" s="272"/>
      <c r="J979" s="269"/>
      <c r="K979" s="269"/>
      <c r="L979" s="269"/>
      <c r="M979" s="269"/>
      <c r="N979" s="269"/>
      <c r="O979" s="269"/>
      <c r="P979" s="269"/>
    </row>
    <row r="980" spans="1:17" s="216" customFormat="1" x14ac:dyDescent="0.2">
      <c r="A980" s="242">
        <f>A979+1</f>
        <v>27</v>
      </c>
      <c r="C980" s="216" t="str">
        <f>'C'!B261</f>
        <v xml:space="preserve">    First 30,000 Mcf</v>
      </c>
      <c r="D980" s="267"/>
      <c r="E980" s="424">
        <f>'C'!D271</f>
        <v>353352.4</v>
      </c>
      <c r="F980" s="424">
        <f>'C'!E271</f>
        <v>328395.7</v>
      </c>
      <c r="G980" s="424">
        <f>'C'!F271</f>
        <v>336483.6</v>
      </c>
      <c r="H980" s="424">
        <f>'C'!G271</f>
        <v>319369.5</v>
      </c>
      <c r="I980" s="424">
        <f>'C'!H271</f>
        <v>312232.59999999998</v>
      </c>
      <c r="J980" s="424">
        <f>'C'!I271</f>
        <v>296986.7</v>
      </c>
      <c r="K980" s="424">
        <f>'C'!J271</f>
        <v>254169.5</v>
      </c>
      <c r="L980" s="424">
        <f>'C'!K271</f>
        <v>301590.5</v>
      </c>
      <c r="M980" s="424">
        <f>'C'!L271</f>
        <v>294120.2</v>
      </c>
      <c r="N980" s="424">
        <f>'C'!M271</f>
        <v>334335.3</v>
      </c>
      <c r="O980" s="424">
        <f>'C'!N271</f>
        <v>357908.4</v>
      </c>
      <c r="P980" s="424">
        <f>'C'!O271</f>
        <v>346016.8</v>
      </c>
      <c r="Q980" s="424">
        <f>SUM(E980:P980)</f>
        <v>3834961.1999999997</v>
      </c>
    </row>
    <row r="981" spans="1:17" s="216" customFormat="1" x14ac:dyDescent="0.2">
      <c r="A981" s="242">
        <f>A980+1</f>
        <v>28</v>
      </c>
      <c r="C981" s="216" t="str">
        <f>'C'!B262</f>
        <v xml:space="preserve">    Next 70,000 Mcf</v>
      </c>
      <c r="D981" s="267"/>
      <c r="E981" s="272">
        <f>'C'!D272</f>
        <v>147200</v>
      </c>
      <c r="F981" s="272">
        <f>'C'!E272</f>
        <v>141100</v>
      </c>
      <c r="G981" s="272">
        <f>'C'!F272</f>
        <v>142600</v>
      </c>
      <c r="H981" s="272">
        <f>'C'!G272</f>
        <v>140000</v>
      </c>
      <c r="I981" s="272">
        <f>'C'!H272</f>
        <v>115826.4</v>
      </c>
      <c r="J981" s="272">
        <f>'C'!I272</f>
        <v>59415</v>
      </c>
      <c r="K981" s="272">
        <f>'C'!J272</f>
        <v>26497</v>
      </c>
      <c r="L981" s="272">
        <f>'C'!K272</f>
        <v>100182.6</v>
      </c>
      <c r="M981" s="272">
        <f>'C'!L272</f>
        <v>107805</v>
      </c>
      <c r="N981" s="272">
        <f>'C'!M272</f>
        <v>140000</v>
      </c>
      <c r="O981" s="272">
        <f>'C'!N272</f>
        <v>140000</v>
      </c>
      <c r="P981" s="272">
        <f>'C'!O272</f>
        <v>143100</v>
      </c>
      <c r="Q981" s="272">
        <f>SUM(E981:P981)</f>
        <v>1403726</v>
      </c>
    </row>
    <row r="982" spans="1:17" s="216" customFormat="1" x14ac:dyDescent="0.2">
      <c r="A982" s="242">
        <f>A981+1</f>
        <v>29</v>
      </c>
      <c r="C982" s="216" t="str">
        <f>'C'!B263</f>
        <v xml:space="preserve">    Over 100,000 Mcf</v>
      </c>
      <c r="D982" s="267"/>
      <c r="E982" s="448">
        <f>'C'!D273</f>
        <v>156498.6</v>
      </c>
      <c r="F982" s="448">
        <f>'C'!E273</f>
        <v>88049.600000000006</v>
      </c>
      <c r="G982" s="448">
        <f>'C'!F273</f>
        <v>106845.6</v>
      </c>
      <c r="H982" s="448">
        <f>'C'!G273</f>
        <v>39987.599999999999</v>
      </c>
      <c r="I982" s="448">
        <f>'C'!H273</f>
        <v>0</v>
      </c>
      <c r="J982" s="448">
        <f>'C'!I273</f>
        <v>0</v>
      </c>
      <c r="K982" s="448">
        <f>'C'!J273</f>
        <v>0</v>
      </c>
      <c r="L982" s="448">
        <f>'C'!K273</f>
        <v>0</v>
      </c>
      <c r="M982" s="448">
        <f>'C'!L273</f>
        <v>4956.8</v>
      </c>
      <c r="N982" s="448">
        <f>'C'!M273</f>
        <v>21846.6</v>
      </c>
      <c r="O982" s="448">
        <f>'C'!N273</f>
        <v>87101</v>
      </c>
      <c r="P982" s="448">
        <f>'C'!O273</f>
        <v>95922.8</v>
      </c>
      <c r="Q982" s="448">
        <f>SUM(E982:P982)</f>
        <v>601208.6</v>
      </c>
    </row>
    <row r="983" spans="1:17" s="216" customFormat="1" x14ac:dyDescent="0.2">
      <c r="A983" s="242"/>
      <c r="D983" s="267"/>
      <c r="E983" s="424">
        <f>SUM(E980:E982)</f>
        <v>657051</v>
      </c>
      <c r="F983" s="424">
        <f t="shared" ref="F983:P983" si="377">SUM(F980:F982)</f>
        <v>557545.30000000005</v>
      </c>
      <c r="G983" s="424">
        <f t="shared" si="377"/>
        <v>585929.19999999995</v>
      </c>
      <c r="H983" s="424">
        <f t="shared" si="377"/>
        <v>499357.1</v>
      </c>
      <c r="I983" s="424">
        <f t="shared" si="377"/>
        <v>428059</v>
      </c>
      <c r="J983" s="424">
        <f t="shared" si="377"/>
        <v>356401.7</v>
      </c>
      <c r="K983" s="424">
        <f t="shared" si="377"/>
        <v>280666.5</v>
      </c>
      <c r="L983" s="424">
        <f t="shared" si="377"/>
        <v>401773.1</v>
      </c>
      <c r="M983" s="424">
        <f t="shared" si="377"/>
        <v>406882</v>
      </c>
      <c r="N983" s="424">
        <f t="shared" si="377"/>
        <v>496181.89999999997</v>
      </c>
      <c r="O983" s="424">
        <f t="shared" si="377"/>
        <v>585009.4</v>
      </c>
      <c r="P983" s="424">
        <f t="shared" si="377"/>
        <v>585039.6</v>
      </c>
      <c r="Q983" s="424">
        <f>SUM(E983:P983)</f>
        <v>5839895.8000000007</v>
      </c>
    </row>
    <row r="984" spans="1:17" s="216" customFormat="1" x14ac:dyDescent="0.2">
      <c r="A984" s="242">
        <f>A982+1</f>
        <v>30</v>
      </c>
      <c r="C984" s="216" t="s">
        <v>204</v>
      </c>
      <c r="D984" s="267"/>
      <c r="F984" s="438"/>
      <c r="G984" s="418"/>
      <c r="H984" s="438"/>
      <c r="I984" s="440"/>
      <c r="J984" s="438"/>
      <c r="K984" s="438"/>
      <c r="L984" s="438"/>
      <c r="M984" s="438"/>
      <c r="N984" s="438"/>
      <c r="O984" s="438"/>
      <c r="P984" s="438"/>
      <c r="Q984" s="418"/>
    </row>
    <row r="985" spans="1:17" s="216" customFormat="1" x14ac:dyDescent="0.2">
      <c r="A985" s="242">
        <f>A984+1</f>
        <v>31</v>
      </c>
      <c r="C985" s="216" t="str">
        <f>C980</f>
        <v xml:space="preserve">    First 30,000 Mcf</v>
      </c>
      <c r="D985" s="609">
        <f>Input!Q42</f>
        <v>0.77010000000000001</v>
      </c>
      <c r="E985" s="386">
        <f t="shared" ref="E985:P985" si="378">ROUND(E980*$D$985,2)</f>
        <v>272116.68</v>
      </c>
      <c r="F985" s="386">
        <f t="shared" si="378"/>
        <v>252897.53</v>
      </c>
      <c r="G985" s="386">
        <f t="shared" si="378"/>
        <v>259126.02</v>
      </c>
      <c r="H985" s="386">
        <f t="shared" si="378"/>
        <v>245946.45</v>
      </c>
      <c r="I985" s="386">
        <f t="shared" si="378"/>
        <v>240450.33</v>
      </c>
      <c r="J985" s="386">
        <f t="shared" si="378"/>
        <v>228709.46</v>
      </c>
      <c r="K985" s="386">
        <f t="shared" si="378"/>
        <v>195735.93</v>
      </c>
      <c r="L985" s="386">
        <f t="shared" si="378"/>
        <v>232254.84</v>
      </c>
      <c r="M985" s="386">
        <f t="shared" si="378"/>
        <v>226501.97</v>
      </c>
      <c r="N985" s="386">
        <f t="shared" si="378"/>
        <v>257471.61</v>
      </c>
      <c r="O985" s="386">
        <f t="shared" si="378"/>
        <v>275625.26</v>
      </c>
      <c r="P985" s="386">
        <f t="shared" si="378"/>
        <v>266467.53999999998</v>
      </c>
      <c r="Q985" s="386">
        <f t="shared" ref="Q985:Q991" si="379">SUM(E985:P985)</f>
        <v>2953303.62</v>
      </c>
    </row>
    <row r="986" spans="1:17" s="216" customFormat="1" x14ac:dyDescent="0.2">
      <c r="A986" s="242">
        <f>A985+1</f>
        <v>32</v>
      </c>
      <c r="C986" s="216" t="str">
        <f>C981</f>
        <v xml:space="preserve">    Next 70,000 Mcf</v>
      </c>
      <c r="D986" s="609">
        <f>Input!R42</f>
        <v>0.45789999999999997</v>
      </c>
      <c r="E986" s="267">
        <f t="shared" ref="E986:P986" si="380">ROUND(E981*$D$986,2)</f>
        <v>67402.880000000005</v>
      </c>
      <c r="F986" s="267">
        <f t="shared" si="380"/>
        <v>64609.69</v>
      </c>
      <c r="G986" s="267">
        <f t="shared" si="380"/>
        <v>65296.54</v>
      </c>
      <c r="H986" s="267">
        <f t="shared" si="380"/>
        <v>64106</v>
      </c>
      <c r="I986" s="267">
        <f t="shared" si="380"/>
        <v>53036.91</v>
      </c>
      <c r="J986" s="267">
        <f t="shared" si="380"/>
        <v>27206.13</v>
      </c>
      <c r="K986" s="267">
        <f t="shared" si="380"/>
        <v>12132.98</v>
      </c>
      <c r="L986" s="267">
        <f t="shared" si="380"/>
        <v>45873.61</v>
      </c>
      <c r="M986" s="267">
        <f t="shared" si="380"/>
        <v>49363.91</v>
      </c>
      <c r="N986" s="267">
        <f t="shared" si="380"/>
        <v>64106</v>
      </c>
      <c r="O986" s="267">
        <f t="shared" si="380"/>
        <v>64106</v>
      </c>
      <c r="P986" s="267">
        <f t="shared" si="380"/>
        <v>65525.49</v>
      </c>
      <c r="Q986" s="267">
        <f t="shared" si="379"/>
        <v>642766.14</v>
      </c>
    </row>
    <row r="987" spans="1:17" s="216" customFormat="1" x14ac:dyDescent="0.2">
      <c r="A987" s="242">
        <f>A986+1</f>
        <v>33</v>
      </c>
      <c r="C987" s="216" t="str">
        <f>C982</f>
        <v xml:space="preserve">    Over 100,000 Mcf</v>
      </c>
      <c r="D987" s="609">
        <f>Input!S42</f>
        <v>0.39749999999999996</v>
      </c>
      <c r="E987" s="255">
        <f>ROUND(E982*$D$987,2)</f>
        <v>62208.19</v>
      </c>
      <c r="F987" s="255">
        <f>ROUND(F982*$D$987,2)</f>
        <v>34999.72</v>
      </c>
      <c r="G987" s="255">
        <f>ROUND(G982*$D$987,2)</f>
        <v>42471.13</v>
      </c>
      <c r="H987" s="255">
        <f t="shared" ref="H987:P987" si="381">ROUND(H982*$D$987,2)</f>
        <v>15895.07</v>
      </c>
      <c r="I987" s="255">
        <f t="shared" si="381"/>
        <v>0</v>
      </c>
      <c r="J987" s="255">
        <f t="shared" si="381"/>
        <v>0</v>
      </c>
      <c r="K987" s="255">
        <f t="shared" si="381"/>
        <v>0</v>
      </c>
      <c r="L987" s="255">
        <f t="shared" si="381"/>
        <v>0</v>
      </c>
      <c r="M987" s="255">
        <f t="shared" si="381"/>
        <v>1970.33</v>
      </c>
      <c r="N987" s="255">
        <f t="shared" si="381"/>
        <v>8684.02</v>
      </c>
      <c r="O987" s="255">
        <f t="shared" si="381"/>
        <v>34622.65</v>
      </c>
      <c r="P987" s="255">
        <f t="shared" si="381"/>
        <v>38129.31</v>
      </c>
      <c r="Q987" s="255">
        <f t="shared" si="379"/>
        <v>238980.41999999998</v>
      </c>
    </row>
    <row r="988" spans="1:17" s="216" customFormat="1" x14ac:dyDescent="0.2">
      <c r="A988" s="242"/>
      <c r="D988" s="267"/>
      <c r="E988" s="386">
        <f>SUM(E985:E987)</f>
        <v>401727.75</v>
      </c>
      <c r="F988" s="386">
        <f t="shared" ref="F988:P988" si="382">SUM(F985:F987)</f>
        <v>352506.93999999994</v>
      </c>
      <c r="G988" s="386">
        <f t="shared" si="382"/>
        <v>366893.69</v>
      </c>
      <c r="H988" s="386">
        <f t="shared" si="382"/>
        <v>325947.52000000002</v>
      </c>
      <c r="I988" s="386">
        <f t="shared" si="382"/>
        <v>293487.24</v>
      </c>
      <c r="J988" s="386">
        <f t="shared" si="382"/>
        <v>255915.59</v>
      </c>
      <c r="K988" s="386">
        <f t="shared" si="382"/>
        <v>207868.91</v>
      </c>
      <c r="L988" s="386">
        <f t="shared" si="382"/>
        <v>278128.45</v>
      </c>
      <c r="M988" s="386">
        <f t="shared" si="382"/>
        <v>277836.21000000002</v>
      </c>
      <c r="N988" s="386">
        <f t="shared" si="382"/>
        <v>330261.63</v>
      </c>
      <c r="O988" s="386">
        <f t="shared" si="382"/>
        <v>374353.91000000003</v>
      </c>
      <c r="P988" s="386">
        <f t="shared" si="382"/>
        <v>370122.33999999997</v>
      </c>
      <c r="Q988" s="386">
        <f>SUM(E988:P988)</f>
        <v>3835050.18</v>
      </c>
    </row>
    <row r="989" spans="1:17" s="216" customFormat="1" x14ac:dyDescent="0.2">
      <c r="A989" s="242">
        <f>A987+1</f>
        <v>34</v>
      </c>
      <c r="C989" s="667" t="s">
        <v>140</v>
      </c>
      <c r="D989" s="609">
        <f>Input!$AA$42</f>
        <v>1.44E-2</v>
      </c>
      <c r="E989" s="386">
        <f>ROUND($D$989*E983,2)</f>
        <v>9461.5300000000007</v>
      </c>
      <c r="F989" s="386">
        <f t="shared" ref="F989:P989" si="383">ROUND($D$989*F983,2)</f>
        <v>8028.65</v>
      </c>
      <c r="G989" s="386">
        <f t="shared" si="383"/>
        <v>8437.3799999999992</v>
      </c>
      <c r="H989" s="386">
        <f t="shared" si="383"/>
        <v>7190.74</v>
      </c>
      <c r="I989" s="386">
        <f t="shared" si="383"/>
        <v>6164.05</v>
      </c>
      <c r="J989" s="386">
        <f t="shared" si="383"/>
        <v>5132.18</v>
      </c>
      <c r="K989" s="386">
        <f t="shared" si="383"/>
        <v>4041.6</v>
      </c>
      <c r="L989" s="386">
        <f t="shared" si="383"/>
        <v>5785.53</v>
      </c>
      <c r="M989" s="386">
        <f t="shared" si="383"/>
        <v>5859.1</v>
      </c>
      <c r="N989" s="386">
        <f t="shared" si="383"/>
        <v>7145.02</v>
      </c>
      <c r="O989" s="386">
        <f t="shared" si="383"/>
        <v>8424.14</v>
      </c>
      <c r="P989" s="386">
        <f t="shared" si="383"/>
        <v>8424.57</v>
      </c>
      <c r="Q989" s="386">
        <f>SUM(E989:P989)</f>
        <v>84094.489999999991</v>
      </c>
    </row>
    <row r="990" spans="1:17" s="216" customFormat="1" x14ac:dyDescent="0.2">
      <c r="A990" s="242">
        <f>A989+1</f>
        <v>35</v>
      </c>
      <c r="C990" s="667" t="s">
        <v>529</v>
      </c>
      <c r="D990" s="609">
        <v>0</v>
      </c>
      <c r="E990" s="255">
        <f>ROUND(E983*$D$990,2)</f>
        <v>0</v>
      </c>
      <c r="F990" s="255">
        <f t="shared" ref="F990:P990" si="384">ROUND(F983*$D$990,2)</f>
        <v>0</v>
      </c>
      <c r="G990" s="255">
        <f t="shared" si="384"/>
        <v>0</v>
      </c>
      <c r="H990" s="255">
        <f t="shared" si="384"/>
        <v>0</v>
      </c>
      <c r="I990" s="255">
        <f t="shared" si="384"/>
        <v>0</v>
      </c>
      <c r="J990" s="255">
        <f t="shared" si="384"/>
        <v>0</v>
      </c>
      <c r="K990" s="255">
        <f t="shared" si="384"/>
        <v>0</v>
      </c>
      <c r="L990" s="255">
        <f t="shared" si="384"/>
        <v>0</v>
      </c>
      <c r="M990" s="255">
        <f t="shared" si="384"/>
        <v>0</v>
      </c>
      <c r="N990" s="255">
        <f t="shared" si="384"/>
        <v>0</v>
      </c>
      <c r="O990" s="255">
        <f t="shared" si="384"/>
        <v>0</v>
      </c>
      <c r="P990" s="255">
        <f t="shared" si="384"/>
        <v>0</v>
      </c>
      <c r="Q990" s="431">
        <f t="shared" si="379"/>
        <v>0</v>
      </c>
    </row>
    <row r="991" spans="1:17" s="216" customFormat="1" x14ac:dyDescent="0.2">
      <c r="A991" s="242">
        <f>A990+1</f>
        <v>36</v>
      </c>
      <c r="C991" s="216" t="s">
        <v>201</v>
      </c>
      <c r="D991" s="267"/>
      <c r="E991" s="386">
        <f>E975+E976+E977+E988+E990+E989</f>
        <v>581380.28</v>
      </c>
      <c r="F991" s="386">
        <f t="shared" ref="F991:P991" si="385">F975+F976+F977+F988+F990+F989</f>
        <v>530726.59</v>
      </c>
      <c r="G991" s="386">
        <f t="shared" si="385"/>
        <v>545522.06999999995</v>
      </c>
      <c r="H991" s="386">
        <f t="shared" si="385"/>
        <v>503329.26</v>
      </c>
      <c r="I991" s="386">
        <f t="shared" si="385"/>
        <v>469842.29</v>
      </c>
      <c r="J991" s="386">
        <f t="shared" si="385"/>
        <v>431238.76999999996</v>
      </c>
      <c r="K991" s="386">
        <f t="shared" si="385"/>
        <v>386252.51</v>
      </c>
      <c r="L991" s="386">
        <f t="shared" si="385"/>
        <v>454104.98000000004</v>
      </c>
      <c r="M991" s="386">
        <f t="shared" si="385"/>
        <v>458037.31</v>
      </c>
      <c r="N991" s="386">
        <f t="shared" si="385"/>
        <v>507597.65</v>
      </c>
      <c r="O991" s="386">
        <f t="shared" si="385"/>
        <v>552969.05000000005</v>
      </c>
      <c r="P991" s="386">
        <f t="shared" si="385"/>
        <v>548737.90999999992</v>
      </c>
      <c r="Q991" s="386">
        <f t="shared" si="379"/>
        <v>5969738.6700000009</v>
      </c>
    </row>
    <row r="992" spans="1:17" s="216" customFormat="1" x14ac:dyDescent="0.2">
      <c r="A992" s="242"/>
      <c r="D992" s="267"/>
      <c r="F992" s="438"/>
      <c r="G992" s="418"/>
      <c r="H992" s="438"/>
      <c r="I992" s="440"/>
      <c r="J992" s="438"/>
      <c r="K992" s="438"/>
      <c r="L992" s="438"/>
      <c r="M992" s="438"/>
      <c r="N992" s="438"/>
      <c r="O992" s="438"/>
      <c r="P992" s="438"/>
      <c r="Q992" s="418"/>
    </row>
    <row r="993" spans="1:17" s="216" customFormat="1" x14ac:dyDescent="0.2">
      <c r="A993" s="242">
        <f>A991+1</f>
        <v>37</v>
      </c>
      <c r="C993" s="216" t="s">
        <v>148</v>
      </c>
      <c r="D993" s="609">
        <v>0</v>
      </c>
      <c r="E993" s="386">
        <v>0</v>
      </c>
      <c r="F993" s="386">
        <v>0</v>
      </c>
      <c r="G993" s="386">
        <v>0</v>
      </c>
      <c r="H993" s="386">
        <v>0</v>
      </c>
      <c r="I993" s="386">
        <v>0</v>
      </c>
      <c r="J993" s="386">
        <v>0</v>
      </c>
      <c r="K993" s="386">
        <v>0</v>
      </c>
      <c r="L993" s="386">
        <v>0</v>
      </c>
      <c r="M993" s="386">
        <v>0</v>
      </c>
      <c r="N993" s="386">
        <v>0</v>
      </c>
      <c r="O993" s="386">
        <v>0</v>
      </c>
      <c r="P993" s="386">
        <v>0</v>
      </c>
      <c r="Q993" s="386">
        <f>SUM(E993:P993)</f>
        <v>0</v>
      </c>
    </row>
    <row r="994" spans="1:17" s="216" customFormat="1" x14ac:dyDescent="0.2">
      <c r="A994" s="242"/>
      <c r="D994" s="267"/>
      <c r="F994" s="455"/>
      <c r="G994" s="456"/>
      <c r="H994" s="455"/>
      <c r="I994" s="448"/>
      <c r="J994" s="455"/>
      <c r="K994" s="455"/>
      <c r="L994" s="455"/>
      <c r="M994" s="455"/>
      <c r="N994" s="455"/>
      <c r="O994" s="455"/>
      <c r="P994" s="455"/>
      <c r="Q994" s="418"/>
    </row>
    <row r="995" spans="1:17" s="216" customFormat="1" ht="10.5" thickBot="1" x14ac:dyDescent="0.25">
      <c r="A995" s="580">
        <f>A993+1</f>
        <v>38</v>
      </c>
      <c r="B995" s="434"/>
      <c r="C995" s="581" t="s">
        <v>202</v>
      </c>
      <c r="D995" s="582"/>
      <c r="E995" s="435">
        <f t="shared" ref="E995:P995" si="386">E991+E993</f>
        <v>581380.28</v>
      </c>
      <c r="F995" s="435">
        <f t="shared" si="386"/>
        <v>530726.59</v>
      </c>
      <c r="G995" s="435">
        <f t="shared" si="386"/>
        <v>545522.06999999995</v>
      </c>
      <c r="H995" s="435">
        <f t="shared" si="386"/>
        <v>503329.26</v>
      </c>
      <c r="I995" s="435">
        <f t="shared" si="386"/>
        <v>469842.29</v>
      </c>
      <c r="J995" s="435">
        <f t="shared" si="386"/>
        <v>431238.76999999996</v>
      </c>
      <c r="K995" s="435">
        <f t="shared" si="386"/>
        <v>386252.51</v>
      </c>
      <c r="L995" s="435">
        <f t="shared" si="386"/>
        <v>454104.98000000004</v>
      </c>
      <c r="M995" s="435">
        <f t="shared" si="386"/>
        <v>458037.31</v>
      </c>
      <c r="N995" s="435">
        <f t="shared" si="386"/>
        <v>507597.65</v>
      </c>
      <c r="O995" s="435">
        <f t="shared" si="386"/>
        <v>552969.05000000005</v>
      </c>
      <c r="P995" s="435">
        <f t="shared" si="386"/>
        <v>548737.90999999992</v>
      </c>
      <c r="Q995" s="435">
        <f>SUM(E995:P995)</f>
        <v>5969738.6700000009</v>
      </c>
    </row>
    <row r="996" spans="1:17" s="216" customFormat="1" ht="10.5" thickTop="1" x14ac:dyDescent="0.2">
      <c r="A996" s="242"/>
      <c r="D996" s="267"/>
      <c r="F996" s="269"/>
      <c r="G996" s="418"/>
      <c r="H996" s="269"/>
      <c r="I996" s="272"/>
      <c r="J996" s="269"/>
      <c r="K996" s="269"/>
      <c r="L996" s="269"/>
      <c r="M996" s="269"/>
      <c r="N996" s="269"/>
      <c r="O996" s="269"/>
      <c r="P996" s="269"/>
      <c r="Q996" s="456"/>
    </row>
    <row r="997" spans="1:17" s="216" customFormat="1" x14ac:dyDescent="0.2">
      <c r="A997" s="242"/>
      <c r="D997" s="267"/>
      <c r="F997" s="269"/>
      <c r="G997" s="418"/>
      <c r="H997" s="269"/>
      <c r="I997" s="272"/>
      <c r="J997" s="269"/>
      <c r="K997" s="269"/>
      <c r="L997" s="269"/>
      <c r="M997" s="269"/>
      <c r="N997" s="269"/>
      <c r="O997" s="269"/>
      <c r="P997" s="269"/>
      <c r="Q997" s="418"/>
    </row>
    <row r="998" spans="1:17" s="216" customFormat="1" x14ac:dyDescent="0.2">
      <c r="A998" s="504" t="str">
        <f>$A$265</f>
        <v>[1] Reflects Normalized Volumes.</v>
      </c>
      <c r="D998" s="267"/>
      <c r="F998" s="269"/>
      <c r="G998" s="418"/>
      <c r="H998" s="269"/>
      <c r="I998" s="272"/>
      <c r="J998" s="269"/>
      <c r="K998" s="269"/>
      <c r="L998" s="269"/>
      <c r="M998" s="269"/>
      <c r="N998" s="269"/>
      <c r="O998" s="269"/>
      <c r="P998" s="269"/>
    </row>
    <row r="999" spans="1:17" s="216" customFormat="1" ht="10.5" x14ac:dyDescent="0.25">
      <c r="A999" s="817" t="str">
        <f>CONAME</f>
        <v>Columbia Gas of Kentucky, Inc.</v>
      </c>
      <c r="B999" s="817"/>
      <c r="C999" s="817"/>
      <c r="D999" s="817"/>
      <c r="E999" s="817"/>
      <c r="F999" s="817"/>
      <c r="G999" s="817"/>
      <c r="H999" s="817"/>
      <c r="I999" s="817"/>
      <c r="J999" s="817"/>
      <c r="K999" s="817"/>
      <c r="L999" s="817"/>
      <c r="M999" s="817"/>
      <c r="N999" s="817"/>
      <c r="O999" s="817"/>
      <c r="P999" s="817"/>
      <c r="Q999" s="817"/>
    </row>
    <row r="1000" spans="1:17" s="216" customFormat="1" ht="10.5" x14ac:dyDescent="0.25">
      <c r="A1000" s="800" t="str">
        <f>case</f>
        <v>Case No. 2021-00183</v>
      </c>
      <c r="B1000" s="800"/>
      <c r="C1000" s="800"/>
      <c r="D1000" s="800"/>
      <c r="E1000" s="800"/>
      <c r="F1000" s="800"/>
      <c r="G1000" s="800"/>
      <c r="H1000" s="800"/>
      <c r="I1000" s="800"/>
      <c r="J1000" s="800"/>
      <c r="K1000" s="800"/>
      <c r="L1000" s="800"/>
      <c r="M1000" s="800"/>
      <c r="N1000" s="800"/>
      <c r="O1000" s="800"/>
      <c r="P1000" s="800"/>
      <c r="Q1000" s="800"/>
    </row>
    <row r="1001" spans="1:17" s="216" customFormat="1" ht="10.5" x14ac:dyDescent="0.25">
      <c r="A1001" s="815" t="s">
        <v>197</v>
      </c>
      <c r="B1001" s="815"/>
      <c r="C1001" s="815"/>
      <c r="D1001" s="815"/>
      <c r="E1001" s="815"/>
      <c r="F1001" s="815"/>
      <c r="G1001" s="815"/>
      <c r="H1001" s="815"/>
      <c r="I1001" s="815"/>
      <c r="J1001" s="815"/>
      <c r="K1001" s="815"/>
      <c r="L1001" s="815"/>
      <c r="M1001" s="815"/>
      <c r="N1001" s="815"/>
      <c r="O1001" s="815"/>
      <c r="P1001" s="815"/>
      <c r="Q1001" s="815"/>
    </row>
    <row r="1002" spans="1:17" s="216" customFormat="1" ht="10.5" x14ac:dyDescent="0.25">
      <c r="A1002" s="817" t="str">
        <f>TYDESC</f>
        <v>For the 12 Months Ended December 31, 2022</v>
      </c>
      <c r="B1002" s="817"/>
      <c r="C1002" s="817"/>
      <c r="D1002" s="817"/>
      <c r="E1002" s="817"/>
      <c r="F1002" s="817"/>
      <c r="G1002" s="817"/>
      <c r="H1002" s="817"/>
      <c r="I1002" s="817"/>
      <c r="J1002" s="817"/>
      <c r="K1002" s="817"/>
      <c r="L1002" s="817"/>
      <c r="M1002" s="817"/>
      <c r="N1002" s="817"/>
      <c r="O1002" s="817"/>
      <c r="P1002" s="817"/>
      <c r="Q1002" s="817"/>
    </row>
    <row r="1003" spans="1:17" s="216" customFormat="1" ht="10.5" x14ac:dyDescent="0.25">
      <c r="A1003" s="814" t="s">
        <v>39</v>
      </c>
      <c r="B1003" s="814"/>
      <c r="C1003" s="814"/>
      <c r="D1003" s="814"/>
      <c r="E1003" s="814"/>
      <c r="F1003" s="814"/>
      <c r="G1003" s="814"/>
      <c r="H1003" s="814"/>
      <c r="I1003" s="814"/>
      <c r="J1003" s="814"/>
      <c r="K1003" s="814"/>
      <c r="L1003" s="814"/>
      <c r="M1003" s="814"/>
      <c r="N1003" s="814"/>
      <c r="O1003" s="814"/>
      <c r="P1003" s="814"/>
      <c r="Q1003" s="814"/>
    </row>
    <row r="1004" spans="1:17" s="216" customFormat="1" ht="10.5" x14ac:dyDescent="0.25">
      <c r="A1004" s="575" t="str">
        <f>$A$52</f>
        <v>Data: __ Base Period _X_ Forecasted Period</v>
      </c>
      <c r="D1004" s="267"/>
      <c r="F1004" s="269"/>
      <c r="G1004" s="418"/>
      <c r="H1004" s="269"/>
      <c r="I1004" s="272"/>
      <c r="J1004" s="269"/>
      <c r="K1004" s="269"/>
      <c r="L1004" s="269"/>
      <c r="M1004" s="269"/>
      <c r="N1004" s="269"/>
      <c r="O1004" s="269"/>
      <c r="P1004" s="269"/>
    </row>
    <row r="1005" spans="1:17" s="216" customFormat="1" ht="10.5" x14ac:dyDescent="0.25">
      <c r="A1005" s="575" t="str">
        <f>$A$53</f>
        <v>Type of Filing: X Original _ Update _ Revised</v>
      </c>
      <c r="D1005" s="267"/>
      <c r="F1005" s="269"/>
      <c r="G1005" s="418"/>
      <c r="H1005" s="269"/>
      <c r="I1005" s="272"/>
      <c r="J1005" s="269"/>
      <c r="K1005" s="269"/>
      <c r="L1005" s="269"/>
      <c r="M1005" s="269"/>
      <c r="N1005" s="269"/>
      <c r="O1005" s="269"/>
      <c r="P1005" s="269"/>
      <c r="Q1005" s="583" t="str">
        <f>$Q$53</f>
        <v>Schedule M-2.3</v>
      </c>
    </row>
    <row r="1006" spans="1:17" s="216" customFormat="1" ht="10.5" x14ac:dyDescent="0.25">
      <c r="A1006" s="575" t="str">
        <f>$A$54</f>
        <v>Work Paper Reference No(s):</v>
      </c>
      <c r="D1006" s="267"/>
      <c r="F1006" s="269"/>
      <c r="G1006" s="418"/>
      <c r="H1006" s="269"/>
      <c r="I1006" s="272"/>
      <c r="J1006" s="269"/>
      <c r="K1006" s="269"/>
      <c r="L1006" s="269"/>
      <c r="M1006" s="269"/>
      <c r="N1006" s="269"/>
      <c r="O1006" s="269"/>
      <c r="P1006" s="269"/>
      <c r="Q1006" s="583" t="s">
        <v>426</v>
      </c>
    </row>
    <row r="1007" spans="1:17" s="216" customFormat="1" ht="10.5" x14ac:dyDescent="0.25">
      <c r="A1007" s="576" t="str">
        <f>$A$55</f>
        <v>12 Months Forecasted</v>
      </c>
      <c r="D1007" s="267"/>
      <c r="F1007" s="269"/>
      <c r="G1007" s="418"/>
      <c r="H1007" s="269"/>
      <c r="I1007" s="272"/>
      <c r="J1007" s="269"/>
      <c r="K1007" s="269"/>
      <c r="L1007" s="269"/>
      <c r="M1007" s="269"/>
      <c r="N1007" s="269"/>
      <c r="O1007" s="269"/>
      <c r="P1007" s="269"/>
      <c r="Q1007" s="583" t="str">
        <f>Witness</f>
        <v>Witness:  Judith L. Siegler</v>
      </c>
    </row>
    <row r="1008" spans="1:17" s="216" customFormat="1" ht="10.5" x14ac:dyDescent="0.25">
      <c r="A1008" s="816" t="s">
        <v>291</v>
      </c>
      <c r="B1008" s="816"/>
      <c r="C1008" s="816"/>
      <c r="D1008" s="816"/>
      <c r="E1008" s="816"/>
      <c r="F1008" s="816"/>
      <c r="G1008" s="816"/>
      <c r="H1008" s="816"/>
      <c r="I1008" s="816"/>
      <c r="J1008" s="816"/>
      <c r="K1008" s="816"/>
      <c r="L1008" s="816"/>
      <c r="M1008" s="816"/>
      <c r="N1008" s="816"/>
      <c r="O1008" s="816"/>
      <c r="P1008" s="816"/>
      <c r="Q1008" s="816"/>
    </row>
    <row r="1009" spans="1:17" s="216" customFormat="1" ht="10.5" x14ac:dyDescent="0.25">
      <c r="A1009" s="219"/>
      <c r="B1009" s="280"/>
      <c r="C1009" s="280"/>
      <c r="D1009" s="282"/>
      <c r="E1009" s="280"/>
      <c r="F1009" s="438"/>
      <c r="G1009" s="439"/>
      <c r="H1009" s="438"/>
      <c r="I1009" s="440"/>
      <c r="J1009" s="438"/>
      <c r="K1009" s="438"/>
      <c r="L1009" s="438"/>
      <c r="M1009" s="438"/>
      <c r="N1009" s="438"/>
      <c r="O1009" s="438"/>
      <c r="P1009" s="438"/>
      <c r="Q1009" s="280"/>
    </row>
    <row r="1010" spans="1:17" s="216" customFormat="1" ht="10.5" x14ac:dyDescent="0.25">
      <c r="A1010" s="717" t="s">
        <v>1</v>
      </c>
      <c r="B1010" s="717" t="s">
        <v>0</v>
      </c>
      <c r="C1010" s="717" t="s">
        <v>41</v>
      </c>
      <c r="D1010" s="721" t="s">
        <v>30</v>
      </c>
      <c r="E1010" s="717"/>
      <c r="F1010" s="584"/>
      <c r="G1010" s="587"/>
      <c r="H1010" s="584"/>
      <c r="I1010" s="722"/>
      <c r="J1010" s="584"/>
      <c r="K1010" s="584"/>
      <c r="L1010" s="584"/>
      <c r="M1010" s="584"/>
      <c r="N1010" s="584"/>
      <c r="O1010" s="584"/>
      <c r="P1010" s="584"/>
      <c r="Q1010" s="723"/>
    </row>
    <row r="1011" spans="1:17" s="216" customFormat="1" ht="10.5" x14ac:dyDescent="0.25">
      <c r="A1011" s="263" t="s">
        <v>3</v>
      </c>
      <c r="B1011" s="263" t="s">
        <v>40</v>
      </c>
      <c r="C1011" s="263" t="s">
        <v>4</v>
      </c>
      <c r="D1011" s="379" t="s">
        <v>48</v>
      </c>
      <c r="E1011" s="380" t="str">
        <f>B!$D$11</f>
        <v>Jan-22</v>
      </c>
      <c r="F1011" s="380" t="str">
        <f>B!$E$11</f>
        <v>Feb-22</v>
      </c>
      <c r="G1011" s="380" t="str">
        <f>B!$F$11</f>
        <v>Mar-22</v>
      </c>
      <c r="H1011" s="380" t="str">
        <f>B!$G$11</f>
        <v>Apr-22</v>
      </c>
      <c r="I1011" s="380" t="str">
        <f>B!$H$11</f>
        <v>May-22</v>
      </c>
      <c r="J1011" s="380" t="str">
        <f>B!$I$11</f>
        <v>Jun-22</v>
      </c>
      <c r="K1011" s="380" t="str">
        <f>B!$J$11</f>
        <v>Jul-22</v>
      </c>
      <c r="L1011" s="380" t="str">
        <f>B!$K$11</f>
        <v>Aug-22</v>
      </c>
      <c r="M1011" s="380" t="str">
        <f>B!$L$11</f>
        <v>Sep-22</v>
      </c>
      <c r="N1011" s="380" t="str">
        <f>B!$M$11</f>
        <v>Oct-22</v>
      </c>
      <c r="O1011" s="380" t="str">
        <f>B!$N$11</f>
        <v>Nov-22</v>
      </c>
      <c r="P1011" s="380" t="str">
        <f>B!$O$11</f>
        <v>Dec-22</v>
      </c>
      <c r="Q1011" s="380" t="s">
        <v>9</v>
      </c>
    </row>
    <row r="1012" spans="1:17" s="216" customFormat="1" ht="10.5" x14ac:dyDescent="0.25">
      <c r="A1012" s="717"/>
      <c r="B1012" s="719" t="s">
        <v>42</v>
      </c>
      <c r="C1012" s="719" t="s">
        <v>43</v>
      </c>
      <c r="D1012" s="382" t="s">
        <v>45</v>
      </c>
      <c r="E1012" s="383" t="s">
        <v>46</v>
      </c>
      <c r="F1012" s="383" t="s">
        <v>49</v>
      </c>
      <c r="G1012" s="383" t="s">
        <v>50</v>
      </c>
      <c r="H1012" s="383" t="s">
        <v>51</v>
      </c>
      <c r="I1012" s="383" t="s">
        <v>52</v>
      </c>
      <c r="J1012" s="384" t="s">
        <v>53</v>
      </c>
      <c r="K1012" s="384" t="s">
        <v>54</v>
      </c>
      <c r="L1012" s="384" t="s">
        <v>55</v>
      </c>
      <c r="M1012" s="384" t="s">
        <v>56</v>
      </c>
      <c r="N1012" s="384" t="s">
        <v>57</v>
      </c>
      <c r="O1012" s="384" t="s">
        <v>58</v>
      </c>
      <c r="P1012" s="384" t="s">
        <v>59</v>
      </c>
      <c r="Q1012" s="384" t="s">
        <v>200</v>
      </c>
    </row>
    <row r="1013" spans="1:17" s="216" customFormat="1" ht="10.5" x14ac:dyDescent="0.25">
      <c r="A1013" s="242"/>
      <c r="D1013" s="267"/>
      <c r="E1013" s="723"/>
      <c r="F1013" s="588"/>
      <c r="G1013" s="585"/>
      <c r="H1013" s="588"/>
      <c r="I1013" s="586"/>
      <c r="J1013" s="588"/>
      <c r="K1013" s="588"/>
      <c r="L1013" s="588"/>
      <c r="M1013" s="588"/>
      <c r="N1013" s="588"/>
      <c r="O1013" s="588"/>
      <c r="P1013" s="588"/>
      <c r="Q1013" s="723"/>
    </row>
    <row r="1014" spans="1:17" s="216" customFormat="1" x14ac:dyDescent="0.2">
      <c r="A1014" s="242">
        <v>1</v>
      </c>
      <c r="B1014" s="216" t="str">
        <f>B257</f>
        <v>GDS</v>
      </c>
      <c r="C1014" s="216" t="str">
        <f>C257</f>
        <v>GTS Grandfathered Delivery Service - Commercial</v>
      </c>
      <c r="D1014" s="267"/>
      <c r="F1014" s="269"/>
      <c r="G1014" s="418"/>
      <c r="H1014" s="269"/>
      <c r="I1014" s="272"/>
      <c r="J1014" s="269"/>
      <c r="K1014" s="269"/>
      <c r="L1014" s="269"/>
      <c r="M1014" s="269"/>
      <c r="N1014" s="269"/>
      <c r="O1014" s="269"/>
      <c r="P1014" s="269"/>
    </row>
    <row r="1015" spans="1:17" s="216" customFormat="1" x14ac:dyDescent="0.2">
      <c r="A1015" s="242"/>
      <c r="D1015" s="267"/>
      <c r="F1015" s="269"/>
      <c r="G1015" s="418"/>
      <c r="H1015" s="269"/>
      <c r="I1015" s="272"/>
      <c r="J1015" s="269"/>
      <c r="K1015" s="269"/>
      <c r="L1015" s="269"/>
      <c r="M1015" s="269"/>
      <c r="N1015" s="269"/>
      <c r="O1015" s="269"/>
      <c r="P1015" s="269"/>
    </row>
    <row r="1016" spans="1:17" s="216" customFormat="1" ht="10.5" x14ac:dyDescent="0.25">
      <c r="A1016" s="242">
        <f>A1014+1</f>
        <v>2</v>
      </c>
      <c r="C1016" s="245" t="s">
        <v>111</v>
      </c>
      <c r="D1016" s="267"/>
      <c r="F1016" s="269"/>
      <c r="G1016" s="418"/>
      <c r="H1016" s="269"/>
      <c r="I1016" s="272"/>
      <c r="J1016" s="269"/>
      <c r="K1016" s="269"/>
      <c r="L1016" s="269"/>
      <c r="M1016" s="269"/>
      <c r="N1016" s="269"/>
      <c r="O1016" s="269"/>
      <c r="P1016" s="269"/>
    </row>
    <row r="1017" spans="1:17" s="216" customFormat="1" ht="10.5" x14ac:dyDescent="0.25">
      <c r="A1017" s="242"/>
      <c r="C1017" s="245"/>
      <c r="D1017" s="267"/>
      <c r="F1017" s="269"/>
      <c r="G1017" s="418"/>
      <c r="H1017" s="269"/>
      <c r="I1017" s="272"/>
      <c r="J1017" s="269"/>
      <c r="K1017" s="269"/>
      <c r="L1017" s="269"/>
      <c r="M1017" s="269"/>
      <c r="N1017" s="269"/>
      <c r="O1017" s="269"/>
      <c r="P1017" s="269"/>
    </row>
    <row r="1018" spans="1:17" s="216" customFormat="1" x14ac:dyDescent="0.2">
      <c r="A1018" s="242">
        <f>A1016+1</f>
        <v>3</v>
      </c>
      <c r="C1018" s="216" t="s">
        <v>199</v>
      </c>
      <c r="D1018" s="267"/>
      <c r="E1018" s="421">
        <f>B!D194</f>
        <v>14</v>
      </c>
      <c r="F1018" s="421">
        <f>B!E194</f>
        <v>14</v>
      </c>
      <c r="G1018" s="421">
        <f>B!F194</f>
        <v>13</v>
      </c>
      <c r="H1018" s="421">
        <f>B!G194</f>
        <v>13</v>
      </c>
      <c r="I1018" s="421">
        <f>B!H194</f>
        <v>13</v>
      </c>
      <c r="J1018" s="421">
        <f>B!I194</f>
        <v>13</v>
      </c>
      <c r="K1018" s="421">
        <f>B!J194</f>
        <v>13</v>
      </c>
      <c r="L1018" s="421">
        <f>B!K194</f>
        <v>13</v>
      </c>
      <c r="M1018" s="421">
        <f>B!L194</f>
        <v>13</v>
      </c>
      <c r="N1018" s="421">
        <f>B!M194</f>
        <v>13</v>
      </c>
      <c r="O1018" s="421">
        <f>B!N194</f>
        <v>13</v>
      </c>
      <c r="P1018" s="421">
        <f>B!O194</f>
        <v>13</v>
      </c>
      <c r="Q1018" s="421">
        <f>SUM(E1018:P1018)</f>
        <v>158</v>
      </c>
    </row>
    <row r="1019" spans="1:17" s="216" customFormat="1" x14ac:dyDescent="0.2">
      <c r="A1019" s="242">
        <f>A1018+1</f>
        <v>4</v>
      </c>
      <c r="C1019" s="216" t="s">
        <v>207</v>
      </c>
      <c r="D1019" s="608">
        <f>Input!V43</f>
        <v>87.149999999999991</v>
      </c>
      <c r="E1019" s="386">
        <f t="shared" ref="E1019:P1019" si="387">ROUND(E1018*$D$1019,2)</f>
        <v>1220.0999999999999</v>
      </c>
      <c r="F1019" s="386">
        <f t="shared" si="387"/>
        <v>1220.0999999999999</v>
      </c>
      <c r="G1019" s="386">
        <f t="shared" si="387"/>
        <v>1132.95</v>
      </c>
      <c r="H1019" s="386">
        <f t="shared" si="387"/>
        <v>1132.95</v>
      </c>
      <c r="I1019" s="386">
        <f t="shared" si="387"/>
        <v>1132.95</v>
      </c>
      <c r="J1019" s="386">
        <f t="shared" si="387"/>
        <v>1132.95</v>
      </c>
      <c r="K1019" s="386">
        <f t="shared" si="387"/>
        <v>1132.95</v>
      </c>
      <c r="L1019" s="386">
        <f t="shared" si="387"/>
        <v>1132.95</v>
      </c>
      <c r="M1019" s="386">
        <f t="shared" si="387"/>
        <v>1132.95</v>
      </c>
      <c r="N1019" s="386">
        <f t="shared" si="387"/>
        <v>1132.95</v>
      </c>
      <c r="O1019" s="386">
        <f t="shared" si="387"/>
        <v>1132.95</v>
      </c>
      <c r="P1019" s="386">
        <f t="shared" si="387"/>
        <v>1132.95</v>
      </c>
      <c r="Q1019" s="386">
        <f>SUM(E1019:P1019)</f>
        <v>13769.700000000003</v>
      </c>
    </row>
    <row r="1020" spans="1:17" s="216" customFormat="1" x14ac:dyDescent="0.2">
      <c r="A1020" s="242">
        <f>A1019+1</f>
        <v>5</v>
      </c>
      <c r="C1020" s="216" t="s">
        <v>214</v>
      </c>
      <c r="D1020" s="608">
        <f>Input!W43</f>
        <v>0</v>
      </c>
      <c r="E1020" s="386">
        <f t="shared" ref="E1020:P1020" si="388">ROUND(E1018*$D$1020,2)</f>
        <v>0</v>
      </c>
      <c r="F1020" s="386">
        <f t="shared" si="388"/>
        <v>0</v>
      </c>
      <c r="G1020" s="386">
        <f t="shared" si="388"/>
        <v>0</v>
      </c>
      <c r="H1020" s="386">
        <f t="shared" si="388"/>
        <v>0</v>
      </c>
      <c r="I1020" s="386">
        <f t="shared" si="388"/>
        <v>0</v>
      </c>
      <c r="J1020" s="386">
        <f t="shared" si="388"/>
        <v>0</v>
      </c>
      <c r="K1020" s="386">
        <f t="shared" si="388"/>
        <v>0</v>
      </c>
      <c r="L1020" s="386">
        <f t="shared" si="388"/>
        <v>0</v>
      </c>
      <c r="M1020" s="386">
        <f t="shared" si="388"/>
        <v>0</v>
      </c>
      <c r="N1020" s="386">
        <f t="shared" si="388"/>
        <v>0</v>
      </c>
      <c r="O1020" s="386">
        <f t="shared" si="388"/>
        <v>0</v>
      </c>
      <c r="P1020" s="386">
        <f t="shared" si="388"/>
        <v>0</v>
      </c>
      <c r="Q1020" s="386">
        <f>SUM(E1020:P1020)</f>
        <v>0</v>
      </c>
    </row>
    <row r="1021" spans="1:17" s="216" customFormat="1" x14ac:dyDescent="0.2">
      <c r="A1021" s="242">
        <f>A1020+1</f>
        <v>6</v>
      </c>
      <c r="C1021" s="216" t="s">
        <v>208</v>
      </c>
      <c r="D1021" s="608">
        <f>Input!X43</f>
        <v>0</v>
      </c>
      <c r="E1021" s="386">
        <f t="shared" ref="E1021:P1021" si="389">ROUND(E1018*$D$1021,2)</f>
        <v>0</v>
      </c>
      <c r="F1021" s="386">
        <f t="shared" si="389"/>
        <v>0</v>
      </c>
      <c r="G1021" s="386">
        <f t="shared" si="389"/>
        <v>0</v>
      </c>
      <c r="H1021" s="386">
        <f t="shared" si="389"/>
        <v>0</v>
      </c>
      <c r="I1021" s="386">
        <f t="shared" si="389"/>
        <v>0</v>
      </c>
      <c r="J1021" s="386">
        <f t="shared" si="389"/>
        <v>0</v>
      </c>
      <c r="K1021" s="386">
        <f t="shared" si="389"/>
        <v>0</v>
      </c>
      <c r="L1021" s="386">
        <f t="shared" si="389"/>
        <v>0</v>
      </c>
      <c r="M1021" s="386">
        <f t="shared" si="389"/>
        <v>0</v>
      </c>
      <c r="N1021" s="386">
        <f t="shared" si="389"/>
        <v>0</v>
      </c>
      <c r="O1021" s="386">
        <f t="shared" si="389"/>
        <v>0</v>
      </c>
      <c r="P1021" s="386">
        <f t="shared" si="389"/>
        <v>0</v>
      </c>
      <c r="Q1021" s="386">
        <f>SUM(E1021:P1021)</f>
        <v>0</v>
      </c>
    </row>
    <row r="1022" spans="1:17" s="216" customFormat="1" x14ac:dyDescent="0.2">
      <c r="A1022" s="242"/>
      <c r="D1022" s="267"/>
      <c r="F1022" s="269"/>
      <c r="G1022" s="418"/>
      <c r="H1022" s="269"/>
      <c r="I1022" s="272"/>
      <c r="J1022" s="269"/>
      <c r="K1022" s="269"/>
      <c r="L1022" s="269"/>
      <c r="M1022" s="269"/>
      <c r="N1022" s="269"/>
      <c r="O1022" s="269"/>
      <c r="P1022" s="269"/>
    </row>
    <row r="1023" spans="1:17" s="216" customFormat="1" x14ac:dyDescent="0.2">
      <c r="A1023" s="242">
        <f>A1021+1</f>
        <v>7</v>
      </c>
      <c r="C1023" s="216" t="s">
        <v>206</v>
      </c>
      <c r="D1023" s="267"/>
    </row>
    <row r="1024" spans="1:17" s="216" customFormat="1" x14ac:dyDescent="0.2">
      <c r="A1024" s="242">
        <f>A1023+1</f>
        <v>8</v>
      </c>
      <c r="C1024" s="216" t="str">
        <f>'C'!B291</f>
        <v xml:space="preserve">    First 50 Mcf</v>
      </c>
      <c r="D1024" s="267"/>
      <c r="E1024" s="424">
        <f>'C'!D303</f>
        <v>650</v>
      </c>
      <c r="F1024" s="424">
        <f>'C'!E303</f>
        <v>650</v>
      </c>
      <c r="G1024" s="424">
        <f>'C'!F303</f>
        <v>650</v>
      </c>
      <c r="H1024" s="424">
        <f>'C'!G303</f>
        <v>650</v>
      </c>
      <c r="I1024" s="424">
        <f>'C'!H303</f>
        <v>650</v>
      </c>
      <c r="J1024" s="424">
        <f>'C'!I303</f>
        <v>600</v>
      </c>
      <c r="K1024" s="424">
        <f>'C'!J303</f>
        <v>600</v>
      </c>
      <c r="L1024" s="424">
        <f>'C'!K303</f>
        <v>600</v>
      </c>
      <c r="M1024" s="424">
        <f>'C'!L303</f>
        <v>600</v>
      </c>
      <c r="N1024" s="424">
        <f>'C'!M303</f>
        <v>600</v>
      </c>
      <c r="O1024" s="424">
        <f>'C'!N303</f>
        <v>650</v>
      </c>
      <c r="P1024" s="424">
        <f>'C'!O303</f>
        <v>650</v>
      </c>
      <c r="Q1024" s="424">
        <f>SUM(E1024:P1024)</f>
        <v>7550</v>
      </c>
    </row>
    <row r="1025" spans="1:17" s="216" customFormat="1" x14ac:dyDescent="0.2">
      <c r="A1025" s="242">
        <f>A1024+1</f>
        <v>9</v>
      </c>
      <c r="C1025" s="216" t="str">
        <f>'C'!B292</f>
        <v xml:space="preserve">    Next 350 Mcf</v>
      </c>
      <c r="D1025" s="267"/>
      <c r="E1025" s="424">
        <f>'C'!D304</f>
        <v>4550</v>
      </c>
      <c r="F1025" s="424">
        <f>'C'!E304</f>
        <v>4550</v>
      </c>
      <c r="G1025" s="424">
        <f>'C'!F304</f>
        <v>4550</v>
      </c>
      <c r="H1025" s="424">
        <f>'C'!G304</f>
        <v>4550</v>
      </c>
      <c r="I1025" s="424">
        <f>'C'!H304</f>
        <v>4523.8</v>
      </c>
      <c r="J1025" s="424">
        <f>'C'!I304</f>
        <v>4200</v>
      </c>
      <c r="K1025" s="424">
        <f>'C'!J304</f>
        <v>4137.7</v>
      </c>
      <c r="L1025" s="424">
        <f>'C'!K304</f>
        <v>4159.3</v>
      </c>
      <c r="M1025" s="424">
        <f>'C'!L304</f>
        <v>4180.1000000000004</v>
      </c>
      <c r="N1025" s="424">
        <f>'C'!M304</f>
        <v>4200</v>
      </c>
      <c r="O1025" s="424">
        <f>'C'!N304</f>
        <v>4550</v>
      </c>
      <c r="P1025" s="424">
        <f>'C'!O304</f>
        <v>4550</v>
      </c>
      <c r="Q1025" s="424">
        <f>SUM(E1025:P1025)</f>
        <v>52700.9</v>
      </c>
    </row>
    <row r="1026" spans="1:17" s="216" customFormat="1" x14ac:dyDescent="0.2">
      <c r="A1026" s="242">
        <f>A1025+1</f>
        <v>10</v>
      </c>
      <c r="C1026" s="216" t="str">
        <f>'C'!B293</f>
        <v xml:space="preserve">    Next 600 Mcf</v>
      </c>
      <c r="D1026" s="267"/>
      <c r="E1026" s="424">
        <f>'C'!D305</f>
        <v>7800</v>
      </c>
      <c r="F1026" s="424">
        <f>'C'!E305</f>
        <v>7800</v>
      </c>
      <c r="G1026" s="424">
        <f>'C'!F305</f>
        <v>7751.4</v>
      </c>
      <c r="H1026" s="424">
        <f>'C'!G305</f>
        <v>7800</v>
      </c>
      <c r="I1026" s="424">
        <f>'C'!H305</f>
        <v>6881.9</v>
      </c>
      <c r="J1026" s="424">
        <f>'C'!I305</f>
        <v>5445.8</v>
      </c>
      <c r="K1026" s="424">
        <f>'C'!J305</f>
        <v>5512.4</v>
      </c>
      <c r="L1026" s="424">
        <f>'C'!K305</f>
        <v>6047</v>
      </c>
      <c r="M1026" s="424">
        <f>'C'!L305</f>
        <v>5917.8</v>
      </c>
      <c r="N1026" s="424">
        <f>'C'!M305</f>
        <v>4600.3999999999996</v>
      </c>
      <c r="O1026" s="424">
        <f>'C'!N305</f>
        <v>7700</v>
      </c>
      <c r="P1026" s="424">
        <f>'C'!O305</f>
        <v>7800</v>
      </c>
      <c r="Q1026" s="424">
        <f>SUM(E1026:P1026)</f>
        <v>81056.700000000012</v>
      </c>
    </row>
    <row r="1027" spans="1:17" s="216" customFormat="1" x14ac:dyDescent="0.2">
      <c r="A1027" s="242">
        <f>A1026+1</f>
        <v>11</v>
      </c>
      <c r="C1027" s="216" t="str">
        <f>'C'!B294</f>
        <v xml:space="preserve">    Over 1,000 Mcf</v>
      </c>
      <c r="D1027" s="267"/>
      <c r="E1027" s="448">
        <f>'C'!D306</f>
        <v>53917</v>
      </c>
      <c r="F1027" s="448">
        <f>'C'!E306</f>
        <v>63267.1</v>
      </c>
      <c r="G1027" s="448">
        <f>'C'!F306</f>
        <v>14971.4</v>
      </c>
      <c r="H1027" s="448">
        <f>'C'!G306</f>
        <v>29749.200000000001</v>
      </c>
      <c r="I1027" s="448">
        <f>'C'!H306</f>
        <v>2447.6</v>
      </c>
      <c r="J1027" s="448">
        <f>'C'!I306</f>
        <v>3086.7</v>
      </c>
      <c r="K1027" s="448">
        <f>'C'!J306</f>
        <v>4225.8</v>
      </c>
      <c r="L1027" s="448">
        <f>'C'!K306</f>
        <v>5084.2</v>
      </c>
      <c r="M1027" s="448">
        <f>'C'!L306</f>
        <v>3599.9</v>
      </c>
      <c r="N1027" s="448">
        <f>'C'!M306</f>
        <v>1264.4000000000001</v>
      </c>
      <c r="O1027" s="448">
        <f>'C'!N306</f>
        <v>12116</v>
      </c>
      <c r="P1027" s="448">
        <f>'C'!O306</f>
        <v>45790.6</v>
      </c>
      <c r="Q1027" s="448">
        <f>SUM(E1027:P1027)</f>
        <v>239519.90000000002</v>
      </c>
    </row>
    <row r="1028" spans="1:17" s="216" customFormat="1" x14ac:dyDescent="0.2">
      <c r="A1028" s="242"/>
      <c r="D1028" s="609"/>
      <c r="E1028" s="424">
        <f t="shared" ref="E1028:P1028" si="390">SUM(E1024:E1027)</f>
        <v>66917</v>
      </c>
      <c r="F1028" s="424">
        <f t="shared" si="390"/>
        <v>76267.100000000006</v>
      </c>
      <c r="G1028" s="424">
        <f t="shared" si="390"/>
        <v>27922.799999999999</v>
      </c>
      <c r="H1028" s="424">
        <f t="shared" si="390"/>
        <v>42749.2</v>
      </c>
      <c r="I1028" s="424">
        <f t="shared" si="390"/>
        <v>14503.300000000001</v>
      </c>
      <c r="J1028" s="424">
        <f t="shared" si="390"/>
        <v>13332.5</v>
      </c>
      <c r="K1028" s="424">
        <f t="shared" si="390"/>
        <v>14475.899999999998</v>
      </c>
      <c r="L1028" s="424">
        <f t="shared" si="390"/>
        <v>15890.5</v>
      </c>
      <c r="M1028" s="424">
        <f t="shared" si="390"/>
        <v>14297.800000000001</v>
      </c>
      <c r="N1028" s="424">
        <f t="shared" si="390"/>
        <v>10664.8</v>
      </c>
      <c r="O1028" s="424">
        <f t="shared" si="390"/>
        <v>25016</v>
      </c>
      <c r="P1028" s="424">
        <f t="shared" si="390"/>
        <v>58790.6</v>
      </c>
      <c r="Q1028" s="424">
        <f>SUM(E1028:P1028)</f>
        <v>380827.49999999988</v>
      </c>
    </row>
    <row r="1029" spans="1:17" s="216" customFormat="1" x14ac:dyDescent="0.2">
      <c r="A1029" s="242">
        <f>A1027+1</f>
        <v>12</v>
      </c>
      <c r="C1029" s="216" t="s">
        <v>204</v>
      </c>
      <c r="D1029" s="267"/>
      <c r="F1029" s="269"/>
      <c r="G1029" s="418"/>
      <c r="H1029" s="269"/>
      <c r="I1029" s="272"/>
      <c r="J1029" s="269"/>
      <c r="K1029" s="269"/>
      <c r="L1029" s="269"/>
      <c r="M1029" s="269"/>
      <c r="N1029" s="269"/>
      <c r="O1029" s="269"/>
      <c r="P1029" s="269"/>
      <c r="Q1029" s="456"/>
    </row>
    <row r="1030" spans="1:17" s="216" customFormat="1" x14ac:dyDescent="0.2">
      <c r="A1030" s="242">
        <f>A1029+1</f>
        <v>13</v>
      </c>
      <c r="C1030" s="216" t="str">
        <f>C1024</f>
        <v xml:space="preserve">    First 50 Mcf</v>
      </c>
      <c r="D1030" s="609">
        <f>Input!Q43</f>
        <v>3.5621999999999998</v>
      </c>
      <c r="E1030" s="386">
        <f t="shared" ref="E1030:P1030" si="391">ROUND(E1024*$D$1030,2)</f>
        <v>2315.4299999999998</v>
      </c>
      <c r="F1030" s="386">
        <f t="shared" si="391"/>
        <v>2315.4299999999998</v>
      </c>
      <c r="G1030" s="386">
        <f t="shared" si="391"/>
        <v>2315.4299999999998</v>
      </c>
      <c r="H1030" s="386">
        <f t="shared" si="391"/>
        <v>2315.4299999999998</v>
      </c>
      <c r="I1030" s="386">
        <f t="shared" si="391"/>
        <v>2315.4299999999998</v>
      </c>
      <c r="J1030" s="386">
        <f t="shared" si="391"/>
        <v>2137.3200000000002</v>
      </c>
      <c r="K1030" s="386">
        <f t="shared" si="391"/>
        <v>2137.3200000000002</v>
      </c>
      <c r="L1030" s="386">
        <f t="shared" si="391"/>
        <v>2137.3200000000002</v>
      </c>
      <c r="M1030" s="386">
        <f t="shared" si="391"/>
        <v>2137.3200000000002</v>
      </c>
      <c r="N1030" s="386">
        <f t="shared" si="391"/>
        <v>2137.3200000000002</v>
      </c>
      <c r="O1030" s="386">
        <f t="shared" si="391"/>
        <v>2315.4299999999998</v>
      </c>
      <c r="P1030" s="386">
        <f t="shared" si="391"/>
        <v>2315.4299999999998</v>
      </c>
      <c r="Q1030" s="386">
        <f t="shared" ref="Q1030:Q1037" si="392">SUM(E1030:P1030)</f>
        <v>26894.61</v>
      </c>
    </row>
    <row r="1031" spans="1:17" s="216" customFormat="1" x14ac:dyDescent="0.2">
      <c r="A1031" s="242">
        <f>A1030+1</f>
        <v>14</v>
      </c>
      <c r="C1031" s="216" t="str">
        <f>C1025</f>
        <v xml:space="preserve">    Next 350 Mcf</v>
      </c>
      <c r="D1031" s="609">
        <f>Input!R43</f>
        <v>2.7494000000000001</v>
      </c>
      <c r="E1031" s="421">
        <f t="shared" ref="E1031:P1031" si="393">ROUND(E1025*$D$1031,2)</f>
        <v>12509.77</v>
      </c>
      <c r="F1031" s="421">
        <f t="shared" si="393"/>
        <v>12509.77</v>
      </c>
      <c r="G1031" s="421">
        <f t="shared" si="393"/>
        <v>12509.77</v>
      </c>
      <c r="H1031" s="421">
        <f t="shared" si="393"/>
        <v>12509.77</v>
      </c>
      <c r="I1031" s="421">
        <f t="shared" si="393"/>
        <v>12437.74</v>
      </c>
      <c r="J1031" s="421">
        <f t="shared" si="393"/>
        <v>11547.48</v>
      </c>
      <c r="K1031" s="421">
        <f t="shared" si="393"/>
        <v>11376.19</v>
      </c>
      <c r="L1031" s="421">
        <f t="shared" si="393"/>
        <v>11435.58</v>
      </c>
      <c r="M1031" s="421">
        <f t="shared" si="393"/>
        <v>11492.77</v>
      </c>
      <c r="N1031" s="421">
        <f t="shared" si="393"/>
        <v>11547.48</v>
      </c>
      <c r="O1031" s="421">
        <f t="shared" si="393"/>
        <v>12509.77</v>
      </c>
      <c r="P1031" s="421">
        <f t="shared" si="393"/>
        <v>12509.77</v>
      </c>
      <c r="Q1031" s="421">
        <f t="shared" si="392"/>
        <v>144895.85999999999</v>
      </c>
    </row>
    <row r="1032" spans="1:17" s="216" customFormat="1" x14ac:dyDescent="0.2">
      <c r="A1032" s="242">
        <f>A1031+1</f>
        <v>15</v>
      </c>
      <c r="C1032" s="216" t="str">
        <f>C1026</f>
        <v xml:space="preserve">    Next 600 Mcf</v>
      </c>
      <c r="D1032" s="609">
        <f>Input!S43</f>
        <v>2.6135000000000002</v>
      </c>
      <c r="E1032" s="421">
        <f t="shared" ref="E1032:O1032" si="394">ROUND(E1026*$D$1032,2)</f>
        <v>20385.3</v>
      </c>
      <c r="F1032" s="421">
        <f t="shared" si="394"/>
        <v>20385.3</v>
      </c>
      <c r="G1032" s="421">
        <f t="shared" si="394"/>
        <v>20258.28</v>
      </c>
      <c r="H1032" s="421">
        <f t="shared" si="394"/>
        <v>20385.3</v>
      </c>
      <c r="I1032" s="421">
        <f t="shared" si="394"/>
        <v>17985.849999999999</v>
      </c>
      <c r="J1032" s="421">
        <f t="shared" si="394"/>
        <v>14232.6</v>
      </c>
      <c r="K1032" s="421">
        <f t="shared" si="394"/>
        <v>14406.66</v>
      </c>
      <c r="L1032" s="421">
        <f t="shared" si="394"/>
        <v>15803.83</v>
      </c>
      <c r="M1032" s="421">
        <f t="shared" si="394"/>
        <v>15466.17</v>
      </c>
      <c r="N1032" s="421">
        <f t="shared" si="394"/>
        <v>12023.15</v>
      </c>
      <c r="O1032" s="421">
        <f t="shared" si="394"/>
        <v>20123.95</v>
      </c>
      <c r="P1032" s="421">
        <f>ROUND(P1026*$D$1032,2)</f>
        <v>20385.3</v>
      </c>
      <c r="Q1032" s="421">
        <f t="shared" si="392"/>
        <v>211841.69</v>
      </c>
    </row>
    <row r="1033" spans="1:17" s="216" customFormat="1" ht="11.5" x14ac:dyDescent="0.35">
      <c r="A1033" s="242">
        <f>A1032+1</f>
        <v>16</v>
      </c>
      <c r="C1033" s="216" t="str">
        <f>C1027</f>
        <v xml:space="preserve">    Over 1,000 Mcf</v>
      </c>
      <c r="D1033" s="609">
        <f>Input!T43</f>
        <v>2.3782000000000001</v>
      </c>
      <c r="E1033" s="450">
        <f t="shared" ref="E1033:O1033" si="395">ROUND(E1027*$D$1033,2)</f>
        <v>128225.41</v>
      </c>
      <c r="F1033" s="450">
        <f t="shared" si="395"/>
        <v>150461.82</v>
      </c>
      <c r="G1033" s="450">
        <f t="shared" si="395"/>
        <v>35604.980000000003</v>
      </c>
      <c r="H1033" s="450">
        <f t="shared" si="395"/>
        <v>70749.55</v>
      </c>
      <c r="I1033" s="450">
        <f t="shared" si="395"/>
        <v>5820.88</v>
      </c>
      <c r="J1033" s="450">
        <f t="shared" si="395"/>
        <v>7340.79</v>
      </c>
      <c r="K1033" s="450">
        <f t="shared" si="395"/>
        <v>10049.799999999999</v>
      </c>
      <c r="L1033" s="450">
        <f t="shared" si="395"/>
        <v>12091.24</v>
      </c>
      <c r="M1033" s="450">
        <f t="shared" si="395"/>
        <v>8561.2800000000007</v>
      </c>
      <c r="N1033" s="450">
        <f t="shared" si="395"/>
        <v>3007</v>
      </c>
      <c r="O1033" s="450">
        <f t="shared" si="395"/>
        <v>28814.27</v>
      </c>
      <c r="P1033" s="450">
        <f>ROUND(P1027*$D$1033,2)</f>
        <v>108899.2</v>
      </c>
      <c r="Q1033" s="596">
        <f t="shared" si="392"/>
        <v>569626.22</v>
      </c>
    </row>
    <row r="1034" spans="1:17" s="216" customFormat="1" x14ac:dyDescent="0.2">
      <c r="A1034" s="242"/>
      <c r="D1034" s="267"/>
      <c r="E1034" s="386">
        <f t="shared" ref="E1034:P1034" si="396">SUM(E1030:E1033)</f>
        <v>163435.91</v>
      </c>
      <c r="F1034" s="386">
        <f t="shared" si="396"/>
        <v>185672.32000000001</v>
      </c>
      <c r="G1034" s="386">
        <f t="shared" si="396"/>
        <v>70688.459999999992</v>
      </c>
      <c r="H1034" s="386">
        <f t="shared" si="396"/>
        <v>105960.05</v>
      </c>
      <c r="I1034" s="386">
        <f t="shared" si="396"/>
        <v>38559.899999999994</v>
      </c>
      <c r="J1034" s="386">
        <f t="shared" si="396"/>
        <v>35258.19</v>
      </c>
      <c r="K1034" s="386">
        <f t="shared" si="396"/>
        <v>37969.97</v>
      </c>
      <c r="L1034" s="386">
        <f t="shared" si="396"/>
        <v>41467.97</v>
      </c>
      <c r="M1034" s="386">
        <f t="shared" si="396"/>
        <v>37657.54</v>
      </c>
      <c r="N1034" s="386">
        <f t="shared" si="396"/>
        <v>28714.949999999997</v>
      </c>
      <c r="O1034" s="386">
        <f t="shared" si="396"/>
        <v>63763.42</v>
      </c>
      <c r="P1034" s="386">
        <f t="shared" si="396"/>
        <v>144109.70000000001</v>
      </c>
      <c r="Q1034" s="386">
        <f t="shared" si="392"/>
        <v>953258.38000000012</v>
      </c>
    </row>
    <row r="1035" spans="1:17" s="216" customFormat="1" x14ac:dyDescent="0.2">
      <c r="A1035" s="242">
        <f>A1033+1</f>
        <v>17</v>
      </c>
      <c r="C1035" s="667" t="s">
        <v>140</v>
      </c>
      <c r="D1035" s="609">
        <f>Input!$AA$43</f>
        <v>1.44E-2</v>
      </c>
      <c r="E1035" s="386">
        <f>ROUND($D$1035*E1028,2)</f>
        <v>963.6</v>
      </c>
      <c r="F1035" s="386">
        <f t="shared" ref="F1035:P1035" si="397">ROUND($D$1035*F1028,2)</f>
        <v>1098.25</v>
      </c>
      <c r="G1035" s="386">
        <f t="shared" si="397"/>
        <v>402.09</v>
      </c>
      <c r="H1035" s="386">
        <f t="shared" si="397"/>
        <v>615.59</v>
      </c>
      <c r="I1035" s="386">
        <f t="shared" si="397"/>
        <v>208.85</v>
      </c>
      <c r="J1035" s="386">
        <f t="shared" si="397"/>
        <v>191.99</v>
      </c>
      <c r="K1035" s="386">
        <f t="shared" si="397"/>
        <v>208.45</v>
      </c>
      <c r="L1035" s="386">
        <f t="shared" si="397"/>
        <v>228.82</v>
      </c>
      <c r="M1035" s="386">
        <f t="shared" si="397"/>
        <v>205.89</v>
      </c>
      <c r="N1035" s="386">
        <f t="shared" si="397"/>
        <v>153.57</v>
      </c>
      <c r="O1035" s="386">
        <f t="shared" si="397"/>
        <v>360.23</v>
      </c>
      <c r="P1035" s="386">
        <f t="shared" si="397"/>
        <v>846.58</v>
      </c>
      <c r="Q1035" s="386">
        <f>SUM(E1035:P1035)</f>
        <v>5483.91</v>
      </c>
    </row>
    <row r="1036" spans="1:17" s="216" customFormat="1" x14ac:dyDescent="0.2">
      <c r="A1036" s="242">
        <f>A1035+1</f>
        <v>18</v>
      </c>
      <c r="C1036" s="667" t="s">
        <v>529</v>
      </c>
      <c r="D1036" s="609">
        <v>0</v>
      </c>
      <c r="E1036" s="431">
        <f>ROUND(E1028*$D$1036,2)</f>
        <v>0</v>
      </c>
      <c r="F1036" s="431">
        <f t="shared" ref="F1036:P1036" si="398">ROUND(F1028*$D$1036,2)</f>
        <v>0</v>
      </c>
      <c r="G1036" s="431">
        <f t="shared" si="398"/>
        <v>0</v>
      </c>
      <c r="H1036" s="431">
        <f t="shared" si="398"/>
        <v>0</v>
      </c>
      <c r="I1036" s="431">
        <f t="shared" si="398"/>
        <v>0</v>
      </c>
      <c r="J1036" s="431">
        <f t="shared" si="398"/>
        <v>0</v>
      </c>
      <c r="K1036" s="431">
        <f t="shared" si="398"/>
        <v>0</v>
      </c>
      <c r="L1036" s="431">
        <f t="shared" si="398"/>
        <v>0</v>
      </c>
      <c r="M1036" s="431">
        <f t="shared" si="398"/>
        <v>0</v>
      </c>
      <c r="N1036" s="431">
        <f t="shared" si="398"/>
        <v>0</v>
      </c>
      <c r="O1036" s="431">
        <f t="shared" si="398"/>
        <v>0</v>
      </c>
      <c r="P1036" s="431">
        <f t="shared" si="398"/>
        <v>0</v>
      </c>
      <c r="Q1036" s="431">
        <f t="shared" si="392"/>
        <v>0</v>
      </c>
    </row>
    <row r="1037" spans="1:17" s="216" customFormat="1" x14ac:dyDescent="0.2">
      <c r="A1037" s="242">
        <f>A1036+1</f>
        <v>19</v>
      </c>
      <c r="C1037" s="216" t="s">
        <v>201</v>
      </c>
      <c r="D1037" s="267"/>
      <c r="E1037" s="386">
        <f>E1019+E1020+E1021+E1034+E1036+E1035</f>
        <v>165619.61000000002</v>
      </c>
      <c r="F1037" s="386">
        <f t="shared" ref="F1037:P1037" si="399">F1019+F1020+F1021+F1034+F1036+F1035</f>
        <v>187990.67</v>
      </c>
      <c r="G1037" s="386">
        <f t="shared" si="399"/>
        <v>72223.499999999985</v>
      </c>
      <c r="H1037" s="386">
        <f t="shared" si="399"/>
        <v>107708.59</v>
      </c>
      <c r="I1037" s="386">
        <f t="shared" si="399"/>
        <v>39901.69999999999</v>
      </c>
      <c r="J1037" s="386">
        <f t="shared" si="399"/>
        <v>36583.129999999997</v>
      </c>
      <c r="K1037" s="386">
        <f t="shared" si="399"/>
        <v>39311.369999999995</v>
      </c>
      <c r="L1037" s="386">
        <f t="shared" si="399"/>
        <v>42829.74</v>
      </c>
      <c r="M1037" s="386">
        <f t="shared" si="399"/>
        <v>38996.379999999997</v>
      </c>
      <c r="N1037" s="386">
        <f t="shared" si="399"/>
        <v>30001.469999999998</v>
      </c>
      <c r="O1037" s="386">
        <f t="shared" si="399"/>
        <v>65256.6</v>
      </c>
      <c r="P1037" s="386">
        <f t="shared" si="399"/>
        <v>146089.23000000001</v>
      </c>
      <c r="Q1037" s="386">
        <f t="shared" si="392"/>
        <v>972511.98999999987</v>
      </c>
    </row>
    <row r="1038" spans="1:17" s="216" customFormat="1" x14ac:dyDescent="0.2">
      <c r="A1038" s="242"/>
      <c r="D1038" s="267"/>
      <c r="E1038" s="430"/>
      <c r="F1038" s="430"/>
      <c r="G1038" s="430"/>
      <c r="H1038" s="430"/>
      <c r="I1038" s="430"/>
      <c r="J1038" s="430"/>
      <c r="K1038" s="430"/>
      <c r="L1038" s="430"/>
      <c r="M1038" s="430"/>
      <c r="N1038" s="430"/>
      <c r="O1038" s="430"/>
      <c r="P1038" s="430"/>
      <c r="Q1038" s="430"/>
    </row>
    <row r="1039" spans="1:17" s="216" customFormat="1" x14ac:dyDescent="0.2">
      <c r="A1039" s="242">
        <f>A1037+1</f>
        <v>20</v>
      </c>
      <c r="C1039" s="216" t="s">
        <v>148</v>
      </c>
      <c r="D1039" s="609">
        <v>0</v>
      </c>
      <c r="E1039" s="386">
        <v>0</v>
      </c>
      <c r="F1039" s="386">
        <v>0</v>
      </c>
      <c r="G1039" s="386">
        <v>0</v>
      </c>
      <c r="H1039" s="386">
        <v>0</v>
      </c>
      <c r="I1039" s="386">
        <v>0</v>
      </c>
      <c r="J1039" s="386">
        <v>0</v>
      </c>
      <c r="K1039" s="386">
        <v>0</v>
      </c>
      <c r="L1039" s="386">
        <v>0</v>
      </c>
      <c r="M1039" s="386">
        <v>0</v>
      </c>
      <c r="N1039" s="386">
        <v>0</v>
      </c>
      <c r="O1039" s="386">
        <v>0</v>
      </c>
      <c r="P1039" s="386">
        <v>0</v>
      </c>
      <c r="Q1039" s="386">
        <f>SUM(E1039:P1039)</f>
        <v>0</v>
      </c>
    </row>
    <row r="1040" spans="1:17" s="216" customFormat="1" x14ac:dyDescent="0.2">
      <c r="A1040" s="242"/>
      <c r="D1040" s="267"/>
      <c r="F1040" s="269"/>
      <c r="G1040" s="418"/>
      <c r="H1040" s="269"/>
      <c r="I1040" s="272"/>
      <c r="J1040" s="269"/>
      <c r="K1040" s="269"/>
      <c r="L1040" s="269"/>
      <c r="M1040" s="269"/>
      <c r="N1040" s="269"/>
      <c r="O1040" s="269"/>
      <c r="P1040" s="269"/>
      <c r="Q1040" s="418"/>
    </row>
    <row r="1041" spans="1:17" s="216" customFormat="1" ht="10.5" thickBot="1" x14ac:dyDescent="0.25">
      <c r="A1041" s="580">
        <f>A1039+1</f>
        <v>21</v>
      </c>
      <c r="B1041" s="434"/>
      <c r="C1041" s="581" t="s">
        <v>202</v>
      </c>
      <c r="D1041" s="582"/>
      <c r="E1041" s="435">
        <f t="shared" ref="E1041:P1041" si="400">E1037+E1039</f>
        <v>165619.61000000002</v>
      </c>
      <c r="F1041" s="435">
        <f t="shared" si="400"/>
        <v>187990.67</v>
      </c>
      <c r="G1041" s="435">
        <f t="shared" si="400"/>
        <v>72223.499999999985</v>
      </c>
      <c r="H1041" s="435">
        <f t="shared" si="400"/>
        <v>107708.59</v>
      </c>
      <c r="I1041" s="435">
        <f t="shared" si="400"/>
        <v>39901.69999999999</v>
      </c>
      <c r="J1041" s="435">
        <f t="shared" si="400"/>
        <v>36583.129999999997</v>
      </c>
      <c r="K1041" s="435">
        <f t="shared" si="400"/>
        <v>39311.369999999995</v>
      </c>
      <c r="L1041" s="435">
        <f t="shared" si="400"/>
        <v>42829.74</v>
      </c>
      <c r="M1041" s="435">
        <f t="shared" si="400"/>
        <v>38996.379999999997</v>
      </c>
      <c r="N1041" s="435">
        <f t="shared" si="400"/>
        <v>30001.469999999998</v>
      </c>
      <c r="O1041" s="435">
        <f t="shared" si="400"/>
        <v>65256.6</v>
      </c>
      <c r="P1041" s="435">
        <f t="shared" si="400"/>
        <v>146089.23000000001</v>
      </c>
      <c r="Q1041" s="435">
        <f>SUM(E1041:P1041)</f>
        <v>972511.98999999987</v>
      </c>
    </row>
    <row r="1042" spans="1:17" s="216" customFormat="1" ht="10.5" thickTop="1" x14ac:dyDescent="0.2">
      <c r="A1042" s="242"/>
      <c r="D1042" s="267"/>
      <c r="F1042" s="269"/>
      <c r="G1042" s="418"/>
      <c r="H1042" s="269"/>
      <c r="I1042" s="272"/>
      <c r="J1042" s="269"/>
      <c r="K1042" s="269"/>
      <c r="L1042" s="269"/>
      <c r="M1042" s="269"/>
      <c r="N1042" s="269"/>
      <c r="O1042" s="269"/>
      <c r="P1042" s="269"/>
      <c r="Q1042" s="418"/>
    </row>
    <row r="1043" spans="1:17" s="216" customFormat="1" x14ac:dyDescent="0.2">
      <c r="A1043" s="242">
        <f>A1041+1</f>
        <v>22</v>
      </c>
      <c r="B1043" s="216" t="str">
        <f>B285</f>
        <v>GDS</v>
      </c>
      <c r="C1043" s="216" t="str">
        <f>C285</f>
        <v>GTS Grandfathered Delivery Service - Industrial</v>
      </c>
      <c r="D1043" s="267"/>
      <c r="F1043" s="269"/>
      <c r="G1043" s="418"/>
      <c r="H1043" s="269"/>
      <c r="I1043" s="272"/>
      <c r="J1043" s="269"/>
      <c r="K1043" s="269"/>
      <c r="L1043" s="269"/>
      <c r="M1043" s="269"/>
      <c r="N1043" s="269"/>
      <c r="O1043" s="269"/>
      <c r="P1043" s="269"/>
    </row>
    <row r="1044" spans="1:17" s="216" customFormat="1" x14ac:dyDescent="0.2">
      <c r="A1044" s="242"/>
      <c r="D1044" s="267"/>
      <c r="F1044" s="269"/>
      <c r="G1044" s="418"/>
      <c r="H1044" s="269"/>
      <c r="I1044" s="272"/>
      <c r="J1044" s="269"/>
      <c r="K1044" s="269"/>
      <c r="L1044" s="269"/>
      <c r="M1044" s="269"/>
      <c r="N1044" s="269"/>
      <c r="O1044" s="269"/>
      <c r="P1044" s="269"/>
    </row>
    <row r="1045" spans="1:17" s="216" customFormat="1" ht="10.5" x14ac:dyDescent="0.25">
      <c r="A1045" s="242">
        <f>A1043+1</f>
        <v>23</v>
      </c>
      <c r="C1045" s="245" t="s">
        <v>112</v>
      </c>
      <c r="D1045" s="267"/>
      <c r="F1045" s="269"/>
      <c r="G1045" s="418"/>
      <c r="H1045" s="269"/>
      <c r="I1045" s="272"/>
      <c r="J1045" s="269"/>
      <c r="K1045" s="269"/>
      <c r="L1045" s="269"/>
      <c r="M1045" s="269"/>
      <c r="N1045" s="269"/>
      <c r="O1045" s="269"/>
      <c r="P1045" s="269"/>
    </row>
    <row r="1046" spans="1:17" s="216" customFormat="1" ht="10.5" x14ac:dyDescent="0.25">
      <c r="A1046" s="242"/>
      <c r="C1046" s="245"/>
      <c r="D1046" s="267"/>
      <c r="F1046" s="269"/>
      <c r="G1046" s="418"/>
      <c r="H1046" s="269"/>
      <c r="I1046" s="272"/>
      <c r="J1046" s="269"/>
      <c r="K1046" s="269"/>
      <c r="L1046" s="269"/>
      <c r="M1046" s="269"/>
      <c r="N1046" s="269"/>
      <c r="O1046" s="269"/>
      <c r="P1046" s="269"/>
    </row>
    <row r="1047" spans="1:17" s="216" customFormat="1" x14ac:dyDescent="0.2">
      <c r="A1047" s="242">
        <f>A1045+1</f>
        <v>24</v>
      </c>
      <c r="C1047" s="216" t="s">
        <v>199</v>
      </c>
      <c r="D1047" s="267"/>
      <c r="E1047" s="421">
        <f>B!D200</f>
        <v>7</v>
      </c>
      <c r="F1047" s="421">
        <f>B!E200</f>
        <v>7</v>
      </c>
      <c r="G1047" s="421">
        <f>B!F200</f>
        <v>7</v>
      </c>
      <c r="H1047" s="421">
        <f>B!G200</f>
        <v>7</v>
      </c>
      <c r="I1047" s="421">
        <f>B!H200</f>
        <v>7</v>
      </c>
      <c r="J1047" s="421">
        <f>B!I200</f>
        <v>7</v>
      </c>
      <c r="K1047" s="421">
        <f>B!J200</f>
        <v>7</v>
      </c>
      <c r="L1047" s="421">
        <f>B!K200</f>
        <v>7</v>
      </c>
      <c r="M1047" s="421">
        <f>B!L200</f>
        <v>7</v>
      </c>
      <c r="N1047" s="421">
        <f>B!M200</f>
        <v>7</v>
      </c>
      <c r="O1047" s="421">
        <f>B!N200</f>
        <v>7</v>
      </c>
      <c r="P1047" s="421">
        <f>B!O200</f>
        <v>7</v>
      </c>
      <c r="Q1047" s="421">
        <f>SUM(E1047:P1047)</f>
        <v>84</v>
      </c>
    </row>
    <row r="1048" spans="1:17" s="216" customFormat="1" x14ac:dyDescent="0.2">
      <c r="A1048" s="242">
        <f>A1047+1</f>
        <v>25</v>
      </c>
      <c r="C1048" s="216" t="s">
        <v>207</v>
      </c>
      <c r="D1048" s="608">
        <f>Input!V44</f>
        <v>87.149999999999991</v>
      </c>
      <c r="E1048" s="386">
        <f t="shared" ref="E1048:P1048" si="401">ROUND(E1047*$D$1048,2)</f>
        <v>610.04999999999995</v>
      </c>
      <c r="F1048" s="386">
        <f t="shared" si="401"/>
        <v>610.04999999999995</v>
      </c>
      <c r="G1048" s="386">
        <f t="shared" si="401"/>
        <v>610.04999999999995</v>
      </c>
      <c r="H1048" s="386">
        <f t="shared" si="401"/>
        <v>610.04999999999995</v>
      </c>
      <c r="I1048" s="386">
        <f t="shared" si="401"/>
        <v>610.04999999999995</v>
      </c>
      <c r="J1048" s="386">
        <f t="shared" si="401"/>
        <v>610.04999999999995</v>
      </c>
      <c r="K1048" s="386">
        <f t="shared" si="401"/>
        <v>610.04999999999995</v>
      </c>
      <c r="L1048" s="386">
        <f t="shared" si="401"/>
        <v>610.04999999999995</v>
      </c>
      <c r="M1048" s="386">
        <f t="shared" si="401"/>
        <v>610.04999999999995</v>
      </c>
      <c r="N1048" s="386">
        <f t="shared" si="401"/>
        <v>610.04999999999995</v>
      </c>
      <c r="O1048" s="386">
        <f t="shared" si="401"/>
        <v>610.04999999999995</v>
      </c>
      <c r="P1048" s="386">
        <f t="shared" si="401"/>
        <v>610.04999999999995</v>
      </c>
      <c r="Q1048" s="386">
        <f>SUM(E1048:P1048)</f>
        <v>7320.6000000000013</v>
      </c>
    </row>
    <row r="1049" spans="1:17" s="216" customFormat="1" x14ac:dyDescent="0.2">
      <c r="A1049" s="242">
        <f>A1048+1</f>
        <v>26</v>
      </c>
      <c r="C1049" s="216" t="s">
        <v>214</v>
      </c>
      <c r="D1049" s="608">
        <f>Input!W44</f>
        <v>0</v>
      </c>
      <c r="E1049" s="386">
        <f t="shared" ref="E1049:P1049" si="402">ROUND(E1047*$D$1049,2)</f>
        <v>0</v>
      </c>
      <c r="F1049" s="386">
        <f t="shared" si="402"/>
        <v>0</v>
      </c>
      <c r="G1049" s="386">
        <f t="shared" si="402"/>
        <v>0</v>
      </c>
      <c r="H1049" s="386">
        <f t="shared" si="402"/>
        <v>0</v>
      </c>
      <c r="I1049" s="386">
        <f t="shared" si="402"/>
        <v>0</v>
      </c>
      <c r="J1049" s="386">
        <f t="shared" si="402"/>
        <v>0</v>
      </c>
      <c r="K1049" s="386">
        <f t="shared" si="402"/>
        <v>0</v>
      </c>
      <c r="L1049" s="386">
        <f t="shared" si="402"/>
        <v>0</v>
      </c>
      <c r="M1049" s="386">
        <f t="shared" si="402"/>
        <v>0</v>
      </c>
      <c r="N1049" s="386">
        <f t="shared" si="402"/>
        <v>0</v>
      </c>
      <c r="O1049" s="386">
        <f t="shared" si="402"/>
        <v>0</v>
      </c>
      <c r="P1049" s="386">
        <f t="shared" si="402"/>
        <v>0</v>
      </c>
      <c r="Q1049" s="386">
        <f>SUM(E1049:P1049)</f>
        <v>0</v>
      </c>
    </row>
    <row r="1050" spans="1:17" s="216" customFormat="1" x14ac:dyDescent="0.2">
      <c r="A1050" s="242">
        <f>A1049+1</f>
        <v>27</v>
      </c>
      <c r="C1050" s="216" t="s">
        <v>208</v>
      </c>
      <c r="D1050" s="608">
        <f>Input!X44</f>
        <v>0</v>
      </c>
      <c r="E1050" s="386">
        <f t="shared" ref="E1050:P1050" si="403">ROUND(E1047*$D$1050,2)</f>
        <v>0</v>
      </c>
      <c r="F1050" s="386">
        <f t="shared" si="403"/>
        <v>0</v>
      </c>
      <c r="G1050" s="386">
        <f t="shared" si="403"/>
        <v>0</v>
      </c>
      <c r="H1050" s="386">
        <f t="shared" si="403"/>
        <v>0</v>
      </c>
      <c r="I1050" s="386">
        <f t="shared" si="403"/>
        <v>0</v>
      </c>
      <c r="J1050" s="386">
        <f t="shared" si="403"/>
        <v>0</v>
      </c>
      <c r="K1050" s="386">
        <f t="shared" si="403"/>
        <v>0</v>
      </c>
      <c r="L1050" s="386">
        <f t="shared" si="403"/>
        <v>0</v>
      </c>
      <c r="M1050" s="386">
        <f t="shared" si="403"/>
        <v>0</v>
      </c>
      <c r="N1050" s="386">
        <f t="shared" si="403"/>
        <v>0</v>
      </c>
      <c r="O1050" s="386">
        <f t="shared" si="403"/>
        <v>0</v>
      </c>
      <c r="P1050" s="386">
        <f t="shared" si="403"/>
        <v>0</v>
      </c>
      <c r="Q1050" s="386">
        <f>SUM(E1050:P1050)</f>
        <v>0</v>
      </c>
    </row>
    <row r="1051" spans="1:17" s="216" customFormat="1" x14ac:dyDescent="0.2">
      <c r="A1051" s="242"/>
      <c r="D1051" s="267"/>
      <c r="E1051" s="386"/>
      <c r="F1051" s="386"/>
      <c r="G1051" s="386"/>
      <c r="H1051" s="386"/>
      <c r="I1051" s="386"/>
      <c r="J1051" s="386"/>
      <c r="K1051" s="386"/>
      <c r="L1051" s="386"/>
      <c r="M1051" s="386"/>
      <c r="N1051" s="386"/>
      <c r="O1051" s="386"/>
      <c r="P1051" s="386"/>
      <c r="Q1051" s="386"/>
    </row>
    <row r="1052" spans="1:17" s="216" customFormat="1" x14ac:dyDescent="0.2">
      <c r="A1052" s="242">
        <f>A1050+1</f>
        <v>28</v>
      </c>
      <c r="C1052" s="216" t="s">
        <v>206</v>
      </c>
      <c r="D1052" s="267"/>
    </row>
    <row r="1053" spans="1:17" s="216" customFormat="1" x14ac:dyDescent="0.2">
      <c r="A1053" s="242">
        <f>A1052+1</f>
        <v>29</v>
      </c>
      <c r="C1053" s="216" t="str">
        <f>'C'!B311</f>
        <v xml:space="preserve">    First 50 Mcf</v>
      </c>
      <c r="D1053" s="267"/>
      <c r="E1053" s="424">
        <f>'C'!D323</f>
        <v>300</v>
      </c>
      <c r="F1053" s="424">
        <f>'C'!E323</f>
        <v>300</v>
      </c>
      <c r="G1053" s="424">
        <f>'C'!F323</f>
        <v>300</v>
      </c>
      <c r="H1053" s="424">
        <f>'C'!G323</f>
        <v>300</v>
      </c>
      <c r="I1053" s="424">
        <f>'C'!H323</f>
        <v>300</v>
      </c>
      <c r="J1053" s="424">
        <f>'C'!I323</f>
        <v>217.9</v>
      </c>
      <c r="K1053" s="424">
        <f>'C'!J323</f>
        <v>204.4</v>
      </c>
      <c r="L1053" s="424">
        <f>'C'!K323</f>
        <v>234.8</v>
      </c>
      <c r="M1053" s="424">
        <f>'C'!L323</f>
        <v>250</v>
      </c>
      <c r="N1053" s="424">
        <f>'C'!M323</f>
        <v>300</v>
      </c>
      <c r="O1053" s="424">
        <f>'C'!N323</f>
        <v>300</v>
      </c>
      <c r="P1053" s="424">
        <f>'C'!O323</f>
        <v>300</v>
      </c>
      <c r="Q1053" s="424">
        <f>SUM(E1053:P1053)</f>
        <v>3307.1000000000004</v>
      </c>
    </row>
    <row r="1054" spans="1:17" s="216" customFormat="1" x14ac:dyDescent="0.2">
      <c r="A1054" s="242">
        <f>A1053+1</f>
        <v>30</v>
      </c>
      <c r="C1054" s="216" t="str">
        <f>'C'!B312</f>
        <v xml:space="preserve">    Next 350 Mcf</v>
      </c>
      <c r="D1054" s="267"/>
      <c r="E1054" s="424">
        <f>'C'!D324</f>
        <v>1979.8</v>
      </c>
      <c r="F1054" s="424">
        <f>'C'!E324</f>
        <v>1977.9</v>
      </c>
      <c r="G1054" s="424">
        <f>'C'!F324</f>
        <v>2100</v>
      </c>
      <c r="H1054" s="424">
        <f>'C'!G324</f>
        <v>1649.4</v>
      </c>
      <c r="I1054" s="424">
        <f>'C'!H324</f>
        <v>1426.5</v>
      </c>
      <c r="J1054" s="424">
        <f>'C'!I324</f>
        <v>1256.0999999999999</v>
      </c>
      <c r="K1054" s="424">
        <f>'C'!J324</f>
        <v>1188.7</v>
      </c>
      <c r="L1054" s="424">
        <f>'C'!K324</f>
        <v>1314.2</v>
      </c>
      <c r="M1054" s="424">
        <f>'C'!L324</f>
        <v>1214.2</v>
      </c>
      <c r="N1054" s="424">
        <f>'C'!M324</f>
        <v>1617.8</v>
      </c>
      <c r="O1054" s="424">
        <f>'C'!N324</f>
        <v>1596.7</v>
      </c>
      <c r="P1054" s="424">
        <f>'C'!O324</f>
        <v>1956.9</v>
      </c>
      <c r="Q1054" s="424">
        <f>SUM(E1054:P1054)</f>
        <v>19278.200000000004</v>
      </c>
    </row>
    <row r="1055" spans="1:17" s="216" customFormat="1" x14ac:dyDescent="0.2">
      <c r="A1055" s="242">
        <f>A1054+1</f>
        <v>31</v>
      </c>
      <c r="C1055" s="216" t="str">
        <f>'C'!B313</f>
        <v xml:space="preserve">    Next 600 Mcf</v>
      </c>
      <c r="D1055" s="267"/>
      <c r="E1055" s="424">
        <f>'C'!D325</f>
        <v>2113.5</v>
      </c>
      <c r="F1055" s="424">
        <f>'C'!E325</f>
        <v>2077</v>
      </c>
      <c r="G1055" s="424">
        <f>'C'!F325</f>
        <v>3600</v>
      </c>
      <c r="H1055" s="424">
        <f>'C'!G325</f>
        <v>2151.6</v>
      </c>
      <c r="I1055" s="424">
        <f>'C'!H325</f>
        <v>1352.3</v>
      </c>
      <c r="J1055" s="424">
        <f>'C'!I325</f>
        <v>763.3</v>
      </c>
      <c r="K1055" s="424">
        <f>'C'!J325</f>
        <v>670.7</v>
      </c>
      <c r="L1055" s="424">
        <f>'C'!K325</f>
        <v>1091.9000000000001</v>
      </c>
      <c r="M1055" s="424">
        <f>'C'!L325</f>
        <v>695.7</v>
      </c>
      <c r="N1055" s="424">
        <f>'C'!M325</f>
        <v>1472.6</v>
      </c>
      <c r="O1055" s="424">
        <f>'C'!N325</f>
        <v>1687.3</v>
      </c>
      <c r="P1055" s="424">
        <f>'C'!O325</f>
        <v>2957.3</v>
      </c>
      <c r="Q1055" s="424">
        <f>SUM(E1055:P1055)</f>
        <v>20633.2</v>
      </c>
    </row>
    <row r="1056" spans="1:17" s="216" customFormat="1" x14ac:dyDescent="0.2">
      <c r="A1056" s="242">
        <f>A1055+1</f>
        <v>32</v>
      </c>
      <c r="C1056" s="216" t="str">
        <f>'C'!B314</f>
        <v xml:space="preserve">    Over 1,000 Mcf</v>
      </c>
      <c r="D1056" s="267"/>
      <c r="E1056" s="448">
        <f>'C'!D326</f>
        <v>3351.8</v>
      </c>
      <c r="F1056" s="448">
        <f>'C'!E326</f>
        <v>2312.4</v>
      </c>
      <c r="G1056" s="448">
        <f>'C'!F326</f>
        <v>12285.1</v>
      </c>
      <c r="H1056" s="448">
        <f>'C'!G326</f>
        <v>200</v>
      </c>
      <c r="I1056" s="448">
        <f>'C'!H326</f>
        <v>309.8</v>
      </c>
      <c r="J1056" s="448">
        <f>'C'!I326</f>
        <v>0</v>
      </c>
      <c r="K1056" s="448">
        <f>'C'!J326</f>
        <v>0</v>
      </c>
      <c r="L1056" s="448">
        <f>'C'!K326</f>
        <v>33.700000000000003</v>
      </c>
      <c r="M1056" s="448">
        <f>'C'!L326</f>
        <v>0</v>
      </c>
      <c r="N1056" s="448">
        <f>'C'!M326</f>
        <v>416.6</v>
      </c>
      <c r="O1056" s="448">
        <f>'C'!N326</f>
        <v>1500</v>
      </c>
      <c r="P1056" s="448">
        <f>'C'!O326</f>
        <v>3433.9</v>
      </c>
      <c r="Q1056" s="448">
        <f>SUM(E1056:P1056)</f>
        <v>23843.300000000003</v>
      </c>
    </row>
    <row r="1057" spans="1:17" s="216" customFormat="1" x14ac:dyDescent="0.2">
      <c r="A1057" s="242"/>
      <c r="D1057" s="609"/>
      <c r="E1057" s="424">
        <f t="shared" ref="E1057:P1057" si="404">SUM(E1053:E1056)</f>
        <v>7745.1</v>
      </c>
      <c r="F1057" s="424">
        <f t="shared" si="404"/>
        <v>6667.2999999999993</v>
      </c>
      <c r="G1057" s="424">
        <f t="shared" si="404"/>
        <v>18285.099999999999</v>
      </c>
      <c r="H1057" s="424">
        <f t="shared" si="404"/>
        <v>4301</v>
      </c>
      <c r="I1057" s="424">
        <f t="shared" si="404"/>
        <v>3388.6000000000004</v>
      </c>
      <c r="J1057" s="424">
        <f t="shared" si="404"/>
        <v>2237.3000000000002</v>
      </c>
      <c r="K1057" s="424">
        <f t="shared" si="404"/>
        <v>2063.8000000000002</v>
      </c>
      <c r="L1057" s="424">
        <f t="shared" si="404"/>
        <v>2674.6</v>
      </c>
      <c r="M1057" s="424">
        <f t="shared" si="404"/>
        <v>2159.9</v>
      </c>
      <c r="N1057" s="424">
        <f t="shared" si="404"/>
        <v>3806.9999999999995</v>
      </c>
      <c r="O1057" s="424">
        <f t="shared" si="404"/>
        <v>5084</v>
      </c>
      <c r="P1057" s="424">
        <f t="shared" si="404"/>
        <v>8648.1</v>
      </c>
      <c r="Q1057" s="424">
        <f>SUM(E1057:P1057)</f>
        <v>67061.8</v>
      </c>
    </row>
    <row r="1058" spans="1:17" s="216" customFormat="1" x14ac:dyDescent="0.2">
      <c r="A1058" s="242">
        <f>A1056+1</f>
        <v>33</v>
      </c>
      <c r="C1058" s="216" t="s">
        <v>204</v>
      </c>
      <c r="D1058" s="267"/>
      <c r="F1058" s="269"/>
      <c r="G1058" s="418"/>
      <c r="H1058" s="269"/>
      <c r="I1058" s="272"/>
      <c r="J1058" s="269"/>
      <c r="K1058" s="269"/>
      <c r="L1058" s="269"/>
      <c r="M1058" s="269"/>
      <c r="N1058" s="269"/>
      <c r="O1058" s="269"/>
      <c r="P1058" s="269"/>
      <c r="Q1058" s="456"/>
    </row>
    <row r="1059" spans="1:17" s="216" customFormat="1" x14ac:dyDescent="0.2">
      <c r="A1059" s="242">
        <f>A1058+1</f>
        <v>34</v>
      </c>
      <c r="C1059" s="216" t="str">
        <f>C1053</f>
        <v xml:space="preserve">    First 50 Mcf</v>
      </c>
      <c r="D1059" s="609">
        <f>Input!Q44</f>
        <v>3.5621999999999998</v>
      </c>
      <c r="E1059" s="386">
        <f t="shared" ref="E1059:P1059" si="405">ROUND(E1053*$D$1059,2)</f>
        <v>1068.6600000000001</v>
      </c>
      <c r="F1059" s="386">
        <f t="shared" si="405"/>
        <v>1068.6600000000001</v>
      </c>
      <c r="G1059" s="386">
        <f t="shared" si="405"/>
        <v>1068.6600000000001</v>
      </c>
      <c r="H1059" s="386">
        <f t="shared" si="405"/>
        <v>1068.6600000000001</v>
      </c>
      <c r="I1059" s="386">
        <f t="shared" si="405"/>
        <v>1068.6600000000001</v>
      </c>
      <c r="J1059" s="386">
        <f t="shared" si="405"/>
        <v>776.2</v>
      </c>
      <c r="K1059" s="386">
        <f t="shared" si="405"/>
        <v>728.11</v>
      </c>
      <c r="L1059" s="386">
        <f t="shared" si="405"/>
        <v>836.4</v>
      </c>
      <c r="M1059" s="386">
        <f t="shared" si="405"/>
        <v>890.55</v>
      </c>
      <c r="N1059" s="386">
        <f t="shared" si="405"/>
        <v>1068.6600000000001</v>
      </c>
      <c r="O1059" s="386">
        <f t="shared" si="405"/>
        <v>1068.6600000000001</v>
      </c>
      <c r="P1059" s="386">
        <f t="shared" si="405"/>
        <v>1068.6600000000001</v>
      </c>
      <c r="Q1059" s="386">
        <f t="shared" ref="Q1059:Q1066" si="406">SUM(E1059:P1059)</f>
        <v>11780.539999999999</v>
      </c>
    </row>
    <row r="1060" spans="1:17" s="216" customFormat="1" x14ac:dyDescent="0.2">
      <c r="A1060" s="242">
        <f>A1059+1</f>
        <v>35</v>
      </c>
      <c r="C1060" s="216" t="str">
        <f>C1054</f>
        <v xml:space="preserve">    Next 350 Mcf</v>
      </c>
      <c r="D1060" s="609">
        <f>Input!R44</f>
        <v>2.7494000000000001</v>
      </c>
      <c r="E1060" s="421">
        <f t="shared" ref="E1060:P1060" si="407">ROUND(E1054*$D$1060,2)</f>
        <v>5443.26</v>
      </c>
      <c r="F1060" s="421">
        <f t="shared" si="407"/>
        <v>5438.04</v>
      </c>
      <c r="G1060" s="421">
        <f t="shared" si="407"/>
        <v>5773.74</v>
      </c>
      <c r="H1060" s="421">
        <f t="shared" si="407"/>
        <v>4534.8599999999997</v>
      </c>
      <c r="I1060" s="421">
        <f t="shared" si="407"/>
        <v>3922.02</v>
      </c>
      <c r="J1060" s="421">
        <f t="shared" si="407"/>
        <v>3453.52</v>
      </c>
      <c r="K1060" s="421">
        <f t="shared" si="407"/>
        <v>3268.21</v>
      </c>
      <c r="L1060" s="421">
        <f t="shared" si="407"/>
        <v>3613.26</v>
      </c>
      <c r="M1060" s="421">
        <f t="shared" si="407"/>
        <v>3338.32</v>
      </c>
      <c r="N1060" s="421">
        <f t="shared" si="407"/>
        <v>4447.9799999999996</v>
      </c>
      <c r="O1060" s="421">
        <f t="shared" si="407"/>
        <v>4389.97</v>
      </c>
      <c r="P1060" s="421">
        <f t="shared" si="407"/>
        <v>5380.3</v>
      </c>
      <c r="Q1060" s="421">
        <f t="shared" si="406"/>
        <v>53003.48000000001</v>
      </c>
    </row>
    <row r="1061" spans="1:17" s="216" customFormat="1" x14ac:dyDescent="0.2">
      <c r="A1061" s="242">
        <f>A1060+1</f>
        <v>36</v>
      </c>
      <c r="C1061" s="216" t="str">
        <f>C1055</f>
        <v xml:space="preserve">    Next 600 Mcf</v>
      </c>
      <c r="D1061" s="609">
        <f>Input!S44</f>
        <v>2.6135000000000002</v>
      </c>
      <c r="E1061" s="421">
        <f t="shared" ref="E1061:O1061" si="408">ROUND(E1055*$D$1061,2)</f>
        <v>5523.63</v>
      </c>
      <c r="F1061" s="421">
        <f t="shared" si="408"/>
        <v>5428.24</v>
      </c>
      <c r="G1061" s="421">
        <f t="shared" si="408"/>
        <v>9408.6</v>
      </c>
      <c r="H1061" s="421">
        <f t="shared" si="408"/>
        <v>5623.21</v>
      </c>
      <c r="I1061" s="421">
        <f t="shared" si="408"/>
        <v>3534.24</v>
      </c>
      <c r="J1061" s="421">
        <f t="shared" si="408"/>
        <v>1994.88</v>
      </c>
      <c r="K1061" s="421">
        <f t="shared" si="408"/>
        <v>1752.87</v>
      </c>
      <c r="L1061" s="421">
        <f t="shared" si="408"/>
        <v>2853.68</v>
      </c>
      <c r="M1061" s="421">
        <f t="shared" si="408"/>
        <v>1818.21</v>
      </c>
      <c r="N1061" s="421">
        <f t="shared" si="408"/>
        <v>3848.64</v>
      </c>
      <c r="O1061" s="421">
        <f t="shared" si="408"/>
        <v>4409.76</v>
      </c>
      <c r="P1061" s="421">
        <f>ROUND(P1055*$D$1061,2)</f>
        <v>7728.9</v>
      </c>
      <c r="Q1061" s="421">
        <f t="shared" si="406"/>
        <v>53924.86</v>
      </c>
    </row>
    <row r="1062" spans="1:17" s="216" customFormat="1" ht="11.5" x14ac:dyDescent="0.35">
      <c r="A1062" s="242">
        <f>A1061+1</f>
        <v>37</v>
      </c>
      <c r="C1062" s="216" t="str">
        <f>C1056</f>
        <v xml:space="preserve">    Over 1,000 Mcf</v>
      </c>
      <c r="D1062" s="609">
        <f>Input!T44</f>
        <v>2.3782000000000001</v>
      </c>
      <c r="E1062" s="450">
        <f t="shared" ref="E1062:O1062" si="409">ROUND(E1056*$D$1062,2)</f>
        <v>7971.25</v>
      </c>
      <c r="F1062" s="450">
        <f t="shared" si="409"/>
        <v>5499.35</v>
      </c>
      <c r="G1062" s="450">
        <f t="shared" si="409"/>
        <v>29216.42</v>
      </c>
      <c r="H1062" s="450">
        <f t="shared" si="409"/>
        <v>475.64</v>
      </c>
      <c r="I1062" s="450">
        <f t="shared" si="409"/>
        <v>736.77</v>
      </c>
      <c r="J1062" s="450">
        <f t="shared" si="409"/>
        <v>0</v>
      </c>
      <c r="K1062" s="450">
        <f t="shared" si="409"/>
        <v>0</v>
      </c>
      <c r="L1062" s="450">
        <f t="shared" si="409"/>
        <v>80.150000000000006</v>
      </c>
      <c r="M1062" s="450">
        <f t="shared" si="409"/>
        <v>0</v>
      </c>
      <c r="N1062" s="450">
        <f t="shared" si="409"/>
        <v>990.76</v>
      </c>
      <c r="O1062" s="450">
        <f t="shared" si="409"/>
        <v>3567.3</v>
      </c>
      <c r="P1062" s="450">
        <f>ROUND(P1056*$D$1062,2)</f>
        <v>8166.5</v>
      </c>
      <c r="Q1062" s="596">
        <f t="shared" si="406"/>
        <v>56704.14</v>
      </c>
    </row>
    <row r="1063" spans="1:17" s="216" customFormat="1" x14ac:dyDescent="0.2">
      <c r="A1063" s="242"/>
      <c r="D1063" s="267"/>
      <c r="E1063" s="386">
        <f t="shared" ref="E1063:P1063" si="410">SUM(E1059:E1062)</f>
        <v>20006.8</v>
      </c>
      <c r="F1063" s="386">
        <f t="shared" si="410"/>
        <v>17434.29</v>
      </c>
      <c r="G1063" s="386">
        <f t="shared" si="410"/>
        <v>45467.42</v>
      </c>
      <c r="H1063" s="386">
        <f t="shared" si="410"/>
        <v>11702.369999999999</v>
      </c>
      <c r="I1063" s="386">
        <f t="shared" si="410"/>
        <v>9261.69</v>
      </c>
      <c r="J1063" s="386">
        <f t="shared" si="410"/>
        <v>6224.6</v>
      </c>
      <c r="K1063" s="386">
        <f t="shared" si="410"/>
        <v>5749.1900000000005</v>
      </c>
      <c r="L1063" s="386">
        <f t="shared" si="410"/>
        <v>7383.49</v>
      </c>
      <c r="M1063" s="386">
        <f t="shared" si="410"/>
        <v>6047.08</v>
      </c>
      <c r="N1063" s="386">
        <f t="shared" si="410"/>
        <v>10356.039999999999</v>
      </c>
      <c r="O1063" s="386">
        <f t="shared" si="410"/>
        <v>13435.689999999999</v>
      </c>
      <c r="P1063" s="386">
        <f t="shared" si="410"/>
        <v>22344.36</v>
      </c>
      <c r="Q1063" s="386">
        <f t="shared" si="406"/>
        <v>175413.02000000002</v>
      </c>
    </row>
    <row r="1064" spans="1:17" s="216" customFormat="1" x14ac:dyDescent="0.2">
      <c r="A1064" s="242">
        <f>A1062+1</f>
        <v>38</v>
      </c>
      <c r="C1064" s="667" t="s">
        <v>140</v>
      </c>
      <c r="D1064" s="609">
        <f>Input!$AA$44</f>
        <v>1.44E-2</v>
      </c>
      <c r="E1064" s="386">
        <f>ROUND($D$1064*E1057,2)</f>
        <v>111.53</v>
      </c>
      <c r="F1064" s="386">
        <f t="shared" ref="F1064:P1064" si="411">ROUND($D$1064*F1057,2)</f>
        <v>96.01</v>
      </c>
      <c r="G1064" s="386">
        <f t="shared" si="411"/>
        <v>263.31</v>
      </c>
      <c r="H1064" s="386">
        <f t="shared" si="411"/>
        <v>61.93</v>
      </c>
      <c r="I1064" s="386">
        <f t="shared" si="411"/>
        <v>48.8</v>
      </c>
      <c r="J1064" s="386">
        <f t="shared" si="411"/>
        <v>32.22</v>
      </c>
      <c r="K1064" s="386">
        <f t="shared" si="411"/>
        <v>29.72</v>
      </c>
      <c r="L1064" s="386">
        <f t="shared" si="411"/>
        <v>38.51</v>
      </c>
      <c r="M1064" s="386">
        <f t="shared" si="411"/>
        <v>31.1</v>
      </c>
      <c r="N1064" s="386">
        <f t="shared" si="411"/>
        <v>54.82</v>
      </c>
      <c r="O1064" s="386">
        <f t="shared" si="411"/>
        <v>73.209999999999994</v>
      </c>
      <c r="P1064" s="386">
        <f t="shared" si="411"/>
        <v>124.53</v>
      </c>
      <c r="Q1064" s="386">
        <f>SUM(E1064:P1064)</f>
        <v>965.69</v>
      </c>
    </row>
    <row r="1065" spans="1:17" s="216" customFormat="1" x14ac:dyDescent="0.2">
      <c r="A1065" s="242">
        <f>A1064+1</f>
        <v>39</v>
      </c>
      <c r="C1065" s="667" t="s">
        <v>529</v>
      </c>
      <c r="D1065" s="609">
        <v>0</v>
      </c>
      <c r="E1065" s="431">
        <f>ROUND(E1057*$D$1065,2)</f>
        <v>0</v>
      </c>
      <c r="F1065" s="431">
        <f t="shared" ref="F1065:P1065" si="412">ROUND(F1057*$D$1065,2)</f>
        <v>0</v>
      </c>
      <c r="G1065" s="431">
        <f t="shared" si="412"/>
        <v>0</v>
      </c>
      <c r="H1065" s="431">
        <f t="shared" si="412"/>
        <v>0</v>
      </c>
      <c r="I1065" s="431">
        <f t="shared" si="412"/>
        <v>0</v>
      </c>
      <c r="J1065" s="431">
        <f t="shared" si="412"/>
        <v>0</v>
      </c>
      <c r="K1065" s="431">
        <f t="shared" si="412"/>
        <v>0</v>
      </c>
      <c r="L1065" s="431">
        <f t="shared" si="412"/>
        <v>0</v>
      </c>
      <c r="M1065" s="431">
        <f t="shared" si="412"/>
        <v>0</v>
      </c>
      <c r="N1065" s="431">
        <f t="shared" si="412"/>
        <v>0</v>
      </c>
      <c r="O1065" s="431">
        <f t="shared" si="412"/>
        <v>0</v>
      </c>
      <c r="P1065" s="431">
        <f t="shared" si="412"/>
        <v>0</v>
      </c>
      <c r="Q1065" s="431">
        <f t="shared" si="406"/>
        <v>0</v>
      </c>
    </row>
    <row r="1066" spans="1:17" s="216" customFormat="1" x14ac:dyDescent="0.2">
      <c r="A1066" s="242">
        <f>A1065+1</f>
        <v>40</v>
      </c>
      <c r="C1066" s="216" t="s">
        <v>201</v>
      </c>
      <c r="D1066" s="267"/>
      <c r="E1066" s="386">
        <f>E1048+E1049+E1050+E1063+E1065+E1064</f>
        <v>20728.379999999997</v>
      </c>
      <c r="F1066" s="386">
        <f t="shared" ref="F1066:P1066" si="413">F1048+F1049+F1050+F1063+F1065+F1064</f>
        <v>18140.349999999999</v>
      </c>
      <c r="G1066" s="386">
        <f t="shared" si="413"/>
        <v>46340.78</v>
      </c>
      <c r="H1066" s="386">
        <f t="shared" si="413"/>
        <v>12374.349999999999</v>
      </c>
      <c r="I1066" s="386">
        <f t="shared" si="413"/>
        <v>9920.5399999999991</v>
      </c>
      <c r="J1066" s="386">
        <f t="shared" si="413"/>
        <v>6866.8700000000008</v>
      </c>
      <c r="K1066" s="386">
        <f t="shared" si="413"/>
        <v>6388.9600000000009</v>
      </c>
      <c r="L1066" s="386">
        <f t="shared" si="413"/>
        <v>8032.05</v>
      </c>
      <c r="M1066" s="386">
        <f t="shared" si="413"/>
        <v>6688.2300000000005</v>
      </c>
      <c r="N1066" s="386">
        <f t="shared" si="413"/>
        <v>11020.909999999998</v>
      </c>
      <c r="O1066" s="386">
        <f t="shared" si="413"/>
        <v>14118.949999999997</v>
      </c>
      <c r="P1066" s="386">
        <f t="shared" si="413"/>
        <v>23078.94</v>
      </c>
      <c r="Q1066" s="386">
        <f t="shared" si="406"/>
        <v>183699.31</v>
      </c>
    </row>
    <row r="1067" spans="1:17" s="216" customFormat="1" x14ac:dyDescent="0.2">
      <c r="A1067" s="242"/>
      <c r="D1067" s="267"/>
      <c r="E1067" s="591"/>
      <c r="F1067" s="455"/>
      <c r="G1067" s="456"/>
      <c r="H1067" s="455"/>
      <c r="I1067" s="448"/>
      <c r="J1067" s="455"/>
      <c r="K1067" s="455"/>
      <c r="L1067" s="455"/>
      <c r="M1067" s="455"/>
      <c r="N1067" s="455"/>
      <c r="O1067" s="455"/>
      <c r="P1067" s="455"/>
      <c r="Q1067" s="430"/>
    </row>
    <row r="1068" spans="1:17" s="216" customFormat="1" x14ac:dyDescent="0.2">
      <c r="A1068" s="242">
        <f>A1066+1</f>
        <v>41</v>
      </c>
      <c r="C1068" s="216" t="s">
        <v>148</v>
      </c>
      <c r="D1068" s="609">
        <v>0</v>
      </c>
      <c r="E1068" s="386">
        <v>0</v>
      </c>
      <c r="F1068" s="386">
        <v>0</v>
      </c>
      <c r="G1068" s="386">
        <v>0</v>
      </c>
      <c r="H1068" s="386">
        <v>0</v>
      </c>
      <c r="I1068" s="386">
        <v>0</v>
      </c>
      <c r="J1068" s="386">
        <v>0</v>
      </c>
      <c r="K1068" s="386">
        <v>0</v>
      </c>
      <c r="L1068" s="386">
        <v>0</v>
      </c>
      <c r="M1068" s="386">
        <v>0</v>
      </c>
      <c r="N1068" s="386">
        <v>0</v>
      </c>
      <c r="O1068" s="386">
        <v>0</v>
      </c>
      <c r="P1068" s="386">
        <v>0</v>
      </c>
      <c r="Q1068" s="386">
        <f>SUM(E1068:P1068)</f>
        <v>0</v>
      </c>
    </row>
    <row r="1069" spans="1:17" s="216" customFormat="1" x14ac:dyDescent="0.2">
      <c r="A1069" s="242"/>
      <c r="D1069" s="267"/>
      <c r="F1069" s="269"/>
      <c r="G1069" s="418"/>
      <c r="H1069" s="269"/>
      <c r="I1069" s="272"/>
      <c r="J1069" s="269"/>
      <c r="K1069" s="269"/>
      <c r="L1069" s="269"/>
      <c r="M1069" s="269"/>
      <c r="N1069" s="269"/>
      <c r="O1069" s="269"/>
      <c r="P1069" s="269"/>
      <c r="Q1069" s="418"/>
    </row>
    <row r="1070" spans="1:17" s="216" customFormat="1" ht="10.5" thickBot="1" x14ac:dyDescent="0.25">
      <c r="A1070" s="580">
        <f>A1068+1</f>
        <v>42</v>
      </c>
      <c r="B1070" s="434"/>
      <c r="C1070" s="581" t="s">
        <v>202</v>
      </c>
      <c r="D1070" s="582"/>
      <c r="E1070" s="435">
        <f t="shared" ref="E1070:P1070" si="414">E1066+E1068</f>
        <v>20728.379999999997</v>
      </c>
      <c r="F1070" s="435">
        <f t="shared" si="414"/>
        <v>18140.349999999999</v>
      </c>
      <c r="G1070" s="435">
        <f t="shared" si="414"/>
        <v>46340.78</v>
      </c>
      <c r="H1070" s="435">
        <f t="shared" si="414"/>
        <v>12374.349999999999</v>
      </c>
      <c r="I1070" s="435">
        <f t="shared" si="414"/>
        <v>9920.5399999999991</v>
      </c>
      <c r="J1070" s="435">
        <f t="shared" si="414"/>
        <v>6866.8700000000008</v>
      </c>
      <c r="K1070" s="435">
        <f t="shared" si="414"/>
        <v>6388.9600000000009</v>
      </c>
      <c r="L1070" s="435">
        <f t="shared" si="414"/>
        <v>8032.05</v>
      </c>
      <c r="M1070" s="435">
        <f t="shared" si="414"/>
        <v>6688.2300000000005</v>
      </c>
      <c r="N1070" s="435">
        <f t="shared" si="414"/>
        <v>11020.909999999998</v>
      </c>
      <c r="O1070" s="435">
        <f t="shared" si="414"/>
        <v>14118.949999999997</v>
      </c>
      <c r="P1070" s="435">
        <f t="shared" si="414"/>
        <v>23078.94</v>
      </c>
      <c r="Q1070" s="435">
        <f>SUM(E1070:P1070)</f>
        <v>183699.31</v>
      </c>
    </row>
    <row r="1071" spans="1:17" s="216" customFormat="1" ht="10.5" thickTop="1" x14ac:dyDescent="0.2">
      <c r="A1071" s="242"/>
      <c r="D1071" s="267"/>
      <c r="F1071" s="269"/>
      <c r="G1071" s="418"/>
      <c r="H1071" s="269"/>
      <c r="I1071" s="272"/>
      <c r="J1071" s="269"/>
      <c r="K1071" s="269"/>
      <c r="L1071" s="269"/>
      <c r="M1071" s="269"/>
      <c r="N1071" s="269"/>
      <c r="O1071" s="269"/>
      <c r="P1071" s="269"/>
    </row>
    <row r="1072" spans="1:17" s="216" customFormat="1" x14ac:dyDescent="0.2">
      <c r="A1072" s="242"/>
      <c r="D1072" s="267"/>
      <c r="F1072" s="269"/>
      <c r="G1072" s="418"/>
      <c r="H1072" s="269"/>
      <c r="I1072" s="272"/>
      <c r="J1072" s="269"/>
      <c r="K1072" s="269"/>
      <c r="L1072" s="269"/>
      <c r="M1072" s="269"/>
      <c r="N1072" s="269"/>
      <c r="O1072" s="269"/>
      <c r="P1072" s="269"/>
    </row>
    <row r="1073" spans="1:17" s="216" customFormat="1" x14ac:dyDescent="0.2">
      <c r="A1073" s="504" t="str">
        <f>$A$265</f>
        <v>[1] Reflects Normalized Volumes.</v>
      </c>
      <c r="D1073" s="267"/>
      <c r="F1073" s="269"/>
      <c r="G1073" s="418"/>
      <c r="H1073" s="269"/>
      <c r="I1073" s="272"/>
      <c r="J1073" s="269"/>
      <c r="K1073" s="269"/>
      <c r="L1073" s="269"/>
      <c r="M1073" s="269"/>
      <c r="N1073" s="269"/>
      <c r="O1073" s="269"/>
      <c r="P1073" s="269"/>
    </row>
    <row r="1074" spans="1:17" s="216" customFormat="1" ht="10.5" x14ac:dyDescent="0.25">
      <c r="A1074" s="817" t="str">
        <f>CONAME</f>
        <v>Columbia Gas of Kentucky, Inc.</v>
      </c>
      <c r="B1074" s="817"/>
      <c r="C1074" s="817"/>
      <c r="D1074" s="817"/>
      <c r="E1074" s="817"/>
      <c r="F1074" s="817"/>
      <c r="G1074" s="817"/>
      <c r="H1074" s="817"/>
      <c r="I1074" s="817"/>
      <c r="J1074" s="817"/>
      <c r="K1074" s="817"/>
      <c r="L1074" s="817"/>
      <c r="M1074" s="817"/>
      <c r="N1074" s="817"/>
      <c r="O1074" s="817"/>
      <c r="P1074" s="817"/>
      <c r="Q1074" s="817"/>
    </row>
    <row r="1075" spans="1:17" s="216" customFormat="1" ht="10.5" x14ac:dyDescent="0.25">
      <c r="A1075" s="800" t="str">
        <f>case</f>
        <v>Case No. 2021-00183</v>
      </c>
      <c r="B1075" s="800"/>
      <c r="C1075" s="800"/>
      <c r="D1075" s="800"/>
      <c r="E1075" s="800"/>
      <c r="F1075" s="800"/>
      <c r="G1075" s="800"/>
      <c r="H1075" s="800"/>
      <c r="I1075" s="800"/>
      <c r="J1075" s="800"/>
      <c r="K1075" s="800"/>
      <c r="L1075" s="800"/>
      <c r="M1075" s="800"/>
      <c r="N1075" s="800"/>
      <c r="O1075" s="800"/>
      <c r="P1075" s="800"/>
      <c r="Q1075" s="800"/>
    </row>
    <row r="1076" spans="1:17" s="216" customFormat="1" ht="10.5" x14ac:dyDescent="0.25">
      <c r="A1076" s="815" t="s">
        <v>197</v>
      </c>
      <c r="B1076" s="815"/>
      <c r="C1076" s="815"/>
      <c r="D1076" s="815"/>
      <c r="E1076" s="815"/>
      <c r="F1076" s="815"/>
      <c r="G1076" s="815"/>
      <c r="H1076" s="815"/>
      <c r="I1076" s="815"/>
      <c r="J1076" s="815"/>
      <c r="K1076" s="815"/>
      <c r="L1076" s="815"/>
      <c r="M1076" s="815"/>
      <c r="N1076" s="815"/>
      <c r="O1076" s="815"/>
      <c r="P1076" s="815"/>
      <c r="Q1076" s="815"/>
    </row>
    <row r="1077" spans="1:17" s="216" customFormat="1" ht="10.5" x14ac:dyDescent="0.25">
      <c r="A1077" s="817" t="str">
        <f>TYDESC</f>
        <v>For the 12 Months Ended December 31, 2022</v>
      </c>
      <c r="B1077" s="817"/>
      <c r="C1077" s="817"/>
      <c r="D1077" s="817"/>
      <c r="E1077" s="817"/>
      <c r="F1077" s="817"/>
      <c r="G1077" s="817"/>
      <c r="H1077" s="817"/>
      <c r="I1077" s="817"/>
      <c r="J1077" s="817"/>
      <c r="K1077" s="817"/>
      <c r="L1077" s="817"/>
      <c r="M1077" s="817"/>
      <c r="N1077" s="817"/>
      <c r="O1077" s="817"/>
      <c r="P1077" s="817"/>
      <c r="Q1077" s="817"/>
    </row>
    <row r="1078" spans="1:17" s="216" customFormat="1" ht="10.5" x14ac:dyDescent="0.25">
      <c r="A1078" s="814" t="s">
        <v>39</v>
      </c>
      <c r="B1078" s="814"/>
      <c r="C1078" s="814"/>
      <c r="D1078" s="814"/>
      <c r="E1078" s="814"/>
      <c r="F1078" s="814"/>
      <c r="G1078" s="814"/>
      <c r="H1078" s="814"/>
      <c r="I1078" s="814"/>
      <c r="J1078" s="814"/>
      <c r="K1078" s="814"/>
      <c r="L1078" s="814"/>
      <c r="M1078" s="814"/>
      <c r="N1078" s="814"/>
      <c r="O1078" s="814"/>
      <c r="P1078" s="814"/>
      <c r="Q1078" s="814"/>
    </row>
    <row r="1079" spans="1:17" s="216" customFormat="1" ht="10.5" x14ac:dyDescent="0.25">
      <c r="A1079" s="575" t="str">
        <f>$A$52</f>
        <v>Data: __ Base Period _X_ Forecasted Period</v>
      </c>
      <c r="D1079" s="267"/>
      <c r="F1079" s="269"/>
      <c r="G1079" s="418"/>
      <c r="H1079" s="269"/>
      <c r="I1079" s="272"/>
      <c r="J1079" s="269"/>
      <c r="K1079" s="269"/>
      <c r="L1079" s="269"/>
      <c r="M1079" s="269"/>
      <c r="N1079" s="269"/>
      <c r="O1079" s="269"/>
      <c r="P1079" s="269"/>
    </row>
    <row r="1080" spans="1:17" s="216" customFormat="1" ht="10.5" x14ac:dyDescent="0.25">
      <c r="A1080" s="575" t="str">
        <f>$A$53</f>
        <v>Type of Filing: X Original _ Update _ Revised</v>
      </c>
      <c r="D1080" s="267"/>
      <c r="F1080" s="269"/>
      <c r="G1080" s="418"/>
      <c r="H1080" s="269"/>
      <c r="I1080" s="272"/>
      <c r="J1080" s="269"/>
      <c r="K1080" s="269"/>
      <c r="L1080" s="269"/>
      <c r="M1080" s="269"/>
      <c r="N1080" s="269"/>
      <c r="O1080" s="269"/>
      <c r="P1080" s="269"/>
      <c r="Q1080" s="583" t="str">
        <f>$Q$53</f>
        <v>Schedule M-2.3</v>
      </c>
    </row>
    <row r="1081" spans="1:17" s="216" customFormat="1" ht="10.5" x14ac:dyDescent="0.25">
      <c r="A1081" s="575" t="str">
        <f>$A$54</f>
        <v>Work Paper Reference No(s):</v>
      </c>
      <c r="D1081" s="267"/>
      <c r="F1081" s="269"/>
      <c r="G1081" s="418"/>
      <c r="H1081" s="269"/>
      <c r="I1081" s="272"/>
      <c r="J1081" s="269"/>
      <c r="K1081" s="269"/>
      <c r="L1081" s="269"/>
      <c r="M1081" s="269"/>
      <c r="N1081" s="269"/>
      <c r="O1081" s="269"/>
      <c r="P1081" s="269"/>
      <c r="Q1081" s="583" t="s">
        <v>429</v>
      </c>
    </row>
    <row r="1082" spans="1:17" s="216" customFormat="1" ht="10.5" x14ac:dyDescent="0.25">
      <c r="A1082" s="576" t="str">
        <f>$A$55</f>
        <v>12 Months Forecasted</v>
      </c>
      <c r="D1082" s="267"/>
      <c r="F1082" s="269"/>
      <c r="G1082" s="418"/>
      <c r="H1082" s="269"/>
      <c r="I1082" s="272"/>
      <c r="J1082" s="269"/>
      <c r="K1082" s="269"/>
      <c r="L1082" s="269"/>
      <c r="M1082" s="269"/>
      <c r="N1082" s="269"/>
      <c r="O1082" s="269"/>
      <c r="P1082" s="269"/>
      <c r="Q1082" s="583" t="str">
        <f>Witness</f>
        <v>Witness:  Judith L. Siegler</v>
      </c>
    </row>
    <row r="1083" spans="1:17" s="216" customFormat="1" ht="10.5" x14ac:dyDescent="0.25">
      <c r="A1083" s="816" t="s">
        <v>291</v>
      </c>
      <c r="B1083" s="816"/>
      <c r="C1083" s="816"/>
      <c r="D1083" s="816"/>
      <c r="E1083" s="816"/>
      <c r="F1083" s="816"/>
      <c r="G1083" s="816"/>
      <c r="H1083" s="816"/>
      <c r="I1083" s="816"/>
      <c r="J1083" s="816"/>
      <c r="K1083" s="816"/>
      <c r="L1083" s="816"/>
      <c r="M1083" s="816"/>
      <c r="N1083" s="816"/>
      <c r="O1083" s="816"/>
      <c r="P1083" s="816"/>
      <c r="Q1083" s="816"/>
    </row>
    <row r="1084" spans="1:17" s="216" customFormat="1" ht="10.5" x14ac:dyDescent="0.25">
      <c r="A1084" s="219"/>
      <c r="B1084" s="280"/>
      <c r="C1084" s="280"/>
      <c r="D1084" s="282"/>
      <c r="E1084" s="280"/>
      <c r="F1084" s="438"/>
      <c r="G1084" s="439"/>
      <c r="H1084" s="438"/>
      <c r="I1084" s="440"/>
      <c r="J1084" s="438"/>
      <c r="K1084" s="438"/>
      <c r="L1084" s="438"/>
      <c r="M1084" s="438"/>
      <c r="N1084" s="438"/>
      <c r="O1084" s="438"/>
      <c r="P1084" s="438"/>
      <c r="Q1084" s="280"/>
    </row>
    <row r="1085" spans="1:17" s="216" customFormat="1" ht="10.5" x14ac:dyDescent="0.25">
      <c r="A1085" s="717" t="s">
        <v>1</v>
      </c>
      <c r="B1085" s="717" t="s">
        <v>0</v>
      </c>
      <c r="C1085" s="717" t="s">
        <v>41</v>
      </c>
      <c r="D1085" s="721" t="s">
        <v>30</v>
      </c>
      <c r="E1085" s="717"/>
      <c r="F1085" s="584"/>
      <c r="G1085" s="587"/>
      <c r="H1085" s="584"/>
      <c r="I1085" s="722"/>
      <c r="J1085" s="584"/>
      <c r="K1085" s="584"/>
      <c r="L1085" s="584"/>
      <c r="M1085" s="584"/>
      <c r="N1085" s="584"/>
      <c r="O1085" s="584"/>
      <c r="P1085" s="584"/>
      <c r="Q1085" s="723"/>
    </row>
    <row r="1086" spans="1:17" s="216" customFormat="1" ht="10.5" x14ac:dyDescent="0.25">
      <c r="A1086" s="263" t="s">
        <v>3</v>
      </c>
      <c r="B1086" s="263" t="s">
        <v>40</v>
      </c>
      <c r="C1086" s="263" t="s">
        <v>4</v>
      </c>
      <c r="D1086" s="379" t="s">
        <v>48</v>
      </c>
      <c r="E1086" s="380" t="str">
        <f>B!$D$11</f>
        <v>Jan-22</v>
      </c>
      <c r="F1086" s="380" t="str">
        <f>B!$E$11</f>
        <v>Feb-22</v>
      </c>
      <c r="G1086" s="380" t="str">
        <f>B!$F$11</f>
        <v>Mar-22</v>
      </c>
      <c r="H1086" s="380" t="str">
        <f>B!$G$11</f>
        <v>Apr-22</v>
      </c>
      <c r="I1086" s="380" t="str">
        <f>B!$H$11</f>
        <v>May-22</v>
      </c>
      <c r="J1086" s="380" t="str">
        <f>B!$I$11</f>
        <v>Jun-22</v>
      </c>
      <c r="K1086" s="380" t="str">
        <f>B!$J$11</f>
        <v>Jul-22</v>
      </c>
      <c r="L1086" s="380" t="str">
        <f>B!$K$11</f>
        <v>Aug-22</v>
      </c>
      <c r="M1086" s="380" t="str">
        <f>B!$L$11</f>
        <v>Sep-22</v>
      </c>
      <c r="N1086" s="380" t="str">
        <f>B!$M$11</f>
        <v>Oct-22</v>
      </c>
      <c r="O1086" s="380" t="str">
        <f>B!$N$11</f>
        <v>Nov-22</v>
      </c>
      <c r="P1086" s="380" t="str">
        <f>B!$O$11</f>
        <v>Dec-22</v>
      </c>
      <c r="Q1086" s="380" t="s">
        <v>9</v>
      </c>
    </row>
    <row r="1087" spans="1:17" s="216" customFormat="1" ht="20.149999999999999" customHeight="1" x14ac:dyDescent="0.25">
      <c r="A1087" s="717"/>
      <c r="B1087" s="719" t="s">
        <v>42</v>
      </c>
      <c r="C1087" s="719" t="s">
        <v>43</v>
      </c>
      <c r="D1087" s="382" t="s">
        <v>45</v>
      </c>
      <c r="E1087" s="383" t="s">
        <v>46</v>
      </c>
      <c r="F1087" s="383" t="s">
        <v>49</v>
      </c>
      <c r="G1087" s="383" t="s">
        <v>50</v>
      </c>
      <c r="H1087" s="383" t="s">
        <v>51</v>
      </c>
      <c r="I1087" s="383" t="s">
        <v>52</v>
      </c>
      <c r="J1087" s="384" t="s">
        <v>53</v>
      </c>
      <c r="K1087" s="384" t="s">
        <v>54</v>
      </c>
      <c r="L1087" s="384" t="s">
        <v>55</v>
      </c>
      <c r="M1087" s="384" t="s">
        <v>56</v>
      </c>
      <c r="N1087" s="384" t="s">
        <v>57</v>
      </c>
      <c r="O1087" s="384" t="s">
        <v>58</v>
      </c>
      <c r="P1087" s="384" t="s">
        <v>59</v>
      </c>
      <c r="Q1087" s="384" t="s">
        <v>200</v>
      </c>
    </row>
    <row r="1088" spans="1:17" s="216" customFormat="1" ht="10.5" x14ac:dyDescent="0.25">
      <c r="A1088" s="242"/>
      <c r="D1088" s="267"/>
      <c r="E1088" s="723"/>
      <c r="F1088" s="588"/>
      <c r="G1088" s="585"/>
      <c r="H1088" s="588"/>
      <c r="I1088" s="586"/>
      <c r="J1088" s="588"/>
      <c r="K1088" s="588"/>
      <c r="L1088" s="588"/>
      <c r="M1088" s="588"/>
      <c r="N1088" s="588"/>
      <c r="O1088" s="588"/>
      <c r="P1088" s="588"/>
      <c r="Q1088" s="723"/>
    </row>
    <row r="1089" spans="1:17" s="216" customFormat="1" x14ac:dyDescent="0.2">
      <c r="A1089" s="242">
        <v>1</v>
      </c>
      <c r="B1089" s="216" t="str">
        <f>B292</f>
        <v>DS3</v>
      </c>
      <c r="C1089" s="216" t="str">
        <f>C292</f>
        <v>GTS Main Line Service - Industrial</v>
      </c>
      <c r="D1089" s="267"/>
      <c r="F1089" s="269"/>
      <c r="G1089" s="418"/>
      <c r="H1089" s="269"/>
      <c r="I1089" s="272"/>
      <c r="J1089" s="269"/>
      <c r="K1089" s="269"/>
      <c r="L1089" s="269"/>
      <c r="M1089" s="269"/>
      <c r="N1089" s="269"/>
      <c r="O1089" s="269"/>
      <c r="P1089" s="269"/>
    </row>
    <row r="1090" spans="1:17" s="216" customFormat="1" x14ac:dyDescent="0.2">
      <c r="A1090" s="242"/>
      <c r="D1090" s="267"/>
      <c r="F1090" s="269"/>
      <c r="G1090" s="418"/>
      <c r="H1090" s="269"/>
      <c r="I1090" s="272"/>
      <c r="J1090" s="269"/>
      <c r="K1090" s="269"/>
      <c r="L1090" s="269"/>
      <c r="M1090" s="269"/>
      <c r="N1090" s="269"/>
      <c r="O1090" s="269"/>
      <c r="P1090" s="269"/>
    </row>
    <row r="1091" spans="1:17" s="216" customFormat="1" ht="10.5" x14ac:dyDescent="0.25">
      <c r="A1091" s="242">
        <f>A1089+1</f>
        <v>2</v>
      </c>
      <c r="C1091" s="245" t="s">
        <v>112</v>
      </c>
      <c r="D1091" s="267"/>
      <c r="F1091" s="269"/>
      <c r="G1091" s="418"/>
      <c r="H1091" s="269"/>
      <c r="I1091" s="272"/>
      <c r="J1091" s="269"/>
      <c r="K1091" s="269"/>
      <c r="L1091" s="269"/>
      <c r="M1091" s="269"/>
      <c r="N1091" s="269"/>
      <c r="O1091" s="269"/>
      <c r="P1091" s="269"/>
    </row>
    <row r="1092" spans="1:17" s="216" customFormat="1" ht="10.5" x14ac:dyDescent="0.25">
      <c r="A1092" s="242"/>
      <c r="C1092" s="245"/>
      <c r="D1092" s="267"/>
      <c r="F1092" s="269"/>
      <c r="G1092" s="418"/>
      <c r="H1092" s="269"/>
      <c r="I1092" s="272"/>
      <c r="J1092" s="269"/>
      <c r="K1092" s="269"/>
      <c r="L1092" s="269"/>
      <c r="M1092" s="269"/>
      <c r="N1092" s="269"/>
      <c r="O1092" s="269"/>
      <c r="P1092" s="269"/>
    </row>
    <row r="1093" spans="1:17" s="216" customFormat="1" x14ac:dyDescent="0.2">
      <c r="A1093" s="242">
        <f>A1091+1</f>
        <v>3</v>
      </c>
      <c r="C1093" s="216" t="s">
        <v>199</v>
      </c>
      <c r="D1093" s="267"/>
      <c r="E1093" s="421">
        <f>B!D222</f>
        <v>3</v>
      </c>
      <c r="F1093" s="421">
        <f>B!E222</f>
        <v>3</v>
      </c>
      <c r="G1093" s="421">
        <f>B!F222</f>
        <v>3</v>
      </c>
      <c r="H1093" s="421">
        <f>B!G222</f>
        <v>3</v>
      </c>
      <c r="I1093" s="421">
        <f>B!H222</f>
        <v>3</v>
      </c>
      <c r="J1093" s="421">
        <f>B!I222</f>
        <v>3</v>
      </c>
      <c r="K1093" s="421">
        <f>B!J222</f>
        <v>3</v>
      </c>
      <c r="L1093" s="421">
        <f>B!K222</f>
        <v>3</v>
      </c>
      <c r="M1093" s="421">
        <f>B!L222</f>
        <v>3</v>
      </c>
      <c r="N1093" s="421">
        <f>B!M222</f>
        <v>3</v>
      </c>
      <c r="O1093" s="421">
        <f>B!N222</f>
        <v>3</v>
      </c>
      <c r="P1093" s="421">
        <f>B!O222</f>
        <v>3</v>
      </c>
      <c r="Q1093" s="421">
        <f>SUM(E1093:P1093)</f>
        <v>36</v>
      </c>
    </row>
    <row r="1094" spans="1:17" s="216" customFormat="1" x14ac:dyDescent="0.2">
      <c r="A1094" s="242">
        <f>A1093+1</f>
        <v>4</v>
      </c>
      <c r="C1094" s="216" t="s">
        <v>207</v>
      </c>
      <c r="D1094" s="608">
        <f>Input!V45</f>
        <v>282.2</v>
      </c>
      <c r="E1094" s="386">
        <f t="shared" ref="E1094:P1094" si="415">ROUND(E1093*$D$1094,2)</f>
        <v>846.6</v>
      </c>
      <c r="F1094" s="386">
        <f t="shared" si="415"/>
        <v>846.6</v>
      </c>
      <c r="G1094" s="386">
        <f t="shared" si="415"/>
        <v>846.6</v>
      </c>
      <c r="H1094" s="386">
        <f t="shared" si="415"/>
        <v>846.6</v>
      </c>
      <c r="I1094" s="386">
        <f t="shared" si="415"/>
        <v>846.6</v>
      </c>
      <c r="J1094" s="386">
        <f t="shared" si="415"/>
        <v>846.6</v>
      </c>
      <c r="K1094" s="386">
        <f t="shared" si="415"/>
        <v>846.6</v>
      </c>
      <c r="L1094" s="386">
        <f t="shared" si="415"/>
        <v>846.6</v>
      </c>
      <c r="M1094" s="386">
        <f t="shared" si="415"/>
        <v>846.6</v>
      </c>
      <c r="N1094" s="386">
        <f t="shared" si="415"/>
        <v>846.6</v>
      </c>
      <c r="O1094" s="386">
        <f t="shared" si="415"/>
        <v>846.6</v>
      </c>
      <c r="P1094" s="386">
        <f t="shared" si="415"/>
        <v>846.6</v>
      </c>
      <c r="Q1094" s="386">
        <f>SUM(E1094:P1094)</f>
        <v>10159.200000000003</v>
      </c>
    </row>
    <row r="1095" spans="1:17" s="216" customFormat="1" x14ac:dyDescent="0.2">
      <c r="A1095" s="242">
        <f>A1094+1</f>
        <v>5</v>
      </c>
      <c r="C1095" s="216" t="s">
        <v>214</v>
      </c>
      <c r="D1095" s="608">
        <f>Input!W45</f>
        <v>0</v>
      </c>
      <c r="E1095" s="386">
        <f t="shared" ref="E1095:P1095" si="416">ROUND(E1093*$D$1095,2)</f>
        <v>0</v>
      </c>
      <c r="F1095" s="386">
        <f t="shared" si="416"/>
        <v>0</v>
      </c>
      <c r="G1095" s="386">
        <f t="shared" si="416"/>
        <v>0</v>
      </c>
      <c r="H1095" s="386">
        <f t="shared" si="416"/>
        <v>0</v>
      </c>
      <c r="I1095" s="386">
        <f t="shared" si="416"/>
        <v>0</v>
      </c>
      <c r="J1095" s="386">
        <f t="shared" si="416"/>
        <v>0</v>
      </c>
      <c r="K1095" s="386">
        <f t="shared" si="416"/>
        <v>0</v>
      </c>
      <c r="L1095" s="386">
        <f t="shared" si="416"/>
        <v>0</v>
      </c>
      <c r="M1095" s="386">
        <f t="shared" si="416"/>
        <v>0</v>
      </c>
      <c r="N1095" s="386">
        <f t="shared" si="416"/>
        <v>0</v>
      </c>
      <c r="O1095" s="386">
        <f t="shared" si="416"/>
        <v>0</v>
      </c>
      <c r="P1095" s="386">
        <f t="shared" si="416"/>
        <v>0</v>
      </c>
      <c r="Q1095" s="386">
        <f>SUM(E1095:P1095)</f>
        <v>0</v>
      </c>
    </row>
    <row r="1096" spans="1:17" s="216" customFormat="1" x14ac:dyDescent="0.2">
      <c r="A1096" s="242"/>
      <c r="D1096" s="267"/>
      <c r="F1096" s="269"/>
      <c r="G1096" s="418"/>
      <c r="H1096" s="269"/>
      <c r="I1096" s="272"/>
      <c r="J1096" s="269"/>
      <c r="K1096" s="269"/>
      <c r="L1096" s="269"/>
      <c r="M1096" s="269"/>
      <c r="N1096" s="269"/>
      <c r="O1096" s="269"/>
      <c r="P1096" s="269"/>
    </row>
    <row r="1097" spans="1:17" s="216" customFormat="1" x14ac:dyDescent="0.2">
      <c r="A1097" s="242">
        <f>A1095+1</f>
        <v>6</v>
      </c>
      <c r="C1097" s="216" t="s">
        <v>215</v>
      </c>
      <c r="D1097" s="267"/>
      <c r="E1097" s="272">
        <f>'C'!D332</f>
        <v>54000</v>
      </c>
      <c r="F1097" s="272">
        <f>'C'!E332</f>
        <v>51500</v>
      </c>
      <c r="G1097" s="272">
        <f>'C'!F332</f>
        <v>49500</v>
      </c>
      <c r="H1097" s="272">
        <f>'C'!G332</f>
        <v>47400</v>
      </c>
      <c r="I1097" s="272">
        <f>'C'!H332</f>
        <v>50900</v>
      </c>
      <c r="J1097" s="272">
        <f>'C'!I332</f>
        <v>48600</v>
      </c>
      <c r="K1097" s="272">
        <f>'C'!J332</f>
        <v>49900</v>
      </c>
      <c r="L1097" s="272">
        <f>'C'!K332</f>
        <v>47500</v>
      </c>
      <c r="M1097" s="272">
        <f>'C'!L332</f>
        <v>49500</v>
      </c>
      <c r="N1097" s="272">
        <f>'C'!M332</f>
        <v>52800</v>
      </c>
      <c r="O1097" s="272">
        <f>'C'!N332</f>
        <v>51200</v>
      </c>
      <c r="P1097" s="272">
        <f>'C'!O332</f>
        <v>49300</v>
      </c>
      <c r="Q1097" s="272">
        <f>SUM(E1097:P1097)</f>
        <v>602100</v>
      </c>
    </row>
    <row r="1098" spans="1:17" s="216" customFormat="1" x14ac:dyDescent="0.2">
      <c r="A1098" s="242">
        <f>A1097+1</f>
        <v>7</v>
      </c>
      <c r="C1098" s="267" t="s">
        <v>204</v>
      </c>
      <c r="D1098" s="609">
        <f>Input!Q45</f>
        <v>9.4600000000000004E-2</v>
      </c>
      <c r="E1098" s="386">
        <f t="shared" ref="E1098:P1098" si="417">ROUND(E1097*$D$1098,2)</f>
        <v>5108.3999999999996</v>
      </c>
      <c r="F1098" s="386">
        <f t="shared" si="417"/>
        <v>4871.8999999999996</v>
      </c>
      <c r="G1098" s="386">
        <f t="shared" si="417"/>
        <v>4682.7</v>
      </c>
      <c r="H1098" s="386">
        <f t="shared" si="417"/>
        <v>4484.04</v>
      </c>
      <c r="I1098" s="386">
        <f t="shared" si="417"/>
        <v>4815.1400000000003</v>
      </c>
      <c r="J1098" s="386">
        <f t="shared" si="417"/>
        <v>4597.5600000000004</v>
      </c>
      <c r="K1098" s="386">
        <f t="shared" si="417"/>
        <v>4720.54</v>
      </c>
      <c r="L1098" s="386">
        <f t="shared" si="417"/>
        <v>4493.5</v>
      </c>
      <c r="M1098" s="386">
        <f t="shared" si="417"/>
        <v>4682.7</v>
      </c>
      <c r="N1098" s="386">
        <f t="shared" si="417"/>
        <v>4994.88</v>
      </c>
      <c r="O1098" s="386">
        <f t="shared" si="417"/>
        <v>4843.5200000000004</v>
      </c>
      <c r="P1098" s="386">
        <f t="shared" si="417"/>
        <v>4663.78</v>
      </c>
      <c r="Q1098" s="386">
        <f>SUM(E1098:P1098)</f>
        <v>56958.659999999989</v>
      </c>
    </row>
    <row r="1099" spans="1:17" s="216" customFormat="1" x14ac:dyDescent="0.2">
      <c r="A1099" s="242">
        <f t="shared" ref="A1099:A1100" si="418">A1098+1</f>
        <v>8</v>
      </c>
      <c r="C1099" s="667" t="s">
        <v>140</v>
      </c>
      <c r="D1099" s="609">
        <f>Input!$AA$45</f>
        <v>1.44E-2</v>
      </c>
      <c r="E1099" s="685">
        <f>ROUND($D$1099*E1097,2)</f>
        <v>777.6</v>
      </c>
      <c r="F1099" s="685">
        <f t="shared" ref="F1099:P1099" si="419">ROUND($D$1099*F1097,2)</f>
        <v>741.6</v>
      </c>
      <c r="G1099" s="685">
        <f t="shared" si="419"/>
        <v>712.8</v>
      </c>
      <c r="H1099" s="685">
        <f t="shared" si="419"/>
        <v>682.56</v>
      </c>
      <c r="I1099" s="685">
        <f t="shared" si="419"/>
        <v>732.96</v>
      </c>
      <c r="J1099" s="685">
        <f t="shared" si="419"/>
        <v>699.84</v>
      </c>
      <c r="K1099" s="685">
        <f t="shared" si="419"/>
        <v>718.56</v>
      </c>
      <c r="L1099" s="685">
        <f t="shared" si="419"/>
        <v>684</v>
      </c>
      <c r="M1099" s="685">
        <f t="shared" si="419"/>
        <v>712.8</v>
      </c>
      <c r="N1099" s="685">
        <f t="shared" si="419"/>
        <v>760.32</v>
      </c>
      <c r="O1099" s="685">
        <f t="shared" si="419"/>
        <v>737.28</v>
      </c>
      <c r="P1099" s="685">
        <f t="shared" si="419"/>
        <v>709.92</v>
      </c>
      <c r="Q1099" s="456">
        <f>SUM(E1099:P1099)</f>
        <v>8670.24</v>
      </c>
    </row>
    <row r="1100" spans="1:17" s="216" customFormat="1" x14ac:dyDescent="0.2">
      <c r="A1100" s="242">
        <f t="shared" si="418"/>
        <v>9</v>
      </c>
      <c r="C1100" s="216" t="s">
        <v>201</v>
      </c>
      <c r="D1100" s="267"/>
      <c r="E1100" s="386">
        <f>E1094+E1095+E1098+E1099</f>
        <v>6732.6</v>
      </c>
      <c r="F1100" s="386">
        <f t="shared" ref="F1100:P1100" si="420">F1094+F1095+F1098+F1099</f>
        <v>6460.1</v>
      </c>
      <c r="G1100" s="386">
        <f t="shared" si="420"/>
        <v>6242.1</v>
      </c>
      <c r="H1100" s="386">
        <f t="shared" si="420"/>
        <v>6013.2000000000007</v>
      </c>
      <c r="I1100" s="386">
        <f t="shared" si="420"/>
        <v>6394.7000000000007</v>
      </c>
      <c r="J1100" s="386">
        <f t="shared" si="420"/>
        <v>6144.0000000000009</v>
      </c>
      <c r="K1100" s="386">
        <f t="shared" si="420"/>
        <v>6285.7000000000007</v>
      </c>
      <c r="L1100" s="386">
        <f t="shared" si="420"/>
        <v>6024.1</v>
      </c>
      <c r="M1100" s="386">
        <f t="shared" si="420"/>
        <v>6242.1</v>
      </c>
      <c r="N1100" s="386">
        <f t="shared" si="420"/>
        <v>6601.8</v>
      </c>
      <c r="O1100" s="386">
        <f t="shared" si="420"/>
        <v>6427.4000000000005</v>
      </c>
      <c r="P1100" s="386">
        <f t="shared" si="420"/>
        <v>6220.3</v>
      </c>
      <c r="Q1100" s="386">
        <f>SUM(E1100:P1100)</f>
        <v>75788.100000000006</v>
      </c>
    </row>
    <row r="1101" spans="1:17" s="216" customFormat="1" x14ac:dyDescent="0.2">
      <c r="A1101" s="242"/>
      <c r="D1101" s="267"/>
      <c r="F1101" s="269"/>
      <c r="G1101" s="418"/>
      <c r="H1101" s="269"/>
      <c r="I1101" s="272"/>
      <c r="J1101" s="269"/>
      <c r="K1101" s="269"/>
      <c r="L1101" s="269"/>
      <c r="M1101" s="269"/>
      <c r="N1101" s="269"/>
      <c r="O1101" s="269"/>
      <c r="P1101" s="269"/>
      <c r="Q1101" s="456"/>
    </row>
    <row r="1102" spans="1:17" s="216" customFormat="1" x14ac:dyDescent="0.2">
      <c r="A1102" s="242">
        <f>A1100+1</f>
        <v>10</v>
      </c>
      <c r="C1102" s="216" t="s">
        <v>148</v>
      </c>
      <c r="D1102" s="609">
        <v>0</v>
      </c>
      <c r="E1102" s="386">
        <v>0</v>
      </c>
      <c r="F1102" s="386">
        <v>0</v>
      </c>
      <c r="G1102" s="386">
        <v>0</v>
      </c>
      <c r="H1102" s="386">
        <v>0</v>
      </c>
      <c r="I1102" s="386">
        <v>0</v>
      </c>
      <c r="J1102" s="386">
        <v>0</v>
      </c>
      <c r="K1102" s="386">
        <v>0</v>
      </c>
      <c r="L1102" s="386">
        <v>0</v>
      </c>
      <c r="M1102" s="386">
        <v>0</v>
      </c>
      <c r="N1102" s="386">
        <v>0</v>
      </c>
      <c r="O1102" s="386">
        <v>0</v>
      </c>
      <c r="P1102" s="386">
        <v>0</v>
      </c>
      <c r="Q1102" s="386">
        <f>SUM(E1102:P1102)</f>
        <v>0</v>
      </c>
    </row>
    <row r="1103" spans="1:17" s="216" customFormat="1" x14ac:dyDescent="0.2">
      <c r="A1103" s="242"/>
      <c r="D1103" s="267"/>
      <c r="F1103" s="269"/>
      <c r="G1103" s="418"/>
      <c r="H1103" s="269"/>
      <c r="I1103" s="272"/>
      <c r="J1103" s="269"/>
      <c r="K1103" s="269"/>
      <c r="L1103" s="269"/>
      <c r="M1103" s="269"/>
      <c r="N1103" s="269"/>
      <c r="O1103" s="269"/>
      <c r="P1103" s="269"/>
      <c r="Q1103" s="418"/>
    </row>
    <row r="1104" spans="1:17" s="216" customFormat="1" ht="10.5" thickBot="1" x14ac:dyDescent="0.25">
      <c r="A1104" s="580">
        <f>A1102+1</f>
        <v>11</v>
      </c>
      <c r="B1104" s="434"/>
      <c r="C1104" s="581" t="s">
        <v>202</v>
      </c>
      <c r="D1104" s="582"/>
      <c r="E1104" s="435">
        <f t="shared" ref="E1104:P1104" si="421">E1100+E1102</f>
        <v>6732.6</v>
      </c>
      <c r="F1104" s="435">
        <f t="shared" si="421"/>
        <v>6460.1</v>
      </c>
      <c r="G1104" s="435">
        <f t="shared" si="421"/>
        <v>6242.1</v>
      </c>
      <c r="H1104" s="435">
        <f t="shared" si="421"/>
        <v>6013.2000000000007</v>
      </c>
      <c r="I1104" s="435">
        <f t="shared" si="421"/>
        <v>6394.7000000000007</v>
      </c>
      <c r="J1104" s="435">
        <f t="shared" si="421"/>
        <v>6144.0000000000009</v>
      </c>
      <c r="K1104" s="435">
        <f t="shared" si="421"/>
        <v>6285.7000000000007</v>
      </c>
      <c r="L1104" s="435">
        <f t="shared" si="421"/>
        <v>6024.1</v>
      </c>
      <c r="M1104" s="435">
        <f t="shared" si="421"/>
        <v>6242.1</v>
      </c>
      <c r="N1104" s="435">
        <f t="shared" si="421"/>
        <v>6601.8</v>
      </c>
      <c r="O1104" s="435">
        <f t="shared" si="421"/>
        <v>6427.4000000000005</v>
      </c>
      <c r="P1104" s="435">
        <f t="shared" si="421"/>
        <v>6220.3</v>
      </c>
      <c r="Q1104" s="435">
        <f>SUM(E1104:P1104)</f>
        <v>75788.100000000006</v>
      </c>
    </row>
    <row r="1105" spans="1:17" s="216" customFormat="1" ht="10.5" thickTop="1" x14ac:dyDescent="0.2">
      <c r="A1105" s="242"/>
      <c r="D1105" s="267"/>
      <c r="F1105" s="269"/>
      <c r="G1105" s="418"/>
      <c r="H1105" s="269"/>
      <c r="I1105" s="272"/>
      <c r="J1105" s="269"/>
      <c r="K1105" s="269"/>
      <c r="L1105" s="269"/>
      <c r="M1105" s="269"/>
      <c r="N1105" s="269"/>
      <c r="O1105" s="269"/>
      <c r="P1105" s="269"/>
    </row>
    <row r="1106" spans="1:17" s="216" customFormat="1" x14ac:dyDescent="0.2">
      <c r="A1106" s="242"/>
      <c r="D1106" s="267"/>
      <c r="F1106" s="269"/>
      <c r="G1106" s="418"/>
      <c r="H1106" s="269"/>
      <c r="I1106" s="272"/>
      <c r="J1106" s="269"/>
      <c r="K1106" s="269"/>
      <c r="L1106" s="269"/>
      <c r="M1106" s="269"/>
      <c r="N1106" s="269"/>
      <c r="O1106" s="269"/>
      <c r="P1106" s="269"/>
    </row>
    <row r="1107" spans="1:17" s="216" customFormat="1" x14ac:dyDescent="0.2">
      <c r="A1107" s="242">
        <f>A1104+1</f>
        <v>12</v>
      </c>
      <c r="B1107" s="216" t="str">
        <f>B299</f>
        <v>FX1</v>
      </c>
      <c r="C1107" s="216" t="str">
        <f>C299</f>
        <v>GTS Flex Rate - Commercial</v>
      </c>
      <c r="D1107" s="267"/>
      <c r="F1107" s="269"/>
      <c r="G1107" s="418"/>
      <c r="H1107" s="269"/>
      <c r="I1107" s="272"/>
      <c r="J1107" s="269"/>
      <c r="K1107" s="269"/>
      <c r="L1107" s="269"/>
      <c r="M1107" s="269"/>
      <c r="N1107" s="269"/>
      <c r="O1107" s="269"/>
      <c r="P1107" s="269"/>
    </row>
    <row r="1108" spans="1:17" s="216" customFormat="1" x14ac:dyDescent="0.2">
      <c r="A1108" s="242"/>
      <c r="D1108" s="267"/>
      <c r="F1108" s="269"/>
      <c r="G1108" s="418"/>
      <c r="H1108" s="269"/>
      <c r="I1108" s="272"/>
      <c r="J1108" s="269"/>
      <c r="K1108" s="269"/>
      <c r="L1108" s="269"/>
      <c r="M1108" s="269"/>
      <c r="N1108" s="269"/>
      <c r="O1108" s="269"/>
      <c r="P1108" s="269"/>
    </row>
    <row r="1109" spans="1:17" s="216" customFormat="1" ht="10.5" x14ac:dyDescent="0.25">
      <c r="A1109" s="242">
        <f>A1107+1</f>
        <v>13</v>
      </c>
      <c r="C1109" s="245" t="s">
        <v>111</v>
      </c>
      <c r="D1109" s="267"/>
      <c r="F1109" s="269"/>
      <c r="G1109" s="418"/>
      <c r="H1109" s="269"/>
      <c r="I1109" s="272"/>
      <c r="J1109" s="269"/>
      <c r="K1109" s="269"/>
      <c r="L1109" s="269"/>
      <c r="M1109" s="269"/>
      <c r="N1109" s="269"/>
      <c r="O1109" s="269"/>
      <c r="P1109" s="269"/>
    </row>
    <row r="1110" spans="1:17" s="216" customFormat="1" ht="10.5" x14ac:dyDescent="0.25">
      <c r="A1110" s="242"/>
      <c r="C1110" s="245"/>
      <c r="D1110" s="267"/>
      <c r="F1110" s="269"/>
      <c r="G1110" s="418"/>
      <c r="H1110" s="269"/>
      <c r="I1110" s="272"/>
      <c r="J1110" s="269"/>
      <c r="K1110" s="269"/>
      <c r="L1110" s="269"/>
      <c r="M1110" s="269"/>
      <c r="N1110" s="269"/>
      <c r="O1110" s="269"/>
      <c r="P1110" s="269"/>
    </row>
    <row r="1111" spans="1:17" s="216" customFormat="1" x14ac:dyDescent="0.2">
      <c r="A1111" s="242">
        <f>A1109+1</f>
        <v>14</v>
      </c>
      <c r="C1111" s="216" t="s">
        <v>199</v>
      </c>
      <c r="D1111" s="267"/>
      <c r="E1111" s="421">
        <f>B!D228</f>
        <v>0</v>
      </c>
      <c r="F1111" s="421">
        <f>B!E228</f>
        <v>0</v>
      </c>
      <c r="G1111" s="421">
        <f>B!F228</f>
        <v>0</v>
      </c>
      <c r="H1111" s="421">
        <f>B!G228</f>
        <v>0</v>
      </c>
      <c r="I1111" s="421">
        <f>B!H228</f>
        <v>0</v>
      </c>
      <c r="J1111" s="421">
        <f>B!I228</f>
        <v>0</v>
      </c>
      <c r="K1111" s="421">
        <f>B!J228</f>
        <v>0</v>
      </c>
      <c r="L1111" s="421">
        <f>B!K228</f>
        <v>0</v>
      </c>
      <c r="M1111" s="421">
        <f>B!L228</f>
        <v>0</v>
      </c>
      <c r="N1111" s="421">
        <f>B!M228</f>
        <v>0</v>
      </c>
      <c r="O1111" s="421">
        <f>B!N228</f>
        <v>0</v>
      </c>
      <c r="P1111" s="421">
        <f>B!O228</f>
        <v>0</v>
      </c>
      <c r="Q1111" s="421">
        <f>SUM(E1111:P1111)</f>
        <v>0</v>
      </c>
    </row>
    <row r="1112" spans="1:17" s="216" customFormat="1" x14ac:dyDescent="0.2">
      <c r="A1112" s="242">
        <f>A1111+1</f>
        <v>15</v>
      </c>
      <c r="C1112" s="216" t="s">
        <v>207</v>
      </c>
      <c r="D1112" s="608">
        <f>Input!V46</f>
        <v>0</v>
      </c>
      <c r="E1112" s="386">
        <f t="shared" ref="E1112:P1112" si="422">ROUND(E1111*$D$1112,2)</f>
        <v>0</v>
      </c>
      <c r="F1112" s="386">
        <f t="shared" si="422"/>
        <v>0</v>
      </c>
      <c r="G1112" s="386">
        <f t="shared" si="422"/>
        <v>0</v>
      </c>
      <c r="H1112" s="386">
        <f t="shared" si="422"/>
        <v>0</v>
      </c>
      <c r="I1112" s="386">
        <f t="shared" si="422"/>
        <v>0</v>
      </c>
      <c r="J1112" s="386">
        <f t="shared" si="422"/>
        <v>0</v>
      </c>
      <c r="K1112" s="386">
        <f t="shared" si="422"/>
        <v>0</v>
      </c>
      <c r="L1112" s="386">
        <f t="shared" si="422"/>
        <v>0</v>
      </c>
      <c r="M1112" s="386">
        <f t="shared" si="422"/>
        <v>0</v>
      </c>
      <c r="N1112" s="386">
        <f t="shared" si="422"/>
        <v>0</v>
      </c>
      <c r="O1112" s="386">
        <f t="shared" si="422"/>
        <v>0</v>
      </c>
      <c r="P1112" s="386">
        <f t="shared" si="422"/>
        <v>0</v>
      </c>
      <c r="Q1112" s="386">
        <f>SUM(E1112:P1112)</f>
        <v>0</v>
      </c>
    </row>
    <row r="1113" spans="1:17" s="216" customFormat="1" x14ac:dyDescent="0.2">
      <c r="A1113" s="242">
        <f>A1112+1</f>
        <v>16</v>
      </c>
      <c r="C1113" s="216" t="s">
        <v>214</v>
      </c>
      <c r="D1113" s="608">
        <f>Input!W46</f>
        <v>0</v>
      </c>
      <c r="E1113" s="386">
        <f t="shared" ref="E1113:P1113" si="423">ROUND(E1111*$D$1113,2)</f>
        <v>0</v>
      </c>
      <c r="F1113" s="386">
        <f t="shared" si="423"/>
        <v>0</v>
      </c>
      <c r="G1113" s="386">
        <f t="shared" si="423"/>
        <v>0</v>
      </c>
      <c r="H1113" s="386">
        <f t="shared" si="423"/>
        <v>0</v>
      </c>
      <c r="I1113" s="386">
        <f t="shared" si="423"/>
        <v>0</v>
      </c>
      <c r="J1113" s="386">
        <f t="shared" si="423"/>
        <v>0</v>
      </c>
      <c r="K1113" s="386">
        <f t="shared" si="423"/>
        <v>0</v>
      </c>
      <c r="L1113" s="386">
        <f t="shared" si="423"/>
        <v>0</v>
      </c>
      <c r="M1113" s="386">
        <f t="shared" si="423"/>
        <v>0</v>
      </c>
      <c r="N1113" s="386">
        <f t="shared" si="423"/>
        <v>0</v>
      </c>
      <c r="O1113" s="386">
        <f t="shared" si="423"/>
        <v>0</v>
      </c>
      <c r="P1113" s="386">
        <f t="shared" si="423"/>
        <v>0</v>
      </c>
      <c r="Q1113" s="386">
        <f>SUM(E1113:P1113)</f>
        <v>0</v>
      </c>
    </row>
    <row r="1114" spans="1:17" s="216" customFormat="1" x14ac:dyDescent="0.2">
      <c r="A1114" s="242"/>
      <c r="D1114" s="267"/>
      <c r="F1114" s="269"/>
      <c r="G1114" s="418"/>
      <c r="H1114" s="269"/>
      <c r="I1114" s="272"/>
      <c r="J1114" s="269"/>
      <c r="K1114" s="269"/>
      <c r="L1114" s="269"/>
      <c r="M1114" s="269"/>
      <c r="N1114" s="269"/>
      <c r="O1114" s="269"/>
      <c r="P1114" s="269"/>
    </row>
    <row r="1115" spans="1:17" s="216" customFormat="1" x14ac:dyDescent="0.2">
      <c r="A1115" s="242">
        <f>A1113+1</f>
        <v>17</v>
      </c>
      <c r="C1115" s="216" t="s">
        <v>206</v>
      </c>
      <c r="D1115" s="267"/>
      <c r="E1115" s="272">
        <f>'C'!D337</f>
        <v>0</v>
      </c>
      <c r="F1115" s="272">
        <f>'C'!E337</f>
        <v>0</v>
      </c>
      <c r="G1115" s="272">
        <f>'C'!F337</f>
        <v>0</v>
      </c>
      <c r="H1115" s="272">
        <f>'C'!G337</f>
        <v>0</v>
      </c>
      <c r="I1115" s="272">
        <f>'C'!H337</f>
        <v>0</v>
      </c>
      <c r="J1115" s="272">
        <f>'C'!I337</f>
        <v>0</v>
      </c>
      <c r="K1115" s="272">
        <f>'C'!J337</f>
        <v>0</v>
      </c>
      <c r="L1115" s="272">
        <f>'C'!K337</f>
        <v>0</v>
      </c>
      <c r="M1115" s="272">
        <f>'C'!L337</f>
        <v>0</v>
      </c>
      <c r="N1115" s="272">
        <f>'C'!M337</f>
        <v>0</v>
      </c>
      <c r="O1115" s="272">
        <f>'C'!N337</f>
        <v>0</v>
      </c>
      <c r="P1115" s="272">
        <f>'C'!O337</f>
        <v>0</v>
      </c>
      <c r="Q1115" s="272">
        <f>SUM(E1115:P1115)</f>
        <v>0</v>
      </c>
    </row>
    <row r="1116" spans="1:17" s="216" customFormat="1" x14ac:dyDescent="0.2">
      <c r="A1116" s="242">
        <f>A1115+1</f>
        <v>18</v>
      </c>
      <c r="C1116" s="216" t="s">
        <v>204</v>
      </c>
      <c r="D1116" s="609">
        <f>Input!Q46</f>
        <v>0</v>
      </c>
      <c r="E1116" s="386">
        <f t="shared" ref="E1116:P1116" si="424">ROUND(E1115*$D$1116,2)</f>
        <v>0</v>
      </c>
      <c r="F1116" s="386">
        <f t="shared" si="424"/>
        <v>0</v>
      </c>
      <c r="G1116" s="386">
        <f t="shared" si="424"/>
        <v>0</v>
      </c>
      <c r="H1116" s="386">
        <f t="shared" si="424"/>
        <v>0</v>
      </c>
      <c r="I1116" s="386">
        <f t="shared" si="424"/>
        <v>0</v>
      </c>
      <c r="J1116" s="386">
        <f t="shared" si="424"/>
        <v>0</v>
      </c>
      <c r="K1116" s="386">
        <f t="shared" si="424"/>
        <v>0</v>
      </c>
      <c r="L1116" s="386">
        <f t="shared" si="424"/>
        <v>0</v>
      </c>
      <c r="M1116" s="386">
        <f t="shared" si="424"/>
        <v>0</v>
      </c>
      <c r="N1116" s="386">
        <f t="shared" si="424"/>
        <v>0</v>
      </c>
      <c r="O1116" s="386">
        <f t="shared" si="424"/>
        <v>0</v>
      </c>
      <c r="P1116" s="386">
        <f t="shared" si="424"/>
        <v>0</v>
      </c>
      <c r="Q1116" s="386">
        <f>SUM(E1116:P1116)</f>
        <v>0</v>
      </c>
    </row>
    <row r="1117" spans="1:17" s="216" customFormat="1" x14ac:dyDescent="0.2">
      <c r="A1117" s="242"/>
      <c r="D1117" s="267"/>
      <c r="F1117" s="269"/>
      <c r="G1117" s="418"/>
      <c r="H1117" s="269"/>
      <c r="I1117" s="272"/>
      <c r="J1117" s="269"/>
      <c r="K1117" s="269"/>
      <c r="L1117" s="269"/>
      <c r="M1117" s="269"/>
      <c r="N1117" s="269"/>
      <c r="O1117" s="269"/>
      <c r="P1117" s="269"/>
      <c r="Q1117" s="456"/>
    </row>
    <row r="1118" spans="1:17" s="216" customFormat="1" x14ac:dyDescent="0.2">
      <c r="A1118" s="242">
        <f>A1116+1</f>
        <v>19</v>
      </c>
      <c r="C1118" s="216" t="s">
        <v>201</v>
      </c>
      <c r="D1118" s="267"/>
      <c r="E1118" s="386">
        <f t="shared" ref="E1118:P1118" si="425">E1112+E1113+E1116</f>
        <v>0</v>
      </c>
      <c r="F1118" s="386">
        <f t="shared" si="425"/>
        <v>0</v>
      </c>
      <c r="G1118" s="386">
        <f t="shared" si="425"/>
        <v>0</v>
      </c>
      <c r="H1118" s="386">
        <f t="shared" si="425"/>
        <v>0</v>
      </c>
      <c r="I1118" s="386">
        <f t="shared" si="425"/>
        <v>0</v>
      </c>
      <c r="J1118" s="386">
        <f t="shared" si="425"/>
        <v>0</v>
      </c>
      <c r="K1118" s="386">
        <f t="shared" si="425"/>
        <v>0</v>
      </c>
      <c r="L1118" s="386">
        <f t="shared" si="425"/>
        <v>0</v>
      </c>
      <c r="M1118" s="386">
        <f t="shared" si="425"/>
        <v>0</v>
      </c>
      <c r="N1118" s="386">
        <f t="shared" si="425"/>
        <v>0</v>
      </c>
      <c r="O1118" s="386">
        <f t="shared" si="425"/>
        <v>0</v>
      </c>
      <c r="P1118" s="386">
        <f t="shared" si="425"/>
        <v>0</v>
      </c>
      <c r="Q1118" s="386">
        <f>SUM(E1118:P1118)</f>
        <v>0</v>
      </c>
    </row>
    <row r="1119" spans="1:17" s="216" customFormat="1" x14ac:dyDescent="0.2">
      <c r="A1119" s="242"/>
      <c r="D1119" s="267"/>
      <c r="F1119" s="269"/>
      <c r="G1119" s="418"/>
      <c r="H1119" s="269"/>
      <c r="I1119" s="272"/>
      <c r="J1119" s="269"/>
      <c r="K1119" s="269"/>
      <c r="L1119" s="269"/>
      <c r="M1119" s="269"/>
      <c r="N1119" s="269"/>
      <c r="O1119" s="269"/>
      <c r="P1119" s="269"/>
      <c r="Q1119" s="456"/>
    </row>
    <row r="1120" spans="1:17" s="216" customFormat="1" x14ac:dyDescent="0.2">
      <c r="A1120" s="242">
        <f>A1118+1</f>
        <v>20</v>
      </c>
      <c r="C1120" s="216" t="s">
        <v>148</v>
      </c>
      <c r="D1120" s="609">
        <v>0</v>
      </c>
      <c r="E1120" s="386">
        <v>0</v>
      </c>
      <c r="F1120" s="386">
        <v>0</v>
      </c>
      <c r="G1120" s="386">
        <v>0</v>
      </c>
      <c r="H1120" s="386">
        <v>0</v>
      </c>
      <c r="I1120" s="386">
        <v>0</v>
      </c>
      <c r="J1120" s="386">
        <v>0</v>
      </c>
      <c r="K1120" s="386">
        <v>0</v>
      </c>
      <c r="L1120" s="386">
        <v>0</v>
      </c>
      <c r="M1120" s="386">
        <v>0</v>
      </c>
      <c r="N1120" s="386">
        <v>0</v>
      </c>
      <c r="O1120" s="386">
        <v>0</v>
      </c>
      <c r="P1120" s="386">
        <v>0</v>
      </c>
      <c r="Q1120" s="386">
        <f>SUM(E1120:P1120)</f>
        <v>0</v>
      </c>
    </row>
    <row r="1121" spans="1:17" s="216" customFormat="1" x14ac:dyDescent="0.2">
      <c r="A1121" s="242"/>
      <c r="D1121" s="267"/>
      <c r="F1121" s="269"/>
      <c r="G1121" s="418"/>
      <c r="H1121" s="269"/>
      <c r="I1121" s="272"/>
      <c r="J1121" s="269"/>
      <c r="K1121" s="269"/>
      <c r="L1121" s="269"/>
      <c r="M1121" s="269"/>
      <c r="N1121" s="269"/>
      <c r="O1121" s="269"/>
      <c r="P1121" s="269"/>
      <c r="Q1121" s="418"/>
    </row>
    <row r="1122" spans="1:17" s="216" customFormat="1" ht="10.5" thickBot="1" x14ac:dyDescent="0.25">
      <c r="A1122" s="580">
        <f>A1120+1</f>
        <v>21</v>
      </c>
      <c r="B1122" s="434"/>
      <c r="C1122" s="581" t="s">
        <v>202</v>
      </c>
      <c r="D1122" s="582"/>
      <c r="E1122" s="435">
        <f t="shared" ref="E1122:P1122" si="426">E1118+E1120</f>
        <v>0</v>
      </c>
      <c r="F1122" s="435">
        <f t="shared" si="426"/>
        <v>0</v>
      </c>
      <c r="G1122" s="435">
        <f t="shared" si="426"/>
        <v>0</v>
      </c>
      <c r="H1122" s="435">
        <f t="shared" si="426"/>
        <v>0</v>
      </c>
      <c r="I1122" s="435">
        <f t="shared" si="426"/>
        <v>0</v>
      </c>
      <c r="J1122" s="435">
        <f t="shared" si="426"/>
        <v>0</v>
      </c>
      <c r="K1122" s="435">
        <f t="shared" si="426"/>
        <v>0</v>
      </c>
      <c r="L1122" s="435">
        <f t="shared" si="426"/>
        <v>0</v>
      </c>
      <c r="M1122" s="435">
        <f t="shared" si="426"/>
        <v>0</v>
      </c>
      <c r="N1122" s="435">
        <f t="shared" si="426"/>
        <v>0</v>
      </c>
      <c r="O1122" s="435">
        <f t="shared" si="426"/>
        <v>0</v>
      </c>
      <c r="P1122" s="435">
        <f t="shared" si="426"/>
        <v>0</v>
      </c>
      <c r="Q1122" s="435">
        <f>SUM(E1122:P1122)</f>
        <v>0</v>
      </c>
    </row>
    <row r="1123" spans="1:17" s="216" customFormat="1" ht="10.5" thickTop="1" x14ac:dyDescent="0.2">
      <c r="A1123" s="242"/>
      <c r="D1123" s="267"/>
      <c r="F1123" s="269"/>
      <c r="G1123" s="418"/>
      <c r="H1123" s="269"/>
      <c r="I1123" s="272"/>
      <c r="J1123" s="269"/>
      <c r="K1123" s="269"/>
      <c r="L1123" s="269"/>
      <c r="M1123" s="269"/>
      <c r="N1123" s="269"/>
      <c r="O1123" s="269"/>
      <c r="P1123" s="269"/>
    </row>
    <row r="1124" spans="1:17" s="216" customFormat="1" x14ac:dyDescent="0.2">
      <c r="A1124" s="242"/>
      <c r="D1124" s="267"/>
      <c r="F1124" s="269"/>
      <c r="G1124" s="418"/>
      <c r="H1124" s="269"/>
      <c r="I1124" s="272"/>
      <c r="J1124" s="269"/>
      <c r="K1124" s="269"/>
      <c r="L1124" s="269"/>
      <c r="M1124" s="269"/>
      <c r="N1124" s="269"/>
      <c r="O1124" s="269"/>
      <c r="P1124" s="269"/>
    </row>
    <row r="1125" spans="1:17" s="216" customFormat="1" x14ac:dyDescent="0.2">
      <c r="A1125" s="242">
        <f>A1122+1</f>
        <v>22</v>
      </c>
      <c r="B1125" s="216" t="str">
        <f>B306</f>
        <v>FX2</v>
      </c>
      <c r="C1125" s="216" t="str">
        <f>C306</f>
        <v>GTS Flex Rate - Commercial</v>
      </c>
      <c r="D1125" s="267"/>
      <c r="F1125" s="269"/>
      <c r="G1125" s="418"/>
      <c r="H1125" s="269"/>
      <c r="I1125" s="272"/>
      <c r="J1125" s="269"/>
      <c r="K1125" s="269"/>
      <c r="L1125" s="269"/>
      <c r="M1125" s="269"/>
      <c r="N1125" s="269"/>
      <c r="O1125" s="269"/>
      <c r="P1125" s="269"/>
    </row>
    <row r="1126" spans="1:17" s="216" customFormat="1" x14ac:dyDescent="0.2">
      <c r="A1126" s="242"/>
      <c r="D1126" s="267"/>
      <c r="F1126" s="269"/>
      <c r="G1126" s="418"/>
      <c r="H1126" s="269"/>
      <c r="I1126" s="272"/>
      <c r="J1126" s="269"/>
      <c r="K1126" s="269"/>
      <c r="L1126" s="269"/>
      <c r="M1126" s="269"/>
      <c r="N1126" s="269"/>
      <c r="O1126" s="269"/>
      <c r="P1126" s="269"/>
    </row>
    <row r="1127" spans="1:17" s="216" customFormat="1" ht="10.5" x14ac:dyDescent="0.25">
      <c r="A1127" s="242">
        <f>A1125+1</f>
        <v>23</v>
      </c>
      <c r="C1127" s="245" t="s">
        <v>111</v>
      </c>
      <c r="D1127" s="267"/>
      <c r="F1127" s="269"/>
      <c r="G1127" s="418"/>
      <c r="H1127" s="269"/>
      <c r="I1127" s="272"/>
      <c r="J1127" s="269"/>
      <c r="K1127" s="269"/>
      <c r="L1127" s="269"/>
      <c r="M1127" s="269"/>
      <c r="N1127" s="269"/>
      <c r="O1127" s="269"/>
      <c r="P1127" s="269"/>
    </row>
    <row r="1128" spans="1:17" s="216" customFormat="1" ht="10.5" x14ac:dyDescent="0.25">
      <c r="A1128" s="242"/>
      <c r="C1128" s="245"/>
      <c r="D1128" s="267"/>
      <c r="F1128" s="269"/>
      <c r="G1128" s="418"/>
      <c r="H1128" s="269"/>
      <c r="I1128" s="272"/>
      <c r="J1128" s="269"/>
      <c r="K1128" s="269"/>
      <c r="L1128" s="269"/>
      <c r="M1128" s="269"/>
      <c r="N1128" s="269"/>
      <c r="O1128" s="269"/>
      <c r="P1128" s="269"/>
    </row>
    <row r="1129" spans="1:17" s="216" customFormat="1" x14ac:dyDescent="0.2">
      <c r="A1129" s="242">
        <f>A1127+1</f>
        <v>24</v>
      </c>
      <c r="C1129" s="216" t="s">
        <v>199</v>
      </c>
      <c r="D1129" s="267"/>
      <c r="E1129" s="421">
        <f>B!D234</f>
        <v>0</v>
      </c>
      <c r="F1129" s="421">
        <f>B!E234</f>
        <v>0</v>
      </c>
      <c r="G1129" s="421">
        <f>B!F234</f>
        <v>0</v>
      </c>
      <c r="H1129" s="421">
        <f>B!G234</f>
        <v>0</v>
      </c>
      <c r="I1129" s="421">
        <f>B!H234</f>
        <v>0</v>
      </c>
      <c r="J1129" s="421">
        <f>B!I234</f>
        <v>0</v>
      </c>
      <c r="K1129" s="421">
        <f>B!J234</f>
        <v>0</v>
      </c>
      <c r="L1129" s="421">
        <f>B!K234</f>
        <v>0</v>
      </c>
      <c r="M1129" s="421">
        <f>B!L234</f>
        <v>0</v>
      </c>
      <c r="N1129" s="421">
        <f>B!M234</f>
        <v>0</v>
      </c>
      <c r="O1129" s="421">
        <f>B!N234</f>
        <v>0</v>
      </c>
      <c r="P1129" s="421">
        <f>B!O234</f>
        <v>0</v>
      </c>
      <c r="Q1129" s="421">
        <f>SUM(E1129:P1129)</f>
        <v>0</v>
      </c>
    </row>
    <row r="1130" spans="1:17" s="216" customFormat="1" x14ac:dyDescent="0.2">
      <c r="A1130" s="242">
        <f>A1129+1</f>
        <v>25</v>
      </c>
      <c r="C1130" s="216" t="s">
        <v>207</v>
      </c>
      <c r="D1130" s="608">
        <f>Input!V47</f>
        <v>0</v>
      </c>
      <c r="E1130" s="386">
        <f t="shared" ref="E1130:P1130" si="427">ROUND(E1129*$D$1130,2)</f>
        <v>0</v>
      </c>
      <c r="F1130" s="386">
        <f t="shared" si="427"/>
        <v>0</v>
      </c>
      <c r="G1130" s="386">
        <f t="shared" si="427"/>
        <v>0</v>
      </c>
      <c r="H1130" s="386">
        <f t="shared" si="427"/>
        <v>0</v>
      </c>
      <c r="I1130" s="386">
        <f t="shared" si="427"/>
        <v>0</v>
      </c>
      <c r="J1130" s="386">
        <f t="shared" si="427"/>
        <v>0</v>
      </c>
      <c r="K1130" s="386">
        <f t="shared" si="427"/>
        <v>0</v>
      </c>
      <c r="L1130" s="386">
        <f t="shared" si="427"/>
        <v>0</v>
      </c>
      <c r="M1130" s="386">
        <f t="shared" si="427"/>
        <v>0</v>
      </c>
      <c r="N1130" s="386">
        <f t="shared" si="427"/>
        <v>0</v>
      </c>
      <c r="O1130" s="386">
        <f t="shared" si="427"/>
        <v>0</v>
      </c>
      <c r="P1130" s="386">
        <f t="shared" si="427"/>
        <v>0</v>
      </c>
      <c r="Q1130" s="386">
        <f>SUM(E1130:P1130)</f>
        <v>0</v>
      </c>
    </row>
    <row r="1131" spans="1:17" s="216" customFormat="1" x14ac:dyDescent="0.2">
      <c r="A1131" s="242">
        <f>A1130+1</f>
        <v>26</v>
      </c>
      <c r="C1131" s="216" t="s">
        <v>214</v>
      </c>
      <c r="D1131" s="608">
        <f>Input!W47</f>
        <v>0</v>
      </c>
      <c r="E1131" s="386">
        <f t="shared" ref="E1131:P1131" si="428">ROUND(E1129*$D$1131,2)</f>
        <v>0</v>
      </c>
      <c r="F1131" s="386">
        <f t="shared" si="428"/>
        <v>0</v>
      </c>
      <c r="G1131" s="386">
        <f t="shared" si="428"/>
        <v>0</v>
      </c>
      <c r="H1131" s="386">
        <f t="shared" si="428"/>
        <v>0</v>
      </c>
      <c r="I1131" s="386">
        <f t="shared" si="428"/>
        <v>0</v>
      </c>
      <c r="J1131" s="386">
        <f t="shared" si="428"/>
        <v>0</v>
      </c>
      <c r="K1131" s="386">
        <f t="shared" si="428"/>
        <v>0</v>
      </c>
      <c r="L1131" s="386">
        <f t="shared" si="428"/>
        <v>0</v>
      </c>
      <c r="M1131" s="386">
        <f t="shared" si="428"/>
        <v>0</v>
      </c>
      <c r="N1131" s="386">
        <f t="shared" si="428"/>
        <v>0</v>
      </c>
      <c r="O1131" s="386">
        <f t="shared" si="428"/>
        <v>0</v>
      </c>
      <c r="P1131" s="386">
        <f t="shared" si="428"/>
        <v>0</v>
      </c>
      <c r="Q1131" s="386">
        <f>SUM(E1131:P1131)</f>
        <v>0</v>
      </c>
    </row>
    <row r="1132" spans="1:17" s="216" customFormat="1" x14ac:dyDescent="0.2">
      <c r="A1132" s="242"/>
      <c r="D1132" s="267"/>
      <c r="F1132" s="269"/>
      <c r="G1132" s="418"/>
      <c r="H1132" s="269"/>
      <c r="I1132" s="272"/>
      <c r="J1132" s="269"/>
      <c r="K1132" s="269"/>
      <c r="L1132" s="269"/>
      <c r="M1132" s="269"/>
      <c r="N1132" s="269"/>
      <c r="O1132" s="269"/>
      <c r="P1132" s="269"/>
    </row>
    <row r="1133" spans="1:17" s="216" customFormat="1" x14ac:dyDescent="0.2">
      <c r="A1133" s="242">
        <f>A1131+1</f>
        <v>27</v>
      </c>
      <c r="C1133" s="216" t="s">
        <v>206</v>
      </c>
      <c r="D1133" s="267"/>
      <c r="E1133" s="272">
        <f>'C'!D355</f>
        <v>0</v>
      </c>
      <c r="F1133" s="272">
        <f>'C'!E355</f>
        <v>0</v>
      </c>
      <c r="G1133" s="272">
        <f>'C'!F355</f>
        <v>0</v>
      </c>
      <c r="H1133" s="272">
        <f>'C'!G355</f>
        <v>0</v>
      </c>
      <c r="I1133" s="272">
        <f>'C'!H355</f>
        <v>0</v>
      </c>
      <c r="J1133" s="272">
        <f>'C'!I355</f>
        <v>0</v>
      </c>
      <c r="K1133" s="272">
        <f>'C'!J355</f>
        <v>0</v>
      </c>
      <c r="L1133" s="272">
        <f>'C'!K355</f>
        <v>0</v>
      </c>
      <c r="M1133" s="272">
        <f>'C'!L355</f>
        <v>0</v>
      </c>
      <c r="N1133" s="272">
        <f>'C'!M355</f>
        <v>0</v>
      </c>
      <c r="O1133" s="272">
        <f>'C'!N355</f>
        <v>0</v>
      </c>
      <c r="P1133" s="272">
        <f>'C'!O355</f>
        <v>0</v>
      </c>
      <c r="Q1133" s="272">
        <f>SUM(E1133:P1133)</f>
        <v>0</v>
      </c>
    </row>
    <row r="1134" spans="1:17" s="216" customFormat="1" x14ac:dyDescent="0.2">
      <c r="A1134" s="242">
        <f>A1133+1</f>
        <v>28</v>
      </c>
      <c r="C1134" s="267" t="s">
        <v>204</v>
      </c>
      <c r="D1134" s="609">
        <f>Input!Q47</f>
        <v>0</v>
      </c>
      <c r="E1134" s="386">
        <f t="shared" ref="E1134:P1134" si="429">ROUND(E1133*$D$1134,2)</f>
        <v>0</v>
      </c>
      <c r="F1134" s="386">
        <f t="shared" si="429"/>
        <v>0</v>
      </c>
      <c r="G1134" s="386">
        <f t="shared" si="429"/>
        <v>0</v>
      </c>
      <c r="H1134" s="386">
        <f t="shared" si="429"/>
        <v>0</v>
      </c>
      <c r="I1134" s="386">
        <f t="shared" si="429"/>
        <v>0</v>
      </c>
      <c r="J1134" s="386">
        <f t="shared" si="429"/>
        <v>0</v>
      </c>
      <c r="K1134" s="386">
        <f t="shared" si="429"/>
        <v>0</v>
      </c>
      <c r="L1134" s="386">
        <f t="shared" si="429"/>
        <v>0</v>
      </c>
      <c r="M1134" s="386">
        <f t="shared" si="429"/>
        <v>0</v>
      </c>
      <c r="N1134" s="386">
        <f t="shared" si="429"/>
        <v>0</v>
      </c>
      <c r="O1134" s="386">
        <f t="shared" si="429"/>
        <v>0</v>
      </c>
      <c r="P1134" s="386">
        <f t="shared" si="429"/>
        <v>0</v>
      </c>
      <c r="Q1134" s="386">
        <f>SUM(E1134:P1134)</f>
        <v>0</v>
      </c>
    </row>
    <row r="1135" spans="1:17" s="216" customFormat="1" x14ac:dyDescent="0.2">
      <c r="A1135" s="242"/>
      <c r="C1135" s="267"/>
      <c r="D1135" s="267"/>
      <c r="F1135" s="269"/>
      <c r="G1135" s="418"/>
      <c r="H1135" s="269"/>
      <c r="I1135" s="272"/>
      <c r="J1135" s="269"/>
      <c r="K1135" s="269"/>
      <c r="L1135" s="269"/>
      <c r="M1135" s="269"/>
      <c r="N1135" s="269"/>
      <c r="O1135" s="269"/>
      <c r="P1135" s="269"/>
      <c r="Q1135" s="456"/>
    </row>
    <row r="1136" spans="1:17" s="216" customFormat="1" x14ac:dyDescent="0.2">
      <c r="A1136" s="242">
        <f>A1134+1</f>
        <v>29</v>
      </c>
      <c r="C1136" s="267" t="s">
        <v>201</v>
      </c>
      <c r="D1136" s="267"/>
      <c r="E1136" s="386">
        <f t="shared" ref="E1136:P1136" si="430">E1130+E1131+E1134</f>
        <v>0</v>
      </c>
      <c r="F1136" s="386">
        <f t="shared" si="430"/>
        <v>0</v>
      </c>
      <c r="G1136" s="386">
        <f t="shared" si="430"/>
        <v>0</v>
      </c>
      <c r="H1136" s="386">
        <f t="shared" si="430"/>
        <v>0</v>
      </c>
      <c r="I1136" s="386">
        <f t="shared" si="430"/>
        <v>0</v>
      </c>
      <c r="J1136" s="386">
        <f t="shared" si="430"/>
        <v>0</v>
      </c>
      <c r="K1136" s="386">
        <f t="shared" si="430"/>
        <v>0</v>
      </c>
      <c r="L1136" s="386">
        <f t="shared" si="430"/>
        <v>0</v>
      </c>
      <c r="M1136" s="386">
        <f t="shared" si="430"/>
        <v>0</v>
      </c>
      <c r="N1136" s="386">
        <f t="shared" si="430"/>
        <v>0</v>
      </c>
      <c r="O1136" s="386">
        <f t="shared" si="430"/>
        <v>0</v>
      </c>
      <c r="P1136" s="386">
        <f t="shared" si="430"/>
        <v>0</v>
      </c>
      <c r="Q1136" s="386">
        <f>SUM(E1136:P1136)</f>
        <v>0</v>
      </c>
    </row>
    <row r="1137" spans="1:17" s="216" customFormat="1" x14ac:dyDescent="0.2">
      <c r="A1137" s="242"/>
      <c r="C1137" s="267"/>
      <c r="D1137" s="267"/>
      <c r="F1137" s="269"/>
      <c r="G1137" s="418"/>
      <c r="H1137" s="269"/>
      <c r="I1137" s="272"/>
      <c r="J1137" s="269"/>
      <c r="K1137" s="269"/>
      <c r="L1137" s="269"/>
      <c r="M1137" s="269"/>
      <c r="N1137" s="269"/>
      <c r="O1137" s="269"/>
      <c r="P1137" s="269"/>
      <c r="Q1137" s="456"/>
    </row>
    <row r="1138" spans="1:17" s="216" customFormat="1" x14ac:dyDescent="0.2">
      <c r="A1138" s="242">
        <f>A1136+1</f>
        <v>30</v>
      </c>
      <c r="C1138" s="216" t="s">
        <v>148</v>
      </c>
      <c r="D1138" s="609">
        <v>0</v>
      </c>
      <c r="E1138" s="386">
        <v>0</v>
      </c>
      <c r="F1138" s="386">
        <v>0</v>
      </c>
      <c r="G1138" s="386">
        <v>0</v>
      </c>
      <c r="H1138" s="386">
        <v>0</v>
      </c>
      <c r="I1138" s="386">
        <v>0</v>
      </c>
      <c r="J1138" s="386">
        <v>0</v>
      </c>
      <c r="K1138" s="386">
        <v>0</v>
      </c>
      <c r="L1138" s="386">
        <v>0</v>
      </c>
      <c r="M1138" s="386">
        <v>0</v>
      </c>
      <c r="N1138" s="386">
        <v>0</v>
      </c>
      <c r="O1138" s="386">
        <v>0</v>
      </c>
      <c r="P1138" s="386">
        <v>0</v>
      </c>
      <c r="Q1138" s="386">
        <f>SUM(E1138:P1138)</f>
        <v>0</v>
      </c>
    </row>
    <row r="1139" spans="1:17" s="216" customFormat="1" x14ac:dyDescent="0.2">
      <c r="A1139" s="242"/>
      <c r="D1139" s="267"/>
      <c r="F1139" s="269"/>
      <c r="G1139" s="418"/>
      <c r="H1139" s="269"/>
      <c r="I1139" s="272"/>
      <c r="J1139" s="269"/>
      <c r="K1139" s="269"/>
      <c r="L1139" s="269"/>
      <c r="M1139" s="269"/>
      <c r="N1139" s="269"/>
      <c r="O1139" s="269"/>
      <c r="P1139" s="269"/>
      <c r="Q1139" s="418"/>
    </row>
    <row r="1140" spans="1:17" s="216" customFormat="1" ht="10.5" thickBot="1" x14ac:dyDescent="0.25">
      <c r="A1140" s="580">
        <f>A1138+1</f>
        <v>31</v>
      </c>
      <c r="B1140" s="434"/>
      <c r="C1140" s="581" t="s">
        <v>202</v>
      </c>
      <c r="D1140" s="582"/>
      <c r="E1140" s="435">
        <f t="shared" ref="E1140:P1140" si="431">E1136+E1138</f>
        <v>0</v>
      </c>
      <c r="F1140" s="435">
        <f t="shared" si="431"/>
        <v>0</v>
      </c>
      <c r="G1140" s="435">
        <f t="shared" si="431"/>
        <v>0</v>
      </c>
      <c r="H1140" s="435">
        <f t="shared" si="431"/>
        <v>0</v>
      </c>
      <c r="I1140" s="435">
        <f t="shared" si="431"/>
        <v>0</v>
      </c>
      <c r="J1140" s="435">
        <f t="shared" si="431"/>
        <v>0</v>
      </c>
      <c r="K1140" s="435">
        <f t="shared" si="431"/>
        <v>0</v>
      </c>
      <c r="L1140" s="435">
        <f t="shared" si="431"/>
        <v>0</v>
      </c>
      <c r="M1140" s="435">
        <f t="shared" si="431"/>
        <v>0</v>
      </c>
      <c r="N1140" s="435">
        <f t="shared" si="431"/>
        <v>0</v>
      </c>
      <c r="O1140" s="435">
        <f t="shared" si="431"/>
        <v>0</v>
      </c>
      <c r="P1140" s="435">
        <f t="shared" si="431"/>
        <v>0</v>
      </c>
      <c r="Q1140" s="435">
        <f>SUM(E1140:P1140)</f>
        <v>0</v>
      </c>
    </row>
    <row r="1141" spans="1:17" s="216" customFormat="1" ht="10.5" thickTop="1" x14ac:dyDescent="0.2">
      <c r="A1141" s="242"/>
      <c r="D1141" s="267"/>
      <c r="F1141" s="269"/>
      <c r="G1141" s="418"/>
      <c r="H1141" s="269"/>
      <c r="I1141" s="272"/>
      <c r="J1141" s="269"/>
      <c r="K1141" s="269"/>
      <c r="L1141" s="269"/>
      <c r="M1141" s="269"/>
      <c r="N1141" s="269"/>
      <c r="O1141" s="269"/>
      <c r="P1141" s="269"/>
      <c r="Q1141" s="418"/>
    </row>
    <row r="1142" spans="1:17" s="216" customFormat="1" x14ac:dyDescent="0.2">
      <c r="A1142" s="242"/>
      <c r="D1142" s="267"/>
      <c r="F1142" s="269"/>
      <c r="G1142" s="418"/>
      <c r="H1142" s="269"/>
      <c r="I1142" s="272"/>
      <c r="J1142" s="269"/>
      <c r="K1142" s="269"/>
      <c r="L1142" s="269"/>
      <c r="M1142" s="269"/>
      <c r="N1142" s="269"/>
      <c r="O1142" s="269"/>
      <c r="P1142" s="269"/>
    </row>
    <row r="1143" spans="1:17" s="216" customFormat="1" x14ac:dyDescent="0.2">
      <c r="A1143" s="504" t="str">
        <f>$A$265</f>
        <v>[1] Reflects Normalized Volumes.</v>
      </c>
      <c r="D1143" s="267"/>
      <c r="F1143" s="269"/>
      <c r="G1143" s="418"/>
      <c r="H1143" s="269"/>
      <c r="I1143" s="272"/>
      <c r="J1143" s="269"/>
      <c r="K1143" s="269"/>
      <c r="L1143" s="269"/>
      <c r="M1143" s="269"/>
      <c r="N1143" s="269"/>
      <c r="O1143" s="269"/>
      <c r="P1143" s="269"/>
    </row>
    <row r="1144" spans="1:17" s="216" customFormat="1" ht="10.5" x14ac:dyDescent="0.25">
      <c r="A1144" s="817" t="str">
        <f>CONAME</f>
        <v>Columbia Gas of Kentucky, Inc.</v>
      </c>
      <c r="B1144" s="817"/>
      <c r="C1144" s="817"/>
      <c r="D1144" s="817"/>
      <c r="E1144" s="817"/>
      <c r="F1144" s="817"/>
      <c r="G1144" s="817"/>
      <c r="H1144" s="817"/>
      <c r="I1144" s="817"/>
      <c r="J1144" s="817"/>
      <c r="K1144" s="817"/>
      <c r="L1144" s="817"/>
      <c r="M1144" s="817"/>
      <c r="N1144" s="817"/>
      <c r="O1144" s="817"/>
      <c r="P1144" s="817"/>
      <c r="Q1144" s="817"/>
    </row>
    <row r="1145" spans="1:17" s="216" customFormat="1" ht="10.5" x14ac:dyDescent="0.25">
      <c r="A1145" s="800" t="str">
        <f>case</f>
        <v>Case No. 2021-00183</v>
      </c>
      <c r="B1145" s="800"/>
      <c r="C1145" s="800"/>
      <c r="D1145" s="800"/>
      <c r="E1145" s="800"/>
      <c r="F1145" s="800"/>
      <c r="G1145" s="800"/>
      <c r="H1145" s="800"/>
      <c r="I1145" s="800"/>
      <c r="J1145" s="800"/>
      <c r="K1145" s="800"/>
      <c r="L1145" s="800"/>
      <c r="M1145" s="800"/>
      <c r="N1145" s="800"/>
      <c r="O1145" s="800"/>
      <c r="P1145" s="800"/>
      <c r="Q1145" s="800"/>
    </row>
    <row r="1146" spans="1:17" s="216" customFormat="1" ht="10.5" x14ac:dyDescent="0.25">
      <c r="A1146" s="815" t="s">
        <v>197</v>
      </c>
      <c r="B1146" s="815"/>
      <c r="C1146" s="815"/>
      <c r="D1146" s="815"/>
      <c r="E1146" s="815"/>
      <c r="F1146" s="815"/>
      <c r="G1146" s="815"/>
      <c r="H1146" s="815"/>
      <c r="I1146" s="815"/>
      <c r="J1146" s="815"/>
      <c r="K1146" s="815"/>
      <c r="L1146" s="815"/>
      <c r="M1146" s="815"/>
      <c r="N1146" s="815"/>
      <c r="O1146" s="815"/>
      <c r="P1146" s="815"/>
      <c r="Q1146" s="815"/>
    </row>
    <row r="1147" spans="1:17" s="216" customFormat="1" ht="10.5" x14ac:dyDescent="0.25">
      <c r="A1147" s="817" t="str">
        <f>TYDESC</f>
        <v>For the 12 Months Ended December 31, 2022</v>
      </c>
      <c r="B1147" s="817"/>
      <c r="C1147" s="817"/>
      <c r="D1147" s="817"/>
      <c r="E1147" s="817"/>
      <c r="F1147" s="817"/>
      <c r="G1147" s="817"/>
      <c r="H1147" s="817"/>
      <c r="I1147" s="817"/>
      <c r="J1147" s="817"/>
      <c r="K1147" s="817"/>
      <c r="L1147" s="817"/>
      <c r="M1147" s="817"/>
      <c r="N1147" s="817"/>
      <c r="O1147" s="817"/>
      <c r="P1147" s="817"/>
      <c r="Q1147" s="817"/>
    </row>
    <row r="1148" spans="1:17" s="216" customFormat="1" ht="10.5" x14ac:dyDescent="0.25">
      <c r="A1148" s="814" t="s">
        <v>39</v>
      </c>
      <c r="B1148" s="814"/>
      <c r="C1148" s="814"/>
      <c r="D1148" s="814"/>
      <c r="E1148" s="814"/>
      <c r="F1148" s="814"/>
      <c r="G1148" s="814"/>
      <c r="H1148" s="814"/>
      <c r="I1148" s="814"/>
      <c r="J1148" s="814"/>
      <c r="K1148" s="814"/>
      <c r="L1148" s="814"/>
      <c r="M1148" s="814"/>
      <c r="N1148" s="814"/>
      <c r="O1148" s="814"/>
      <c r="P1148" s="814"/>
      <c r="Q1148" s="814"/>
    </row>
    <row r="1149" spans="1:17" s="216" customFormat="1" ht="10.5" x14ac:dyDescent="0.25">
      <c r="A1149" s="575" t="str">
        <f>$A$52</f>
        <v>Data: __ Base Period _X_ Forecasted Period</v>
      </c>
      <c r="D1149" s="267"/>
      <c r="F1149" s="269"/>
      <c r="G1149" s="418"/>
      <c r="H1149" s="269"/>
      <c r="I1149" s="272"/>
      <c r="J1149" s="269"/>
      <c r="K1149" s="269"/>
      <c r="L1149" s="269"/>
      <c r="M1149" s="269"/>
      <c r="N1149" s="269"/>
      <c r="O1149" s="269"/>
      <c r="P1149" s="269"/>
    </row>
    <row r="1150" spans="1:17" s="216" customFormat="1" ht="10.5" x14ac:dyDescent="0.25">
      <c r="A1150" s="575" t="str">
        <f>$A$53</f>
        <v>Type of Filing: X Original _ Update _ Revised</v>
      </c>
      <c r="D1150" s="267"/>
      <c r="F1150" s="269"/>
      <c r="G1150" s="418"/>
      <c r="H1150" s="269"/>
      <c r="I1150" s="272"/>
      <c r="J1150" s="269"/>
      <c r="K1150" s="269"/>
      <c r="L1150" s="269"/>
      <c r="M1150" s="269"/>
      <c r="N1150" s="269"/>
      <c r="O1150" s="269"/>
      <c r="P1150" s="269"/>
      <c r="Q1150" s="583" t="str">
        <f>$Q$53</f>
        <v>Schedule M-2.3</v>
      </c>
    </row>
    <row r="1151" spans="1:17" s="216" customFormat="1" ht="10.5" x14ac:dyDescent="0.25">
      <c r="A1151" s="575" t="str">
        <f>$A$54</f>
        <v>Work Paper Reference No(s):</v>
      </c>
      <c r="D1151" s="267"/>
      <c r="F1151" s="269"/>
      <c r="G1151" s="418"/>
      <c r="H1151" s="269"/>
      <c r="I1151" s="272"/>
      <c r="J1151" s="269"/>
      <c r="K1151" s="269"/>
      <c r="L1151" s="269"/>
      <c r="M1151" s="269"/>
      <c r="N1151" s="269"/>
      <c r="O1151" s="269"/>
      <c r="P1151" s="269"/>
      <c r="Q1151" s="583" t="s">
        <v>427</v>
      </c>
    </row>
    <row r="1152" spans="1:17" s="216" customFormat="1" ht="10.5" x14ac:dyDescent="0.25">
      <c r="A1152" s="576" t="str">
        <f>$A$55</f>
        <v>12 Months Forecasted</v>
      </c>
      <c r="D1152" s="267"/>
      <c r="F1152" s="269"/>
      <c r="G1152" s="418"/>
      <c r="H1152" s="269"/>
      <c r="I1152" s="272"/>
      <c r="J1152" s="269"/>
      <c r="K1152" s="269"/>
      <c r="L1152" s="269"/>
      <c r="M1152" s="269"/>
      <c r="N1152" s="269"/>
      <c r="O1152" s="269"/>
      <c r="P1152" s="269"/>
      <c r="Q1152" s="583" t="str">
        <f>Witness</f>
        <v>Witness:  Judith L. Siegler</v>
      </c>
    </row>
    <row r="1153" spans="1:17" s="216" customFormat="1" ht="10.5" x14ac:dyDescent="0.25">
      <c r="A1153" s="816" t="s">
        <v>291</v>
      </c>
      <c r="B1153" s="816"/>
      <c r="C1153" s="816"/>
      <c r="D1153" s="816"/>
      <c r="E1153" s="816"/>
      <c r="F1153" s="816"/>
      <c r="G1153" s="816"/>
      <c r="H1153" s="816"/>
      <c r="I1153" s="816"/>
      <c r="J1153" s="816"/>
      <c r="K1153" s="816"/>
      <c r="L1153" s="816"/>
      <c r="M1153" s="816"/>
      <c r="N1153" s="816"/>
      <c r="O1153" s="816"/>
      <c r="P1153" s="816"/>
      <c r="Q1153" s="816"/>
    </row>
    <row r="1154" spans="1:17" s="216" customFormat="1" ht="10.5" x14ac:dyDescent="0.25">
      <c r="A1154" s="219"/>
      <c r="B1154" s="280"/>
      <c r="C1154" s="280"/>
      <c r="D1154" s="282"/>
      <c r="E1154" s="280"/>
      <c r="F1154" s="438"/>
      <c r="G1154" s="439"/>
      <c r="H1154" s="438"/>
      <c r="I1154" s="440"/>
      <c r="J1154" s="438"/>
      <c r="K1154" s="438"/>
      <c r="L1154" s="438"/>
      <c r="M1154" s="438"/>
      <c r="N1154" s="438"/>
      <c r="O1154" s="438"/>
      <c r="P1154" s="438"/>
      <c r="Q1154" s="280"/>
    </row>
    <row r="1155" spans="1:17" s="216" customFormat="1" ht="10.5" x14ac:dyDescent="0.25">
      <c r="A1155" s="717" t="s">
        <v>1</v>
      </c>
      <c r="B1155" s="717" t="s">
        <v>0</v>
      </c>
      <c r="C1155" s="717" t="s">
        <v>41</v>
      </c>
      <c r="D1155" s="721" t="s">
        <v>30</v>
      </c>
      <c r="E1155" s="717"/>
      <c r="F1155" s="584"/>
      <c r="G1155" s="587"/>
      <c r="H1155" s="584"/>
      <c r="I1155" s="722"/>
      <c r="J1155" s="584"/>
      <c r="K1155" s="584"/>
      <c r="L1155" s="584"/>
      <c r="M1155" s="584"/>
      <c r="N1155" s="584"/>
      <c r="O1155" s="584"/>
      <c r="P1155" s="380"/>
      <c r="Q1155" s="723"/>
    </row>
    <row r="1156" spans="1:17" s="216" customFormat="1" ht="10.5" x14ac:dyDescent="0.25">
      <c r="A1156" s="263" t="s">
        <v>3</v>
      </c>
      <c r="B1156" s="263" t="s">
        <v>40</v>
      </c>
      <c r="C1156" s="263" t="s">
        <v>4</v>
      </c>
      <c r="D1156" s="379" t="s">
        <v>48</v>
      </c>
      <c r="E1156" s="380" t="str">
        <f>B!$D$11</f>
        <v>Jan-22</v>
      </c>
      <c r="F1156" s="380" t="str">
        <f>B!$E$11</f>
        <v>Feb-22</v>
      </c>
      <c r="G1156" s="380" t="str">
        <f>B!$F$11</f>
        <v>Mar-22</v>
      </c>
      <c r="H1156" s="380" t="str">
        <f>B!$G$11</f>
        <v>Apr-22</v>
      </c>
      <c r="I1156" s="380" t="str">
        <f>B!$H$11</f>
        <v>May-22</v>
      </c>
      <c r="J1156" s="380" t="str">
        <f>B!$I$11</f>
        <v>Jun-22</v>
      </c>
      <c r="K1156" s="380" t="str">
        <f>B!$J$11</f>
        <v>Jul-22</v>
      </c>
      <c r="L1156" s="380" t="str">
        <f>B!$K$11</f>
        <v>Aug-22</v>
      </c>
      <c r="M1156" s="380" t="str">
        <f>B!$L$11</f>
        <v>Sep-22</v>
      </c>
      <c r="N1156" s="380" t="str">
        <f>B!$M$11</f>
        <v>Oct-22</v>
      </c>
      <c r="O1156" s="380" t="str">
        <f>B!$N$11</f>
        <v>Nov-22</v>
      </c>
      <c r="P1156" s="380" t="str">
        <f>B!$O$11</f>
        <v>Dec-22</v>
      </c>
      <c r="Q1156" s="380" t="s">
        <v>9</v>
      </c>
    </row>
    <row r="1157" spans="1:17" s="216" customFormat="1" ht="20.149999999999999" customHeight="1" x14ac:dyDescent="0.25">
      <c r="A1157" s="717"/>
      <c r="B1157" s="719" t="s">
        <v>42</v>
      </c>
      <c r="C1157" s="719" t="s">
        <v>43</v>
      </c>
      <c r="D1157" s="382" t="s">
        <v>45</v>
      </c>
      <c r="E1157" s="383" t="s">
        <v>46</v>
      </c>
      <c r="F1157" s="383" t="s">
        <v>49</v>
      </c>
      <c r="G1157" s="383" t="s">
        <v>50</v>
      </c>
      <c r="H1157" s="383" t="s">
        <v>51</v>
      </c>
      <c r="I1157" s="383" t="s">
        <v>52</v>
      </c>
      <c r="J1157" s="384" t="s">
        <v>53</v>
      </c>
      <c r="K1157" s="384" t="s">
        <v>54</v>
      </c>
      <c r="L1157" s="384" t="s">
        <v>55</v>
      </c>
      <c r="M1157" s="384" t="s">
        <v>56</v>
      </c>
      <c r="N1157" s="384" t="s">
        <v>57</v>
      </c>
      <c r="O1157" s="384" t="s">
        <v>58</v>
      </c>
      <c r="P1157" s="384" t="s">
        <v>59</v>
      </c>
      <c r="Q1157" s="384" t="s">
        <v>200</v>
      </c>
    </row>
    <row r="1158" spans="1:17" s="216" customFormat="1" ht="10.5" x14ac:dyDescent="0.25">
      <c r="A1158" s="242"/>
      <c r="D1158" s="267"/>
      <c r="E1158" s="723"/>
      <c r="F1158" s="588"/>
      <c r="G1158" s="585"/>
      <c r="H1158" s="588"/>
      <c r="I1158" s="586"/>
      <c r="J1158" s="588"/>
      <c r="K1158" s="588"/>
      <c r="L1158" s="588"/>
      <c r="M1158" s="588"/>
      <c r="N1158" s="588"/>
      <c r="O1158" s="588"/>
      <c r="P1158" s="588"/>
      <c r="Q1158" s="723"/>
    </row>
    <row r="1159" spans="1:17" s="216" customFormat="1" x14ac:dyDescent="0.2">
      <c r="A1159" s="242">
        <v>1</v>
      </c>
      <c r="B1159" s="216" t="str">
        <f>B313</f>
        <v>FX5</v>
      </c>
      <c r="C1159" s="216" t="str">
        <f>C313</f>
        <v>GTS Flex Rate - Industrial</v>
      </c>
      <c r="D1159" s="267"/>
      <c r="F1159" s="269"/>
      <c r="G1159" s="418"/>
      <c r="H1159" s="269"/>
      <c r="I1159" s="272"/>
      <c r="J1159" s="269"/>
      <c r="K1159" s="269"/>
      <c r="L1159" s="269"/>
      <c r="M1159" s="269"/>
      <c r="N1159" s="269"/>
      <c r="O1159" s="269"/>
      <c r="P1159" s="269"/>
    </row>
    <row r="1160" spans="1:17" s="216" customFormat="1" x14ac:dyDescent="0.2">
      <c r="A1160" s="242"/>
      <c r="D1160" s="267"/>
      <c r="F1160" s="269"/>
      <c r="G1160" s="418"/>
      <c r="H1160" s="269"/>
      <c r="I1160" s="272"/>
      <c r="J1160" s="269"/>
      <c r="K1160" s="269"/>
      <c r="L1160" s="269"/>
      <c r="M1160" s="269"/>
      <c r="N1160" s="269"/>
      <c r="O1160" s="269"/>
      <c r="P1160" s="269"/>
    </row>
    <row r="1161" spans="1:17" s="216" customFormat="1" ht="10.5" x14ac:dyDescent="0.25">
      <c r="A1161" s="242">
        <f>A1159+1</f>
        <v>2</v>
      </c>
      <c r="C1161" s="245" t="s">
        <v>112</v>
      </c>
      <c r="D1161" s="267"/>
      <c r="F1161" s="269"/>
      <c r="G1161" s="418"/>
      <c r="H1161" s="269"/>
      <c r="I1161" s="272"/>
      <c r="J1161" s="269"/>
      <c r="K1161" s="269"/>
      <c r="L1161" s="269"/>
      <c r="M1161" s="269"/>
      <c r="N1161" s="269"/>
      <c r="O1161" s="269"/>
      <c r="P1161" s="269"/>
    </row>
    <row r="1162" spans="1:17" s="216" customFormat="1" ht="10.5" x14ac:dyDescent="0.25">
      <c r="A1162" s="242"/>
      <c r="C1162" s="245"/>
      <c r="D1162" s="267"/>
      <c r="F1162" s="269"/>
      <c r="G1162" s="418"/>
      <c r="H1162" s="269"/>
      <c r="I1162" s="272"/>
      <c r="J1162" s="269"/>
      <c r="K1162" s="269"/>
      <c r="L1162" s="269"/>
      <c r="M1162" s="269"/>
      <c r="N1162" s="269"/>
      <c r="O1162" s="269"/>
      <c r="P1162" s="269"/>
    </row>
    <row r="1163" spans="1:17" s="216" customFormat="1" x14ac:dyDescent="0.2">
      <c r="A1163" s="242">
        <f>A1161+1</f>
        <v>3</v>
      </c>
      <c r="C1163" s="216" t="s">
        <v>199</v>
      </c>
      <c r="D1163" s="267"/>
      <c r="E1163" s="421">
        <f>B!D240</f>
        <v>3</v>
      </c>
      <c r="F1163" s="421">
        <f>B!E240</f>
        <v>3</v>
      </c>
      <c r="G1163" s="421">
        <f>B!F240</f>
        <v>3</v>
      </c>
      <c r="H1163" s="421">
        <f>B!G240</f>
        <v>3</v>
      </c>
      <c r="I1163" s="421">
        <f>B!H240</f>
        <v>3</v>
      </c>
      <c r="J1163" s="421">
        <f>B!I240</f>
        <v>3</v>
      </c>
      <c r="K1163" s="421">
        <f>B!J240</f>
        <v>3</v>
      </c>
      <c r="L1163" s="421">
        <f>B!K240</f>
        <v>3</v>
      </c>
      <c r="M1163" s="421">
        <f>B!L240</f>
        <v>3</v>
      </c>
      <c r="N1163" s="421">
        <f>B!M240</f>
        <v>3</v>
      </c>
      <c r="O1163" s="421">
        <f>B!N240</f>
        <v>3</v>
      </c>
      <c r="P1163" s="421">
        <f>B!O240</f>
        <v>3</v>
      </c>
      <c r="Q1163" s="421">
        <f>SUM(E1163:P1163)</f>
        <v>36</v>
      </c>
    </row>
    <row r="1164" spans="1:17" s="216" customFormat="1" x14ac:dyDescent="0.2">
      <c r="A1164" s="242">
        <f>A1163+1</f>
        <v>4</v>
      </c>
      <c r="C1164" s="216" t="s">
        <v>207</v>
      </c>
      <c r="D1164" s="608">
        <f>Input!V48</f>
        <v>255.9</v>
      </c>
      <c r="E1164" s="386">
        <f t="shared" ref="E1164:P1164" si="432">ROUND(E1163*$D$1164,2)</f>
        <v>767.7</v>
      </c>
      <c r="F1164" s="386">
        <f t="shared" si="432"/>
        <v>767.7</v>
      </c>
      <c r="G1164" s="386">
        <f t="shared" si="432"/>
        <v>767.7</v>
      </c>
      <c r="H1164" s="386">
        <f t="shared" si="432"/>
        <v>767.7</v>
      </c>
      <c r="I1164" s="386">
        <f t="shared" si="432"/>
        <v>767.7</v>
      </c>
      <c r="J1164" s="386">
        <f t="shared" si="432"/>
        <v>767.7</v>
      </c>
      <c r="K1164" s="386">
        <f t="shared" si="432"/>
        <v>767.7</v>
      </c>
      <c r="L1164" s="386">
        <f t="shared" si="432"/>
        <v>767.7</v>
      </c>
      <c r="M1164" s="386">
        <f t="shared" si="432"/>
        <v>767.7</v>
      </c>
      <c r="N1164" s="386">
        <f t="shared" si="432"/>
        <v>767.7</v>
      </c>
      <c r="O1164" s="386">
        <f t="shared" si="432"/>
        <v>767.7</v>
      </c>
      <c r="P1164" s="386">
        <f t="shared" si="432"/>
        <v>767.7</v>
      </c>
      <c r="Q1164" s="386">
        <f>SUM(E1164:P1164)</f>
        <v>9212.4</v>
      </c>
    </row>
    <row r="1165" spans="1:17" s="216" customFormat="1" x14ac:dyDescent="0.2">
      <c r="A1165" s="242">
        <f>A1164+1</f>
        <v>5</v>
      </c>
      <c r="C1165" s="216" t="s">
        <v>214</v>
      </c>
      <c r="D1165" s="608">
        <f>Input!W48</f>
        <v>0</v>
      </c>
      <c r="E1165" s="386">
        <f t="shared" ref="E1165:P1165" si="433">ROUND(E1163*$D$1165,2)</f>
        <v>0</v>
      </c>
      <c r="F1165" s="386">
        <f t="shared" si="433"/>
        <v>0</v>
      </c>
      <c r="G1165" s="386">
        <f t="shared" si="433"/>
        <v>0</v>
      </c>
      <c r="H1165" s="386">
        <f t="shared" si="433"/>
        <v>0</v>
      </c>
      <c r="I1165" s="386">
        <f t="shared" si="433"/>
        <v>0</v>
      </c>
      <c r="J1165" s="386">
        <f t="shared" si="433"/>
        <v>0</v>
      </c>
      <c r="K1165" s="386">
        <f t="shared" si="433"/>
        <v>0</v>
      </c>
      <c r="L1165" s="386">
        <f t="shared" si="433"/>
        <v>0</v>
      </c>
      <c r="M1165" s="386">
        <f t="shared" si="433"/>
        <v>0</v>
      </c>
      <c r="N1165" s="386">
        <f t="shared" si="433"/>
        <v>0</v>
      </c>
      <c r="O1165" s="386">
        <f t="shared" si="433"/>
        <v>0</v>
      </c>
      <c r="P1165" s="386">
        <f t="shared" si="433"/>
        <v>0</v>
      </c>
      <c r="Q1165" s="386">
        <f>SUM(E1165:P1165)</f>
        <v>0</v>
      </c>
    </row>
    <row r="1166" spans="1:17" s="216" customFormat="1" x14ac:dyDescent="0.2">
      <c r="A1166" s="242"/>
      <c r="D1166" s="267"/>
      <c r="F1166" s="269"/>
      <c r="G1166" s="418"/>
      <c r="H1166" s="269"/>
      <c r="I1166" s="272"/>
      <c r="J1166" s="269"/>
      <c r="K1166" s="269"/>
      <c r="L1166" s="269"/>
      <c r="M1166" s="269"/>
      <c r="N1166" s="269"/>
      <c r="O1166" s="269"/>
      <c r="P1166" s="269"/>
    </row>
    <row r="1167" spans="1:17" s="216" customFormat="1" x14ac:dyDescent="0.2">
      <c r="A1167" s="242">
        <f>A1165+1</f>
        <v>6</v>
      </c>
      <c r="C1167" s="216" t="s">
        <v>206</v>
      </c>
      <c r="D1167" s="267"/>
      <c r="E1167" s="272">
        <f>'C'!D358</f>
        <v>696800</v>
      </c>
      <c r="F1167" s="272">
        <f>'C'!E358</f>
        <v>607600</v>
      </c>
      <c r="G1167" s="272">
        <f>'C'!F358</f>
        <v>636000</v>
      </c>
      <c r="H1167" s="272">
        <f>'C'!G358</f>
        <v>527800</v>
      </c>
      <c r="I1167" s="272">
        <f>'C'!H358</f>
        <v>421300</v>
      </c>
      <c r="J1167" s="272">
        <f>'C'!I358</f>
        <v>410800</v>
      </c>
      <c r="K1167" s="272">
        <f>'C'!J358</f>
        <v>448700</v>
      </c>
      <c r="L1167" s="272">
        <f>'C'!K358</f>
        <v>454200</v>
      </c>
      <c r="M1167" s="272">
        <f>'C'!L358</f>
        <v>506900</v>
      </c>
      <c r="N1167" s="272">
        <f>'C'!M358</f>
        <v>620500</v>
      </c>
      <c r="O1167" s="272">
        <f>'C'!N358</f>
        <v>642500</v>
      </c>
      <c r="P1167" s="272">
        <f>'C'!O358</f>
        <v>738400</v>
      </c>
      <c r="Q1167" s="272">
        <f>SUM(E1167:P1167)</f>
        <v>6711500</v>
      </c>
    </row>
    <row r="1168" spans="1:17" s="216" customFormat="1" x14ac:dyDescent="0.2">
      <c r="A1168" s="242">
        <f>A1167+1</f>
        <v>7</v>
      </c>
      <c r="C1168" s="267" t="s">
        <v>204</v>
      </c>
      <c r="D1168" s="609">
        <f>Input!Q48</f>
        <v>8.5800000000000001E-2</v>
      </c>
      <c r="E1168" s="386">
        <f t="shared" ref="E1168:P1168" si="434">ROUND(E1167*$D$1168,2)</f>
        <v>59785.440000000002</v>
      </c>
      <c r="F1168" s="386">
        <f t="shared" si="434"/>
        <v>52132.08</v>
      </c>
      <c r="G1168" s="386">
        <f t="shared" si="434"/>
        <v>54568.800000000003</v>
      </c>
      <c r="H1168" s="386">
        <f t="shared" si="434"/>
        <v>45285.24</v>
      </c>
      <c r="I1168" s="386">
        <f t="shared" si="434"/>
        <v>36147.54</v>
      </c>
      <c r="J1168" s="386">
        <f t="shared" si="434"/>
        <v>35246.639999999999</v>
      </c>
      <c r="K1168" s="386">
        <f t="shared" si="434"/>
        <v>38498.46</v>
      </c>
      <c r="L1168" s="386">
        <f t="shared" si="434"/>
        <v>38970.36</v>
      </c>
      <c r="M1168" s="386">
        <f t="shared" si="434"/>
        <v>43492.02</v>
      </c>
      <c r="N1168" s="386">
        <f t="shared" si="434"/>
        <v>53238.9</v>
      </c>
      <c r="O1168" s="386">
        <f t="shared" si="434"/>
        <v>55126.5</v>
      </c>
      <c r="P1168" s="386">
        <f t="shared" si="434"/>
        <v>63354.720000000001</v>
      </c>
      <c r="Q1168" s="386">
        <f>SUM(E1168:P1168)</f>
        <v>575846.70000000007</v>
      </c>
    </row>
    <row r="1169" spans="1:17" s="216" customFormat="1" x14ac:dyDescent="0.2">
      <c r="A1169" s="242"/>
      <c r="C1169" s="267"/>
      <c r="D1169" s="267"/>
      <c r="F1169" s="269"/>
      <c r="G1169" s="418"/>
      <c r="H1169" s="269"/>
      <c r="I1169" s="272"/>
      <c r="J1169" s="269"/>
      <c r="K1169" s="269"/>
      <c r="L1169" s="269"/>
      <c r="M1169" s="269"/>
      <c r="N1169" s="269"/>
      <c r="O1169" s="269"/>
      <c r="P1169" s="269"/>
      <c r="Q1169" s="456"/>
    </row>
    <row r="1170" spans="1:17" s="216" customFormat="1" x14ac:dyDescent="0.2">
      <c r="A1170" s="242">
        <f>A1168+1</f>
        <v>8</v>
      </c>
      <c r="C1170" s="267" t="s">
        <v>201</v>
      </c>
      <c r="D1170" s="267"/>
      <c r="E1170" s="386">
        <f t="shared" ref="E1170:P1170" si="435">E1164+E1165+E1168</f>
        <v>60553.14</v>
      </c>
      <c r="F1170" s="386">
        <f t="shared" si="435"/>
        <v>52899.78</v>
      </c>
      <c r="G1170" s="386">
        <f t="shared" si="435"/>
        <v>55336.5</v>
      </c>
      <c r="H1170" s="386">
        <f t="shared" si="435"/>
        <v>46052.939999999995</v>
      </c>
      <c r="I1170" s="386">
        <f t="shared" si="435"/>
        <v>36915.24</v>
      </c>
      <c r="J1170" s="386">
        <f t="shared" si="435"/>
        <v>36014.339999999997</v>
      </c>
      <c r="K1170" s="386">
        <f t="shared" si="435"/>
        <v>39266.159999999996</v>
      </c>
      <c r="L1170" s="386">
        <f t="shared" si="435"/>
        <v>39738.06</v>
      </c>
      <c r="M1170" s="386">
        <f t="shared" si="435"/>
        <v>44259.719999999994</v>
      </c>
      <c r="N1170" s="386">
        <f t="shared" si="435"/>
        <v>54006.6</v>
      </c>
      <c r="O1170" s="386">
        <f t="shared" si="435"/>
        <v>55894.2</v>
      </c>
      <c r="P1170" s="386">
        <f t="shared" si="435"/>
        <v>64122.42</v>
      </c>
      <c r="Q1170" s="386">
        <f>SUM(E1170:P1170)</f>
        <v>585059.09999999986</v>
      </c>
    </row>
    <row r="1171" spans="1:17" s="216" customFormat="1" x14ac:dyDescent="0.2">
      <c r="A1171" s="242"/>
      <c r="C1171" s="267"/>
      <c r="D1171" s="267"/>
      <c r="F1171" s="269"/>
      <c r="G1171" s="418"/>
      <c r="H1171" s="269"/>
      <c r="I1171" s="272"/>
      <c r="J1171" s="269"/>
      <c r="K1171" s="269"/>
      <c r="L1171" s="269"/>
      <c r="M1171" s="269"/>
      <c r="N1171" s="269"/>
      <c r="O1171" s="269"/>
      <c r="P1171" s="269"/>
      <c r="Q1171" s="456"/>
    </row>
    <row r="1172" spans="1:17" s="216" customFormat="1" x14ac:dyDescent="0.2">
      <c r="A1172" s="242">
        <f>A1170+1</f>
        <v>9</v>
      </c>
      <c r="C1172" s="216" t="s">
        <v>148</v>
      </c>
      <c r="D1172" s="609">
        <v>0</v>
      </c>
      <c r="E1172" s="386">
        <v>0</v>
      </c>
      <c r="F1172" s="386">
        <v>0</v>
      </c>
      <c r="G1172" s="386">
        <v>0</v>
      </c>
      <c r="H1172" s="386">
        <v>0</v>
      </c>
      <c r="I1172" s="386">
        <v>0</v>
      </c>
      <c r="J1172" s="386">
        <v>0</v>
      </c>
      <c r="K1172" s="386">
        <v>0</v>
      </c>
      <c r="L1172" s="386">
        <v>0</v>
      </c>
      <c r="M1172" s="386">
        <v>0</v>
      </c>
      <c r="N1172" s="386">
        <v>0</v>
      </c>
      <c r="O1172" s="386">
        <v>0</v>
      </c>
      <c r="P1172" s="386">
        <v>0</v>
      </c>
      <c r="Q1172" s="386">
        <f>SUM(E1172:P1172)</f>
        <v>0</v>
      </c>
    </row>
    <row r="1173" spans="1:17" s="216" customFormat="1" x14ac:dyDescent="0.2">
      <c r="A1173" s="242"/>
      <c r="D1173" s="267"/>
      <c r="F1173" s="269"/>
      <c r="G1173" s="418"/>
      <c r="H1173" s="269"/>
      <c r="I1173" s="272"/>
      <c r="J1173" s="269"/>
      <c r="K1173" s="269"/>
      <c r="L1173" s="269"/>
      <c r="M1173" s="269"/>
      <c r="N1173" s="269"/>
      <c r="O1173" s="269"/>
      <c r="P1173" s="269"/>
      <c r="Q1173" s="418"/>
    </row>
    <row r="1174" spans="1:17" s="216" customFormat="1" ht="10.5" thickBot="1" x14ac:dyDescent="0.25">
      <c r="A1174" s="580">
        <f>A1172+1</f>
        <v>10</v>
      </c>
      <c r="B1174" s="434"/>
      <c r="C1174" s="581" t="s">
        <v>202</v>
      </c>
      <c r="D1174" s="582"/>
      <c r="E1174" s="435">
        <f t="shared" ref="E1174:P1174" si="436">E1170+E1172</f>
        <v>60553.14</v>
      </c>
      <c r="F1174" s="435">
        <f t="shared" si="436"/>
        <v>52899.78</v>
      </c>
      <c r="G1174" s="435">
        <f t="shared" si="436"/>
        <v>55336.5</v>
      </c>
      <c r="H1174" s="435">
        <f t="shared" si="436"/>
        <v>46052.939999999995</v>
      </c>
      <c r="I1174" s="435">
        <f t="shared" si="436"/>
        <v>36915.24</v>
      </c>
      <c r="J1174" s="435">
        <f t="shared" si="436"/>
        <v>36014.339999999997</v>
      </c>
      <c r="K1174" s="435">
        <f t="shared" si="436"/>
        <v>39266.159999999996</v>
      </c>
      <c r="L1174" s="435">
        <f t="shared" si="436"/>
        <v>39738.06</v>
      </c>
      <c r="M1174" s="435">
        <f t="shared" si="436"/>
        <v>44259.719999999994</v>
      </c>
      <c r="N1174" s="435">
        <f t="shared" si="436"/>
        <v>54006.6</v>
      </c>
      <c r="O1174" s="435">
        <f t="shared" si="436"/>
        <v>55894.2</v>
      </c>
      <c r="P1174" s="435">
        <f t="shared" si="436"/>
        <v>64122.42</v>
      </c>
      <c r="Q1174" s="435">
        <f>SUM(E1174:P1174)</f>
        <v>585059.09999999986</v>
      </c>
    </row>
    <row r="1175" spans="1:17" s="216" customFormat="1" ht="10.5" thickTop="1" x14ac:dyDescent="0.2">
      <c r="A1175" s="242"/>
      <c r="D1175" s="267"/>
      <c r="F1175" s="269"/>
      <c r="G1175" s="418"/>
      <c r="H1175" s="269"/>
      <c r="I1175" s="272"/>
      <c r="J1175" s="269"/>
      <c r="K1175" s="269"/>
      <c r="L1175" s="269"/>
      <c r="M1175" s="269"/>
      <c r="N1175" s="269"/>
      <c r="O1175" s="269"/>
      <c r="P1175" s="269"/>
      <c r="Q1175" s="418"/>
    </row>
    <row r="1176" spans="1:17" s="216" customFormat="1" x14ac:dyDescent="0.2">
      <c r="A1176" s="242"/>
      <c r="D1176" s="267"/>
      <c r="F1176" s="269"/>
      <c r="G1176" s="418"/>
      <c r="H1176" s="269"/>
      <c r="I1176" s="272"/>
      <c r="J1176" s="269"/>
      <c r="K1176" s="269"/>
      <c r="L1176" s="269"/>
      <c r="M1176" s="269"/>
      <c r="N1176" s="269"/>
      <c r="O1176" s="269"/>
      <c r="P1176" s="269"/>
    </row>
    <row r="1177" spans="1:17" s="216" customFormat="1" x14ac:dyDescent="0.2">
      <c r="A1177" s="242">
        <f>A1174+1</f>
        <v>11</v>
      </c>
      <c r="B1177" s="216" t="str">
        <f>B320</f>
        <v>FX7</v>
      </c>
      <c r="C1177" s="216" t="str">
        <f>C320</f>
        <v>GTS Flex Rate - Industrial</v>
      </c>
      <c r="D1177" s="267"/>
      <c r="F1177" s="269"/>
      <c r="G1177" s="418"/>
      <c r="H1177" s="269"/>
      <c r="I1177" s="272"/>
      <c r="J1177" s="269"/>
      <c r="K1177" s="269"/>
      <c r="L1177" s="269"/>
      <c r="M1177" s="269"/>
      <c r="N1177" s="269"/>
      <c r="O1177" s="269"/>
      <c r="P1177" s="269"/>
    </row>
    <row r="1178" spans="1:17" s="216" customFormat="1" x14ac:dyDescent="0.2">
      <c r="A1178" s="242"/>
      <c r="D1178" s="267"/>
      <c r="F1178" s="269"/>
      <c r="G1178" s="418"/>
      <c r="H1178" s="269"/>
      <c r="I1178" s="272"/>
      <c r="J1178" s="269"/>
      <c r="K1178" s="269"/>
      <c r="L1178" s="269"/>
      <c r="M1178" s="269"/>
      <c r="N1178" s="269"/>
      <c r="O1178" s="269"/>
      <c r="P1178" s="269"/>
    </row>
    <row r="1179" spans="1:17" s="216" customFormat="1" ht="10.5" x14ac:dyDescent="0.25">
      <c r="A1179" s="242">
        <f>A1177+1</f>
        <v>12</v>
      </c>
      <c r="C1179" s="245" t="s">
        <v>112</v>
      </c>
      <c r="D1179" s="267"/>
      <c r="F1179" s="269"/>
      <c r="G1179" s="418"/>
      <c r="H1179" s="269"/>
      <c r="I1179" s="272"/>
      <c r="J1179" s="269"/>
      <c r="K1179" s="269"/>
      <c r="L1179" s="269"/>
      <c r="M1179" s="269"/>
      <c r="N1179" s="269"/>
      <c r="O1179" s="269"/>
      <c r="P1179" s="269"/>
    </row>
    <row r="1180" spans="1:17" s="216" customFormat="1" ht="10.5" x14ac:dyDescent="0.25">
      <c r="A1180" s="242"/>
      <c r="C1180" s="245"/>
      <c r="D1180" s="267"/>
      <c r="F1180" s="269"/>
      <c r="G1180" s="418"/>
      <c r="H1180" s="269"/>
      <c r="I1180" s="272"/>
      <c r="J1180" s="269"/>
      <c r="K1180" s="269"/>
      <c r="L1180" s="269"/>
      <c r="M1180" s="269"/>
      <c r="N1180" s="269"/>
      <c r="O1180" s="269"/>
      <c r="P1180" s="269"/>
    </row>
    <row r="1181" spans="1:17" s="216" customFormat="1" x14ac:dyDescent="0.2">
      <c r="A1181" s="242">
        <f>A1179+1</f>
        <v>13</v>
      </c>
      <c r="C1181" s="216" t="s">
        <v>199</v>
      </c>
      <c r="D1181" s="267"/>
      <c r="E1181" s="421">
        <f>B!D246</f>
        <v>0</v>
      </c>
      <c r="F1181" s="421">
        <f>B!E246</f>
        <v>0</v>
      </c>
      <c r="G1181" s="421">
        <f>B!F246</f>
        <v>0</v>
      </c>
      <c r="H1181" s="421">
        <f>B!G246</f>
        <v>0</v>
      </c>
      <c r="I1181" s="421">
        <f>B!H246</f>
        <v>0</v>
      </c>
      <c r="J1181" s="421">
        <f>B!I246</f>
        <v>0</v>
      </c>
      <c r="K1181" s="421">
        <f>B!J246</f>
        <v>0</v>
      </c>
      <c r="L1181" s="421">
        <f>B!K246</f>
        <v>0</v>
      </c>
      <c r="M1181" s="421">
        <f>B!L246</f>
        <v>0</v>
      </c>
      <c r="N1181" s="421">
        <f>B!M246</f>
        <v>0</v>
      </c>
      <c r="O1181" s="421">
        <f>B!N246</f>
        <v>0</v>
      </c>
      <c r="P1181" s="421">
        <f>B!O246</f>
        <v>0</v>
      </c>
      <c r="Q1181" s="421">
        <f>SUM(E1181:P1181)</f>
        <v>0</v>
      </c>
    </row>
    <row r="1182" spans="1:17" s="216" customFormat="1" x14ac:dyDescent="0.2">
      <c r="A1182" s="242">
        <f>A1181+1</f>
        <v>14</v>
      </c>
      <c r="C1182" s="216" t="s">
        <v>207</v>
      </c>
      <c r="D1182" s="608">
        <f>Input!V49</f>
        <v>0</v>
      </c>
      <c r="E1182" s="386">
        <f t="shared" ref="E1182:P1182" si="437">ROUND(E1181*$D$1182,2)</f>
        <v>0</v>
      </c>
      <c r="F1182" s="386">
        <f t="shared" si="437"/>
        <v>0</v>
      </c>
      <c r="G1182" s="386">
        <f t="shared" si="437"/>
        <v>0</v>
      </c>
      <c r="H1182" s="386">
        <f t="shared" si="437"/>
        <v>0</v>
      </c>
      <c r="I1182" s="386">
        <f t="shared" si="437"/>
        <v>0</v>
      </c>
      <c r="J1182" s="386">
        <f t="shared" si="437"/>
        <v>0</v>
      </c>
      <c r="K1182" s="386">
        <f t="shared" si="437"/>
        <v>0</v>
      </c>
      <c r="L1182" s="386">
        <f t="shared" si="437"/>
        <v>0</v>
      </c>
      <c r="M1182" s="386">
        <f t="shared" si="437"/>
        <v>0</v>
      </c>
      <c r="N1182" s="386">
        <f t="shared" si="437"/>
        <v>0</v>
      </c>
      <c r="O1182" s="386">
        <f t="shared" si="437"/>
        <v>0</v>
      </c>
      <c r="P1182" s="386">
        <f t="shared" si="437"/>
        <v>0</v>
      </c>
      <c r="Q1182" s="386">
        <f>SUM(E1182:P1182)</f>
        <v>0</v>
      </c>
    </row>
    <row r="1183" spans="1:17" s="216" customFormat="1" x14ac:dyDescent="0.2">
      <c r="A1183" s="242">
        <f>A1182+1</f>
        <v>15</v>
      </c>
      <c r="C1183" s="216" t="s">
        <v>214</v>
      </c>
      <c r="D1183" s="608">
        <f>Input!W49</f>
        <v>0</v>
      </c>
      <c r="E1183" s="386">
        <f t="shared" ref="E1183:P1183" si="438">ROUND(E1181*$D$1183,2)</f>
        <v>0</v>
      </c>
      <c r="F1183" s="386">
        <f t="shared" si="438"/>
        <v>0</v>
      </c>
      <c r="G1183" s="386">
        <f t="shared" si="438"/>
        <v>0</v>
      </c>
      <c r="H1183" s="386">
        <f t="shared" si="438"/>
        <v>0</v>
      </c>
      <c r="I1183" s="386">
        <f t="shared" si="438"/>
        <v>0</v>
      </c>
      <c r="J1183" s="386">
        <f t="shared" si="438"/>
        <v>0</v>
      </c>
      <c r="K1183" s="386">
        <f t="shared" si="438"/>
        <v>0</v>
      </c>
      <c r="L1183" s="386">
        <f t="shared" si="438"/>
        <v>0</v>
      </c>
      <c r="M1183" s="386">
        <f t="shared" si="438"/>
        <v>0</v>
      </c>
      <c r="N1183" s="386">
        <f t="shared" si="438"/>
        <v>0</v>
      </c>
      <c r="O1183" s="386">
        <f t="shared" si="438"/>
        <v>0</v>
      </c>
      <c r="P1183" s="386">
        <f t="shared" si="438"/>
        <v>0</v>
      </c>
      <c r="Q1183" s="386">
        <f>SUM(E1183:P1183)</f>
        <v>0</v>
      </c>
    </row>
    <row r="1184" spans="1:17" s="216" customFormat="1" x14ac:dyDescent="0.2">
      <c r="A1184" s="242"/>
      <c r="D1184" s="267"/>
      <c r="F1184" s="269"/>
      <c r="G1184" s="418"/>
      <c r="H1184" s="269"/>
      <c r="I1184" s="272"/>
      <c r="J1184" s="269"/>
      <c r="K1184" s="269"/>
      <c r="L1184" s="269"/>
      <c r="M1184" s="269"/>
      <c r="N1184" s="269"/>
      <c r="O1184" s="269"/>
      <c r="P1184" s="269"/>
    </row>
    <row r="1185" spans="1:17" s="216" customFormat="1" x14ac:dyDescent="0.2">
      <c r="A1185" s="242">
        <f>A1183+1</f>
        <v>16</v>
      </c>
      <c r="C1185" s="216" t="s">
        <v>206</v>
      </c>
      <c r="D1185" s="267"/>
      <c r="F1185" s="269"/>
      <c r="G1185" s="418"/>
      <c r="H1185" s="269"/>
      <c r="I1185" s="272"/>
      <c r="J1185" s="269"/>
      <c r="K1185" s="269"/>
      <c r="L1185" s="269"/>
      <c r="M1185" s="269"/>
      <c r="N1185" s="269"/>
      <c r="O1185" s="269"/>
      <c r="P1185" s="269"/>
    </row>
    <row r="1186" spans="1:17" s="216" customFormat="1" x14ac:dyDescent="0.2">
      <c r="A1186" s="242">
        <f>A1185+1</f>
        <v>17</v>
      </c>
      <c r="C1186" s="267" t="str">
        <f>'C'!B364</f>
        <v xml:space="preserve">    First 25,000 Mcf</v>
      </c>
      <c r="D1186" s="609"/>
      <c r="E1186" s="272">
        <f>'C'!D372</f>
        <v>0</v>
      </c>
      <c r="F1186" s="272">
        <f>'C'!E372</f>
        <v>0</v>
      </c>
      <c r="G1186" s="272">
        <f>'C'!F372</f>
        <v>0</v>
      </c>
      <c r="H1186" s="272">
        <f>'C'!G372</f>
        <v>0</v>
      </c>
      <c r="I1186" s="272">
        <f>'C'!H372</f>
        <v>0</v>
      </c>
      <c r="J1186" s="272">
        <f>'C'!I372</f>
        <v>0</v>
      </c>
      <c r="K1186" s="272">
        <f>'C'!J372</f>
        <v>0</v>
      </c>
      <c r="L1186" s="272">
        <f>'C'!K372</f>
        <v>0</v>
      </c>
      <c r="M1186" s="272">
        <f>'C'!L372</f>
        <v>0</v>
      </c>
      <c r="N1186" s="272">
        <f>'C'!M372</f>
        <v>0</v>
      </c>
      <c r="O1186" s="272">
        <f>'C'!N372</f>
        <v>0</v>
      </c>
      <c r="P1186" s="272">
        <f>'C'!O372</f>
        <v>0</v>
      </c>
      <c r="Q1186" s="272">
        <f>SUM(E1186:P1186)</f>
        <v>0</v>
      </c>
    </row>
    <row r="1187" spans="1:17" s="216" customFormat="1" x14ac:dyDescent="0.2">
      <c r="A1187" s="242">
        <f>A1186+1</f>
        <v>18</v>
      </c>
      <c r="C1187" s="267" t="str">
        <f>'C'!B365</f>
        <v xml:space="preserve">    Over 25,000 Mcf</v>
      </c>
      <c r="E1187" s="448">
        <f>'C'!D373</f>
        <v>0</v>
      </c>
      <c r="F1187" s="448">
        <f>'C'!E373</f>
        <v>0</v>
      </c>
      <c r="G1187" s="448">
        <f>'C'!F373</f>
        <v>0</v>
      </c>
      <c r="H1187" s="448">
        <f>'C'!G373</f>
        <v>0</v>
      </c>
      <c r="I1187" s="448">
        <f>'C'!H373</f>
        <v>0</v>
      </c>
      <c r="J1187" s="448">
        <f>'C'!I373</f>
        <v>0</v>
      </c>
      <c r="K1187" s="448">
        <f>'C'!J373</f>
        <v>0</v>
      </c>
      <c r="L1187" s="448">
        <f>'C'!K373</f>
        <v>0</v>
      </c>
      <c r="M1187" s="448">
        <f>'C'!L373</f>
        <v>0</v>
      </c>
      <c r="N1187" s="448">
        <f>'C'!M373</f>
        <v>0</v>
      </c>
      <c r="O1187" s="448">
        <f>'C'!N373</f>
        <v>0</v>
      </c>
      <c r="P1187" s="448">
        <f>'C'!O373</f>
        <v>0</v>
      </c>
      <c r="Q1187" s="448">
        <f>SUM(E1187:P1187)</f>
        <v>0</v>
      </c>
    </row>
    <row r="1188" spans="1:17" s="216" customFormat="1" x14ac:dyDescent="0.2">
      <c r="A1188" s="242"/>
      <c r="C1188" s="267"/>
      <c r="D1188" s="274"/>
      <c r="E1188" s="272">
        <f t="shared" ref="E1188:P1188" si="439">SUM(E1186:E1187)</f>
        <v>0</v>
      </c>
      <c r="F1188" s="272">
        <f t="shared" si="439"/>
        <v>0</v>
      </c>
      <c r="G1188" s="272">
        <f t="shared" si="439"/>
        <v>0</v>
      </c>
      <c r="H1188" s="272">
        <f t="shared" si="439"/>
        <v>0</v>
      </c>
      <c r="I1188" s="272">
        <f t="shared" si="439"/>
        <v>0</v>
      </c>
      <c r="J1188" s="272">
        <f t="shared" si="439"/>
        <v>0</v>
      </c>
      <c r="K1188" s="272">
        <f t="shared" si="439"/>
        <v>0</v>
      </c>
      <c r="L1188" s="272">
        <f t="shared" si="439"/>
        <v>0</v>
      </c>
      <c r="M1188" s="272">
        <f t="shared" si="439"/>
        <v>0</v>
      </c>
      <c r="N1188" s="272">
        <f t="shared" si="439"/>
        <v>0</v>
      </c>
      <c r="O1188" s="272">
        <f t="shared" si="439"/>
        <v>0</v>
      </c>
      <c r="P1188" s="272">
        <f t="shared" si="439"/>
        <v>0</v>
      </c>
      <c r="Q1188" s="272">
        <f>SUM(E1188:P1188)</f>
        <v>0</v>
      </c>
    </row>
    <row r="1189" spans="1:17" s="216" customFormat="1" x14ac:dyDescent="0.2">
      <c r="A1189" s="242">
        <f>A1187+1</f>
        <v>19</v>
      </c>
      <c r="C1189" s="267" t="s">
        <v>204</v>
      </c>
      <c r="D1189" s="267"/>
      <c r="E1189" s="274"/>
      <c r="F1189" s="455"/>
      <c r="G1189" s="456"/>
      <c r="H1189" s="455"/>
      <c r="I1189" s="448"/>
      <c r="J1189" s="455"/>
      <c r="K1189" s="455"/>
      <c r="L1189" s="455"/>
      <c r="M1189" s="455"/>
      <c r="N1189" s="455"/>
      <c r="O1189" s="455"/>
      <c r="P1189" s="455"/>
      <c r="Q1189" s="418"/>
    </row>
    <row r="1190" spans="1:17" s="216" customFormat="1" x14ac:dyDescent="0.2">
      <c r="A1190" s="242">
        <f>A1189+1</f>
        <v>20</v>
      </c>
      <c r="C1190" s="267" t="str">
        <f>C1186</f>
        <v xml:space="preserve">    First 25,000 Mcf</v>
      </c>
      <c r="D1190" s="609">
        <f>Input!Q49</f>
        <v>0</v>
      </c>
      <c r="E1190" s="386">
        <f t="shared" ref="E1190:P1190" si="440">ROUND(E1186*$D$1190,2)</f>
        <v>0</v>
      </c>
      <c r="F1190" s="386">
        <f t="shared" si="440"/>
        <v>0</v>
      </c>
      <c r="G1190" s="386">
        <f t="shared" si="440"/>
        <v>0</v>
      </c>
      <c r="H1190" s="386">
        <f t="shared" si="440"/>
        <v>0</v>
      </c>
      <c r="I1190" s="386">
        <f t="shared" si="440"/>
        <v>0</v>
      </c>
      <c r="J1190" s="386">
        <f t="shared" si="440"/>
        <v>0</v>
      </c>
      <c r="K1190" s="386">
        <f t="shared" si="440"/>
        <v>0</v>
      </c>
      <c r="L1190" s="386">
        <f t="shared" si="440"/>
        <v>0</v>
      </c>
      <c r="M1190" s="386">
        <f t="shared" si="440"/>
        <v>0</v>
      </c>
      <c r="N1190" s="386">
        <f t="shared" si="440"/>
        <v>0</v>
      </c>
      <c r="O1190" s="386">
        <f t="shared" si="440"/>
        <v>0</v>
      </c>
      <c r="P1190" s="386">
        <f t="shared" si="440"/>
        <v>0</v>
      </c>
      <c r="Q1190" s="386">
        <f>SUM(E1190:P1190)</f>
        <v>0</v>
      </c>
    </row>
    <row r="1191" spans="1:17" s="216" customFormat="1" x14ac:dyDescent="0.2">
      <c r="A1191" s="242">
        <f>A1190+1</f>
        <v>21</v>
      </c>
      <c r="C1191" s="267" t="str">
        <f>C1187</f>
        <v xml:space="preserve">    Over 25,000 Mcf</v>
      </c>
      <c r="D1191" s="609">
        <f>Input!R49</f>
        <v>0</v>
      </c>
      <c r="E1191" s="255">
        <f t="shared" ref="E1191:P1191" si="441">ROUND(E1187*$D$1191,2)</f>
        <v>0</v>
      </c>
      <c r="F1191" s="255">
        <f t="shared" si="441"/>
        <v>0</v>
      </c>
      <c r="G1191" s="255">
        <f t="shared" si="441"/>
        <v>0</v>
      </c>
      <c r="H1191" s="255">
        <f t="shared" si="441"/>
        <v>0</v>
      </c>
      <c r="I1191" s="255">
        <f t="shared" si="441"/>
        <v>0</v>
      </c>
      <c r="J1191" s="255">
        <f t="shared" si="441"/>
        <v>0</v>
      </c>
      <c r="K1191" s="255">
        <f t="shared" si="441"/>
        <v>0</v>
      </c>
      <c r="L1191" s="255">
        <f t="shared" si="441"/>
        <v>0</v>
      </c>
      <c r="M1191" s="255">
        <f t="shared" si="441"/>
        <v>0</v>
      </c>
      <c r="N1191" s="255">
        <f t="shared" si="441"/>
        <v>0</v>
      </c>
      <c r="O1191" s="255">
        <f t="shared" si="441"/>
        <v>0</v>
      </c>
      <c r="P1191" s="255">
        <f t="shared" si="441"/>
        <v>0</v>
      </c>
      <c r="Q1191" s="255">
        <f>SUM(E1191:P1191)</f>
        <v>0</v>
      </c>
    </row>
    <row r="1192" spans="1:17" s="216" customFormat="1" x14ac:dyDescent="0.2">
      <c r="A1192" s="242"/>
      <c r="C1192" s="267"/>
      <c r="D1192" s="267"/>
      <c r="E1192" s="386">
        <f t="shared" ref="E1192:P1192" si="442">SUM(E1190:E1191)</f>
        <v>0</v>
      </c>
      <c r="F1192" s="386">
        <f t="shared" si="442"/>
        <v>0</v>
      </c>
      <c r="G1192" s="386">
        <f t="shared" si="442"/>
        <v>0</v>
      </c>
      <c r="H1192" s="386">
        <f t="shared" si="442"/>
        <v>0</v>
      </c>
      <c r="I1192" s="386">
        <f t="shared" si="442"/>
        <v>0</v>
      </c>
      <c r="J1192" s="386">
        <f t="shared" si="442"/>
        <v>0</v>
      </c>
      <c r="K1192" s="386">
        <f t="shared" si="442"/>
        <v>0</v>
      </c>
      <c r="L1192" s="386">
        <f t="shared" si="442"/>
        <v>0</v>
      </c>
      <c r="M1192" s="386">
        <f t="shared" si="442"/>
        <v>0</v>
      </c>
      <c r="N1192" s="386">
        <f t="shared" si="442"/>
        <v>0</v>
      </c>
      <c r="O1192" s="386">
        <f t="shared" si="442"/>
        <v>0</v>
      </c>
      <c r="P1192" s="386">
        <f t="shared" si="442"/>
        <v>0</v>
      </c>
      <c r="Q1192" s="386">
        <f>SUM(E1192:P1192)</f>
        <v>0</v>
      </c>
    </row>
    <row r="1193" spans="1:17" s="216" customFormat="1" x14ac:dyDescent="0.2">
      <c r="A1193" s="242"/>
      <c r="C1193" s="267"/>
      <c r="D1193" s="267"/>
      <c r="E1193" s="274"/>
      <c r="F1193" s="455"/>
      <c r="G1193" s="456"/>
      <c r="H1193" s="455"/>
      <c r="I1193" s="448"/>
      <c r="J1193" s="455"/>
      <c r="K1193" s="455"/>
      <c r="L1193" s="455"/>
      <c r="M1193" s="455"/>
      <c r="N1193" s="455"/>
      <c r="O1193" s="455"/>
      <c r="P1193" s="455"/>
      <c r="Q1193" s="418"/>
    </row>
    <row r="1194" spans="1:17" s="216" customFormat="1" x14ac:dyDescent="0.2">
      <c r="A1194" s="242">
        <f>A1191+1</f>
        <v>22</v>
      </c>
      <c r="C1194" s="267" t="s">
        <v>201</v>
      </c>
      <c r="D1194" s="267"/>
      <c r="E1194" s="386">
        <f t="shared" ref="E1194:P1194" si="443">E1182+E1183+E1192</f>
        <v>0</v>
      </c>
      <c r="F1194" s="386">
        <f t="shared" si="443"/>
        <v>0</v>
      </c>
      <c r="G1194" s="386">
        <f t="shared" si="443"/>
        <v>0</v>
      </c>
      <c r="H1194" s="386">
        <f t="shared" si="443"/>
        <v>0</v>
      </c>
      <c r="I1194" s="386">
        <f t="shared" si="443"/>
        <v>0</v>
      </c>
      <c r="J1194" s="386">
        <f t="shared" si="443"/>
        <v>0</v>
      </c>
      <c r="K1194" s="386">
        <f t="shared" si="443"/>
        <v>0</v>
      </c>
      <c r="L1194" s="386">
        <f t="shared" si="443"/>
        <v>0</v>
      </c>
      <c r="M1194" s="386">
        <f t="shared" si="443"/>
        <v>0</v>
      </c>
      <c r="N1194" s="386">
        <f t="shared" si="443"/>
        <v>0</v>
      </c>
      <c r="O1194" s="386">
        <f t="shared" si="443"/>
        <v>0</v>
      </c>
      <c r="P1194" s="386">
        <f t="shared" si="443"/>
        <v>0</v>
      </c>
      <c r="Q1194" s="386">
        <f>SUM(E1194:P1194)</f>
        <v>0</v>
      </c>
    </row>
    <row r="1195" spans="1:17" s="216" customFormat="1" x14ac:dyDescent="0.2">
      <c r="A1195" s="242"/>
      <c r="C1195" s="267"/>
      <c r="E1195" s="274"/>
      <c r="F1195" s="455"/>
      <c r="G1195" s="456"/>
      <c r="H1195" s="455"/>
      <c r="I1195" s="448"/>
      <c r="J1195" s="455"/>
      <c r="K1195" s="455"/>
      <c r="L1195" s="455"/>
      <c r="M1195" s="455"/>
      <c r="N1195" s="455"/>
      <c r="O1195" s="455"/>
      <c r="P1195" s="455"/>
      <c r="Q1195" s="418"/>
    </row>
    <row r="1196" spans="1:17" s="216" customFormat="1" x14ac:dyDescent="0.2">
      <c r="A1196" s="242">
        <f>A1194+1</f>
        <v>23</v>
      </c>
      <c r="C1196" s="216" t="s">
        <v>148</v>
      </c>
      <c r="D1196" s="609">
        <v>0</v>
      </c>
      <c r="E1196" s="386">
        <v>0</v>
      </c>
      <c r="F1196" s="386">
        <v>0</v>
      </c>
      <c r="G1196" s="386">
        <v>0</v>
      </c>
      <c r="H1196" s="386">
        <v>0</v>
      </c>
      <c r="I1196" s="386">
        <v>0</v>
      </c>
      <c r="J1196" s="386">
        <v>0</v>
      </c>
      <c r="K1196" s="386">
        <v>0</v>
      </c>
      <c r="L1196" s="386">
        <v>0</v>
      </c>
      <c r="M1196" s="386">
        <v>0</v>
      </c>
      <c r="N1196" s="386">
        <v>0</v>
      </c>
      <c r="O1196" s="386">
        <v>0</v>
      </c>
      <c r="P1196" s="386">
        <v>0</v>
      </c>
      <c r="Q1196" s="386">
        <f>SUM(E1196:P1196)</f>
        <v>0</v>
      </c>
    </row>
    <row r="1197" spans="1:17" s="216" customFormat="1" x14ac:dyDescent="0.2">
      <c r="A1197" s="242"/>
      <c r="D1197" s="267"/>
      <c r="F1197" s="269"/>
      <c r="G1197" s="418"/>
      <c r="H1197" s="269"/>
      <c r="I1197" s="272"/>
      <c r="J1197" s="269"/>
      <c r="K1197" s="269"/>
      <c r="L1197" s="269"/>
      <c r="M1197" s="269"/>
      <c r="N1197" s="269"/>
      <c r="O1197" s="269"/>
      <c r="P1197" s="269"/>
    </row>
    <row r="1198" spans="1:17" s="216" customFormat="1" ht="10.5" thickBot="1" x14ac:dyDescent="0.25">
      <c r="A1198" s="580">
        <f>A1196+1</f>
        <v>24</v>
      </c>
      <c r="B1198" s="434"/>
      <c r="C1198" s="581" t="s">
        <v>202</v>
      </c>
      <c r="D1198" s="582"/>
      <c r="E1198" s="435">
        <f t="shared" ref="E1198:P1198" si="444">E1194+E1196</f>
        <v>0</v>
      </c>
      <c r="F1198" s="435">
        <f t="shared" si="444"/>
        <v>0</v>
      </c>
      <c r="G1198" s="435">
        <f t="shared" si="444"/>
        <v>0</v>
      </c>
      <c r="H1198" s="435">
        <f t="shared" si="444"/>
        <v>0</v>
      </c>
      <c r="I1198" s="435">
        <f t="shared" si="444"/>
        <v>0</v>
      </c>
      <c r="J1198" s="435">
        <f t="shared" si="444"/>
        <v>0</v>
      </c>
      <c r="K1198" s="435">
        <f t="shared" si="444"/>
        <v>0</v>
      </c>
      <c r="L1198" s="435">
        <f t="shared" si="444"/>
        <v>0</v>
      </c>
      <c r="M1198" s="435">
        <f t="shared" si="444"/>
        <v>0</v>
      </c>
      <c r="N1198" s="435">
        <f t="shared" si="444"/>
        <v>0</v>
      </c>
      <c r="O1198" s="435">
        <f t="shared" si="444"/>
        <v>0</v>
      </c>
      <c r="P1198" s="435">
        <f t="shared" si="444"/>
        <v>0</v>
      </c>
      <c r="Q1198" s="435">
        <f>SUM(E1198:P1198)</f>
        <v>0</v>
      </c>
    </row>
    <row r="1199" spans="1:17" s="216" customFormat="1" ht="10.5" thickTop="1" x14ac:dyDescent="0.2">
      <c r="A1199" s="242"/>
      <c r="C1199" s="280"/>
      <c r="D1199" s="267"/>
      <c r="F1199" s="269"/>
      <c r="G1199" s="418"/>
      <c r="H1199" s="269"/>
      <c r="I1199" s="272"/>
      <c r="J1199" s="269"/>
      <c r="K1199" s="269"/>
      <c r="L1199" s="269"/>
      <c r="M1199" s="269"/>
      <c r="N1199" s="269"/>
      <c r="O1199" s="269"/>
      <c r="P1199" s="269"/>
      <c r="Q1199" s="418"/>
    </row>
    <row r="1200" spans="1:17" s="216" customFormat="1" x14ac:dyDescent="0.2">
      <c r="A1200" s="242"/>
      <c r="D1200" s="267"/>
      <c r="F1200" s="269"/>
      <c r="G1200" s="418"/>
      <c r="H1200" s="269"/>
      <c r="I1200" s="272"/>
      <c r="J1200" s="269"/>
      <c r="K1200" s="269"/>
      <c r="L1200" s="269"/>
      <c r="M1200" s="269"/>
      <c r="N1200" s="269"/>
      <c r="O1200" s="269"/>
      <c r="P1200" s="269"/>
    </row>
    <row r="1201" spans="1:17" s="216" customFormat="1" x14ac:dyDescent="0.2">
      <c r="A1201" s="504" t="str">
        <f>$A$265</f>
        <v>[1] Reflects Normalized Volumes.</v>
      </c>
      <c r="D1201" s="267"/>
      <c r="F1201" s="269"/>
      <c r="G1201" s="418"/>
      <c r="H1201" s="269"/>
      <c r="I1201" s="272"/>
      <c r="J1201" s="269"/>
      <c r="K1201" s="269"/>
      <c r="L1201" s="269"/>
      <c r="M1201" s="269"/>
      <c r="N1201" s="269"/>
      <c r="O1201" s="269"/>
      <c r="P1201" s="269"/>
    </row>
    <row r="1202" spans="1:17" s="216" customFormat="1" ht="10.5" x14ac:dyDescent="0.25">
      <c r="A1202" s="817" t="str">
        <f>CONAME</f>
        <v>Columbia Gas of Kentucky, Inc.</v>
      </c>
      <c r="B1202" s="817"/>
      <c r="C1202" s="817"/>
      <c r="D1202" s="817"/>
      <c r="E1202" s="817"/>
      <c r="F1202" s="817"/>
      <c r="G1202" s="817"/>
      <c r="H1202" s="817"/>
      <c r="I1202" s="817"/>
      <c r="J1202" s="817"/>
      <c r="K1202" s="817"/>
      <c r="L1202" s="817"/>
      <c r="M1202" s="817"/>
      <c r="N1202" s="817"/>
      <c r="O1202" s="817"/>
      <c r="P1202" s="817"/>
      <c r="Q1202" s="817"/>
    </row>
    <row r="1203" spans="1:17" s="216" customFormat="1" ht="10.5" x14ac:dyDescent="0.25">
      <c r="A1203" s="800" t="str">
        <f>case</f>
        <v>Case No. 2021-00183</v>
      </c>
      <c r="B1203" s="800"/>
      <c r="C1203" s="800"/>
      <c r="D1203" s="800"/>
      <c r="E1203" s="800"/>
      <c r="F1203" s="800"/>
      <c r="G1203" s="800"/>
      <c r="H1203" s="800"/>
      <c r="I1203" s="800"/>
      <c r="J1203" s="800"/>
      <c r="K1203" s="800"/>
      <c r="L1203" s="800"/>
      <c r="M1203" s="800"/>
      <c r="N1203" s="800"/>
      <c r="O1203" s="800"/>
      <c r="P1203" s="800"/>
      <c r="Q1203" s="800"/>
    </row>
    <row r="1204" spans="1:17" s="216" customFormat="1" ht="10.5" x14ac:dyDescent="0.25">
      <c r="A1204" s="815" t="s">
        <v>197</v>
      </c>
      <c r="B1204" s="815"/>
      <c r="C1204" s="815"/>
      <c r="D1204" s="815"/>
      <c r="E1204" s="815"/>
      <c r="F1204" s="815"/>
      <c r="G1204" s="815"/>
      <c r="H1204" s="815"/>
      <c r="I1204" s="815"/>
      <c r="J1204" s="815"/>
      <c r="K1204" s="815"/>
      <c r="L1204" s="815"/>
      <c r="M1204" s="815"/>
      <c r="N1204" s="815"/>
      <c r="O1204" s="815"/>
      <c r="P1204" s="815"/>
      <c r="Q1204" s="815"/>
    </row>
    <row r="1205" spans="1:17" s="216" customFormat="1" ht="10.5" x14ac:dyDescent="0.25">
      <c r="A1205" s="817" t="str">
        <f>TYDESC</f>
        <v>For the 12 Months Ended December 31, 2022</v>
      </c>
      <c r="B1205" s="817"/>
      <c r="C1205" s="817"/>
      <c r="D1205" s="817"/>
      <c r="E1205" s="817"/>
      <c r="F1205" s="817"/>
      <c r="G1205" s="817"/>
      <c r="H1205" s="817"/>
      <c r="I1205" s="817"/>
      <c r="J1205" s="817"/>
      <c r="K1205" s="817"/>
      <c r="L1205" s="817"/>
      <c r="M1205" s="817"/>
      <c r="N1205" s="817"/>
      <c r="O1205" s="817"/>
      <c r="P1205" s="817"/>
      <c r="Q1205" s="817"/>
    </row>
    <row r="1206" spans="1:17" s="216" customFormat="1" ht="10.5" x14ac:dyDescent="0.25">
      <c r="A1206" s="814" t="s">
        <v>39</v>
      </c>
      <c r="B1206" s="814"/>
      <c r="C1206" s="814"/>
      <c r="D1206" s="814"/>
      <c r="E1206" s="814"/>
      <c r="F1206" s="814"/>
      <c r="G1206" s="814"/>
      <c r="H1206" s="814"/>
      <c r="I1206" s="814"/>
      <c r="J1206" s="814"/>
      <c r="K1206" s="814"/>
      <c r="L1206" s="814"/>
      <c r="M1206" s="814"/>
      <c r="N1206" s="814"/>
      <c r="O1206" s="814"/>
      <c r="P1206" s="814"/>
      <c r="Q1206" s="814"/>
    </row>
    <row r="1207" spans="1:17" s="216" customFormat="1" ht="10.5" x14ac:dyDescent="0.25">
      <c r="A1207" s="575" t="str">
        <f>$A$52</f>
        <v>Data: __ Base Period _X_ Forecasted Period</v>
      </c>
      <c r="D1207" s="267"/>
      <c r="F1207" s="269"/>
      <c r="G1207" s="418"/>
      <c r="H1207" s="269"/>
      <c r="I1207" s="272"/>
      <c r="J1207" s="269"/>
      <c r="K1207" s="269"/>
      <c r="L1207" s="269"/>
      <c r="M1207" s="269"/>
      <c r="N1207" s="269"/>
      <c r="O1207" s="269"/>
      <c r="P1207" s="269"/>
    </row>
    <row r="1208" spans="1:17" s="216" customFormat="1" ht="10.5" x14ac:dyDescent="0.25">
      <c r="A1208" s="575" t="str">
        <f>$A$53</f>
        <v>Type of Filing: X Original _ Update _ Revised</v>
      </c>
      <c r="D1208" s="267"/>
      <c r="F1208" s="269"/>
      <c r="G1208" s="418"/>
      <c r="H1208" s="269"/>
      <c r="I1208" s="272"/>
      <c r="J1208" s="269"/>
      <c r="K1208" s="269"/>
      <c r="L1208" s="269"/>
      <c r="M1208" s="269"/>
      <c r="N1208" s="269"/>
      <c r="O1208" s="269"/>
      <c r="P1208" s="269"/>
      <c r="Q1208" s="583" t="str">
        <f>$Q$53</f>
        <v>Schedule M-2.3</v>
      </c>
    </row>
    <row r="1209" spans="1:17" s="216" customFormat="1" ht="10.5" x14ac:dyDescent="0.25">
      <c r="A1209" s="575" t="str">
        <f>$A$54</f>
        <v>Work Paper Reference No(s):</v>
      </c>
      <c r="D1209" s="267"/>
      <c r="F1209" s="269"/>
      <c r="G1209" s="418"/>
      <c r="H1209" s="269"/>
      <c r="I1209" s="272"/>
      <c r="J1209" s="269"/>
      <c r="K1209" s="269"/>
      <c r="L1209" s="269"/>
      <c r="M1209" s="269"/>
      <c r="N1209" s="269"/>
      <c r="O1209" s="269"/>
      <c r="P1209" s="269"/>
      <c r="Q1209" s="583" t="s">
        <v>428</v>
      </c>
    </row>
    <row r="1210" spans="1:17" s="216" customFormat="1" ht="10.5" x14ac:dyDescent="0.25">
      <c r="A1210" s="576" t="str">
        <f>$A$55</f>
        <v>12 Months Forecasted</v>
      </c>
      <c r="D1210" s="267"/>
      <c r="F1210" s="269"/>
      <c r="G1210" s="418"/>
      <c r="H1210" s="269"/>
      <c r="I1210" s="272"/>
      <c r="J1210" s="269"/>
      <c r="K1210" s="269"/>
      <c r="L1210" s="269"/>
      <c r="M1210" s="269"/>
      <c r="N1210" s="269"/>
      <c r="O1210" s="269"/>
      <c r="P1210" s="269"/>
      <c r="Q1210" s="583" t="str">
        <f>Witness</f>
        <v>Witness:  Judith L. Siegler</v>
      </c>
    </row>
    <row r="1211" spans="1:17" s="216" customFormat="1" ht="10.5" x14ac:dyDescent="0.25">
      <c r="A1211" s="816" t="s">
        <v>291</v>
      </c>
      <c r="B1211" s="816"/>
      <c r="C1211" s="816"/>
      <c r="D1211" s="816"/>
      <c r="E1211" s="816"/>
      <c r="F1211" s="816"/>
      <c r="G1211" s="816"/>
      <c r="H1211" s="816"/>
      <c r="I1211" s="816"/>
      <c r="J1211" s="816"/>
      <c r="K1211" s="816"/>
      <c r="L1211" s="816"/>
      <c r="M1211" s="816"/>
      <c r="N1211" s="816"/>
      <c r="O1211" s="816"/>
      <c r="P1211" s="816"/>
      <c r="Q1211" s="816"/>
    </row>
    <row r="1212" spans="1:17" s="216" customFormat="1" ht="10.5" x14ac:dyDescent="0.25">
      <c r="A1212" s="219"/>
      <c r="B1212" s="280"/>
      <c r="C1212" s="280"/>
      <c r="D1212" s="282"/>
      <c r="E1212" s="280"/>
      <c r="F1212" s="438"/>
      <c r="G1212" s="439"/>
      <c r="H1212" s="438"/>
      <c r="I1212" s="440"/>
      <c r="J1212" s="438"/>
      <c r="K1212" s="438"/>
      <c r="L1212" s="438"/>
      <c r="M1212" s="438"/>
      <c r="N1212" s="438"/>
      <c r="O1212" s="438"/>
      <c r="P1212" s="438"/>
      <c r="Q1212" s="280"/>
    </row>
    <row r="1213" spans="1:17" s="216" customFormat="1" ht="10.5" x14ac:dyDescent="0.25">
      <c r="A1213" s="717"/>
      <c r="B1213" s="717"/>
      <c r="C1213" s="717"/>
      <c r="D1213" s="721"/>
      <c r="E1213" s="717"/>
      <c r="F1213" s="584"/>
      <c r="G1213" s="587"/>
      <c r="H1213" s="584"/>
      <c r="I1213" s="722"/>
      <c r="J1213" s="584"/>
      <c r="K1213" s="584"/>
      <c r="L1213" s="584"/>
      <c r="M1213" s="584"/>
      <c r="N1213" s="584"/>
      <c r="O1213" s="584"/>
      <c r="P1213" s="584"/>
      <c r="Q1213" s="717"/>
    </row>
    <row r="1214" spans="1:17" s="216" customFormat="1" ht="10.5" x14ac:dyDescent="0.25">
      <c r="A1214" s="717" t="s">
        <v>1</v>
      </c>
      <c r="B1214" s="717" t="s">
        <v>0</v>
      </c>
      <c r="C1214" s="717" t="s">
        <v>41</v>
      </c>
      <c r="D1214" s="721" t="s">
        <v>30</v>
      </c>
      <c r="E1214" s="717"/>
      <c r="F1214" s="584"/>
      <c r="G1214" s="587"/>
      <c r="H1214" s="584"/>
      <c r="I1214" s="722"/>
      <c r="J1214" s="584"/>
      <c r="K1214" s="584"/>
      <c r="L1214" s="584"/>
      <c r="M1214" s="584"/>
      <c r="N1214" s="584"/>
      <c r="O1214" s="584"/>
      <c r="P1214" s="584"/>
      <c r="Q1214" s="723"/>
    </row>
    <row r="1215" spans="1:17" s="216" customFormat="1" ht="10.5" x14ac:dyDescent="0.25">
      <c r="A1215" s="263" t="s">
        <v>3</v>
      </c>
      <c r="B1215" s="263" t="s">
        <v>40</v>
      </c>
      <c r="C1215" s="263" t="s">
        <v>4</v>
      </c>
      <c r="D1215" s="379" t="s">
        <v>48</v>
      </c>
      <c r="E1215" s="380" t="str">
        <f>B!$D$11</f>
        <v>Jan-22</v>
      </c>
      <c r="F1215" s="380" t="str">
        <f>B!$E$11</f>
        <v>Feb-22</v>
      </c>
      <c r="G1215" s="380" t="str">
        <f>B!$F$11</f>
        <v>Mar-22</v>
      </c>
      <c r="H1215" s="380" t="str">
        <f>B!$G$11</f>
        <v>Apr-22</v>
      </c>
      <c r="I1215" s="380" t="str">
        <f>B!$H$11</f>
        <v>May-22</v>
      </c>
      <c r="J1215" s="380" t="str">
        <f>B!$I$11</f>
        <v>Jun-22</v>
      </c>
      <c r="K1215" s="380" t="str">
        <f>B!$J$11</f>
        <v>Jul-22</v>
      </c>
      <c r="L1215" s="380" t="str">
        <f>B!$K$11</f>
        <v>Aug-22</v>
      </c>
      <c r="M1215" s="380" t="str">
        <f>B!$L$11</f>
        <v>Sep-22</v>
      </c>
      <c r="N1215" s="380" t="str">
        <f>B!$M$11</f>
        <v>Oct-22</v>
      </c>
      <c r="O1215" s="380" t="str">
        <f>B!$N$11</f>
        <v>Nov-22</v>
      </c>
      <c r="P1215" s="380" t="str">
        <f>B!$O$11</f>
        <v>Dec-22</v>
      </c>
      <c r="Q1215" s="380" t="s">
        <v>9</v>
      </c>
    </row>
    <row r="1216" spans="1:17" s="216" customFormat="1" ht="10.5" x14ac:dyDescent="0.25">
      <c r="A1216" s="717"/>
      <c r="B1216" s="719" t="s">
        <v>42</v>
      </c>
      <c r="C1216" s="719" t="s">
        <v>43</v>
      </c>
      <c r="D1216" s="382" t="s">
        <v>45</v>
      </c>
      <c r="E1216" s="383" t="s">
        <v>46</v>
      </c>
      <c r="F1216" s="383" t="s">
        <v>49</v>
      </c>
      <c r="G1216" s="383" t="s">
        <v>50</v>
      </c>
      <c r="H1216" s="383" t="s">
        <v>51</v>
      </c>
      <c r="I1216" s="383" t="s">
        <v>52</v>
      </c>
      <c r="J1216" s="384" t="s">
        <v>53</v>
      </c>
      <c r="K1216" s="384" t="s">
        <v>54</v>
      </c>
      <c r="L1216" s="384" t="s">
        <v>55</v>
      </c>
      <c r="M1216" s="384" t="s">
        <v>56</v>
      </c>
      <c r="N1216" s="384" t="s">
        <v>57</v>
      </c>
      <c r="O1216" s="384" t="s">
        <v>58</v>
      </c>
      <c r="P1216" s="384" t="s">
        <v>59</v>
      </c>
      <c r="Q1216" s="384" t="s">
        <v>200</v>
      </c>
    </row>
    <row r="1217" spans="1:17" s="216" customFormat="1" ht="10.5" x14ac:dyDescent="0.25">
      <c r="A1217" s="242"/>
      <c r="D1217" s="267"/>
      <c r="E1217" s="723"/>
      <c r="F1217" s="588"/>
      <c r="G1217" s="585"/>
      <c r="H1217" s="588"/>
      <c r="I1217" s="586"/>
      <c r="J1217" s="588"/>
      <c r="K1217" s="588"/>
      <c r="L1217" s="588"/>
      <c r="M1217" s="588"/>
      <c r="N1217" s="588"/>
      <c r="O1217" s="588"/>
      <c r="P1217" s="588"/>
      <c r="Q1217" s="723"/>
    </row>
    <row r="1218" spans="1:17" s="216" customFormat="1" x14ac:dyDescent="0.2">
      <c r="A1218" s="242">
        <v>1</v>
      </c>
      <c r="B1218" s="216" t="str">
        <f>B347</f>
        <v>SAS</v>
      </c>
      <c r="C1218" s="216" t="str">
        <f>C347</f>
        <v>GTS Special Agency Service</v>
      </c>
      <c r="D1218" s="267"/>
      <c r="F1218" s="269"/>
      <c r="G1218" s="418"/>
      <c r="H1218" s="269"/>
      <c r="I1218" s="272"/>
      <c r="J1218" s="269"/>
      <c r="K1218" s="269"/>
      <c r="L1218" s="269"/>
      <c r="M1218" s="269"/>
      <c r="N1218" s="269"/>
      <c r="O1218" s="269"/>
      <c r="P1218" s="269"/>
    </row>
    <row r="1219" spans="1:17" s="216" customFormat="1" x14ac:dyDescent="0.2">
      <c r="A1219" s="242"/>
      <c r="D1219" s="267"/>
      <c r="F1219" s="269"/>
      <c r="G1219" s="418"/>
      <c r="H1219" s="269"/>
      <c r="I1219" s="272"/>
      <c r="J1219" s="269"/>
      <c r="K1219" s="269"/>
      <c r="L1219" s="269"/>
      <c r="M1219" s="269"/>
      <c r="N1219" s="269"/>
      <c r="O1219" s="269"/>
      <c r="P1219" s="269"/>
    </row>
    <row r="1220" spans="1:17" s="216" customFormat="1" ht="10.5" x14ac:dyDescent="0.25">
      <c r="A1220" s="242">
        <f>A1218+1</f>
        <v>2</v>
      </c>
      <c r="C1220" s="245" t="s">
        <v>111</v>
      </c>
      <c r="D1220" s="267"/>
      <c r="F1220" s="269"/>
      <c r="G1220" s="418"/>
      <c r="H1220" s="269"/>
      <c r="I1220" s="272"/>
      <c r="J1220" s="269"/>
      <c r="K1220" s="269"/>
      <c r="L1220" s="269"/>
      <c r="M1220" s="269"/>
      <c r="N1220" s="269"/>
      <c r="O1220" s="269"/>
      <c r="P1220" s="269"/>
    </row>
    <row r="1221" spans="1:17" s="216" customFormat="1" ht="10.5" x14ac:dyDescent="0.25">
      <c r="A1221" s="242"/>
      <c r="C1221" s="245"/>
      <c r="D1221" s="267"/>
      <c r="F1221" s="269"/>
      <c r="G1221" s="418"/>
      <c r="H1221" s="269"/>
      <c r="I1221" s="272"/>
      <c r="J1221" s="269"/>
      <c r="K1221" s="269"/>
      <c r="L1221" s="269"/>
      <c r="M1221" s="269"/>
      <c r="N1221" s="269"/>
      <c r="O1221" s="269"/>
      <c r="P1221" s="269"/>
    </row>
    <row r="1222" spans="1:17" s="216" customFormat="1" x14ac:dyDescent="0.2">
      <c r="A1222" s="242">
        <f>A1220+1</f>
        <v>3</v>
      </c>
      <c r="C1222" s="216" t="s">
        <v>199</v>
      </c>
      <c r="D1222" s="267"/>
      <c r="E1222" s="267">
        <f>B!D252</f>
        <v>0</v>
      </c>
      <c r="F1222" s="267">
        <f>B!E252</f>
        <v>0</v>
      </c>
      <c r="G1222" s="267">
        <f>B!F252</f>
        <v>0</v>
      </c>
      <c r="H1222" s="267">
        <f>B!G252</f>
        <v>0</v>
      </c>
      <c r="I1222" s="267">
        <f>B!H252</f>
        <v>0</v>
      </c>
      <c r="J1222" s="267">
        <f>B!I252</f>
        <v>0</v>
      </c>
      <c r="K1222" s="267">
        <f>B!J252</f>
        <v>0</v>
      </c>
      <c r="L1222" s="267">
        <f>B!K252</f>
        <v>0</v>
      </c>
      <c r="M1222" s="267">
        <f>B!L252</f>
        <v>0</v>
      </c>
      <c r="N1222" s="267">
        <f>B!M252</f>
        <v>0</v>
      </c>
      <c r="O1222" s="267">
        <f>B!N252</f>
        <v>0</v>
      </c>
      <c r="P1222" s="267">
        <f>B!O252</f>
        <v>0</v>
      </c>
      <c r="Q1222" s="267">
        <f>SUM(E1222:P1222)</f>
        <v>0</v>
      </c>
    </row>
    <row r="1223" spans="1:17" s="216" customFormat="1" x14ac:dyDescent="0.2">
      <c r="A1223" s="242">
        <f>A1222+1</f>
        <v>4</v>
      </c>
      <c r="C1223" s="216" t="s">
        <v>207</v>
      </c>
      <c r="D1223" s="608">
        <f>Input!V50</f>
        <v>4151</v>
      </c>
      <c r="E1223" s="386">
        <f t="shared" ref="E1223:P1223" si="445">ROUND(E1222*$D$1223,2)</f>
        <v>0</v>
      </c>
      <c r="F1223" s="386">
        <f t="shared" si="445"/>
        <v>0</v>
      </c>
      <c r="G1223" s="386">
        <f t="shared" si="445"/>
        <v>0</v>
      </c>
      <c r="H1223" s="386">
        <f t="shared" si="445"/>
        <v>0</v>
      </c>
      <c r="I1223" s="386">
        <f t="shared" si="445"/>
        <v>0</v>
      </c>
      <c r="J1223" s="386">
        <f t="shared" si="445"/>
        <v>0</v>
      </c>
      <c r="K1223" s="386">
        <f t="shared" si="445"/>
        <v>0</v>
      </c>
      <c r="L1223" s="386">
        <f t="shared" si="445"/>
        <v>0</v>
      </c>
      <c r="M1223" s="386">
        <f t="shared" si="445"/>
        <v>0</v>
      </c>
      <c r="N1223" s="386">
        <f t="shared" si="445"/>
        <v>0</v>
      </c>
      <c r="O1223" s="386">
        <f t="shared" si="445"/>
        <v>0</v>
      </c>
      <c r="P1223" s="386">
        <f t="shared" si="445"/>
        <v>0</v>
      </c>
      <c r="Q1223" s="386">
        <f>SUM(E1223:P1223)</f>
        <v>0</v>
      </c>
    </row>
    <row r="1224" spans="1:17" s="216" customFormat="1" x14ac:dyDescent="0.2">
      <c r="A1224" s="242">
        <f>A1223+1</f>
        <v>5</v>
      </c>
      <c r="C1224" s="216" t="s">
        <v>214</v>
      </c>
      <c r="D1224" s="608">
        <f>Input!W50</f>
        <v>0</v>
      </c>
      <c r="E1224" s="386">
        <f t="shared" ref="E1224:P1224" si="446">ROUND(E1222*$D$1224,2)</f>
        <v>0</v>
      </c>
      <c r="F1224" s="386">
        <f t="shared" si="446"/>
        <v>0</v>
      </c>
      <c r="G1224" s="386">
        <f t="shared" si="446"/>
        <v>0</v>
      </c>
      <c r="H1224" s="386">
        <f t="shared" si="446"/>
        <v>0</v>
      </c>
      <c r="I1224" s="386">
        <f t="shared" si="446"/>
        <v>0</v>
      </c>
      <c r="J1224" s="386">
        <f t="shared" si="446"/>
        <v>0</v>
      </c>
      <c r="K1224" s="386">
        <f t="shared" si="446"/>
        <v>0</v>
      </c>
      <c r="L1224" s="386">
        <f t="shared" si="446"/>
        <v>0</v>
      </c>
      <c r="M1224" s="386">
        <f t="shared" si="446"/>
        <v>0</v>
      </c>
      <c r="N1224" s="386">
        <f t="shared" si="446"/>
        <v>0</v>
      </c>
      <c r="O1224" s="386">
        <f t="shared" si="446"/>
        <v>0</v>
      </c>
      <c r="P1224" s="386">
        <f t="shared" si="446"/>
        <v>0</v>
      </c>
      <c r="Q1224" s="386">
        <f>SUM(E1224:P1224)</f>
        <v>0</v>
      </c>
    </row>
    <row r="1225" spans="1:17" s="216" customFormat="1" x14ac:dyDescent="0.2">
      <c r="A1225" s="242">
        <f>A1224+1</f>
        <v>6</v>
      </c>
      <c r="C1225" s="216" t="s">
        <v>208</v>
      </c>
      <c r="D1225" s="608">
        <f>Input!X50</f>
        <v>0</v>
      </c>
      <c r="E1225" s="386">
        <f t="shared" ref="E1225:P1225" si="447">ROUND(E1222*$D$1225,2)</f>
        <v>0</v>
      </c>
      <c r="F1225" s="386">
        <f t="shared" si="447"/>
        <v>0</v>
      </c>
      <c r="G1225" s="386">
        <f t="shared" si="447"/>
        <v>0</v>
      </c>
      <c r="H1225" s="386">
        <f t="shared" si="447"/>
        <v>0</v>
      </c>
      <c r="I1225" s="386">
        <f t="shared" si="447"/>
        <v>0</v>
      </c>
      <c r="J1225" s="386">
        <f t="shared" si="447"/>
        <v>0</v>
      </c>
      <c r="K1225" s="386">
        <f t="shared" si="447"/>
        <v>0</v>
      </c>
      <c r="L1225" s="386">
        <f t="shared" si="447"/>
        <v>0</v>
      </c>
      <c r="M1225" s="386">
        <f t="shared" si="447"/>
        <v>0</v>
      </c>
      <c r="N1225" s="386">
        <f t="shared" si="447"/>
        <v>0</v>
      </c>
      <c r="O1225" s="386">
        <f t="shared" si="447"/>
        <v>0</v>
      </c>
      <c r="P1225" s="386">
        <f t="shared" si="447"/>
        <v>0</v>
      </c>
      <c r="Q1225" s="386">
        <f>SUM(E1225:P1225)</f>
        <v>0</v>
      </c>
    </row>
    <row r="1226" spans="1:17" s="216" customFormat="1" x14ac:dyDescent="0.2">
      <c r="A1226" s="242"/>
      <c r="D1226" s="267"/>
      <c r="F1226" s="269"/>
      <c r="G1226" s="418"/>
      <c r="H1226" s="269"/>
      <c r="I1226" s="272"/>
      <c r="J1226" s="269"/>
      <c r="K1226" s="269"/>
      <c r="L1226" s="269"/>
      <c r="M1226" s="269"/>
      <c r="N1226" s="269"/>
      <c r="O1226" s="269"/>
      <c r="P1226" s="269"/>
    </row>
    <row r="1227" spans="1:17" s="216" customFormat="1" x14ac:dyDescent="0.2">
      <c r="A1227" s="242">
        <f>A1225+1</f>
        <v>7</v>
      </c>
      <c r="C1227" s="216" t="s">
        <v>206</v>
      </c>
      <c r="D1227" s="267"/>
      <c r="F1227" s="269"/>
      <c r="G1227" s="418"/>
      <c r="H1227" s="269"/>
      <c r="I1227" s="272"/>
      <c r="J1227" s="269"/>
      <c r="K1227" s="269"/>
      <c r="L1227" s="269"/>
      <c r="M1227" s="269"/>
      <c r="N1227" s="269"/>
      <c r="O1227" s="269"/>
      <c r="P1227" s="269"/>
    </row>
    <row r="1228" spans="1:17" s="216" customFormat="1" x14ac:dyDescent="0.2">
      <c r="A1228" s="242">
        <f>A1227+1</f>
        <v>8</v>
      </c>
      <c r="C1228" s="216" t="str">
        <f>'C'!B378</f>
        <v xml:space="preserve">    First 30,000 Mcf</v>
      </c>
      <c r="D1228" s="267"/>
      <c r="E1228" s="272">
        <f>'C'!D386</f>
        <v>0</v>
      </c>
      <c r="F1228" s="272">
        <f>'C'!E386</f>
        <v>0</v>
      </c>
      <c r="G1228" s="272">
        <f>'C'!F386</f>
        <v>0</v>
      </c>
      <c r="H1228" s="272">
        <f>'C'!G386</f>
        <v>0</v>
      </c>
      <c r="I1228" s="272">
        <f>'C'!H386</f>
        <v>0</v>
      </c>
      <c r="J1228" s="272">
        <f>'C'!I386</f>
        <v>0</v>
      </c>
      <c r="K1228" s="272">
        <f>'C'!J386</f>
        <v>0</v>
      </c>
      <c r="L1228" s="272">
        <f>'C'!K386</f>
        <v>0</v>
      </c>
      <c r="M1228" s="272">
        <f>'C'!L386</f>
        <v>0</v>
      </c>
      <c r="N1228" s="272">
        <f>'C'!M386</f>
        <v>0</v>
      </c>
      <c r="O1228" s="272">
        <f>'C'!N386</f>
        <v>0</v>
      </c>
      <c r="P1228" s="272">
        <f>'C'!O386</f>
        <v>0</v>
      </c>
      <c r="Q1228" s="272">
        <f>SUM(E1228:P1228)</f>
        <v>0</v>
      </c>
    </row>
    <row r="1229" spans="1:17" s="216" customFormat="1" x14ac:dyDescent="0.2">
      <c r="A1229" s="242">
        <f>A1228+1</f>
        <v>9</v>
      </c>
      <c r="C1229" s="216" t="str">
        <f>'C'!B379</f>
        <v xml:space="preserve">    Over 30,000 Mcf</v>
      </c>
      <c r="D1229" s="267"/>
      <c r="E1229" s="448">
        <f>'C'!D387</f>
        <v>0</v>
      </c>
      <c r="F1229" s="448">
        <f>'C'!E387</f>
        <v>0</v>
      </c>
      <c r="G1229" s="448">
        <f>'C'!F387</f>
        <v>0</v>
      </c>
      <c r="H1229" s="448">
        <f>'C'!G387</f>
        <v>0</v>
      </c>
      <c r="I1229" s="448">
        <f>'C'!H387</f>
        <v>0</v>
      </c>
      <c r="J1229" s="448">
        <f>'C'!I387</f>
        <v>0</v>
      </c>
      <c r="K1229" s="448">
        <f>'C'!J387</f>
        <v>0</v>
      </c>
      <c r="L1229" s="448">
        <f>'C'!K387</f>
        <v>0</v>
      </c>
      <c r="M1229" s="448">
        <f>'C'!L387</f>
        <v>0</v>
      </c>
      <c r="N1229" s="448">
        <f>'C'!M387</f>
        <v>0</v>
      </c>
      <c r="O1229" s="448">
        <f>'C'!N387</f>
        <v>0</v>
      </c>
      <c r="P1229" s="448">
        <f>'C'!O387</f>
        <v>0</v>
      </c>
      <c r="Q1229" s="448">
        <f>SUM(E1229:P1229)</f>
        <v>0</v>
      </c>
    </row>
    <row r="1230" spans="1:17" s="216" customFormat="1" x14ac:dyDescent="0.2">
      <c r="A1230" s="242"/>
      <c r="D1230" s="267"/>
      <c r="E1230" s="272">
        <f t="shared" ref="E1230:P1230" si="448">SUM(E1228:E1229)</f>
        <v>0</v>
      </c>
      <c r="F1230" s="272">
        <f t="shared" si="448"/>
        <v>0</v>
      </c>
      <c r="G1230" s="272">
        <f t="shared" si="448"/>
        <v>0</v>
      </c>
      <c r="H1230" s="272">
        <f t="shared" si="448"/>
        <v>0</v>
      </c>
      <c r="I1230" s="272">
        <f t="shared" si="448"/>
        <v>0</v>
      </c>
      <c r="J1230" s="272">
        <f t="shared" si="448"/>
        <v>0</v>
      </c>
      <c r="K1230" s="272">
        <f t="shared" si="448"/>
        <v>0</v>
      </c>
      <c r="L1230" s="272">
        <f t="shared" si="448"/>
        <v>0</v>
      </c>
      <c r="M1230" s="272">
        <f t="shared" si="448"/>
        <v>0</v>
      </c>
      <c r="N1230" s="272">
        <f t="shared" si="448"/>
        <v>0</v>
      </c>
      <c r="O1230" s="272">
        <f t="shared" si="448"/>
        <v>0</v>
      </c>
      <c r="P1230" s="272">
        <f t="shared" si="448"/>
        <v>0</v>
      </c>
      <c r="Q1230" s="272">
        <f>SUM(E1230:P1230)</f>
        <v>0</v>
      </c>
    </row>
    <row r="1231" spans="1:17" s="216" customFormat="1" x14ac:dyDescent="0.2">
      <c r="A1231" s="242">
        <f>A1229+1</f>
        <v>10</v>
      </c>
      <c r="C1231" s="267" t="s">
        <v>204</v>
      </c>
      <c r="D1231" s="267"/>
      <c r="E1231" s="274"/>
      <c r="F1231" s="455"/>
      <c r="G1231" s="456"/>
      <c r="H1231" s="455"/>
      <c r="I1231" s="448"/>
      <c r="J1231" s="455"/>
      <c r="K1231" s="455"/>
      <c r="L1231" s="455"/>
      <c r="M1231" s="455"/>
      <c r="N1231" s="455"/>
      <c r="O1231" s="455"/>
      <c r="P1231" s="455"/>
      <c r="Q1231" s="418"/>
    </row>
    <row r="1232" spans="1:17" s="216" customFormat="1" x14ac:dyDescent="0.2">
      <c r="A1232" s="242">
        <f>A1231+1</f>
        <v>11</v>
      </c>
      <c r="C1232" s="267" t="str">
        <f>C1228</f>
        <v xml:space="preserve">    First 30,000 Mcf</v>
      </c>
      <c r="D1232" s="609">
        <f>Input!Q50</f>
        <v>0.77010000000000001</v>
      </c>
      <c r="E1232" s="386">
        <f t="shared" ref="E1232:P1232" si="449">ROUND(E1228*$D$1232,2)</f>
        <v>0</v>
      </c>
      <c r="F1232" s="386">
        <f t="shared" si="449"/>
        <v>0</v>
      </c>
      <c r="G1232" s="386">
        <f t="shared" si="449"/>
        <v>0</v>
      </c>
      <c r="H1232" s="386">
        <f t="shared" si="449"/>
        <v>0</v>
      </c>
      <c r="I1232" s="386">
        <f t="shared" si="449"/>
        <v>0</v>
      </c>
      <c r="J1232" s="386">
        <f t="shared" si="449"/>
        <v>0</v>
      </c>
      <c r="K1232" s="386">
        <f t="shared" si="449"/>
        <v>0</v>
      </c>
      <c r="L1232" s="386">
        <f t="shared" si="449"/>
        <v>0</v>
      </c>
      <c r="M1232" s="386">
        <f t="shared" si="449"/>
        <v>0</v>
      </c>
      <c r="N1232" s="386">
        <f t="shared" si="449"/>
        <v>0</v>
      </c>
      <c r="O1232" s="386">
        <f t="shared" si="449"/>
        <v>0</v>
      </c>
      <c r="P1232" s="386">
        <f t="shared" si="449"/>
        <v>0</v>
      </c>
      <c r="Q1232" s="386">
        <f>SUM(E1232:P1232)</f>
        <v>0</v>
      </c>
    </row>
    <row r="1233" spans="1:17" s="216" customFormat="1" x14ac:dyDescent="0.2">
      <c r="A1233" s="242">
        <f>A1232+1</f>
        <v>12</v>
      </c>
      <c r="C1233" s="267" t="str">
        <f>C1229</f>
        <v xml:space="preserve">    Over 30,000 Mcf</v>
      </c>
      <c r="D1233" s="609">
        <f>Input!R50</f>
        <v>0.45789999999999997</v>
      </c>
      <c r="E1233" s="255">
        <f t="shared" ref="E1233:P1233" si="450">ROUND(E1229*$D$1233,2)</f>
        <v>0</v>
      </c>
      <c r="F1233" s="255">
        <f t="shared" si="450"/>
        <v>0</v>
      </c>
      <c r="G1233" s="255">
        <f t="shared" si="450"/>
        <v>0</v>
      </c>
      <c r="H1233" s="255">
        <f t="shared" si="450"/>
        <v>0</v>
      </c>
      <c r="I1233" s="255">
        <f t="shared" si="450"/>
        <v>0</v>
      </c>
      <c r="J1233" s="255">
        <f t="shared" si="450"/>
        <v>0</v>
      </c>
      <c r="K1233" s="255">
        <f t="shared" si="450"/>
        <v>0</v>
      </c>
      <c r="L1233" s="255">
        <f t="shared" si="450"/>
        <v>0</v>
      </c>
      <c r="M1233" s="255">
        <f t="shared" si="450"/>
        <v>0</v>
      </c>
      <c r="N1233" s="255">
        <f t="shared" si="450"/>
        <v>0</v>
      </c>
      <c r="O1233" s="255">
        <f t="shared" si="450"/>
        <v>0</v>
      </c>
      <c r="P1233" s="255">
        <f t="shared" si="450"/>
        <v>0</v>
      </c>
      <c r="Q1233" s="255">
        <f>SUM(E1233:P1233)</f>
        <v>0</v>
      </c>
    </row>
    <row r="1234" spans="1:17" s="216" customFormat="1" x14ac:dyDescent="0.2">
      <c r="A1234" s="242"/>
      <c r="C1234" s="267"/>
      <c r="D1234" s="267"/>
      <c r="E1234" s="386">
        <f t="shared" ref="E1234:P1234" si="451">SUM(E1232:E1233)</f>
        <v>0</v>
      </c>
      <c r="F1234" s="386">
        <f t="shared" si="451"/>
        <v>0</v>
      </c>
      <c r="G1234" s="386">
        <f t="shared" si="451"/>
        <v>0</v>
      </c>
      <c r="H1234" s="386">
        <f t="shared" si="451"/>
        <v>0</v>
      </c>
      <c r="I1234" s="386">
        <f t="shared" si="451"/>
        <v>0</v>
      </c>
      <c r="J1234" s="386">
        <f t="shared" si="451"/>
        <v>0</v>
      </c>
      <c r="K1234" s="386">
        <f t="shared" si="451"/>
        <v>0</v>
      </c>
      <c r="L1234" s="386">
        <f t="shared" si="451"/>
        <v>0</v>
      </c>
      <c r="M1234" s="386">
        <f t="shared" si="451"/>
        <v>0</v>
      </c>
      <c r="N1234" s="386">
        <f t="shared" si="451"/>
        <v>0</v>
      </c>
      <c r="O1234" s="386">
        <f t="shared" si="451"/>
        <v>0</v>
      </c>
      <c r="P1234" s="386">
        <f t="shared" si="451"/>
        <v>0</v>
      </c>
      <c r="Q1234" s="386">
        <f>SUM(E1234:P1234)</f>
        <v>0</v>
      </c>
    </row>
    <row r="1235" spans="1:17" s="216" customFormat="1" x14ac:dyDescent="0.2">
      <c r="A1235" s="242">
        <f>A1233+1</f>
        <v>13</v>
      </c>
      <c r="C1235" s="667" t="s">
        <v>140</v>
      </c>
      <c r="D1235" s="609">
        <f>Input!$AA$50</f>
        <v>1.44E-2</v>
      </c>
      <c r="E1235" s="255">
        <f>ROUND($D$1235*E1230,2)</f>
        <v>0</v>
      </c>
      <c r="F1235" s="255">
        <f t="shared" ref="F1235:P1235" si="452">ROUND($D$1235*F1230,2)</f>
        <v>0</v>
      </c>
      <c r="G1235" s="255">
        <f t="shared" si="452"/>
        <v>0</v>
      </c>
      <c r="H1235" s="255">
        <f t="shared" si="452"/>
        <v>0</v>
      </c>
      <c r="I1235" s="255">
        <f t="shared" si="452"/>
        <v>0</v>
      </c>
      <c r="J1235" s="255">
        <f t="shared" si="452"/>
        <v>0</v>
      </c>
      <c r="K1235" s="255">
        <f t="shared" si="452"/>
        <v>0</v>
      </c>
      <c r="L1235" s="255">
        <f t="shared" si="452"/>
        <v>0</v>
      </c>
      <c r="M1235" s="255">
        <f t="shared" si="452"/>
        <v>0</v>
      </c>
      <c r="N1235" s="255">
        <f t="shared" si="452"/>
        <v>0</v>
      </c>
      <c r="O1235" s="255">
        <f t="shared" si="452"/>
        <v>0</v>
      </c>
      <c r="P1235" s="255">
        <f t="shared" si="452"/>
        <v>0</v>
      </c>
      <c r="Q1235" s="456">
        <f>SUM(E1235:P1235)</f>
        <v>0</v>
      </c>
    </row>
    <row r="1236" spans="1:17" s="216" customFormat="1" x14ac:dyDescent="0.2">
      <c r="A1236" s="242">
        <f>A1235+1</f>
        <v>14</v>
      </c>
      <c r="C1236" s="267" t="s">
        <v>201</v>
      </c>
      <c r="D1236" s="267"/>
      <c r="E1236" s="386">
        <f>E1223+E1224+E1225+E1234+E1235</f>
        <v>0</v>
      </c>
      <c r="F1236" s="386">
        <f t="shared" ref="F1236:P1236" si="453">F1223+F1224+F1225+F1234+F1235</f>
        <v>0</v>
      </c>
      <c r="G1236" s="386">
        <f t="shared" si="453"/>
        <v>0</v>
      </c>
      <c r="H1236" s="386">
        <f t="shared" si="453"/>
        <v>0</v>
      </c>
      <c r="I1236" s="386">
        <f t="shared" si="453"/>
        <v>0</v>
      </c>
      <c r="J1236" s="386">
        <f t="shared" si="453"/>
        <v>0</v>
      </c>
      <c r="K1236" s="386">
        <f t="shared" si="453"/>
        <v>0</v>
      </c>
      <c r="L1236" s="386">
        <f t="shared" si="453"/>
        <v>0</v>
      </c>
      <c r="M1236" s="386">
        <f t="shared" si="453"/>
        <v>0</v>
      </c>
      <c r="N1236" s="386">
        <f t="shared" si="453"/>
        <v>0</v>
      </c>
      <c r="O1236" s="386">
        <f t="shared" si="453"/>
        <v>0</v>
      </c>
      <c r="P1236" s="386">
        <f t="shared" si="453"/>
        <v>0</v>
      </c>
      <c r="Q1236" s="386">
        <f>SUM(E1236:P1236)</f>
        <v>0</v>
      </c>
    </row>
    <row r="1237" spans="1:17" s="216" customFormat="1" x14ac:dyDescent="0.2">
      <c r="A1237" s="242"/>
      <c r="C1237" s="267"/>
      <c r="D1237" s="267"/>
      <c r="E1237" s="274"/>
      <c r="F1237" s="455"/>
      <c r="G1237" s="456"/>
      <c r="H1237" s="455"/>
      <c r="I1237" s="448"/>
      <c r="J1237" s="455"/>
      <c r="K1237" s="455"/>
      <c r="L1237" s="455"/>
      <c r="M1237" s="455"/>
      <c r="N1237" s="455"/>
      <c r="O1237" s="455"/>
      <c r="P1237" s="455"/>
      <c r="Q1237" s="418"/>
    </row>
    <row r="1238" spans="1:17" s="216" customFormat="1" x14ac:dyDescent="0.2">
      <c r="A1238" s="242">
        <f>A1236+1</f>
        <v>15</v>
      </c>
      <c r="C1238" s="216" t="s">
        <v>148</v>
      </c>
      <c r="D1238" s="609">
        <v>0</v>
      </c>
      <c r="E1238" s="386">
        <v>0</v>
      </c>
      <c r="F1238" s="386">
        <v>0</v>
      </c>
      <c r="G1238" s="386">
        <v>0</v>
      </c>
      <c r="H1238" s="386">
        <v>0</v>
      </c>
      <c r="I1238" s="386">
        <v>0</v>
      </c>
      <c r="J1238" s="386">
        <v>0</v>
      </c>
      <c r="K1238" s="386">
        <v>0</v>
      </c>
      <c r="L1238" s="386">
        <v>0</v>
      </c>
      <c r="M1238" s="386">
        <v>0</v>
      </c>
      <c r="N1238" s="386">
        <v>0</v>
      </c>
      <c r="O1238" s="386">
        <v>0</v>
      </c>
      <c r="P1238" s="386">
        <v>0</v>
      </c>
      <c r="Q1238" s="386">
        <f>SUM(E1238:P1238)</f>
        <v>0</v>
      </c>
    </row>
    <row r="1239" spans="1:17" s="216" customFormat="1" x14ac:dyDescent="0.2">
      <c r="A1239" s="242"/>
      <c r="D1239" s="267"/>
      <c r="F1239" s="269"/>
      <c r="G1239" s="418"/>
      <c r="H1239" s="269"/>
      <c r="I1239" s="272"/>
      <c r="J1239" s="269"/>
      <c r="K1239" s="269"/>
      <c r="L1239" s="269"/>
      <c r="M1239" s="269"/>
      <c r="N1239" s="269"/>
      <c r="O1239" s="269"/>
      <c r="P1239" s="269"/>
    </row>
    <row r="1240" spans="1:17" s="216" customFormat="1" ht="10.5" thickBot="1" x14ac:dyDescent="0.25">
      <c r="A1240" s="580">
        <f>A1238+1</f>
        <v>16</v>
      </c>
      <c r="B1240" s="434"/>
      <c r="C1240" s="581" t="s">
        <v>202</v>
      </c>
      <c r="D1240" s="582"/>
      <c r="E1240" s="435">
        <f t="shared" ref="E1240:P1240" si="454">E1236+E1238</f>
        <v>0</v>
      </c>
      <c r="F1240" s="435">
        <f t="shared" si="454"/>
        <v>0</v>
      </c>
      <c r="G1240" s="435">
        <f t="shared" si="454"/>
        <v>0</v>
      </c>
      <c r="H1240" s="435">
        <f t="shared" si="454"/>
        <v>0</v>
      </c>
      <c r="I1240" s="435">
        <f t="shared" si="454"/>
        <v>0</v>
      </c>
      <c r="J1240" s="435">
        <f t="shared" si="454"/>
        <v>0</v>
      </c>
      <c r="K1240" s="435">
        <f t="shared" si="454"/>
        <v>0</v>
      </c>
      <c r="L1240" s="435">
        <f t="shared" si="454"/>
        <v>0</v>
      </c>
      <c r="M1240" s="435">
        <f t="shared" si="454"/>
        <v>0</v>
      </c>
      <c r="N1240" s="435">
        <f t="shared" si="454"/>
        <v>0</v>
      </c>
      <c r="O1240" s="435">
        <f t="shared" si="454"/>
        <v>0</v>
      </c>
      <c r="P1240" s="435">
        <f t="shared" si="454"/>
        <v>0</v>
      </c>
      <c r="Q1240" s="435">
        <f>SUM(E1240:P1240)</f>
        <v>0</v>
      </c>
    </row>
    <row r="1241" spans="1:17" s="216" customFormat="1" ht="10.5" thickTop="1" x14ac:dyDescent="0.2">
      <c r="A1241" s="242"/>
      <c r="D1241" s="267"/>
      <c r="F1241" s="269"/>
      <c r="G1241" s="418"/>
      <c r="H1241" s="269"/>
      <c r="I1241" s="272"/>
      <c r="J1241" s="269"/>
      <c r="K1241" s="269"/>
      <c r="L1241" s="269"/>
      <c r="M1241" s="269"/>
      <c r="N1241" s="269"/>
      <c r="O1241" s="269"/>
      <c r="P1241" s="269"/>
    </row>
    <row r="1242" spans="1:17" s="216" customFormat="1" ht="10.5" x14ac:dyDescent="0.25">
      <c r="A1242" s="242"/>
      <c r="D1242" s="267"/>
      <c r="E1242" s="723"/>
      <c r="F1242" s="588"/>
      <c r="G1242" s="585"/>
      <c r="H1242" s="588"/>
      <c r="I1242" s="586"/>
      <c r="J1242" s="588"/>
      <c r="K1242" s="588"/>
      <c r="L1242" s="588"/>
      <c r="M1242" s="588"/>
      <c r="N1242" s="588"/>
      <c r="O1242" s="588"/>
      <c r="P1242" s="588"/>
      <c r="Q1242" s="723"/>
    </row>
    <row r="1243" spans="1:17" s="216" customFormat="1" x14ac:dyDescent="0.2">
      <c r="A1243" s="242">
        <f>A1240+1</f>
        <v>17</v>
      </c>
      <c r="B1243" s="216" t="str">
        <f>B354</f>
        <v>SC3</v>
      </c>
      <c r="C1243" s="216" t="str">
        <f>C354</f>
        <v>GTS Special Rate - Industrial</v>
      </c>
      <c r="D1243" s="267"/>
      <c r="F1243" s="269"/>
      <c r="G1243" s="418"/>
      <c r="H1243" s="269"/>
      <c r="I1243" s="272"/>
      <c r="J1243" s="269"/>
      <c r="K1243" s="269"/>
      <c r="L1243" s="269"/>
      <c r="M1243" s="269"/>
      <c r="N1243" s="269"/>
      <c r="O1243" s="269"/>
      <c r="P1243" s="269"/>
    </row>
    <row r="1244" spans="1:17" s="216" customFormat="1" x14ac:dyDescent="0.2">
      <c r="A1244" s="242"/>
      <c r="D1244" s="267"/>
      <c r="F1244" s="269"/>
      <c r="G1244" s="418"/>
      <c r="H1244" s="269"/>
      <c r="I1244" s="272"/>
      <c r="J1244" s="269"/>
      <c r="K1244" s="269"/>
      <c r="L1244" s="269"/>
      <c r="M1244" s="269"/>
      <c r="N1244" s="269"/>
      <c r="O1244" s="269"/>
      <c r="P1244" s="269"/>
    </row>
    <row r="1245" spans="1:17" s="216" customFormat="1" ht="10.5" x14ac:dyDescent="0.25">
      <c r="A1245" s="242">
        <f>A1243+1</f>
        <v>18</v>
      </c>
      <c r="C1245" s="245" t="s">
        <v>112</v>
      </c>
      <c r="D1245" s="267"/>
      <c r="F1245" s="269"/>
      <c r="G1245" s="418"/>
      <c r="H1245" s="269"/>
      <c r="I1245" s="272"/>
      <c r="J1245" s="269"/>
      <c r="K1245" s="269"/>
      <c r="L1245" s="269"/>
      <c r="M1245" s="269"/>
      <c r="N1245" s="269"/>
      <c r="O1245" s="269"/>
      <c r="P1245" s="269"/>
    </row>
    <row r="1246" spans="1:17" s="216" customFormat="1" ht="10.5" x14ac:dyDescent="0.25">
      <c r="A1246" s="242"/>
      <c r="C1246" s="245"/>
      <c r="D1246" s="267"/>
      <c r="F1246" s="269"/>
      <c r="G1246" s="418"/>
      <c r="H1246" s="269"/>
      <c r="I1246" s="272"/>
      <c r="J1246" s="269"/>
      <c r="K1246" s="269"/>
      <c r="L1246" s="269"/>
      <c r="M1246" s="269"/>
      <c r="N1246" s="269"/>
      <c r="O1246" s="269"/>
      <c r="P1246" s="269"/>
    </row>
    <row r="1247" spans="1:17" s="216" customFormat="1" x14ac:dyDescent="0.2">
      <c r="A1247" s="242">
        <f>A1245+1</f>
        <v>19</v>
      </c>
      <c r="C1247" s="216" t="s">
        <v>199</v>
      </c>
      <c r="D1247" s="267"/>
      <c r="E1247" s="421">
        <f>B!D271</f>
        <v>0</v>
      </c>
      <c r="F1247" s="421">
        <f>B!E271</f>
        <v>0</v>
      </c>
      <c r="G1247" s="421">
        <f>B!F271</f>
        <v>0</v>
      </c>
      <c r="H1247" s="421">
        <f>B!G271</f>
        <v>0</v>
      </c>
      <c r="I1247" s="421">
        <f>B!H271</f>
        <v>0</v>
      </c>
      <c r="J1247" s="421">
        <f>B!I271</f>
        <v>0</v>
      </c>
      <c r="K1247" s="421">
        <f>B!J271</f>
        <v>0</v>
      </c>
      <c r="L1247" s="421">
        <f>B!K271</f>
        <v>0</v>
      </c>
      <c r="M1247" s="421">
        <f>B!L271</f>
        <v>0</v>
      </c>
      <c r="N1247" s="421">
        <f>B!M271</f>
        <v>0</v>
      </c>
      <c r="O1247" s="421">
        <f>B!N271</f>
        <v>0</v>
      </c>
      <c r="P1247" s="421">
        <f>B!O271</f>
        <v>0</v>
      </c>
      <c r="Q1247" s="421">
        <f>SUM(E1247:P1247)</f>
        <v>0</v>
      </c>
    </row>
    <row r="1248" spans="1:17" s="216" customFormat="1" x14ac:dyDescent="0.2">
      <c r="A1248" s="242">
        <f>A1247+1</f>
        <v>20</v>
      </c>
      <c r="C1248" s="216" t="s">
        <v>207</v>
      </c>
      <c r="D1248" s="608">
        <f>Input!V51</f>
        <v>0</v>
      </c>
      <c r="E1248" s="386">
        <f t="shared" ref="E1248:P1248" si="455">ROUND(E1247*$D$1248,2)</f>
        <v>0</v>
      </c>
      <c r="F1248" s="386">
        <f t="shared" si="455"/>
        <v>0</v>
      </c>
      <c r="G1248" s="386">
        <f t="shared" si="455"/>
        <v>0</v>
      </c>
      <c r="H1248" s="386">
        <f t="shared" si="455"/>
        <v>0</v>
      </c>
      <c r="I1248" s="386">
        <f t="shared" si="455"/>
        <v>0</v>
      </c>
      <c r="J1248" s="386">
        <f t="shared" si="455"/>
        <v>0</v>
      </c>
      <c r="K1248" s="386">
        <f t="shared" si="455"/>
        <v>0</v>
      </c>
      <c r="L1248" s="386">
        <f t="shared" si="455"/>
        <v>0</v>
      </c>
      <c r="M1248" s="386">
        <f t="shared" si="455"/>
        <v>0</v>
      </c>
      <c r="N1248" s="386">
        <f t="shared" si="455"/>
        <v>0</v>
      </c>
      <c r="O1248" s="386">
        <f t="shared" si="455"/>
        <v>0</v>
      </c>
      <c r="P1248" s="386">
        <f t="shared" si="455"/>
        <v>0</v>
      </c>
      <c r="Q1248" s="386">
        <f>SUM(E1248:P1248)</f>
        <v>0</v>
      </c>
    </row>
    <row r="1249" spans="1:17" s="216" customFormat="1" x14ac:dyDescent="0.2">
      <c r="A1249" s="242">
        <f>A1248+1</f>
        <v>21</v>
      </c>
      <c r="C1249" s="216" t="s">
        <v>214</v>
      </c>
      <c r="D1249" s="608">
        <f>Input!W51</f>
        <v>0</v>
      </c>
      <c r="E1249" s="386">
        <f t="shared" ref="E1249:P1249" si="456">ROUND(E1247*$D$1249,2)</f>
        <v>0</v>
      </c>
      <c r="F1249" s="386">
        <f t="shared" si="456"/>
        <v>0</v>
      </c>
      <c r="G1249" s="386">
        <f t="shared" si="456"/>
        <v>0</v>
      </c>
      <c r="H1249" s="386">
        <f t="shared" si="456"/>
        <v>0</v>
      </c>
      <c r="I1249" s="386">
        <f t="shared" si="456"/>
        <v>0</v>
      </c>
      <c r="J1249" s="386">
        <f t="shared" si="456"/>
        <v>0</v>
      </c>
      <c r="K1249" s="386">
        <f t="shared" si="456"/>
        <v>0</v>
      </c>
      <c r="L1249" s="386">
        <f t="shared" si="456"/>
        <v>0</v>
      </c>
      <c r="M1249" s="386">
        <f t="shared" si="456"/>
        <v>0</v>
      </c>
      <c r="N1249" s="386">
        <f t="shared" si="456"/>
        <v>0</v>
      </c>
      <c r="O1249" s="386">
        <f t="shared" si="456"/>
        <v>0</v>
      </c>
      <c r="P1249" s="386">
        <f t="shared" si="456"/>
        <v>0</v>
      </c>
      <c r="Q1249" s="386">
        <f>SUM(E1249:P1249)</f>
        <v>0</v>
      </c>
    </row>
    <row r="1250" spans="1:17" s="216" customFormat="1" x14ac:dyDescent="0.2">
      <c r="A1250" s="242"/>
      <c r="D1250" s="267"/>
      <c r="F1250" s="269"/>
      <c r="G1250" s="418"/>
      <c r="H1250" s="269"/>
      <c r="I1250" s="272"/>
      <c r="J1250" s="269"/>
      <c r="K1250" s="269"/>
      <c r="L1250" s="269"/>
      <c r="M1250" s="269"/>
      <c r="N1250" s="269"/>
      <c r="O1250" s="269"/>
      <c r="P1250" s="269"/>
    </row>
    <row r="1251" spans="1:17" s="216" customFormat="1" x14ac:dyDescent="0.2">
      <c r="A1251" s="242">
        <f>A1249+1</f>
        <v>22</v>
      </c>
      <c r="C1251" s="216" t="s">
        <v>206</v>
      </c>
      <c r="D1251" s="267"/>
      <c r="F1251" s="269"/>
      <c r="G1251" s="418"/>
      <c r="H1251" s="269"/>
      <c r="I1251" s="272"/>
      <c r="J1251" s="269"/>
      <c r="K1251" s="269"/>
      <c r="L1251" s="269"/>
      <c r="M1251" s="269"/>
      <c r="N1251" s="269"/>
      <c r="O1251" s="269"/>
      <c r="P1251" s="269"/>
    </row>
    <row r="1252" spans="1:17" s="216" customFormat="1" x14ac:dyDescent="0.2">
      <c r="A1252" s="242">
        <f>A1251+1</f>
        <v>23</v>
      </c>
      <c r="C1252" s="267" t="str">
        <f>'C'!B392</f>
        <v xml:space="preserve">    First 150,000 Mcf</v>
      </c>
      <c r="D1252" s="267"/>
      <c r="E1252" s="272">
        <f>'C'!D400</f>
        <v>0</v>
      </c>
      <c r="F1252" s="272">
        <f>'C'!E400</f>
        <v>0</v>
      </c>
      <c r="G1252" s="272">
        <f>'C'!F400</f>
        <v>0</v>
      </c>
      <c r="H1252" s="272">
        <f>'C'!G400</f>
        <v>0</v>
      </c>
      <c r="I1252" s="272">
        <f>'C'!H400</f>
        <v>0</v>
      </c>
      <c r="J1252" s="272">
        <f>'C'!I400</f>
        <v>0</v>
      </c>
      <c r="K1252" s="272">
        <f>'C'!J400</f>
        <v>0</v>
      </c>
      <c r="L1252" s="272">
        <f>'C'!K400</f>
        <v>0</v>
      </c>
      <c r="M1252" s="272">
        <f>'C'!L400</f>
        <v>0</v>
      </c>
      <c r="N1252" s="272">
        <f>'C'!M400</f>
        <v>0</v>
      </c>
      <c r="O1252" s="272">
        <f>'C'!N400</f>
        <v>0</v>
      </c>
      <c r="P1252" s="272">
        <f>'C'!O400</f>
        <v>0</v>
      </c>
      <c r="Q1252" s="272">
        <f>SUM(E1252:P1252)</f>
        <v>0</v>
      </c>
    </row>
    <row r="1253" spans="1:17" s="216" customFormat="1" x14ac:dyDescent="0.2">
      <c r="A1253" s="242">
        <f>A1252+1</f>
        <v>24</v>
      </c>
      <c r="C1253" s="267" t="str">
        <f>'C'!B393</f>
        <v xml:space="preserve">    Over 150,000 Mcf</v>
      </c>
      <c r="D1253" s="267"/>
      <c r="E1253" s="448">
        <f>'C'!D401</f>
        <v>0</v>
      </c>
      <c r="F1253" s="448">
        <f>'C'!E401</f>
        <v>0</v>
      </c>
      <c r="G1253" s="448">
        <f>'C'!F401</f>
        <v>0</v>
      </c>
      <c r="H1253" s="448">
        <f>'C'!G401</f>
        <v>0</v>
      </c>
      <c r="I1253" s="448">
        <f>'C'!H401</f>
        <v>0</v>
      </c>
      <c r="J1253" s="448">
        <f>'C'!I401</f>
        <v>0</v>
      </c>
      <c r="K1253" s="448">
        <f>'C'!J401</f>
        <v>0</v>
      </c>
      <c r="L1253" s="448">
        <f>'C'!K401</f>
        <v>0</v>
      </c>
      <c r="M1253" s="448">
        <f>'C'!L401</f>
        <v>0</v>
      </c>
      <c r="N1253" s="448">
        <f>'C'!M401</f>
        <v>0</v>
      </c>
      <c r="O1253" s="448">
        <f>'C'!N401</f>
        <v>0</v>
      </c>
      <c r="P1253" s="448">
        <f>'C'!O401</f>
        <v>0</v>
      </c>
      <c r="Q1253" s="448">
        <f>SUM(E1253:P1253)</f>
        <v>0</v>
      </c>
    </row>
    <row r="1254" spans="1:17" s="216" customFormat="1" x14ac:dyDescent="0.2">
      <c r="A1254" s="242"/>
      <c r="C1254" s="267"/>
      <c r="D1254" s="267"/>
      <c r="E1254" s="272">
        <f t="shared" ref="E1254:P1254" si="457">SUM(E1252:E1253)</f>
        <v>0</v>
      </c>
      <c r="F1254" s="272">
        <f t="shared" si="457"/>
        <v>0</v>
      </c>
      <c r="G1254" s="272">
        <f t="shared" si="457"/>
        <v>0</v>
      </c>
      <c r="H1254" s="272">
        <f t="shared" si="457"/>
        <v>0</v>
      </c>
      <c r="I1254" s="272">
        <f t="shared" si="457"/>
        <v>0</v>
      </c>
      <c r="J1254" s="272">
        <f t="shared" si="457"/>
        <v>0</v>
      </c>
      <c r="K1254" s="272">
        <f t="shared" si="457"/>
        <v>0</v>
      </c>
      <c r="L1254" s="272">
        <f t="shared" si="457"/>
        <v>0</v>
      </c>
      <c r="M1254" s="272">
        <f t="shared" si="457"/>
        <v>0</v>
      </c>
      <c r="N1254" s="272">
        <f t="shared" si="457"/>
        <v>0</v>
      </c>
      <c r="O1254" s="272">
        <f t="shared" si="457"/>
        <v>0</v>
      </c>
      <c r="P1254" s="272">
        <f t="shared" si="457"/>
        <v>0</v>
      </c>
      <c r="Q1254" s="272">
        <f>SUM(E1254:P1254)</f>
        <v>0</v>
      </c>
    </row>
    <row r="1255" spans="1:17" s="216" customFormat="1" x14ac:dyDescent="0.2">
      <c r="A1255" s="242">
        <f>A1253+1</f>
        <v>25</v>
      </c>
      <c r="C1255" s="267" t="s">
        <v>204</v>
      </c>
      <c r="D1255" s="267"/>
      <c r="E1255" s="274"/>
      <c r="F1255" s="455"/>
      <c r="G1255" s="456"/>
      <c r="H1255" s="455"/>
      <c r="I1255" s="448"/>
      <c r="J1255" s="455"/>
      <c r="K1255" s="455"/>
      <c r="L1255" s="455"/>
      <c r="M1255" s="455"/>
      <c r="N1255" s="455"/>
      <c r="O1255" s="455"/>
      <c r="P1255" s="455"/>
      <c r="Q1255" s="418"/>
    </row>
    <row r="1256" spans="1:17" s="216" customFormat="1" x14ac:dyDescent="0.2">
      <c r="A1256" s="242">
        <f>A1255+1</f>
        <v>26</v>
      </c>
      <c r="C1256" s="267" t="str">
        <f>C1252</f>
        <v xml:space="preserve">    First 150,000 Mcf</v>
      </c>
      <c r="D1256" s="609">
        <f>Input!Q51</f>
        <v>0</v>
      </c>
      <c r="E1256" s="386">
        <f t="shared" ref="E1256:P1256" si="458">ROUND(E1252*$D$1256,2)</f>
        <v>0</v>
      </c>
      <c r="F1256" s="386">
        <f t="shared" si="458"/>
        <v>0</v>
      </c>
      <c r="G1256" s="386">
        <f t="shared" si="458"/>
        <v>0</v>
      </c>
      <c r="H1256" s="386">
        <f t="shared" si="458"/>
        <v>0</v>
      </c>
      <c r="I1256" s="386">
        <f t="shared" si="458"/>
        <v>0</v>
      </c>
      <c r="J1256" s="386">
        <f t="shared" si="458"/>
        <v>0</v>
      </c>
      <c r="K1256" s="386">
        <f t="shared" si="458"/>
        <v>0</v>
      </c>
      <c r="L1256" s="386">
        <f t="shared" si="458"/>
        <v>0</v>
      </c>
      <c r="M1256" s="386">
        <f t="shared" si="458"/>
        <v>0</v>
      </c>
      <c r="N1256" s="386">
        <f t="shared" si="458"/>
        <v>0</v>
      </c>
      <c r="O1256" s="386">
        <f t="shared" si="458"/>
        <v>0</v>
      </c>
      <c r="P1256" s="386">
        <f t="shared" si="458"/>
        <v>0</v>
      </c>
      <c r="Q1256" s="386">
        <f>SUM(E1256:P1256)</f>
        <v>0</v>
      </c>
    </row>
    <row r="1257" spans="1:17" s="216" customFormat="1" x14ac:dyDescent="0.2">
      <c r="A1257" s="242">
        <f>A1256+1</f>
        <v>27</v>
      </c>
      <c r="C1257" s="267" t="str">
        <f>C1253</f>
        <v xml:space="preserve">    Over 150,000 Mcf</v>
      </c>
      <c r="D1257" s="609">
        <f>Input!R51</f>
        <v>0</v>
      </c>
      <c r="E1257" s="255">
        <f t="shared" ref="E1257:P1257" si="459">ROUND(E1253*$D$1257,2)</f>
        <v>0</v>
      </c>
      <c r="F1257" s="255">
        <f t="shared" si="459"/>
        <v>0</v>
      </c>
      <c r="G1257" s="255">
        <f t="shared" si="459"/>
        <v>0</v>
      </c>
      <c r="H1257" s="255">
        <f t="shared" si="459"/>
        <v>0</v>
      </c>
      <c r="I1257" s="255">
        <f t="shared" si="459"/>
        <v>0</v>
      </c>
      <c r="J1257" s="255">
        <f t="shared" si="459"/>
        <v>0</v>
      </c>
      <c r="K1257" s="255">
        <f t="shared" si="459"/>
        <v>0</v>
      </c>
      <c r="L1257" s="255">
        <f t="shared" si="459"/>
        <v>0</v>
      </c>
      <c r="M1257" s="255">
        <f t="shared" si="459"/>
        <v>0</v>
      </c>
      <c r="N1257" s="255">
        <f t="shared" si="459"/>
        <v>0</v>
      </c>
      <c r="O1257" s="255">
        <f t="shared" si="459"/>
        <v>0</v>
      </c>
      <c r="P1257" s="255">
        <f t="shared" si="459"/>
        <v>0</v>
      </c>
      <c r="Q1257" s="255">
        <f>SUM(E1257:P1257)</f>
        <v>0</v>
      </c>
    </row>
    <row r="1258" spans="1:17" s="216" customFormat="1" x14ac:dyDescent="0.2">
      <c r="A1258" s="242"/>
      <c r="C1258" s="267"/>
      <c r="D1258" s="267"/>
      <c r="E1258" s="386">
        <f t="shared" ref="E1258:P1258" si="460">SUM(E1256:E1257)</f>
        <v>0</v>
      </c>
      <c r="F1258" s="386">
        <f t="shared" si="460"/>
        <v>0</v>
      </c>
      <c r="G1258" s="386">
        <f t="shared" si="460"/>
        <v>0</v>
      </c>
      <c r="H1258" s="386">
        <f t="shared" si="460"/>
        <v>0</v>
      </c>
      <c r="I1258" s="386">
        <f t="shared" si="460"/>
        <v>0</v>
      </c>
      <c r="J1258" s="386">
        <f t="shared" si="460"/>
        <v>0</v>
      </c>
      <c r="K1258" s="386">
        <f t="shared" si="460"/>
        <v>0</v>
      </c>
      <c r="L1258" s="386">
        <f t="shared" si="460"/>
        <v>0</v>
      </c>
      <c r="M1258" s="386">
        <f t="shared" si="460"/>
        <v>0</v>
      </c>
      <c r="N1258" s="386">
        <f t="shared" si="460"/>
        <v>0</v>
      </c>
      <c r="O1258" s="386">
        <f t="shared" si="460"/>
        <v>0</v>
      </c>
      <c r="P1258" s="386">
        <f t="shared" si="460"/>
        <v>0</v>
      </c>
      <c r="Q1258" s="386">
        <f>SUM(E1258:P1258)</f>
        <v>0</v>
      </c>
    </row>
    <row r="1259" spans="1:17" s="216" customFormat="1" x14ac:dyDescent="0.2">
      <c r="A1259" s="242"/>
      <c r="C1259" s="267"/>
      <c r="D1259" s="267"/>
      <c r="E1259" s="274"/>
      <c r="F1259" s="455"/>
      <c r="G1259" s="456"/>
      <c r="H1259" s="455"/>
      <c r="I1259" s="448"/>
      <c r="J1259" s="455"/>
      <c r="K1259" s="455"/>
      <c r="L1259" s="455"/>
      <c r="M1259" s="455"/>
      <c r="N1259" s="455"/>
      <c r="O1259" s="455"/>
      <c r="P1259" s="455"/>
      <c r="Q1259" s="418"/>
    </row>
    <row r="1260" spans="1:17" s="216" customFormat="1" x14ac:dyDescent="0.2">
      <c r="A1260" s="242">
        <f>A1257+1</f>
        <v>28</v>
      </c>
      <c r="C1260" s="267" t="s">
        <v>201</v>
      </c>
      <c r="D1260" s="267"/>
      <c r="E1260" s="386">
        <f>E1248+E1249+E1258</f>
        <v>0</v>
      </c>
      <c r="F1260" s="386">
        <f t="shared" ref="F1260:P1260" si="461">F1248+F1249+F1258</f>
        <v>0</v>
      </c>
      <c r="G1260" s="386">
        <f t="shared" si="461"/>
        <v>0</v>
      </c>
      <c r="H1260" s="386">
        <f t="shared" si="461"/>
        <v>0</v>
      </c>
      <c r="I1260" s="386">
        <f t="shared" si="461"/>
        <v>0</v>
      </c>
      <c r="J1260" s="386">
        <f t="shared" si="461"/>
        <v>0</v>
      </c>
      <c r="K1260" s="386">
        <f t="shared" si="461"/>
        <v>0</v>
      </c>
      <c r="L1260" s="386">
        <f t="shared" si="461"/>
        <v>0</v>
      </c>
      <c r="M1260" s="386">
        <f t="shared" si="461"/>
        <v>0</v>
      </c>
      <c r="N1260" s="386">
        <f t="shared" si="461"/>
        <v>0</v>
      </c>
      <c r="O1260" s="386">
        <f t="shared" si="461"/>
        <v>0</v>
      </c>
      <c r="P1260" s="386">
        <f t="shared" si="461"/>
        <v>0</v>
      </c>
      <c r="Q1260" s="386">
        <f>SUM(E1260:P1260)</f>
        <v>0</v>
      </c>
    </row>
    <row r="1261" spans="1:17" s="216" customFormat="1" x14ac:dyDescent="0.2">
      <c r="A1261" s="242"/>
      <c r="C1261" s="267"/>
      <c r="D1261" s="267"/>
      <c r="E1261" s="274"/>
      <c r="F1261" s="455"/>
      <c r="G1261" s="456"/>
      <c r="H1261" s="455"/>
      <c r="I1261" s="448"/>
      <c r="J1261" s="455"/>
      <c r="K1261" s="455"/>
      <c r="L1261" s="455"/>
      <c r="M1261" s="455"/>
      <c r="N1261" s="455"/>
      <c r="O1261" s="455"/>
      <c r="P1261" s="455"/>
      <c r="Q1261" s="418"/>
    </row>
    <row r="1262" spans="1:17" s="216" customFormat="1" x14ac:dyDescent="0.2">
      <c r="A1262" s="242">
        <f>A1260+1</f>
        <v>29</v>
      </c>
      <c r="C1262" s="216" t="s">
        <v>148</v>
      </c>
      <c r="D1262" s="609">
        <v>0</v>
      </c>
      <c r="E1262" s="386">
        <v>0</v>
      </c>
      <c r="F1262" s="386">
        <v>0</v>
      </c>
      <c r="G1262" s="386">
        <v>0</v>
      </c>
      <c r="H1262" s="386">
        <v>0</v>
      </c>
      <c r="I1262" s="386">
        <v>0</v>
      </c>
      <c r="J1262" s="386">
        <v>0</v>
      </c>
      <c r="K1262" s="386">
        <v>0</v>
      </c>
      <c r="L1262" s="386">
        <v>0</v>
      </c>
      <c r="M1262" s="386">
        <v>0</v>
      </c>
      <c r="N1262" s="386">
        <v>0</v>
      </c>
      <c r="O1262" s="386">
        <v>0</v>
      </c>
      <c r="P1262" s="386">
        <v>0</v>
      </c>
      <c r="Q1262" s="386">
        <f>SUM(E1262:P1262)</f>
        <v>0</v>
      </c>
    </row>
    <row r="1263" spans="1:17" s="216" customFormat="1" x14ac:dyDescent="0.2">
      <c r="A1263" s="242"/>
      <c r="D1263" s="267"/>
      <c r="F1263" s="269"/>
      <c r="G1263" s="418"/>
      <c r="H1263" s="269"/>
      <c r="I1263" s="272"/>
      <c r="J1263" s="269"/>
      <c r="K1263" s="269"/>
      <c r="L1263" s="269"/>
      <c r="M1263" s="269"/>
      <c r="N1263" s="269"/>
      <c r="O1263" s="269"/>
      <c r="P1263" s="269"/>
    </row>
    <row r="1264" spans="1:17" s="216" customFormat="1" ht="10.5" thickBot="1" x14ac:dyDescent="0.25">
      <c r="A1264" s="580">
        <f>A1262+1</f>
        <v>30</v>
      </c>
      <c r="B1264" s="434"/>
      <c r="C1264" s="581" t="s">
        <v>202</v>
      </c>
      <c r="D1264" s="582"/>
      <c r="E1264" s="435">
        <f t="shared" ref="E1264:P1264" si="462">E1260+E1262</f>
        <v>0</v>
      </c>
      <c r="F1264" s="435">
        <f t="shared" si="462"/>
        <v>0</v>
      </c>
      <c r="G1264" s="435">
        <f t="shared" si="462"/>
        <v>0</v>
      </c>
      <c r="H1264" s="435">
        <f t="shared" si="462"/>
        <v>0</v>
      </c>
      <c r="I1264" s="435">
        <f t="shared" si="462"/>
        <v>0</v>
      </c>
      <c r="J1264" s="435">
        <f t="shared" si="462"/>
        <v>0</v>
      </c>
      <c r="K1264" s="435">
        <f t="shared" si="462"/>
        <v>0</v>
      </c>
      <c r="L1264" s="435">
        <f t="shared" si="462"/>
        <v>0</v>
      </c>
      <c r="M1264" s="435">
        <f t="shared" si="462"/>
        <v>0</v>
      </c>
      <c r="N1264" s="435">
        <f t="shared" si="462"/>
        <v>0</v>
      </c>
      <c r="O1264" s="435">
        <f t="shared" si="462"/>
        <v>0</v>
      </c>
      <c r="P1264" s="435">
        <f t="shared" si="462"/>
        <v>0</v>
      </c>
      <c r="Q1264" s="435">
        <f>SUM(E1264:P1264)</f>
        <v>0</v>
      </c>
    </row>
    <row r="1265" spans="1:17" s="216" customFormat="1" ht="10.5" thickTop="1" x14ac:dyDescent="0.2">
      <c r="A1265" s="242"/>
      <c r="C1265" s="280"/>
      <c r="D1265" s="267"/>
      <c r="F1265" s="269"/>
      <c r="G1265" s="418"/>
      <c r="H1265" s="269"/>
      <c r="I1265" s="272"/>
      <c r="J1265" s="269"/>
      <c r="K1265" s="269"/>
      <c r="L1265" s="269"/>
      <c r="M1265" s="269"/>
      <c r="N1265" s="269"/>
      <c r="O1265" s="269"/>
      <c r="P1265" s="269"/>
    </row>
    <row r="1266" spans="1:17" x14ac:dyDescent="0.2">
      <c r="C1266" s="279"/>
    </row>
    <row r="1267" spans="1:17" x14ac:dyDescent="0.2">
      <c r="C1267" s="279"/>
    </row>
    <row r="1268" spans="1:17" x14ac:dyDescent="0.2">
      <c r="C1268" s="279"/>
    </row>
    <row r="1269" spans="1:17" x14ac:dyDescent="0.2">
      <c r="A1269" s="504" t="str">
        <f>$A$265</f>
        <v>[1] Reflects Normalized Volumes.</v>
      </c>
    </row>
    <row r="1271" spans="1:17" ht="10.5" x14ac:dyDescent="0.25">
      <c r="C1271" s="437"/>
      <c r="D1271" s="278"/>
      <c r="E1271" s="279"/>
      <c r="F1271" s="374"/>
      <c r="G1271" s="393"/>
      <c r="H1271" s="374"/>
      <c r="I1271" s="394"/>
      <c r="J1271" s="374"/>
      <c r="K1271" s="374"/>
      <c r="L1271" s="374"/>
      <c r="M1271" s="374"/>
      <c r="N1271" s="374"/>
      <c r="O1271" s="374"/>
      <c r="P1271" s="374"/>
      <c r="Q1271" s="279"/>
    </row>
    <row r="1272" spans="1:17" x14ac:dyDescent="0.2">
      <c r="C1272" s="279"/>
      <c r="D1272" s="278"/>
      <c r="E1272" s="279"/>
      <c r="F1272" s="374"/>
      <c r="G1272" s="393"/>
      <c r="H1272" s="374"/>
      <c r="I1272" s="394"/>
      <c r="J1272" s="374"/>
      <c r="K1272" s="374"/>
      <c r="L1272" s="374"/>
      <c r="M1272" s="374"/>
      <c r="N1272" s="374"/>
      <c r="O1272" s="374"/>
      <c r="P1272" s="374"/>
      <c r="Q1272" s="279"/>
    </row>
    <row r="1273" spans="1:17" ht="10.5" x14ac:dyDescent="0.25">
      <c r="C1273" s="437"/>
      <c r="D1273" s="437"/>
      <c r="E1273" s="279"/>
      <c r="F1273" s="374"/>
      <c r="G1273" s="393"/>
      <c r="H1273" s="374"/>
      <c r="I1273" s="394"/>
      <c r="J1273" s="374"/>
      <c r="K1273" s="374"/>
      <c r="L1273" s="374"/>
      <c r="M1273" s="374"/>
      <c r="N1273" s="374"/>
      <c r="O1273" s="374"/>
      <c r="P1273" s="374"/>
      <c r="Q1273" s="279"/>
    </row>
    <row r="1274" spans="1:17" x14ac:dyDescent="0.2">
      <c r="C1274" s="279"/>
      <c r="D1274" s="278"/>
      <c r="E1274" s="442"/>
      <c r="F1274" s="442"/>
      <c r="G1274" s="442"/>
      <c r="H1274" s="442"/>
      <c r="I1274" s="442"/>
      <c r="J1274" s="442"/>
      <c r="K1274" s="442"/>
      <c r="L1274" s="442"/>
      <c r="M1274" s="442"/>
      <c r="N1274" s="442"/>
      <c r="O1274" s="442"/>
      <c r="P1274" s="442"/>
      <c r="Q1274" s="442"/>
    </row>
    <row r="1275" spans="1:17" x14ac:dyDescent="0.2">
      <c r="C1275" s="279"/>
      <c r="D1275" s="278"/>
      <c r="E1275" s="442"/>
      <c r="F1275" s="442"/>
      <c r="G1275" s="442"/>
      <c r="H1275" s="442"/>
      <c r="I1275" s="442"/>
      <c r="J1275" s="442"/>
      <c r="K1275" s="442"/>
      <c r="L1275" s="442"/>
      <c r="M1275" s="442"/>
      <c r="N1275" s="442"/>
      <c r="O1275" s="442"/>
      <c r="P1275" s="442"/>
      <c r="Q1275" s="442"/>
    </row>
    <row r="1276" spans="1:17" x14ac:dyDescent="0.2">
      <c r="C1276" s="279"/>
      <c r="D1276" s="278"/>
      <c r="E1276" s="442"/>
      <c r="F1276" s="442"/>
      <c r="G1276" s="442"/>
      <c r="H1276" s="442"/>
      <c r="I1276" s="442"/>
      <c r="J1276" s="442"/>
      <c r="K1276" s="442"/>
      <c r="L1276" s="442"/>
      <c r="M1276" s="442"/>
      <c r="N1276" s="442"/>
      <c r="O1276" s="442"/>
      <c r="P1276" s="442"/>
      <c r="Q1276" s="442"/>
    </row>
    <row r="1277" spans="1:17" x14ac:dyDescent="0.2">
      <c r="C1277" s="279"/>
      <c r="D1277" s="278"/>
      <c r="E1277" s="442"/>
      <c r="F1277" s="442"/>
      <c r="G1277" s="442"/>
      <c r="H1277" s="442"/>
      <c r="I1277" s="442"/>
      <c r="J1277" s="442"/>
      <c r="K1277" s="442"/>
      <c r="L1277" s="442"/>
      <c r="M1277" s="442"/>
      <c r="N1277" s="442"/>
      <c r="O1277" s="442"/>
      <c r="P1277" s="442"/>
      <c r="Q1277" s="442"/>
    </row>
    <row r="1278" spans="1:17" x14ac:dyDescent="0.2">
      <c r="C1278" s="279"/>
      <c r="D1278" s="278"/>
      <c r="E1278" s="442"/>
      <c r="F1278" s="442"/>
      <c r="G1278" s="442"/>
      <c r="H1278" s="442"/>
      <c r="I1278" s="442"/>
      <c r="J1278" s="442"/>
      <c r="K1278" s="442"/>
      <c r="L1278" s="442"/>
      <c r="M1278" s="442"/>
      <c r="N1278" s="442"/>
      <c r="O1278" s="442"/>
      <c r="P1278" s="442"/>
      <c r="Q1278" s="442"/>
    </row>
    <row r="1279" spans="1:17" x14ac:dyDescent="0.2">
      <c r="C1279" s="279"/>
      <c r="D1279" s="279"/>
      <c r="E1279" s="442"/>
      <c r="F1279" s="442"/>
      <c r="G1279" s="442"/>
      <c r="H1279" s="442"/>
      <c r="I1279" s="442"/>
      <c r="J1279" s="442"/>
      <c r="K1279" s="442"/>
      <c r="L1279" s="442"/>
      <c r="M1279" s="442"/>
      <c r="N1279" s="442"/>
      <c r="O1279" s="442"/>
      <c r="P1279" s="442"/>
      <c r="Q1279" s="442"/>
    </row>
    <row r="1280" spans="1:17" x14ac:dyDescent="0.2">
      <c r="C1280" s="279"/>
      <c r="D1280" s="279"/>
      <c r="E1280" s="442"/>
      <c r="F1280" s="442"/>
      <c r="G1280" s="442"/>
      <c r="H1280" s="442"/>
      <c r="I1280" s="442"/>
      <c r="J1280" s="442"/>
      <c r="K1280" s="442"/>
      <c r="L1280" s="442"/>
      <c r="M1280" s="442"/>
      <c r="N1280" s="442"/>
      <c r="O1280" s="442"/>
      <c r="P1280" s="442"/>
      <c r="Q1280" s="442"/>
    </row>
    <row r="1281" spans="3:17" x14ac:dyDescent="0.2">
      <c r="C1281" s="279"/>
      <c r="D1281" s="279"/>
      <c r="E1281" s="442"/>
      <c r="F1281" s="442"/>
      <c r="G1281" s="442"/>
      <c r="H1281" s="442"/>
      <c r="I1281" s="442"/>
      <c r="J1281" s="442"/>
      <c r="K1281" s="442"/>
      <c r="L1281" s="442"/>
      <c r="M1281" s="442"/>
      <c r="N1281" s="442"/>
      <c r="O1281" s="442"/>
      <c r="P1281" s="442"/>
      <c r="Q1281" s="442"/>
    </row>
    <row r="1282" spans="3:17" ht="11.5" x14ac:dyDescent="0.35">
      <c r="C1282" s="279"/>
      <c r="D1282" s="279"/>
      <c r="E1282" s="459"/>
      <c r="F1282" s="459"/>
      <c r="G1282" s="459"/>
      <c r="H1282" s="459"/>
      <c r="I1282" s="459"/>
      <c r="J1282" s="459"/>
      <c r="K1282" s="459"/>
      <c r="L1282" s="459"/>
      <c r="M1282" s="459"/>
      <c r="N1282" s="459"/>
      <c r="O1282" s="459"/>
      <c r="P1282" s="459"/>
      <c r="Q1282" s="459"/>
    </row>
    <row r="1283" spans="3:17" x14ac:dyDescent="0.2">
      <c r="C1283" s="279"/>
      <c r="D1283" s="279"/>
      <c r="E1283" s="442"/>
      <c r="F1283" s="442"/>
      <c r="G1283" s="442"/>
      <c r="H1283" s="442"/>
      <c r="I1283" s="442"/>
      <c r="J1283" s="442"/>
      <c r="K1283" s="442"/>
      <c r="L1283" s="442"/>
      <c r="M1283" s="442"/>
      <c r="N1283" s="442"/>
      <c r="O1283" s="442"/>
      <c r="P1283" s="442"/>
      <c r="Q1283" s="442"/>
    </row>
    <row r="1284" spans="3:17" x14ac:dyDescent="0.2">
      <c r="C1284" s="279"/>
      <c r="D1284" s="279"/>
      <c r="E1284" s="442"/>
      <c r="F1284" s="442"/>
      <c r="G1284" s="442"/>
      <c r="H1284" s="442"/>
      <c r="I1284" s="442"/>
      <c r="J1284" s="442"/>
      <c r="K1284" s="442"/>
      <c r="L1284" s="442"/>
      <c r="M1284" s="442"/>
      <c r="N1284" s="442"/>
      <c r="O1284" s="442"/>
      <c r="P1284" s="442"/>
      <c r="Q1284" s="442"/>
    </row>
    <row r="1285" spans="3:17" ht="10.5" x14ac:dyDescent="0.25">
      <c r="C1285" s="279"/>
      <c r="D1285" s="437"/>
      <c r="E1285" s="442"/>
      <c r="F1285" s="442"/>
      <c r="G1285" s="442"/>
      <c r="H1285" s="442"/>
      <c r="I1285" s="442"/>
      <c r="J1285" s="442"/>
      <c r="K1285" s="442"/>
      <c r="L1285" s="442"/>
      <c r="M1285" s="442"/>
      <c r="N1285" s="442"/>
      <c r="O1285" s="442"/>
      <c r="P1285" s="442"/>
      <c r="Q1285" s="442"/>
    </row>
    <row r="1286" spans="3:17" x14ac:dyDescent="0.2">
      <c r="C1286" s="279"/>
      <c r="D1286" s="278"/>
      <c r="E1286" s="442"/>
      <c r="F1286" s="442"/>
      <c r="G1286" s="442"/>
      <c r="H1286" s="442"/>
      <c r="I1286" s="442"/>
      <c r="J1286" s="442"/>
      <c r="K1286" s="442"/>
      <c r="L1286" s="442"/>
      <c r="M1286" s="442"/>
      <c r="N1286" s="442"/>
      <c r="O1286" s="442"/>
      <c r="P1286" s="442"/>
      <c r="Q1286" s="442"/>
    </row>
    <row r="1287" spans="3:17" x14ac:dyDescent="0.2">
      <c r="C1287" s="279"/>
      <c r="D1287" s="278"/>
      <c r="E1287" s="442"/>
      <c r="F1287" s="442"/>
      <c r="G1287" s="442"/>
      <c r="H1287" s="442"/>
      <c r="I1287" s="442"/>
      <c r="J1287" s="442"/>
      <c r="K1287" s="442"/>
      <c r="L1287" s="442"/>
      <c r="M1287" s="442"/>
      <c r="N1287" s="442"/>
      <c r="O1287" s="442"/>
      <c r="P1287" s="442"/>
      <c r="Q1287" s="442"/>
    </row>
    <row r="1288" spans="3:17" x14ac:dyDescent="0.2">
      <c r="C1288" s="279"/>
      <c r="D1288" s="278"/>
      <c r="E1288" s="442"/>
      <c r="F1288" s="442"/>
      <c r="G1288" s="442"/>
      <c r="H1288" s="442"/>
      <c r="I1288" s="442"/>
      <c r="J1288" s="442"/>
      <c r="K1288" s="442"/>
      <c r="L1288" s="442"/>
      <c r="M1288" s="442"/>
      <c r="N1288" s="442"/>
      <c r="O1288" s="442"/>
      <c r="P1288" s="442"/>
      <c r="Q1288" s="442"/>
    </row>
    <row r="1289" spans="3:17" x14ac:dyDescent="0.2">
      <c r="C1289" s="279"/>
      <c r="D1289" s="278"/>
      <c r="E1289" s="442"/>
      <c r="F1289" s="442"/>
      <c r="G1289" s="442"/>
      <c r="H1289" s="442"/>
      <c r="I1289" s="442"/>
      <c r="J1289" s="442"/>
      <c r="K1289" s="442"/>
      <c r="L1289" s="442"/>
      <c r="M1289" s="442"/>
      <c r="N1289" s="442"/>
      <c r="O1289" s="442"/>
      <c r="P1289" s="442"/>
      <c r="Q1289" s="442"/>
    </row>
    <row r="1290" spans="3:17" x14ac:dyDescent="0.2">
      <c r="C1290" s="279"/>
      <c r="D1290" s="278"/>
      <c r="E1290" s="442"/>
      <c r="F1290" s="442"/>
      <c r="G1290" s="442"/>
      <c r="H1290" s="442"/>
      <c r="I1290" s="442"/>
      <c r="J1290" s="442"/>
      <c r="K1290" s="442"/>
      <c r="L1290" s="442"/>
      <c r="M1290" s="442"/>
      <c r="N1290" s="442"/>
      <c r="O1290" s="442"/>
      <c r="P1290" s="442"/>
      <c r="Q1290" s="442"/>
    </row>
    <row r="1291" spans="3:17" x14ac:dyDescent="0.2">
      <c r="C1291" s="279"/>
      <c r="D1291" s="279"/>
      <c r="E1291" s="442"/>
      <c r="F1291" s="442"/>
      <c r="G1291" s="442"/>
      <c r="H1291" s="442"/>
      <c r="I1291" s="442"/>
      <c r="J1291" s="442"/>
      <c r="K1291" s="442"/>
      <c r="L1291" s="442"/>
      <c r="M1291" s="442"/>
      <c r="N1291" s="442"/>
      <c r="O1291" s="442"/>
      <c r="P1291" s="442"/>
      <c r="Q1291" s="442"/>
    </row>
    <row r="1292" spans="3:17" ht="11.5" x14ac:dyDescent="0.35">
      <c r="C1292" s="279"/>
      <c r="D1292" s="279"/>
      <c r="E1292" s="459"/>
      <c r="F1292" s="459"/>
      <c r="G1292" s="459"/>
      <c r="H1292" s="459"/>
      <c r="I1292" s="459"/>
      <c r="J1292" s="459"/>
      <c r="K1292" s="459"/>
      <c r="L1292" s="459"/>
      <c r="M1292" s="459"/>
      <c r="N1292" s="459"/>
      <c r="O1292" s="459"/>
      <c r="P1292" s="459"/>
      <c r="Q1292" s="459"/>
    </row>
    <row r="1293" spans="3:17" x14ac:dyDescent="0.2">
      <c r="C1293" s="279"/>
      <c r="D1293" s="278"/>
      <c r="E1293" s="442"/>
      <c r="F1293" s="442"/>
      <c r="G1293" s="442"/>
      <c r="H1293" s="442"/>
      <c r="I1293" s="442"/>
      <c r="J1293" s="442"/>
      <c r="K1293" s="442"/>
      <c r="L1293" s="442"/>
      <c r="M1293" s="442"/>
      <c r="N1293" s="442"/>
      <c r="O1293" s="442"/>
      <c r="P1293" s="442"/>
      <c r="Q1293" s="442"/>
    </row>
    <row r="1294" spans="3:17" x14ac:dyDescent="0.2">
      <c r="C1294" s="279"/>
      <c r="D1294" s="278"/>
      <c r="E1294" s="442"/>
      <c r="F1294" s="442"/>
      <c r="G1294" s="442"/>
      <c r="H1294" s="442"/>
      <c r="I1294" s="442"/>
      <c r="J1294" s="442"/>
      <c r="K1294" s="442"/>
      <c r="L1294" s="442"/>
      <c r="M1294" s="442"/>
      <c r="N1294" s="442"/>
      <c r="O1294" s="442"/>
      <c r="P1294" s="442"/>
      <c r="Q1294" s="442"/>
    </row>
    <row r="1295" spans="3:17" ht="10.5" x14ac:dyDescent="0.25">
      <c r="C1295" s="279"/>
      <c r="D1295" s="437"/>
      <c r="E1295" s="442"/>
      <c r="F1295" s="442"/>
      <c r="G1295" s="442"/>
      <c r="H1295" s="442"/>
      <c r="I1295" s="442"/>
      <c r="J1295" s="442"/>
      <c r="K1295" s="442"/>
      <c r="L1295" s="442"/>
      <c r="M1295" s="442"/>
      <c r="N1295" s="442"/>
      <c r="O1295" s="442"/>
      <c r="P1295" s="442"/>
      <c r="Q1295" s="442"/>
    </row>
    <row r="1296" spans="3:17" x14ac:dyDescent="0.2">
      <c r="C1296" s="279"/>
      <c r="D1296" s="278"/>
      <c r="E1296" s="442"/>
      <c r="F1296" s="442"/>
      <c r="G1296" s="442"/>
      <c r="H1296" s="442"/>
      <c r="I1296" s="442"/>
      <c r="J1296" s="442"/>
      <c r="K1296" s="442"/>
      <c r="L1296" s="442"/>
      <c r="M1296" s="442"/>
      <c r="N1296" s="442"/>
      <c r="O1296" s="442"/>
      <c r="P1296" s="442"/>
      <c r="Q1296" s="442"/>
    </row>
    <row r="1297" spans="3:17" x14ac:dyDescent="0.2">
      <c r="C1297" s="279"/>
      <c r="D1297" s="278"/>
      <c r="E1297" s="442"/>
      <c r="F1297" s="442"/>
      <c r="G1297" s="442"/>
      <c r="H1297" s="442"/>
      <c r="I1297" s="442"/>
      <c r="J1297" s="442"/>
      <c r="K1297" s="442"/>
      <c r="L1297" s="442"/>
      <c r="M1297" s="442"/>
      <c r="N1297" s="442"/>
      <c r="O1297" s="442"/>
      <c r="P1297" s="442"/>
      <c r="Q1297" s="442"/>
    </row>
    <row r="1298" spans="3:17" x14ac:dyDescent="0.2">
      <c r="C1298" s="279"/>
      <c r="D1298" s="278"/>
      <c r="E1298" s="442"/>
      <c r="F1298" s="442"/>
      <c r="G1298" s="442"/>
      <c r="H1298" s="442"/>
      <c r="I1298" s="442"/>
      <c r="J1298" s="442"/>
      <c r="K1298" s="442"/>
      <c r="L1298" s="442"/>
      <c r="M1298" s="442"/>
      <c r="N1298" s="442"/>
      <c r="O1298" s="442"/>
      <c r="P1298" s="442"/>
      <c r="Q1298" s="442"/>
    </row>
    <row r="1299" spans="3:17" x14ac:dyDescent="0.2">
      <c r="C1299" s="279"/>
      <c r="D1299" s="278"/>
      <c r="E1299" s="442"/>
      <c r="F1299" s="442"/>
      <c r="G1299" s="442"/>
      <c r="H1299" s="442"/>
      <c r="I1299" s="442"/>
      <c r="J1299" s="442"/>
      <c r="K1299" s="442"/>
      <c r="L1299" s="442"/>
      <c r="M1299" s="442"/>
      <c r="N1299" s="442"/>
      <c r="O1299" s="442"/>
      <c r="P1299" s="442"/>
      <c r="Q1299" s="442"/>
    </row>
    <row r="1300" spans="3:17" x14ac:dyDescent="0.2">
      <c r="C1300" s="279"/>
      <c r="D1300" s="278"/>
      <c r="E1300" s="442"/>
      <c r="F1300" s="442"/>
      <c r="G1300" s="442"/>
      <c r="H1300" s="442"/>
      <c r="I1300" s="442"/>
      <c r="J1300" s="442"/>
      <c r="K1300" s="442"/>
      <c r="L1300" s="442"/>
      <c r="M1300" s="442"/>
      <c r="N1300" s="442"/>
      <c r="O1300" s="442"/>
      <c r="P1300" s="442"/>
      <c r="Q1300" s="442"/>
    </row>
    <row r="1301" spans="3:17" x14ac:dyDescent="0.2">
      <c r="C1301" s="279"/>
      <c r="D1301" s="279"/>
      <c r="E1301" s="442"/>
      <c r="F1301" s="442"/>
      <c r="G1301" s="442"/>
      <c r="H1301" s="442"/>
      <c r="I1301" s="442"/>
      <c r="J1301" s="442"/>
      <c r="K1301" s="442"/>
      <c r="L1301" s="442"/>
      <c r="M1301" s="442"/>
      <c r="N1301" s="442"/>
      <c r="O1301" s="442"/>
      <c r="P1301" s="442"/>
      <c r="Q1301" s="442"/>
    </row>
    <row r="1302" spans="3:17" ht="11.5" x14ac:dyDescent="0.35">
      <c r="C1302" s="279"/>
      <c r="D1302" s="279"/>
      <c r="E1302" s="459"/>
      <c r="F1302" s="459"/>
      <c r="G1302" s="459"/>
      <c r="H1302" s="459"/>
      <c r="I1302" s="459"/>
      <c r="J1302" s="459"/>
      <c r="K1302" s="459"/>
      <c r="L1302" s="459"/>
      <c r="M1302" s="459"/>
      <c r="N1302" s="459"/>
      <c r="O1302" s="459"/>
      <c r="P1302" s="459"/>
      <c r="Q1302" s="459"/>
    </row>
    <row r="1303" spans="3:17" x14ac:dyDescent="0.2">
      <c r="C1303" s="279"/>
      <c r="D1303" s="279"/>
      <c r="E1303" s="442"/>
      <c r="F1303" s="442"/>
      <c r="G1303" s="442"/>
      <c r="H1303" s="442"/>
      <c r="I1303" s="442"/>
      <c r="J1303" s="442"/>
      <c r="K1303" s="442"/>
      <c r="L1303" s="442"/>
      <c r="M1303" s="442"/>
      <c r="N1303" s="442"/>
      <c r="O1303" s="442"/>
      <c r="P1303" s="442"/>
      <c r="Q1303" s="442"/>
    </row>
    <row r="1304" spans="3:17" x14ac:dyDescent="0.2">
      <c r="C1304" s="279"/>
      <c r="D1304" s="279"/>
      <c r="E1304" s="442"/>
      <c r="F1304" s="442"/>
      <c r="G1304" s="442"/>
      <c r="H1304" s="442"/>
      <c r="I1304" s="442"/>
      <c r="J1304" s="442"/>
      <c r="K1304" s="442"/>
      <c r="L1304" s="442"/>
      <c r="M1304" s="442"/>
      <c r="N1304" s="442"/>
      <c r="O1304" s="442"/>
      <c r="P1304" s="442"/>
      <c r="Q1304" s="442"/>
    </row>
    <row r="1305" spans="3:17" ht="10.5" x14ac:dyDescent="0.25">
      <c r="C1305" s="279"/>
      <c r="D1305" s="437"/>
      <c r="E1305" s="442"/>
      <c r="F1305" s="442"/>
      <c r="G1305" s="442"/>
      <c r="H1305" s="442"/>
      <c r="I1305" s="442"/>
      <c r="J1305" s="442"/>
      <c r="K1305" s="442"/>
      <c r="L1305" s="442"/>
      <c r="M1305" s="442"/>
      <c r="N1305" s="442"/>
      <c r="O1305" s="442"/>
      <c r="P1305" s="442"/>
      <c r="Q1305" s="442"/>
    </row>
    <row r="1306" spans="3:17" x14ac:dyDescent="0.2">
      <c r="C1306" s="279"/>
      <c r="D1306" s="278"/>
      <c r="E1306" s="442"/>
      <c r="F1306" s="442"/>
      <c r="G1306" s="442"/>
      <c r="H1306" s="442"/>
      <c r="I1306" s="442"/>
      <c r="J1306" s="442"/>
      <c r="K1306" s="442"/>
      <c r="L1306" s="442"/>
      <c r="M1306" s="442"/>
      <c r="N1306" s="442"/>
      <c r="O1306" s="442"/>
      <c r="P1306" s="442"/>
      <c r="Q1306" s="442"/>
    </row>
    <row r="1307" spans="3:17" x14ac:dyDescent="0.2">
      <c r="C1307" s="279"/>
      <c r="D1307" s="278"/>
      <c r="E1307" s="442"/>
      <c r="F1307" s="442"/>
      <c r="G1307" s="442"/>
      <c r="H1307" s="442"/>
      <c r="I1307" s="442"/>
      <c r="J1307" s="442"/>
      <c r="K1307" s="442"/>
      <c r="L1307" s="442"/>
      <c r="M1307" s="442"/>
      <c r="N1307" s="442"/>
      <c r="O1307" s="442"/>
      <c r="P1307" s="442"/>
      <c r="Q1307" s="442"/>
    </row>
    <row r="1308" spans="3:17" x14ac:dyDescent="0.2">
      <c r="C1308" s="279"/>
      <c r="D1308" s="278"/>
      <c r="E1308" s="442"/>
      <c r="F1308" s="442"/>
      <c r="G1308" s="442"/>
      <c r="H1308" s="442"/>
      <c r="I1308" s="442"/>
      <c r="J1308" s="442"/>
      <c r="K1308" s="442"/>
      <c r="L1308" s="442"/>
      <c r="M1308" s="442"/>
      <c r="N1308" s="442"/>
      <c r="O1308" s="442"/>
      <c r="P1308" s="442"/>
      <c r="Q1308" s="442"/>
    </row>
    <row r="1309" spans="3:17" x14ac:dyDescent="0.2">
      <c r="C1309" s="279"/>
      <c r="D1309" s="278"/>
      <c r="E1309" s="442"/>
      <c r="F1309" s="442"/>
      <c r="G1309" s="442"/>
      <c r="H1309" s="442"/>
      <c r="I1309" s="442"/>
      <c r="J1309" s="442"/>
      <c r="K1309" s="442"/>
      <c r="L1309" s="442"/>
      <c r="M1309" s="442"/>
      <c r="N1309" s="442"/>
      <c r="O1309" s="442"/>
      <c r="P1309" s="442"/>
      <c r="Q1309" s="442"/>
    </row>
    <row r="1310" spans="3:17" x14ac:dyDescent="0.2">
      <c r="C1310" s="279"/>
      <c r="D1310" s="278"/>
      <c r="E1310" s="442"/>
      <c r="F1310" s="442"/>
      <c r="G1310" s="442"/>
      <c r="H1310" s="442"/>
      <c r="I1310" s="442"/>
      <c r="J1310" s="442"/>
      <c r="K1310" s="442"/>
      <c r="L1310" s="442"/>
      <c r="M1310" s="442"/>
      <c r="N1310" s="442"/>
      <c r="O1310" s="442"/>
      <c r="P1310" s="442"/>
      <c r="Q1310" s="442"/>
    </row>
    <row r="1311" spans="3:17" x14ac:dyDescent="0.2">
      <c r="C1311" s="279"/>
      <c r="D1311" s="279"/>
      <c r="E1311" s="442"/>
      <c r="F1311" s="442"/>
      <c r="G1311" s="442"/>
      <c r="H1311" s="442"/>
      <c r="I1311" s="442"/>
      <c r="J1311" s="442"/>
      <c r="K1311" s="442"/>
      <c r="L1311" s="442"/>
      <c r="M1311" s="442"/>
      <c r="N1311" s="442"/>
      <c r="O1311" s="442"/>
      <c r="P1311" s="442"/>
      <c r="Q1311" s="442"/>
    </row>
    <row r="1312" spans="3:17" ht="11.5" x14ac:dyDescent="0.35">
      <c r="C1312" s="279"/>
      <c r="D1312" s="279"/>
      <c r="E1312" s="459"/>
      <c r="F1312" s="459"/>
      <c r="G1312" s="459"/>
      <c r="H1312" s="459"/>
      <c r="I1312" s="459"/>
      <c r="J1312" s="459"/>
      <c r="K1312" s="459"/>
      <c r="L1312" s="459"/>
      <c r="M1312" s="459"/>
      <c r="N1312" s="459"/>
      <c r="O1312" s="459"/>
      <c r="P1312" s="459"/>
      <c r="Q1312" s="459"/>
    </row>
    <row r="1313" spans="3:17" x14ac:dyDescent="0.2">
      <c r="C1313" s="279"/>
      <c r="D1313" s="278"/>
      <c r="E1313" s="442"/>
      <c r="F1313" s="442"/>
      <c r="G1313" s="442"/>
      <c r="H1313" s="442"/>
      <c r="I1313" s="442"/>
      <c r="J1313" s="442"/>
      <c r="K1313" s="442"/>
      <c r="L1313" s="442"/>
      <c r="M1313" s="442"/>
      <c r="N1313" s="442"/>
      <c r="O1313" s="442"/>
      <c r="P1313" s="442"/>
      <c r="Q1313" s="442"/>
    </row>
    <row r="1314" spans="3:17" x14ac:dyDescent="0.2">
      <c r="C1314" s="279"/>
      <c r="D1314" s="278"/>
      <c r="E1314" s="442"/>
      <c r="F1314" s="442"/>
      <c r="G1314" s="442"/>
      <c r="H1314" s="442"/>
      <c r="I1314" s="442"/>
      <c r="J1314" s="442"/>
      <c r="K1314" s="442"/>
      <c r="L1314" s="442"/>
      <c r="M1314" s="442"/>
      <c r="N1314" s="442"/>
      <c r="O1314" s="442"/>
      <c r="P1314" s="442"/>
      <c r="Q1314" s="442"/>
    </row>
    <row r="1315" spans="3:17" ht="10.5" x14ac:dyDescent="0.25">
      <c r="C1315" s="279"/>
      <c r="D1315" s="437"/>
      <c r="E1315" s="442"/>
      <c r="F1315" s="442"/>
      <c r="G1315" s="442"/>
      <c r="H1315" s="442"/>
      <c r="I1315" s="442"/>
      <c r="J1315" s="442"/>
      <c r="K1315" s="442"/>
      <c r="L1315" s="442"/>
      <c r="M1315" s="442"/>
      <c r="N1315" s="442"/>
      <c r="O1315" s="442"/>
      <c r="P1315" s="442"/>
      <c r="Q1315" s="442"/>
    </row>
    <row r="1316" spans="3:17" x14ac:dyDescent="0.2">
      <c r="C1316" s="279"/>
      <c r="D1316" s="278"/>
      <c r="E1316" s="442"/>
      <c r="F1316" s="442"/>
      <c r="G1316" s="442"/>
      <c r="H1316" s="442"/>
      <c r="I1316" s="442"/>
      <c r="J1316" s="442"/>
      <c r="K1316" s="442"/>
      <c r="L1316" s="442"/>
      <c r="M1316" s="442"/>
      <c r="N1316" s="442"/>
      <c r="O1316" s="442"/>
      <c r="P1316" s="442"/>
      <c r="Q1316" s="442"/>
    </row>
    <row r="1317" spans="3:17" x14ac:dyDescent="0.2">
      <c r="C1317" s="279"/>
      <c r="D1317" s="278"/>
      <c r="E1317" s="442"/>
      <c r="F1317" s="442"/>
      <c r="G1317" s="442"/>
      <c r="H1317" s="442"/>
      <c r="I1317" s="442"/>
      <c r="J1317" s="442"/>
      <c r="K1317" s="442"/>
      <c r="L1317" s="442"/>
      <c r="M1317" s="442"/>
      <c r="N1317" s="442"/>
      <c r="O1317" s="442"/>
      <c r="P1317" s="442"/>
      <c r="Q1317" s="442"/>
    </row>
    <row r="1318" spans="3:17" x14ac:dyDescent="0.2">
      <c r="C1318" s="279"/>
      <c r="D1318" s="278"/>
      <c r="E1318" s="442"/>
      <c r="F1318" s="442"/>
      <c r="G1318" s="442"/>
      <c r="H1318" s="442"/>
      <c r="I1318" s="442"/>
      <c r="J1318" s="442"/>
      <c r="K1318" s="442"/>
      <c r="L1318" s="442"/>
      <c r="M1318" s="442"/>
      <c r="N1318" s="442"/>
      <c r="O1318" s="442"/>
      <c r="P1318" s="442"/>
      <c r="Q1318" s="442"/>
    </row>
    <row r="1319" spans="3:17" x14ac:dyDescent="0.2">
      <c r="C1319" s="279"/>
      <c r="D1319" s="278"/>
      <c r="E1319" s="442"/>
      <c r="F1319" s="442"/>
      <c r="G1319" s="442"/>
      <c r="H1319" s="442"/>
      <c r="I1319" s="442"/>
      <c r="J1319" s="442"/>
      <c r="K1319" s="442"/>
      <c r="L1319" s="442"/>
      <c r="M1319" s="442"/>
      <c r="N1319" s="442"/>
      <c r="O1319" s="442"/>
      <c r="P1319" s="442"/>
      <c r="Q1319" s="442"/>
    </row>
    <row r="1320" spans="3:17" x14ac:dyDescent="0.2">
      <c r="C1320" s="279"/>
      <c r="D1320" s="278"/>
      <c r="E1320" s="442"/>
      <c r="F1320" s="442"/>
      <c r="G1320" s="442"/>
      <c r="H1320" s="442"/>
      <c r="I1320" s="442"/>
      <c r="J1320" s="442"/>
      <c r="K1320" s="442"/>
      <c r="L1320" s="442"/>
      <c r="M1320" s="442"/>
      <c r="N1320" s="442"/>
      <c r="O1320" s="442"/>
      <c r="P1320" s="442"/>
      <c r="Q1320" s="442"/>
    </row>
    <row r="1321" spans="3:17" x14ac:dyDescent="0.2">
      <c r="C1321" s="279"/>
      <c r="D1321" s="279"/>
      <c r="E1321" s="442"/>
      <c r="F1321" s="442"/>
      <c r="G1321" s="442"/>
      <c r="H1321" s="442"/>
      <c r="I1321" s="442"/>
      <c r="J1321" s="442"/>
      <c r="K1321" s="442"/>
      <c r="L1321" s="442"/>
      <c r="M1321" s="442"/>
      <c r="N1321" s="442"/>
      <c r="O1321" s="442"/>
      <c r="P1321" s="442"/>
      <c r="Q1321" s="442"/>
    </row>
    <row r="1322" spans="3:17" x14ac:dyDescent="0.2">
      <c r="C1322" s="279"/>
      <c r="D1322" s="279"/>
      <c r="E1322" s="442"/>
      <c r="F1322" s="442"/>
      <c r="G1322" s="442"/>
      <c r="H1322" s="442"/>
      <c r="I1322" s="442"/>
      <c r="J1322" s="442"/>
      <c r="K1322" s="442"/>
      <c r="L1322" s="442"/>
      <c r="M1322" s="442"/>
      <c r="N1322" s="442"/>
      <c r="O1322" s="442"/>
      <c r="P1322" s="442"/>
      <c r="Q1322" s="442"/>
    </row>
    <row r="1323" spans="3:17" x14ac:dyDescent="0.2">
      <c r="C1323" s="279"/>
      <c r="D1323" s="279"/>
      <c r="E1323" s="442"/>
      <c r="F1323" s="442"/>
      <c r="G1323" s="442"/>
      <c r="H1323" s="442"/>
      <c r="I1323" s="442"/>
      <c r="J1323" s="442"/>
      <c r="K1323" s="442"/>
      <c r="L1323" s="442"/>
      <c r="M1323" s="442"/>
      <c r="N1323" s="442"/>
      <c r="O1323" s="442"/>
      <c r="P1323" s="442"/>
      <c r="Q1323" s="442"/>
    </row>
    <row r="1324" spans="3:17" ht="11.5" x14ac:dyDescent="0.35">
      <c r="C1324" s="279"/>
      <c r="D1324" s="279"/>
      <c r="E1324" s="459"/>
      <c r="F1324" s="459"/>
      <c r="G1324" s="459"/>
      <c r="H1324" s="459"/>
      <c r="I1324" s="459"/>
      <c r="J1324" s="459"/>
      <c r="K1324" s="459"/>
      <c r="L1324" s="459"/>
      <c r="M1324" s="459"/>
      <c r="N1324" s="459"/>
      <c r="O1324" s="459"/>
      <c r="P1324" s="459"/>
      <c r="Q1324" s="459"/>
    </row>
    <row r="1325" spans="3:17" x14ac:dyDescent="0.2">
      <c r="C1325" s="279"/>
      <c r="D1325" s="279"/>
      <c r="E1325" s="442"/>
      <c r="F1325" s="442"/>
      <c r="G1325" s="442"/>
      <c r="H1325" s="442"/>
      <c r="I1325" s="442"/>
      <c r="J1325" s="442"/>
      <c r="K1325" s="442"/>
      <c r="L1325" s="442"/>
      <c r="M1325" s="442"/>
      <c r="N1325" s="442"/>
      <c r="O1325" s="442"/>
      <c r="P1325" s="442"/>
      <c r="Q1325" s="442"/>
    </row>
    <row r="1326" spans="3:17" x14ac:dyDescent="0.2">
      <c r="C1326" s="279"/>
      <c r="D1326" s="279"/>
      <c r="E1326" s="442"/>
      <c r="F1326" s="442"/>
      <c r="G1326" s="442"/>
      <c r="H1326" s="442"/>
      <c r="I1326" s="442"/>
      <c r="J1326" s="442"/>
      <c r="K1326" s="442"/>
      <c r="L1326" s="442"/>
      <c r="M1326" s="442"/>
      <c r="N1326" s="442"/>
      <c r="O1326" s="442"/>
      <c r="P1326" s="442"/>
      <c r="Q1326" s="442"/>
    </row>
    <row r="1327" spans="3:17" x14ac:dyDescent="0.2">
      <c r="C1327" s="279"/>
      <c r="D1327" s="278"/>
      <c r="E1327" s="442"/>
      <c r="F1327" s="442"/>
      <c r="G1327" s="442"/>
      <c r="H1327" s="442"/>
      <c r="I1327" s="442"/>
      <c r="J1327" s="442"/>
      <c r="K1327" s="442"/>
      <c r="L1327" s="442"/>
      <c r="M1327" s="442"/>
      <c r="N1327" s="442"/>
      <c r="O1327" s="442"/>
      <c r="P1327" s="442"/>
      <c r="Q1327" s="442"/>
    </row>
    <row r="1328" spans="3:17" ht="10.5" x14ac:dyDescent="0.25">
      <c r="C1328" s="279"/>
      <c r="D1328" s="437"/>
      <c r="E1328" s="279"/>
      <c r="F1328" s="374"/>
      <c r="G1328" s="393"/>
      <c r="H1328" s="374"/>
      <c r="I1328" s="394"/>
      <c r="J1328" s="374"/>
      <c r="K1328" s="374"/>
      <c r="L1328" s="374"/>
      <c r="M1328" s="374"/>
      <c r="N1328" s="374"/>
      <c r="O1328" s="374"/>
      <c r="P1328" s="374"/>
      <c r="Q1328" s="279"/>
    </row>
    <row r="1329" spans="3:17" x14ac:dyDescent="0.2">
      <c r="C1329" s="279"/>
      <c r="D1329" s="278"/>
      <c r="E1329" s="442"/>
      <c r="F1329" s="442"/>
      <c r="G1329" s="442"/>
      <c r="H1329" s="442"/>
      <c r="I1329" s="442"/>
      <c r="J1329" s="442"/>
      <c r="K1329" s="442"/>
      <c r="L1329" s="442"/>
      <c r="M1329" s="442"/>
      <c r="N1329" s="442"/>
      <c r="O1329" s="442"/>
      <c r="P1329" s="442"/>
      <c r="Q1329" s="442"/>
    </row>
    <row r="1330" spans="3:17" x14ac:dyDescent="0.2">
      <c r="C1330" s="279"/>
      <c r="D1330" s="278"/>
      <c r="E1330" s="442"/>
      <c r="F1330" s="442"/>
      <c r="G1330" s="442"/>
      <c r="H1330" s="442"/>
      <c r="I1330" s="442"/>
      <c r="J1330" s="442"/>
      <c r="K1330" s="442"/>
      <c r="L1330" s="442"/>
      <c r="M1330" s="442"/>
      <c r="N1330" s="442"/>
      <c r="O1330" s="442"/>
      <c r="P1330" s="442"/>
      <c r="Q1330" s="442"/>
    </row>
    <row r="1331" spans="3:17" x14ac:dyDescent="0.2">
      <c r="C1331" s="279"/>
      <c r="D1331" s="278"/>
      <c r="E1331" s="442"/>
      <c r="F1331" s="442"/>
      <c r="G1331" s="442"/>
      <c r="H1331" s="442"/>
      <c r="I1331" s="442"/>
      <c r="J1331" s="442"/>
      <c r="K1331" s="442"/>
      <c r="L1331" s="442"/>
      <c r="M1331" s="442"/>
      <c r="N1331" s="442"/>
      <c r="O1331" s="442"/>
      <c r="P1331" s="442"/>
      <c r="Q1331" s="442"/>
    </row>
    <row r="1332" spans="3:17" x14ac:dyDescent="0.2">
      <c r="C1332" s="279"/>
      <c r="D1332" s="278"/>
      <c r="E1332" s="442"/>
      <c r="F1332" s="442"/>
      <c r="G1332" s="442"/>
      <c r="H1332" s="442"/>
      <c r="I1332" s="442"/>
      <c r="J1332" s="442"/>
      <c r="K1332" s="442"/>
      <c r="L1332" s="442"/>
      <c r="M1332" s="442"/>
      <c r="N1332" s="442"/>
      <c r="O1332" s="442"/>
      <c r="P1332" s="442"/>
      <c r="Q1332" s="442"/>
    </row>
    <row r="1333" spans="3:17" x14ac:dyDescent="0.2">
      <c r="C1333" s="279"/>
      <c r="D1333" s="279"/>
      <c r="E1333" s="442"/>
      <c r="F1333" s="442"/>
      <c r="G1333" s="442"/>
      <c r="H1333" s="442"/>
      <c r="I1333" s="442"/>
      <c r="J1333" s="442"/>
      <c r="K1333" s="442"/>
      <c r="L1333" s="442"/>
      <c r="M1333" s="442"/>
      <c r="N1333" s="442"/>
      <c r="O1333" s="442"/>
      <c r="P1333" s="442"/>
      <c r="Q1333" s="442"/>
    </row>
    <row r="1334" spans="3:17" x14ac:dyDescent="0.2">
      <c r="C1334" s="279"/>
      <c r="D1334" s="279"/>
      <c r="E1334" s="442"/>
      <c r="F1334" s="442"/>
      <c r="G1334" s="442"/>
      <c r="H1334" s="442"/>
      <c r="I1334" s="442"/>
      <c r="J1334" s="442"/>
      <c r="K1334" s="442"/>
      <c r="L1334" s="442"/>
      <c r="M1334" s="442"/>
      <c r="N1334" s="442"/>
      <c r="O1334" s="442"/>
      <c r="P1334" s="442"/>
      <c r="Q1334" s="442"/>
    </row>
    <row r="1335" spans="3:17" ht="11.5" x14ac:dyDescent="0.35">
      <c r="C1335" s="279"/>
      <c r="D1335" s="279"/>
      <c r="E1335" s="459"/>
      <c r="F1335" s="459"/>
      <c r="G1335" s="459"/>
      <c r="H1335" s="459"/>
      <c r="I1335" s="459"/>
      <c r="J1335" s="459"/>
      <c r="K1335" s="459"/>
      <c r="L1335" s="459"/>
      <c r="M1335" s="459"/>
      <c r="N1335" s="459"/>
      <c r="O1335" s="459"/>
      <c r="P1335" s="459"/>
      <c r="Q1335" s="459"/>
    </row>
    <row r="1336" spans="3:17" x14ac:dyDescent="0.2">
      <c r="C1336" s="279"/>
      <c r="D1336" s="279"/>
      <c r="E1336" s="442"/>
      <c r="F1336" s="442"/>
      <c r="G1336" s="442"/>
      <c r="H1336" s="442"/>
      <c r="I1336" s="442"/>
      <c r="J1336" s="442"/>
      <c r="K1336" s="442"/>
      <c r="L1336" s="442"/>
      <c r="M1336" s="442"/>
      <c r="N1336" s="442"/>
      <c r="O1336" s="442"/>
      <c r="P1336" s="442"/>
      <c r="Q1336" s="442"/>
    </row>
    <row r="1337" spans="3:17" x14ac:dyDescent="0.2">
      <c r="C1337" s="279"/>
      <c r="D1337" s="278"/>
      <c r="E1337" s="442"/>
      <c r="F1337" s="442"/>
      <c r="G1337" s="442"/>
      <c r="H1337" s="442"/>
      <c r="I1337" s="442"/>
      <c r="J1337" s="442"/>
      <c r="K1337" s="442"/>
      <c r="L1337" s="442"/>
      <c r="M1337" s="442"/>
      <c r="N1337" s="442"/>
      <c r="O1337" s="442"/>
      <c r="P1337" s="442"/>
      <c r="Q1337" s="442"/>
    </row>
    <row r="1338" spans="3:17" ht="10.5" x14ac:dyDescent="0.25">
      <c r="C1338" s="279"/>
      <c r="D1338" s="437"/>
      <c r="E1338" s="279"/>
      <c r="F1338" s="374"/>
      <c r="G1338" s="393"/>
      <c r="H1338" s="374"/>
      <c r="I1338" s="394"/>
      <c r="J1338" s="374"/>
      <c r="K1338" s="374"/>
      <c r="L1338" s="374"/>
      <c r="M1338" s="374"/>
      <c r="N1338" s="374"/>
      <c r="O1338" s="374"/>
      <c r="P1338" s="374"/>
      <c r="Q1338" s="279"/>
    </row>
    <row r="1339" spans="3:17" x14ac:dyDescent="0.2">
      <c r="C1339" s="279"/>
      <c r="D1339" s="278"/>
      <c r="E1339" s="442"/>
      <c r="F1339" s="442"/>
      <c r="G1339" s="442"/>
      <c r="H1339" s="442"/>
      <c r="I1339" s="442"/>
      <c r="J1339" s="442"/>
      <c r="K1339" s="442"/>
      <c r="L1339" s="442"/>
      <c r="M1339" s="442"/>
      <c r="N1339" s="442"/>
      <c r="O1339" s="442"/>
      <c r="P1339" s="442"/>
      <c r="Q1339" s="442"/>
    </row>
    <row r="1340" spans="3:17" x14ac:dyDescent="0.2">
      <c r="C1340" s="279"/>
      <c r="D1340" s="278"/>
      <c r="E1340" s="442"/>
      <c r="F1340" s="442"/>
      <c r="G1340" s="442"/>
      <c r="H1340" s="442"/>
      <c r="I1340" s="442"/>
      <c r="J1340" s="442"/>
      <c r="K1340" s="442"/>
      <c r="L1340" s="442"/>
      <c r="M1340" s="442"/>
      <c r="N1340" s="442"/>
      <c r="O1340" s="442"/>
      <c r="P1340" s="442"/>
      <c r="Q1340" s="442"/>
    </row>
    <row r="1341" spans="3:17" x14ac:dyDescent="0.2">
      <c r="C1341" s="279"/>
      <c r="D1341" s="278"/>
      <c r="E1341" s="442"/>
      <c r="F1341" s="442"/>
      <c r="G1341" s="442"/>
      <c r="H1341" s="442"/>
      <c r="I1341" s="442"/>
      <c r="J1341" s="442"/>
      <c r="K1341" s="442"/>
      <c r="L1341" s="442"/>
      <c r="M1341" s="442"/>
      <c r="N1341" s="442"/>
      <c r="O1341" s="442"/>
      <c r="P1341" s="442"/>
      <c r="Q1341" s="442"/>
    </row>
    <row r="1342" spans="3:17" x14ac:dyDescent="0.2">
      <c r="C1342" s="279"/>
      <c r="D1342" s="278"/>
      <c r="E1342" s="442"/>
      <c r="F1342" s="442"/>
      <c r="G1342" s="442"/>
      <c r="H1342" s="442"/>
      <c r="I1342" s="442"/>
      <c r="J1342" s="442"/>
      <c r="K1342" s="442"/>
      <c r="L1342" s="442"/>
      <c r="M1342" s="442"/>
      <c r="N1342" s="442"/>
      <c r="O1342" s="442"/>
      <c r="P1342" s="442"/>
      <c r="Q1342" s="442"/>
    </row>
    <row r="1343" spans="3:17" ht="11.5" x14ac:dyDescent="0.35">
      <c r="C1343" s="279"/>
      <c r="D1343" s="278"/>
      <c r="E1343" s="459"/>
      <c r="F1343" s="459"/>
      <c r="G1343" s="459"/>
      <c r="H1343" s="459"/>
      <c r="I1343" s="459"/>
      <c r="J1343" s="459"/>
      <c r="K1343" s="459"/>
      <c r="L1343" s="459"/>
      <c r="M1343" s="459"/>
      <c r="N1343" s="459"/>
      <c r="O1343" s="459"/>
      <c r="P1343" s="459"/>
      <c r="Q1343" s="459"/>
    </row>
    <row r="1344" spans="3:17" x14ac:dyDescent="0.2">
      <c r="C1344" s="279"/>
      <c r="D1344" s="279"/>
      <c r="E1344" s="442"/>
      <c r="F1344" s="442"/>
      <c r="G1344" s="442"/>
      <c r="H1344" s="442"/>
      <c r="I1344" s="442"/>
      <c r="J1344" s="442"/>
      <c r="K1344" s="442"/>
      <c r="L1344" s="442"/>
      <c r="M1344" s="442"/>
      <c r="N1344" s="442"/>
      <c r="O1344" s="442"/>
      <c r="P1344" s="442"/>
      <c r="Q1344" s="442"/>
    </row>
    <row r="1345" spans="3:17" x14ac:dyDescent="0.2">
      <c r="C1345" s="279"/>
      <c r="D1345" s="278"/>
      <c r="E1345" s="442"/>
      <c r="F1345" s="442"/>
      <c r="G1345" s="442"/>
      <c r="H1345" s="442"/>
      <c r="I1345" s="442"/>
      <c r="J1345" s="442"/>
      <c r="K1345" s="442"/>
      <c r="L1345" s="442"/>
      <c r="M1345" s="442"/>
      <c r="N1345" s="442"/>
      <c r="O1345" s="442"/>
      <c r="P1345" s="442"/>
      <c r="Q1345" s="442"/>
    </row>
    <row r="1346" spans="3:17" ht="10.5" x14ac:dyDescent="0.25">
      <c r="C1346" s="279"/>
      <c r="D1346" s="437"/>
      <c r="E1346" s="279"/>
      <c r="F1346" s="374"/>
      <c r="G1346" s="393"/>
      <c r="H1346" s="374"/>
      <c r="I1346" s="394"/>
      <c r="J1346" s="374"/>
      <c r="K1346" s="374"/>
      <c r="L1346" s="374"/>
      <c r="M1346" s="374"/>
      <c r="N1346" s="374"/>
      <c r="O1346" s="374"/>
      <c r="P1346" s="374"/>
      <c r="Q1346" s="279"/>
    </row>
    <row r="1347" spans="3:17" x14ac:dyDescent="0.2">
      <c r="C1347" s="279"/>
      <c r="D1347" s="278"/>
      <c r="E1347" s="442"/>
      <c r="F1347" s="442"/>
      <c r="G1347" s="442"/>
      <c r="H1347" s="442"/>
      <c r="I1347" s="442"/>
      <c r="J1347" s="442"/>
      <c r="K1347" s="442"/>
      <c r="L1347" s="442"/>
      <c r="M1347" s="442"/>
      <c r="N1347" s="442"/>
      <c r="O1347" s="442"/>
      <c r="P1347" s="442"/>
      <c r="Q1347" s="442"/>
    </row>
    <row r="1348" spans="3:17" x14ac:dyDescent="0.2">
      <c r="C1348" s="279"/>
      <c r="D1348" s="278"/>
      <c r="E1348" s="442"/>
      <c r="F1348" s="442"/>
      <c r="G1348" s="442"/>
      <c r="H1348" s="442"/>
      <c r="I1348" s="442"/>
      <c r="J1348" s="442"/>
      <c r="K1348" s="442"/>
      <c r="L1348" s="442"/>
      <c r="M1348" s="442"/>
      <c r="N1348" s="442"/>
      <c r="O1348" s="442"/>
      <c r="P1348" s="442"/>
      <c r="Q1348" s="442"/>
    </row>
    <row r="1349" spans="3:17" x14ac:dyDescent="0.2">
      <c r="C1349" s="279"/>
      <c r="D1349" s="278"/>
      <c r="E1349" s="442"/>
      <c r="F1349" s="442"/>
      <c r="G1349" s="442"/>
      <c r="H1349" s="442"/>
      <c r="I1349" s="442"/>
      <c r="J1349" s="442"/>
      <c r="K1349" s="442"/>
      <c r="L1349" s="442"/>
      <c r="M1349" s="442"/>
      <c r="N1349" s="442"/>
      <c r="O1349" s="442"/>
      <c r="P1349" s="442"/>
      <c r="Q1349" s="442"/>
    </row>
    <row r="1350" spans="3:17" x14ac:dyDescent="0.2">
      <c r="C1350" s="279"/>
      <c r="D1350" s="278"/>
      <c r="E1350" s="442"/>
      <c r="F1350" s="442"/>
      <c r="G1350" s="442"/>
      <c r="H1350" s="442"/>
      <c r="I1350" s="442"/>
      <c r="J1350" s="442"/>
      <c r="K1350" s="442"/>
      <c r="L1350" s="442"/>
      <c r="M1350" s="442"/>
      <c r="N1350" s="442"/>
      <c r="O1350" s="442"/>
      <c r="P1350" s="442"/>
      <c r="Q1350" s="442"/>
    </row>
    <row r="1351" spans="3:17" ht="11.5" x14ac:dyDescent="0.35">
      <c r="C1351" s="279"/>
      <c r="D1351" s="278"/>
      <c r="E1351" s="459"/>
      <c r="F1351" s="459"/>
      <c r="G1351" s="459"/>
      <c r="H1351" s="459"/>
      <c r="I1351" s="459"/>
      <c r="J1351" s="459"/>
      <c r="K1351" s="459"/>
      <c r="L1351" s="459"/>
      <c r="M1351" s="459"/>
      <c r="N1351" s="459"/>
      <c r="O1351" s="459"/>
      <c r="P1351" s="459"/>
      <c r="Q1351" s="459"/>
    </row>
    <row r="1352" spans="3:17" x14ac:dyDescent="0.2">
      <c r="C1352" s="279"/>
      <c r="D1352" s="279"/>
      <c r="E1352" s="442"/>
      <c r="F1352" s="442"/>
      <c r="G1352" s="442"/>
      <c r="H1352" s="442"/>
      <c r="I1352" s="442"/>
      <c r="J1352" s="442"/>
      <c r="K1352" s="442"/>
      <c r="L1352" s="442"/>
      <c r="M1352" s="442"/>
      <c r="N1352" s="442"/>
      <c r="O1352" s="442"/>
      <c r="P1352" s="442"/>
      <c r="Q1352" s="442"/>
    </row>
    <row r="1353" spans="3:17" x14ac:dyDescent="0.2">
      <c r="C1353" s="279"/>
      <c r="D1353" s="278"/>
      <c r="E1353" s="442"/>
      <c r="F1353" s="442"/>
      <c r="G1353" s="442"/>
      <c r="H1353" s="442"/>
      <c r="I1353" s="442"/>
      <c r="J1353" s="442"/>
      <c r="K1353" s="442"/>
      <c r="L1353" s="442"/>
      <c r="M1353" s="442"/>
      <c r="N1353" s="442"/>
      <c r="O1353" s="442"/>
      <c r="P1353" s="442"/>
      <c r="Q1353" s="442"/>
    </row>
    <row r="1354" spans="3:17" ht="10.5" x14ac:dyDescent="0.25">
      <c r="C1354" s="279"/>
      <c r="D1354" s="437"/>
      <c r="E1354" s="279"/>
      <c r="F1354" s="374"/>
      <c r="G1354" s="393"/>
      <c r="H1354" s="374"/>
      <c r="I1354" s="394"/>
      <c r="J1354" s="374"/>
      <c r="K1354" s="374"/>
      <c r="L1354" s="374"/>
      <c r="M1354" s="374"/>
      <c r="N1354" s="374"/>
      <c r="O1354" s="374"/>
      <c r="P1354" s="374"/>
      <c r="Q1354" s="279"/>
    </row>
    <row r="1355" spans="3:17" x14ac:dyDescent="0.2">
      <c r="C1355" s="279"/>
      <c r="D1355" s="278"/>
      <c r="E1355" s="442"/>
      <c r="F1355" s="442"/>
      <c r="G1355" s="442"/>
      <c r="H1355" s="442"/>
      <c r="I1355" s="442"/>
      <c r="J1355" s="442"/>
      <c r="K1355" s="442"/>
      <c r="L1355" s="442"/>
      <c r="M1355" s="442"/>
      <c r="N1355" s="442"/>
      <c r="O1355" s="442"/>
      <c r="P1355" s="442"/>
      <c r="Q1355" s="442"/>
    </row>
    <row r="1356" spans="3:17" x14ac:dyDescent="0.2">
      <c r="C1356" s="279"/>
      <c r="D1356" s="278"/>
      <c r="E1356" s="442"/>
      <c r="F1356" s="442"/>
      <c r="G1356" s="442"/>
      <c r="H1356" s="442"/>
      <c r="I1356" s="442"/>
      <c r="J1356" s="442"/>
      <c r="K1356" s="442"/>
      <c r="L1356" s="442"/>
      <c r="M1356" s="442"/>
      <c r="N1356" s="442"/>
      <c r="O1356" s="442"/>
      <c r="P1356" s="442"/>
      <c r="Q1356" s="442"/>
    </row>
    <row r="1357" spans="3:17" x14ac:dyDescent="0.2">
      <c r="C1357" s="279"/>
      <c r="D1357" s="278"/>
      <c r="E1357" s="442"/>
      <c r="F1357" s="442"/>
      <c r="G1357" s="442"/>
      <c r="H1357" s="442"/>
      <c r="I1357" s="442"/>
      <c r="J1357" s="442"/>
      <c r="K1357" s="442"/>
      <c r="L1357" s="442"/>
      <c r="M1357" s="442"/>
      <c r="N1357" s="442"/>
      <c r="O1357" s="442"/>
      <c r="P1357" s="442"/>
      <c r="Q1357" s="442"/>
    </row>
    <row r="1358" spans="3:17" x14ac:dyDescent="0.2">
      <c r="C1358" s="279"/>
      <c r="D1358" s="278"/>
      <c r="E1358" s="442"/>
      <c r="F1358" s="442"/>
      <c r="G1358" s="442"/>
      <c r="H1358" s="442"/>
      <c r="I1358" s="442"/>
      <c r="J1358" s="442"/>
      <c r="K1358" s="442"/>
      <c r="L1358" s="442"/>
      <c r="M1358" s="442"/>
      <c r="N1358" s="442"/>
      <c r="O1358" s="442"/>
      <c r="P1358" s="442"/>
      <c r="Q1358" s="442"/>
    </row>
    <row r="1359" spans="3:17" x14ac:dyDescent="0.2">
      <c r="C1359" s="279"/>
      <c r="D1359" s="279"/>
      <c r="E1359" s="442"/>
      <c r="F1359" s="442"/>
      <c r="G1359" s="442"/>
      <c r="H1359" s="442"/>
      <c r="I1359" s="442"/>
      <c r="J1359" s="442"/>
      <c r="K1359" s="442"/>
      <c r="L1359" s="442"/>
      <c r="M1359" s="442"/>
      <c r="N1359" s="442"/>
      <c r="O1359" s="442"/>
      <c r="P1359" s="442"/>
      <c r="Q1359" s="442"/>
    </row>
    <row r="1360" spans="3:17" x14ac:dyDescent="0.2">
      <c r="C1360" s="279"/>
      <c r="D1360" s="279"/>
      <c r="E1360" s="442"/>
      <c r="F1360" s="442"/>
      <c r="G1360" s="442"/>
      <c r="H1360" s="442"/>
      <c r="I1360" s="442"/>
      <c r="J1360" s="442"/>
      <c r="K1360" s="442"/>
      <c r="L1360" s="442"/>
      <c r="M1360" s="442"/>
      <c r="N1360" s="442"/>
      <c r="O1360" s="442"/>
      <c r="P1360" s="442"/>
      <c r="Q1360" s="442"/>
    </row>
    <row r="1361" spans="3:17" ht="11.5" x14ac:dyDescent="0.35">
      <c r="C1361" s="279"/>
      <c r="D1361" s="279"/>
      <c r="E1361" s="459"/>
      <c r="F1361" s="459"/>
      <c r="G1361" s="459"/>
      <c r="H1361" s="459"/>
      <c r="I1361" s="459"/>
      <c r="J1361" s="459"/>
      <c r="K1361" s="459"/>
      <c r="L1361" s="459"/>
      <c r="M1361" s="459"/>
      <c r="N1361" s="459"/>
      <c r="O1361" s="459"/>
      <c r="P1361" s="459"/>
      <c r="Q1361" s="459"/>
    </row>
    <row r="1362" spans="3:17" x14ac:dyDescent="0.2">
      <c r="C1362" s="279"/>
      <c r="D1362" s="279"/>
      <c r="E1362" s="442"/>
      <c r="F1362" s="442"/>
      <c r="G1362" s="442"/>
      <c r="H1362" s="442"/>
      <c r="I1362" s="442"/>
      <c r="J1362" s="442"/>
      <c r="K1362" s="442"/>
      <c r="L1362" s="442"/>
      <c r="M1362" s="442"/>
      <c r="N1362" s="442"/>
      <c r="O1362" s="442"/>
      <c r="P1362" s="442"/>
      <c r="Q1362" s="442"/>
    </row>
    <row r="1363" spans="3:17" x14ac:dyDescent="0.2">
      <c r="C1363" s="279"/>
      <c r="D1363" s="279"/>
      <c r="E1363" s="442"/>
      <c r="F1363" s="442"/>
      <c r="G1363" s="442"/>
      <c r="H1363" s="442"/>
      <c r="I1363" s="442"/>
      <c r="J1363" s="442"/>
      <c r="K1363" s="442"/>
      <c r="L1363" s="442"/>
      <c r="M1363" s="442"/>
      <c r="N1363" s="442"/>
      <c r="O1363" s="442"/>
      <c r="P1363" s="442"/>
      <c r="Q1363" s="442"/>
    </row>
    <row r="1364" spans="3:17" x14ac:dyDescent="0.2">
      <c r="C1364" s="279"/>
      <c r="D1364" s="279"/>
      <c r="E1364" s="442"/>
      <c r="F1364" s="442"/>
      <c r="G1364" s="442"/>
      <c r="H1364" s="442"/>
      <c r="I1364" s="442"/>
      <c r="J1364" s="442"/>
      <c r="K1364" s="442"/>
      <c r="L1364" s="442"/>
      <c r="M1364" s="442"/>
      <c r="N1364" s="442"/>
      <c r="O1364" s="442"/>
      <c r="P1364" s="442"/>
      <c r="Q1364" s="442"/>
    </row>
    <row r="1365" spans="3:17" ht="10.5" x14ac:dyDescent="0.25">
      <c r="C1365" s="437"/>
      <c r="D1365" s="278"/>
      <c r="E1365" s="442"/>
      <c r="F1365" s="442"/>
      <c r="G1365" s="442"/>
      <c r="H1365" s="442"/>
      <c r="I1365" s="442"/>
      <c r="J1365" s="442"/>
      <c r="K1365" s="442"/>
      <c r="L1365" s="442"/>
      <c r="M1365" s="442"/>
      <c r="N1365" s="442"/>
      <c r="O1365" s="442"/>
      <c r="P1365" s="442"/>
      <c r="Q1365" s="442"/>
    </row>
    <row r="1366" spans="3:17" x14ac:dyDescent="0.2">
      <c r="C1366" s="794"/>
      <c r="D1366" s="278"/>
      <c r="E1366" s="442"/>
      <c r="F1366" s="442"/>
      <c r="G1366" s="442"/>
      <c r="H1366" s="442"/>
      <c r="I1366" s="442"/>
      <c r="J1366" s="442"/>
      <c r="K1366" s="442"/>
      <c r="L1366" s="442"/>
      <c r="M1366" s="442"/>
      <c r="N1366" s="442"/>
      <c r="O1366" s="442"/>
      <c r="P1366" s="442"/>
      <c r="Q1366" s="442"/>
    </row>
    <row r="1367" spans="3:17" x14ac:dyDescent="0.2">
      <c r="C1367" s="794"/>
      <c r="D1367" s="278"/>
      <c r="E1367" s="442"/>
      <c r="F1367" s="442"/>
      <c r="G1367" s="442"/>
      <c r="H1367" s="442"/>
      <c r="I1367" s="442"/>
      <c r="J1367" s="442"/>
      <c r="K1367" s="442"/>
      <c r="L1367" s="442"/>
      <c r="M1367" s="442"/>
      <c r="N1367" s="442"/>
      <c r="O1367" s="442"/>
      <c r="P1367" s="442"/>
      <c r="Q1367" s="442"/>
    </row>
    <row r="1368" spans="3:17" x14ac:dyDescent="0.2">
      <c r="C1368" s="794"/>
      <c r="D1368" s="278"/>
      <c r="E1368" s="442"/>
      <c r="F1368" s="442"/>
      <c r="G1368" s="442"/>
      <c r="H1368" s="442"/>
      <c r="I1368" s="442"/>
      <c r="J1368" s="442"/>
      <c r="K1368" s="442"/>
      <c r="L1368" s="442"/>
      <c r="M1368" s="442"/>
      <c r="N1368" s="442"/>
      <c r="O1368" s="442"/>
      <c r="P1368" s="442"/>
      <c r="Q1368" s="442"/>
    </row>
    <row r="1369" spans="3:17" x14ac:dyDescent="0.2">
      <c r="C1369" s="794"/>
      <c r="D1369" s="278"/>
      <c r="E1369" s="442"/>
      <c r="F1369" s="442"/>
      <c r="G1369" s="442"/>
      <c r="H1369" s="442"/>
      <c r="I1369" s="442"/>
      <c r="J1369" s="442"/>
      <c r="K1369" s="442"/>
      <c r="L1369" s="442"/>
      <c r="M1369" s="442"/>
      <c r="N1369" s="442"/>
      <c r="O1369" s="442"/>
      <c r="P1369" s="442"/>
      <c r="Q1369" s="442"/>
    </row>
    <row r="1370" spans="3:17" x14ac:dyDescent="0.2">
      <c r="C1370" s="794"/>
      <c r="D1370" s="278"/>
      <c r="E1370" s="442"/>
      <c r="F1370" s="442"/>
      <c r="G1370" s="442"/>
      <c r="H1370" s="442"/>
      <c r="I1370" s="442"/>
      <c r="J1370" s="442"/>
      <c r="K1370" s="442"/>
      <c r="L1370" s="442"/>
      <c r="M1370" s="442"/>
      <c r="N1370" s="442"/>
      <c r="O1370" s="442"/>
      <c r="P1370" s="442"/>
      <c r="Q1370" s="442"/>
    </row>
    <row r="1371" spans="3:17" x14ac:dyDescent="0.2">
      <c r="C1371" s="794"/>
      <c r="D1371" s="278"/>
      <c r="E1371" s="442"/>
      <c r="F1371" s="442"/>
      <c r="G1371" s="442"/>
      <c r="H1371" s="442"/>
      <c r="I1371" s="442"/>
      <c r="J1371" s="442"/>
      <c r="K1371" s="442"/>
      <c r="L1371" s="442"/>
      <c r="M1371" s="442"/>
      <c r="N1371" s="442"/>
      <c r="O1371" s="442"/>
      <c r="P1371" s="442"/>
      <c r="Q1371" s="442"/>
    </row>
    <row r="1372" spans="3:17" x14ac:dyDescent="0.2">
      <c r="C1372" s="794"/>
      <c r="D1372" s="278"/>
      <c r="E1372" s="442"/>
      <c r="F1372" s="442"/>
      <c r="G1372" s="442"/>
      <c r="H1372" s="442"/>
      <c r="I1372" s="442"/>
      <c r="J1372" s="442"/>
      <c r="K1372" s="442"/>
      <c r="L1372" s="442"/>
      <c r="M1372" s="442"/>
      <c r="N1372" s="442"/>
      <c r="O1372" s="442"/>
      <c r="P1372" s="442"/>
      <c r="Q1372" s="442"/>
    </row>
    <row r="1373" spans="3:17" x14ac:dyDescent="0.2">
      <c r="C1373" s="794"/>
      <c r="D1373" s="278"/>
      <c r="E1373" s="442"/>
      <c r="F1373" s="442"/>
      <c r="G1373" s="442"/>
      <c r="H1373" s="442"/>
      <c r="I1373" s="442"/>
      <c r="J1373" s="442"/>
      <c r="K1373" s="442"/>
      <c r="L1373" s="442"/>
      <c r="M1373" s="442"/>
      <c r="N1373" s="442"/>
      <c r="O1373" s="442"/>
      <c r="P1373" s="442"/>
      <c r="Q1373" s="442"/>
    </row>
    <row r="1374" spans="3:17" x14ac:dyDescent="0.2">
      <c r="C1374" s="794"/>
      <c r="D1374" s="278"/>
      <c r="E1374" s="442"/>
      <c r="F1374" s="442"/>
      <c r="G1374" s="442"/>
      <c r="H1374" s="442"/>
      <c r="I1374" s="442"/>
      <c r="J1374" s="442"/>
      <c r="K1374" s="442"/>
      <c r="L1374" s="442"/>
      <c r="M1374" s="442"/>
      <c r="N1374" s="442"/>
      <c r="O1374" s="442"/>
      <c r="P1374" s="442"/>
      <c r="Q1374" s="442"/>
    </row>
    <row r="1375" spans="3:17" x14ac:dyDescent="0.2">
      <c r="C1375" s="279"/>
      <c r="D1375" s="278"/>
      <c r="E1375" s="279"/>
      <c r="F1375" s="374"/>
      <c r="G1375" s="393"/>
      <c r="H1375" s="374"/>
      <c r="I1375" s="394"/>
      <c r="J1375" s="374"/>
      <c r="K1375" s="374"/>
      <c r="L1375" s="374"/>
      <c r="M1375" s="374"/>
      <c r="N1375" s="374"/>
      <c r="O1375" s="374"/>
      <c r="P1375" s="374"/>
      <c r="Q1375" s="279"/>
    </row>
    <row r="1376" spans="3:17" x14ac:dyDescent="0.2">
      <c r="C1376" s="279"/>
      <c r="D1376" s="278"/>
      <c r="E1376" s="279"/>
      <c r="F1376" s="374"/>
      <c r="G1376" s="393"/>
      <c r="H1376" s="374"/>
      <c r="I1376" s="394"/>
      <c r="J1376" s="374"/>
      <c r="K1376" s="374"/>
      <c r="L1376" s="374"/>
      <c r="M1376" s="374"/>
      <c r="N1376" s="374"/>
      <c r="O1376" s="374"/>
      <c r="P1376" s="374"/>
      <c r="Q1376" s="279"/>
    </row>
    <row r="1377" spans="3:17" x14ac:dyDescent="0.2">
      <c r="C1377" s="279"/>
      <c r="D1377" s="278"/>
      <c r="E1377" s="279"/>
      <c r="F1377" s="374"/>
      <c r="G1377" s="393"/>
      <c r="H1377" s="374"/>
      <c r="I1377" s="394"/>
      <c r="J1377" s="374"/>
      <c r="K1377" s="374"/>
      <c r="L1377" s="374"/>
      <c r="M1377" s="374"/>
      <c r="N1377" s="374"/>
      <c r="O1377" s="374"/>
      <c r="P1377" s="374"/>
      <c r="Q1377" s="279"/>
    </row>
    <row r="1378" spans="3:17" x14ac:dyDescent="0.2">
      <c r="C1378" s="279"/>
      <c r="D1378" s="278"/>
      <c r="E1378" s="279"/>
      <c r="F1378" s="374"/>
      <c r="G1378" s="393"/>
      <c r="H1378" s="374"/>
      <c r="I1378" s="394"/>
      <c r="J1378" s="374"/>
      <c r="K1378" s="374"/>
      <c r="L1378" s="374"/>
      <c r="M1378" s="374"/>
      <c r="N1378" s="374"/>
      <c r="O1378" s="374"/>
      <c r="P1378" s="374"/>
      <c r="Q1378" s="279"/>
    </row>
    <row r="1379" spans="3:17" x14ac:dyDescent="0.2">
      <c r="C1379" s="279"/>
      <c r="D1379" s="278"/>
      <c r="E1379" s="279"/>
      <c r="F1379" s="374"/>
      <c r="G1379" s="393"/>
      <c r="H1379" s="374"/>
      <c r="I1379" s="394"/>
      <c r="J1379" s="374"/>
      <c r="K1379" s="374"/>
      <c r="L1379" s="374"/>
      <c r="M1379" s="374"/>
      <c r="N1379" s="374"/>
      <c r="O1379" s="374"/>
      <c r="P1379" s="374"/>
      <c r="Q1379" s="279"/>
    </row>
    <row r="1380" spans="3:17" x14ac:dyDescent="0.2">
      <c r="C1380" s="279"/>
      <c r="D1380" s="278"/>
      <c r="E1380" s="279"/>
      <c r="F1380" s="374"/>
      <c r="G1380" s="393"/>
      <c r="H1380" s="374"/>
      <c r="I1380" s="394"/>
      <c r="J1380" s="374"/>
      <c r="K1380" s="374"/>
      <c r="L1380" s="374"/>
      <c r="M1380" s="374"/>
      <c r="N1380" s="374"/>
      <c r="O1380" s="374"/>
      <c r="P1380" s="374"/>
      <c r="Q1380" s="279"/>
    </row>
    <row r="1381" spans="3:17" x14ac:dyDescent="0.2">
      <c r="C1381" s="279"/>
      <c r="D1381" s="278"/>
      <c r="E1381" s="279"/>
      <c r="F1381" s="374"/>
      <c r="G1381" s="393"/>
      <c r="H1381" s="374"/>
      <c r="I1381" s="394"/>
      <c r="J1381" s="374"/>
      <c r="K1381" s="374"/>
      <c r="L1381" s="374"/>
      <c r="M1381" s="374"/>
      <c r="N1381" s="374"/>
      <c r="O1381" s="374"/>
      <c r="P1381" s="374"/>
      <c r="Q1381" s="279"/>
    </row>
    <row r="1382" spans="3:17" x14ac:dyDescent="0.2">
      <c r="C1382" s="279"/>
      <c r="D1382" s="278"/>
      <c r="E1382" s="279"/>
      <c r="F1382" s="374"/>
      <c r="G1382" s="393"/>
      <c r="H1382" s="374"/>
      <c r="I1382" s="394"/>
      <c r="J1382" s="374"/>
      <c r="K1382" s="374"/>
      <c r="L1382" s="374"/>
      <c r="M1382" s="374"/>
      <c r="N1382" s="374"/>
      <c r="O1382" s="374"/>
      <c r="P1382" s="374"/>
      <c r="Q1382" s="279"/>
    </row>
    <row r="1383" spans="3:17" x14ac:dyDescent="0.2">
      <c r="C1383" s="279"/>
      <c r="D1383" s="278"/>
      <c r="E1383" s="279"/>
      <c r="F1383" s="374"/>
      <c r="G1383" s="393"/>
      <c r="H1383" s="374"/>
      <c r="I1383" s="394"/>
      <c r="J1383" s="374"/>
      <c r="K1383" s="374"/>
      <c r="L1383" s="374"/>
      <c r="M1383" s="374"/>
      <c r="N1383" s="374"/>
      <c r="O1383" s="374"/>
      <c r="P1383" s="374"/>
      <c r="Q1383" s="279"/>
    </row>
    <row r="1384" spans="3:17" x14ac:dyDescent="0.2">
      <c r="C1384" s="279"/>
      <c r="D1384" s="278"/>
      <c r="E1384" s="279"/>
      <c r="F1384" s="374"/>
      <c r="G1384" s="393"/>
      <c r="H1384" s="374"/>
      <c r="I1384" s="394"/>
      <c r="J1384" s="374"/>
      <c r="K1384" s="374"/>
      <c r="L1384" s="374"/>
      <c r="M1384" s="374"/>
      <c r="N1384" s="374"/>
      <c r="O1384" s="374"/>
      <c r="P1384" s="374"/>
      <c r="Q1384" s="279"/>
    </row>
    <row r="1385" spans="3:17" x14ac:dyDescent="0.2">
      <c r="C1385" s="279"/>
      <c r="D1385" s="278"/>
      <c r="E1385" s="279"/>
      <c r="F1385" s="374"/>
      <c r="G1385" s="393"/>
      <c r="H1385" s="374"/>
      <c r="I1385" s="394"/>
      <c r="J1385" s="374"/>
      <c r="K1385" s="374"/>
      <c r="L1385" s="374"/>
      <c r="M1385" s="374"/>
      <c r="N1385" s="374"/>
      <c r="O1385" s="374"/>
      <c r="P1385" s="374"/>
      <c r="Q1385" s="279"/>
    </row>
    <row r="1386" spans="3:17" x14ac:dyDescent="0.2">
      <c r="C1386" s="279"/>
      <c r="D1386" s="278"/>
      <c r="E1386" s="279"/>
      <c r="F1386" s="374"/>
      <c r="G1386" s="393"/>
      <c r="H1386" s="374"/>
      <c r="I1386" s="394"/>
      <c r="J1386" s="374"/>
      <c r="K1386" s="374"/>
      <c r="L1386" s="374"/>
      <c r="M1386" s="374"/>
      <c r="N1386" s="374"/>
      <c r="O1386" s="374"/>
      <c r="P1386" s="374"/>
      <c r="Q1386" s="279"/>
    </row>
    <row r="1387" spans="3:17" x14ac:dyDescent="0.2">
      <c r="C1387" s="279"/>
      <c r="D1387" s="278"/>
      <c r="E1387" s="279"/>
      <c r="F1387" s="374"/>
      <c r="G1387" s="393"/>
      <c r="H1387" s="374"/>
      <c r="I1387" s="394"/>
      <c r="J1387" s="374"/>
      <c r="K1387" s="374"/>
      <c r="L1387" s="374"/>
      <c r="M1387" s="374"/>
      <c r="N1387" s="374"/>
      <c r="O1387" s="374"/>
      <c r="P1387" s="374"/>
      <c r="Q1387" s="279"/>
    </row>
    <row r="1388" spans="3:17" x14ac:dyDescent="0.2">
      <c r="C1388" s="279"/>
      <c r="D1388" s="278"/>
      <c r="E1388" s="279"/>
      <c r="F1388" s="374"/>
      <c r="G1388" s="393"/>
      <c r="H1388" s="374"/>
      <c r="I1388" s="394"/>
      <c r="J1388" s="374"/>
      <c r="K1388" s="374"/>
      <c r="L1388" s="374"/>
      <c r="M1388" s="374"/>
      <c r="N1388" s="374"/>
      <c r="O1388" s="374"/>
      <c r="P1388" s="374"/>
      <c r="Q1388" s="279"/>
    </row>
    <row r="1389" spans="3:17" x14ac:dyDescent="0.2">
      <c r="C1389" s="279"/>
      <c r="D1389" s="278"/>
      <c r="E1389" s="279"/>
      <c r="F1389" s="374"/>
      <c r="G1389" s="393"/>
      <c r="H1389" s="374"/>
      <c r="I1389" s="394"/>
      <c r="J1389" s="374"/>
      <c r="K1389" s="374"/>
      <c r="L1389" s="374"/>
      <c r="M1389" s="374"/>
      <c r="N1389" s="374"/>
      <c r="O1389" s="374"/>
      <c r="P1389" s="374"/>
      <c r="Q1389" s="279"/>
    </row>
    <row r="1390" spans="3:17" x14ac:dyDescent="0.2">
      <c r="C1390" s="279"/>
      <c r="D1390" s="278"/>
      <c r="E1390" s="279"/>
      <c r="F1390" s="374"/>
      <c r="G1390" s="393"/>
      <c r="H1390" s="374"/>
      <c r="I1390" s="394"/>
      <c r="J1390" s="374"/>
      <c r="K1390" s="374"/>
      <c r="L1390" s="374"/>
      <c r="M1390" s="374"/>
      <c r="N1390" s="374"/>
      <c r="O1390" s="374"/>
      <c r="P1390" s="374"/>
      <c r="Q1390" s="279"/>
    </row>
  </sheetData>
  <mergeCells count="128">
    <mergeCell ref="T18:U18"/>
    <mergeCell ref="T35:U35"/>
    <mergeCell ref="A1002:Q1002"/>
    <mergeCell ref="A1003:Q1003"/>
    <mergeCell ref="A1008:Q1008"/>
    <mergeCell ref="A930:Q930"/>
    <mergeCell ref="A931:Q931"/>
    <mergeCell ref="A936:Q936"/>
    <mergeCell ref="A1205:Q1205"/>
    <mergeCell ref="A1074:Q1074"/>
    <mergeCell ref="A1075:Q1075"/>
    <mergeCell ref="A1076:Q1076"/>
    <mergeCell ref="A1077:Q1077"/>
    <mergeCell ref="A1078:Q1078"/>
    <mergeCell ref="A1083:Q1083"/>
    <mergeCell ref="A885:Q885"/>
    <mergeCell ref="A886:Q886"/>
    <mergeCell ref="A891:Q891"/>
    <mergeCell ref="A927:Q927"/>
    <mergeCell ref="A928:Q928"/>
    <mergeCell ref="A929:Q929"/>
    <mergeCell ref="A999:Q999"/>
    <mergeCell ref="A1000:Q1000"/>
    <mergeCell ref="A1001:Q1001"/>
    <mergeCell ref="A1206:Q1206"/>
    <mergeCell ref="A1211:Q1211"/>
    <mergeCell ref="A1202:Q1202"/>
    <mergeCell ref="A1203:Q1203"/>
    <mergeCell ref="A1204:Q1204"/>
    <mergeCell ref="A1144:Q1144"/>
    <mergeCell ref="A1145:Q1145"/>
    <mergeCell ref="A1146:Q1146"/>
    <mergeCell ref="A1147:Q1147"/>
    <mergeCell ref="A1148:Q1148"/>
    <mergeCell ref="A1153:Q1153"/>
    <mergeCell ref="A809:Q809"/>
    <mergeCell ref="A810:Q810"/>
    <mergeCell ref="A811:Q811"/>
    <mergeCell ref="A812:Q812"/>
    <mergeCell ref="A813:Q813"/>
    <mergeCell ref="A818:Q818"/>
    <mergeCell ref="A882:Q882"/>
    <mergeCell ref="A883:Q883"/>
    <mergeCell ref="A884:Q884"/>
    <mergeCell ref="A687:Q687"/>
    <mergeCell ref="A688:Q688"/>
    <mergeCell ref="A693:Q693"/>
    <mergeCell ref="A736:Q736"/>
    <mergeCell ref="A737:Q737"/>
    <mergeCell ref="A738:Q738"/>
    <mergeCell ref="A739:Q739"/>
    <mergeCell ref="A740:Q740"/>
    <mergeCell ref="A745:Q745"/>
    <mergeCell ref="A631:Q631"/>
    <mergeCell ref="A632:Q632"/>
    <mergeCell ref="A633:Q633"/>
    <mergeCell ref="A634:Q634"/>
    <mergeCell ref="A635:Q635"/>
    <mergeCell ref="A640:Q640"/>
    <mergeCell ref="A684:Q684"/>
    <mergeCell ref="A685:Q685"/>
    <mergeCell ref="A686:Q686"/>
    <mergeCell ref="A576:Q576"/>
    <mergeCell ref="A577:Q577"/>
    <mergeCell ref="A578:Q578"/>
    <mergeCell ref="A579:Q579"/>
    <mergeCell ref="A580:Q580"/>
    <mergeCell ref="A585:Q585"/>
    <mergeCell ref="A509:Q509"/>
    <mergeCell ref="A510:Q510"/>
    <mergeCell ref="A511:Q511"/>
    <mergeCell ref="A512:Q512"/>
    <mergeCell ref="A513:Q513"/>
    <mergeCell ref="A518:Q518"/>
    <mergeCell ref="A440:Q440"/>
    <mergeCell ref="A441:Q441"/>
    <mergeCell ref="A442:Q442"/>
    <mergeCell ref="A443:Q443"/>
    <mergeCell ref="A444:Q444"/>
    <mergeCell ref="A449:Q449"/>
    <mergeCell ref="A380:Q380"/>
    <mergeCell ref="A381:Q381"/>
    <mergeCell ref="A386:Q386"/>
    <mergeCell ref="A1:Q1"/>
    <mergeCell ref="A2:Q2"/>
    <mergeCell ref="A3:Q3"/>
    <mergeCell ref="A4:Q4"/>
    <mergeCell ref="A5:Q5"/>
    <mergeCell ref="A10:Q10"/>
    <mergeCell ref="A377:Q377"/>
    <mergeCell ref="A378:Q378"/>
    <mergeCell ref="A379:Q379"/>
    <mergeCell ref="A112:Q112"/>
    <mergeCell ref="A113:Q113"/>
    <mergeCell ref="A118:Q118"/>
    <mergeCell ref="A205:Q205"/>
    <mergeCell ref="A206:Q206"/>
    <mergeCell ref="A207:Q207"/>
    <mergeCell ref="A208:Q208"/>
    <mergeCell ref="A209:Q209"/>
    <mergeCell ref="A214:Q214"/>
    <mergeCell ref="A47:Q47"/>
    <mergeCell ref="A48:Q48"/>
    <mergeCell ref="A49:Q49"/>
    <mergeCell ref="A50:Q50"/>
    <mergeCell ref="A51:Q51"/>
    <mergeCell ref="A56:Q56"/>
    <mergeCell ref="A109:Q109"/>
    <mergeCell ref="A110:Q110"/>
    <mergeCell ref="A111:Q111"/>
    <mergeCell ref="A330:Q330"/>
    <mergeCell ref="A331:Q331"/>
    <mergeCell ref="A332:Q332"/>
    <mergeCell ref="A333:Q333"/>
    <mergeCell ref="A334:Q334"/>
    <mergeCell ref="A339:Q339"/>
    <mergeCell ref="A164:Q164"/>
    <mergeCell ref="A165:Q165"/>
    <mergeCell ref="A166:Q166"/>
    <mergeCell ref="A167:Q167"/>
    <mergeCell ref="A168:Q168"/>
    <mergeCell ref="A173:Q173"/>
    <mergeCell ref="A267:Q267"/>
    <mergeCell ref="A268:Q268"/>
    <mergeCell ref="A269:Q269"/>
    <mergeCell ref="A270:Q270"/>
    <mergeCell ref="A271:Q271"/>
    <mergeCell ref="A276:Q276"/>
  </mergeCells>
  <printOptions horizontalCentered="1"/>
  <pageMargins left="0.7" right="0.7" top="0.75" bottom="0.75" header="0.3" footer="0.3"/>
  <pageSetup scale="90" orientation="portrait" r:id="rId1"/>
  <headerFooter alignWithMargins="0"/>
  <rowBreaks count="20" manualBreakCount="20">
    <brk id="46" max="17" man="1"/>
    <brk id="108" max="16383" man="1"/>
    <brk id="163" max="16383" man="1"/>
    <brk id="204" max="16383" man="1"/>
    <brk id="266" max="16383" man="1"/>
    <brk id="329" max="16383" man="1"/>
    <brk id="376" max="16383" man="1"/>
    <brk id="439" max="16383" man="1"/>
    <brk id="508" max="16383" man="1"/>
    <brk id="575" max="16383" man="1"/>
    <brk id="630" max="16383" man="1"/>
    <brk id="683" max="16383" man="1"/>
    <brk id="735" max="16383" man="1"/>
    <brk id="808" max="16383" man="1"/>
    <brk id="881" max="16383" man="1"/>
    <brk id="926" max="16383" man="1"/>
    <brk id="998" max="16383" man="1"/>
    <brk id="1073" max="16383" man="1"/>
    <brk id="1143" max="16383" man="1"/>
    <brk id="120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Y303"/>
  <sheetViews>
    <sheetView topLeftCell="B1" workbookViewId="0">
      <selection activeCell="L27" sqref="L27"/>
    </sheetView>
  </sheetViews>
  <sheetFormatPr defaultColWidth="9.625" defaultRowHeight="10" x14ac:dyDescent="0.2"/>
  <cols>
    <col min="1" max="1" width="5.375" style="213" customWidth="1"/>
    <col min="2" max="2" width="6.625" style="213" bestFit="1" customWidth="1"/>
    <col min="3" max="3" width="69.125" style="213" customWidth="1"/>
    <col min="4" max="5" width="15.625" style="213" bestFit="1" customWidth="1"/>
    <col min="6" max="6" width="19.125" style="213" bestFit="1" customWidth="1"/>
    <col min="7" max="7" width="15.625" style="213" bestFit="1" customWidth="1"/>
    <col min="8" max="8" width="15" style="213" bestFit="1" customWidth="1"/>
    <col min="9" max="9" width="15.625" style="213" customWidth="1"/>
    <col min="10" max="10" width="14" style="213" customWidth="1"/>
    <col min="11" max="11" width="14" style="213" bestFit="1" customWidth="1"/>
    <col min="12" max="12" width="27.125" style="213" bestFit="1" customWidth="1"/>
    <col min="13" max="13" width="15.625" style="213" customWidth="1"/>
    <col min="14" max="14" width="17.375" style="213" bestFit="1" customWidth="1"/>
    <col min="15" max="15" width="14" style="213" bestFit="1" customWidth="1"/>
    <col min="16" max="16" width="9.625" style="213"/>
    <col min="17" max="17" width="15.125" style="213" bestFit="1" customWidth="1"/>
    <col min="18" max="16384" width="9.625" style="213"/>
  </cols>
  <sheetData>
    <row r="1" spans="1:16" ht="10.5" x14ac:dyDescent="0.25">
      <c r="A1" s="800" t="s">
        <v>36</v>
      </c>
      <c r="B1" s="800"/>
      <c r="C1" s="800"/>
      <c r="D1" s="800"/>
      <c r="E1" s="800"/>
      <c r="F1" s="800"/>
      <c r="G1" s="800"/>
      <c r="H1" s="800"/>
      <c r="I1" s="698"/>
      <c r="J1" s="214" t="s">
        <v>560</v>
      </c>
    </row>
    <row r="2" spans="1:16" ht="10.5" x14ac:dyDescent="0.25">
      <c r="A2" s="823" t="s">
        <v>368</v>
      </c>
      <c r="B2" s="823"/>
      <c r="C2" s="823"/>
      <c r="D2" s="823"/>
      <c r="E2" s="823"/>
      <c r="F2" s="823"/>
      <c r="G2" s="823"/>
      <c r="H2" s="823"/>
      <c r="I2" s="700"/>
      <c r="J2" s="214" t="s">
        <v>519</v>
      </c>
    </row>
    <row r="3" spans="1:16" ht="10.5" x14ac:dyDescent="0.25">
      <c r="A3" s="800" t="str">
        <f>A!A3</f>
        <v>For the 12 Months Ended December 31, 2022</v>
      </c>
      <c r="B3" s="800"/>
      <c r="C3" s="800"/>
      <c r="D3" s="800"/>
      <c r="E3" s="800"/>
      <c r="F3" s="800"/>
      <c r="G3" s="800"/>
      <c r="H3" s="800"/>
      <c r="I3" s="698"/>
      <c r="J3" s="215" t="s">
        <v>559</v>
      </c>
    </row>
    <row r="4" spans="1:16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6"/>
    </row>
    <row r="5" spans="1:16" ht="10.5" x14ac:dyDescent="0.25">
      <c r="A5" s="216"/>
      <c r="B5" s="216"/>
      <c r="C5" s="245"/>
      <c r="D5" s="216"/>
      <c r="E5" s="216"/>
      <c r="F5" s="698" t="s">
        <v>142</v>
      </c>
      <c r="G5" s="698" t="s">
        <v>30</v>
      </c>
      <c r="H5" s="698" t="s">
        <v>9</v>
      </c>
      <c r="I5" s="698" t="s">
        <v>30</v>
      </c>
      <c r="J5" s="698" t="s">
        <v>30</v>
      </c>
      <c r="L5" s="366"/>
      <c r="M5" s="366"/>
    </row>
    <row r="6" spans="1:16" ht="10.5" x14ac:dyDescent="0.25">
      <c r="A6" s="698" t="s">
        <v>1</v>
      </c>
      <c r="B6" s="698"/>
      <c r="C6" s="245"/>
      <c r="D6" s="698" t="s">
        <v>5</v>
      </c>
      <c r="E6" s="698" t="s">
        <v>5</v>
      </c>
      <c r="F6" s="698" t="s">
        <v>47</v>
      </c>
      <c r="G6" s="698" t="s">
        <v>369</v>
      </c>
      <c r="H6" s="698" t="s">
        <v>30</v>
      </c>
      <c r="I6" s="219" t="s">
        <v>144</v>
      </c>
      <c r="J6" s="698" t="s">
        <v>451</v>
      </c>
      <c r="L6" s="219"/>
      <c r="M6" s="219"/>
    </row>
    <row r="7" spans="1:16" ht="10.5" x14ac:dyDescent="0.25">
      <c r="A7" s="263" t="s">
        <v>3</v>
      </c>
      <c r="B7" s="263"/>
      <c r="C7" s="241" t="s">
        <v>4</v>
      </c>
      <c r="D7" s="263" t="s">
        <v>25</v>
      </c>
      <c r="E7" s="263" t="s">
        <v>26</v>
      </c>
      <c r="F7" s="241" t="s">
        <v>48</v>
      </c>
      <c r="G7" s="241" t="s">
        <v>144</v>
      </c>
      <c r="H7" s="241" t="s">
        <v>20</v>
      </c>
      <c r="I7" s="222" t="s">
        <v>370</v>
      </c>
      <c r="J7" s="263" t="s">
        <v>452</v>
      </c>
      <c r="L7" s="222"/>
      <c r="M7" s="222"/>
    </row>
    <row r="8" spans="1:16" ht="10.5" x14ac:dyDescent="0.25">
      <c r="A8" s="216"/>
      <c r="B8" s="216"/>
      <c r="C8" s="245"/>
      <c r="D8" s="698" t="s">
        <v>6</v>
      </c>
      <c r="E8" s="699" t="s">
        <v>7</v>
      </c>
      <c r="F8" s="699" t="s">
        <v>21</v>
      </c>
      <c r="G8" s="699" t="s">
        <v>8</v>
      </c>
      <c r="H8" s="699" t="s">
        <v>371</v>
      </c>
      <c r="I8" s="699" t="s">
        <v>356</v>
      </c>
      <c r="J8" s="699" t="s">
        <v>372</v>
      </c>
      <c r="L8" s="224"/>
      <c r="M8" s="224"/>
    </row>
    <row r="9" spans="1:16" ht="10.5" x14ac:dyDescent="0.25">
      <c r="A9" s="216"/>
      <c r="B9" s="216"/>
      <c r="C9" s="216"/>
      <c r="D9" s="698"/>
      <c r="E9" s="698" t="s">
        <v>22</v>
      </c>
      <c r="F9" s="698" t="s">
        <v>24</v>
      </c>
      <c r="G9" s="698" t="s">
        <v>24</v>
      </c>
      <c r="H9" s="698" t="s">
        <v>24</v>
      </c>
      <c r="I9" s="698" t="s">
        <v>145</v>
      </c>
      <c r="J9" s="216"/>
      <c r="L9" s="366"/>
      <c r="M9" s="366"/>
    </row>
    <row r="10" spans="1:16" ht="10.5" x14ac:dyDescent="0.25">
      <c r="A10" s="216"/>
      <c r="B10" s="216"/>
      <c r="C10" s="216"/>
      <c r="D10" s="699" t="s">
        <v>393</v>
      </c>
      <c r="E10" s="699" t="s">
        <v>394</v>
      </c>
      <c r="F10" s="699" t="s">
        <v>527</v>
      </c>
      <c r="G10" s="699"/>
      <c r="H10" s="699" t="s">
        <v>396</v>
      </c>
      <c r="I10" s="698"/>
      <c r="J10" s="216"/>
      <c r="L10" s="366"/>
      <c r="M10" s="218"/>
      <c r="P10" s="225"/>
    </row>
    <row r="11" spans="1:16" ht="10.5" x14ac:dyDescent="0.25">
      <c r="A11" s="242">
        <v>1</v>
      </c>
      <c r="B11" s="216"/>
      <c r="C11" s="245" t="s">
        <v>373</v>
      </c>
      <c r="D11" s="216"/>
      <c r="E11" s="216"/>
      <c r="F11" s="216"/>
      <c r="G11" s="216"/>
      <c r="H11" s="216"/>
      <c r="I11" s="216"/>
      <c r="J11" s="216"/>
      <c r="L11" s="216"/>
      <c r="N11" s="226"/>
      <c r="O11" s="226"/>
      <c r="P11" s="226"/>
    </row>
    <row r="12" spans="1:16" x14ac:dyDescent="0.2">
      <c r="A12" s="242"/>
      <c r="B12" s="216"/>
      <c r="C12" s="216"/>
      <c r="D12" s="216"/>
      <c r="E12" s="216"/>
      <c r="F12" s="216"/>
      <c r="G12" s="216"/>
      <c r="H12" s="216"/>
      <c r="I12" s="216"/>
      <c r="J12" s="216"/>
      <c r="L12" s="216"/>
      <c r="N12" s="227"/>
    </row>
    <row r="13" spans="1:16" x14ac:dyDescent="0.2">
      <c r="A13" s="242">
        <f>A11+1</f>
        <v>2</v>
      </c>
      <c r="B13" s="216"/>
      <c r="C13" s="216" t="s">
        <v>156</v>
      </c>
      <c r="D13" s="268">
        <f>B!P17+B!P164</f>
        <v>1480254</v>
      </c>
      <c r="E13" s="362">
        <f>'C'!P187+'C'!P17</f>
        <v>8279217.4000000004</v>
      </c>
      <c r="F13" s="365">
        <f>'Sch M 2.2'!$Q70+'Sch M 2.2'!$Q232+'Sch M 2.1'!F19</f>
        <v>93600760.159999996</v>
      </c>
      <c r="G13" s="228">
        <f>H13-F13</f>
        <v>17526775.329680011</v>
      </c>
      <c r="H13" s="365">
        <f>'Sch M 2.3'!$Q69+'Sch M 2.3'!$Q227</f>
        <v>111127535.48968001</v>
      </c>
      <c r="I13" s="229">
        <f>IF(F13=0,0,ROUND(G13/F13,4))</f>
        <v>0.18729999999999999</v>
      </c>
      <c r="J13" s="229">
        <f>ROUND((G13+G22+G25+G26+G18+G19+G20+G23)/(F13+F22+F25+F26+F18+F19+F20+F23),4)</f>
        <v>0.18720000000000001</v>
      </c>
      <c r="L13" s="233"/>
      <c r="M13" s="229"/>
      <c r="N13" s="230"/>
      <c r="O13" s="231"/>
      <c r="P13" s="231"/>
    </row>
    <row r="14" spans="1:16" x14ac:dyDescent="0.2">
      <c r="A14" s="242">
        <f>A13+1</f>
        <v>3</v>
      </c>
      <c r="B14" s="216"/>
      <c r="C14" s="216" t="s">
        <v>170</v>
      </c>
      <c r="D14" s="268">
        <f>B!P81+B!P87+B!P170+B!P176+B!P194+B!P200</f>
        <v>178216</v>
      </c>
      <c r="E14" s="362">
        <f>'C'!P96+'C'!P129+'C'!P207+'C'!P240+'C'!P307+'C'!P327</f>
        <v>5989222.1999999993</v>
      </c>
      <c r="F14" s="268">
        <f>'Sch M 2.2'!$Q162+'Sch M 2.2'!$Q190+'Sch M 2.2'!$Q239+'Sch M 2.2'!$Q246+'Sch M 2.2'!$Q267+'Sch M 2.2'!$Q294+'Sch M 2.1'!F29+'Sch M 2.1'!F30</f>
        <v>44413239.56000001</v>
      </c>
      <c r="G14" s="228">
        <f t="shared" ref="G14:G32" si="0">H14-F14</f>
        <v>7008939.7800000012</v>
      </c>
      <c r="H14" s="268">
        <f>'Sch M 2.3'!$Q159+'Sch M 2.3'!$Q186+'Sch M 2.3'!$Q234+'Sch M 2.3'!$Q241+'Sch M 2.3'!$Q262+'Sch M 2.3'!$Q290</f>
        <v>51422179.340000011</v>
      </c>
      <c r="I14" s="229">
        <f t="shared" ref="I14:I32" si="1">IF(F14=0,0,ROUND(G14/F14,4))</f>
        <v>0.1578</v>
      </c>
      <c r="J14" s="229">
        <f>ROUND((G14+G21+G24)/(F14+F21+F24),4)</f>
        <v>0.1578</v>
      </c>
      <c r="L14" s="693"/>
      <c r="M14" s="229"/>
      <c r="N14" s="230"/>
      <c r="O14" s="231"/>
      <c r="P14" s="231"/>
    </row>
    <row r="15" spans="1:16" x14ac:dyDescent="0.2">
      <c r="A15" s="242">
        <f>A14+1</f>
        <v>4</v>
      </c>
      <c r="B15" s="216"/>
      <c r="C15" s="216" t="s">
        <v>188</v>
      </c>
      <c r="D15" s="268">
        <f>B!P182+B!P188+B!P252</f>
        <v>830</v>
      </c>
      <c r="E15" s="362">
        <f>'C'!P257+'C'!P274+'C'!P388</f>
        <v>8691352.8000000007</v>
      </c>
      <c r="F15" s="268">
        <f>'Sch M 2.2'!$Q253+'Sch M 2.2'!$Q260+'Sch M 2.2'!$Q356</f>
        <v>7382693.4900000002</v>
      </c>
      <c r="G15" s="228">
        <f t="shared" si="0"/>
        <v>2074044.5</v>
      </c>
      <c r="H15" s="268">
        <f>'Sch M 2.3'!$Q248+'Sch M 2.3'!$Q255+'Sch M 2.3'!$Q352</f>
        <v>9456737.9900000002</v>
      </c>
      <c r="I15" s="229">
        <f t="shared" si="1"/>
        <v>0.28089999999999998</v>
      </c>
      <c r="J15" s="229">
        <f>ROUND((G15+G16+G28+G29+G31+G32)/(F15+F16+F28+F29+F31+F32),4)</f>
        <v>0.28089999999999998</v>
      </c>
      <c r="L15" s="233"/>
      <c r="M15" s="229"/>
      <c r="N15" s="230"/>
      <c r="O15" s="231"/>
      <c r="P15" s="231"/>
    </row>
    <row r="16" spans="1:16" x14ac:dyDescent="0.2">
      <c r="A16" s="242">
        <f>A15+1</f>
        <v>5</v>
      </c>
      <c r="B16" s="216"/>
      <c r="C16" s="216" t="s">
        <v>288</v>
      </c>
      <c r="D16" s="268">
        <f>B!P93</f>
        <v>0</v>
      </c>
      <c r="E16" s="362">
        <f>'C'!P136</f>
        <v>0</v>
      </c>
      <c r="F16" s="268">
        <f>'Sch M 2.2'!$Q197+'Sch M 2.1'!F31</f>
        <v>0</v>
      </c>
      <c r="G16" s="228">
        <f t="shared" si="0"/>
        <v>0</v>
      </c>
      <c r="H16" s="268">
        <f>'Sch M 2.3'!$Q193</f>
        <v>0</v>
      </c>
      <c r="I16" s="229">
        <f t="shared" si="1"/>
        <v>0</v>
      </c>
      <c r="J16" s="659">
        <f>J15</f>
        <v>0.28089999999999998</v>
      </c>
      <c r="L16" s="233"/>
      <c r="M16" s="229"/>
      <c r="N16" s="230"/>
      <c r="O16" s="231"/>
      <c r="P16" s="231"/>
    </row>
    <row r="17" spans="1:16" x14ac:dyDescent="0.2">
      <c r="A17" s="242">
        <f>A16+1</f>
        <v>6</v>
      </c>
      <c r="B17" s="216"/>
      <c r="C17" s="216" t="s">
        <v>92</v>
      </c>
      <c r="D17" s="364">
        <f>B!P99</f>
        <v>24</v>
      </c>
      <c r="E17" s="363">
        <f>'C'!P141</f>
        <v>11251.2</v>
      </c>
      <c r="F17" s="364">
        <f>'Sch M 2.2'!$Q204+'Sch M 2.1'!F32</f>
        <v>79942.95</v>
      </c>
      <c r="G17" s="228">
        <f t="shared" si="0"/>
        <v>8420.9799999999959</v>
      </c>
      <c r="H17" s="364">
        <f>'Sch M 2.3'!$Q200</f>
        <v>88363.93</v>
      </c>
      <c r="I17" s="229">
        <f t="shared" si="1"/>
        <v>0.1053</v>
      </c>
      <c r="J17" s="229">
        <f>ROUND(G17/F17,4)</f>
        <v>0.1053</v>
      </c>
      <c r="L17" s="233"/>
      <c r="M17" s="229"/>
      <c r="N17" s="230"/>
      <c r="O17" s="231"/>
      <c r="P17" s="231"/>
    </row>
    <row r="18" spans="1:16" x14ac:dyDescent="0.2">
      <c r="A18" s="242">
        <f>A17+1</f>
        <v>7</v>
      </c>
      <c r="B18" s="216"/>
      <c r="C18" s="216" t="s">
        <v>453</v>
      </c>
      <c r="D18" s="364">
        <f>B!P32</f>
        <v>120</v>
      </c>
      <c r="E18" s="363">
        <f>'C'!P32</f>
        <v>1382.6</v>
      </c>
      <c r="F18" s="364">
        <f>'Sch M 2.2'!$Q91</f>
        <v>572.95000000000005</v>
      </c>
      <c r="G18" s="228">
        <f t="shared" si="0"/>
        <v>0</v>
      </c>
      <c r="H18" s="364">
        <f>'Sch M 2.3'!$Q90</f>
        <v>572.95000000000005</v>
      </c>
      <c r="I18" s="229">
        <f t="shared" si="1"/>
        <v>0</v>
      </c>
      <c r="J18" s="659">
        <f>J13</f>
        <v>0.18720000000000001</v>
      </c>
      <c r="L18" s="233"/>
      <c r="M18" s="229"/>
      <c r="N18" s="230"/>
      <c r="O18" s="231"/>
      <c r="P18" s="231"/>
    </row>
    <row r="19" spans="1:16" x14ac:dyDescent="0.2">
      <c r="A19" s="242">
        <f t="shared" ref="A19:A31" si="2">A18+1</f>
        <v>8</v>
      </c>
      <c r="B19" s="216"/>
      <c r="C19" s="216" t="s">
        <v>84</v>
      </c>
      <c r="D19" s="364">
        <f>B!P37</f>
        <v>0</v>
      </c>
      <c r="E19" s="363">
        <f>'C'!P37</f>
        <v>0</v>
      </c>
      <c r="F19" s="364">
        <f>'Sch M 2.2'!$Q98</f>
        <v>0</v>
      </c>
      <c r="G19" s="228">
        <f t="shared" si="0"/>
        <v>0</v>
      </c>
      <c r="H19" s="364">
        <f>'Sch M 2.3'!$Q97</f>
        <v>0</v>
      </c>
      <c r="I19" s="229">
        <f t="shared" si="1"/>
        <v>0</v>
      </c>
      <c r="J19" s="659">
        <f>J13</f>
        <v>0.18720000000000001</v>
      </c>
      <c r="L19" s="233"/>
      <c r="M19" s="229"/>
      <c r="N19" s="230"/>
      <c r="O19" s="231"/>
      <c r="P19" s="231"/>
    </row>
    <row r="20" spans="1:16" x14ac:dyDescent="0.2">
      <c r="A20" s="242">
        <f t="shared" si="2"/>
        <v>9</v>
      </c>
      <c r="B20" s="216"/>
      <c r="C20" s="216" t="s">
        <v>85</v>
      </c>
      <c r="D20" s="364">
        <f>B!P42</f>
        <v>36</v>
      </c>
      <c r="E20" s="363">
        <f>'C'!P42</f>
        <v>263.8</v>
      </c>
      <c r="F20" s="364">
        <f>'Sch M 2.2'!$Q105</f>
        <v>162.06000000000003</v>
      </c>
      <c r="G20" s="228">
        <f t="shared" si="0"/>
        <v>0</v>
      </c>
      <c r="H20" s="364">
        <f>'Sch M 2.3'!$Q104</f>
        <v>162.06000000000003</v>
      </c>
      <c r="I20" s="229">
        <f t="shared" si="1"/>
        <v>0</v>
      </c>
      <c r="J20" s="659">
        <f>J13</f>
        <v>0.18720000000000001</v>
      </c>
      <c r="L20" s="233"/>
      <c r="M20" s="229"/>
      <c r="N20" s="230"/>
      <c r="O20" s="231"/>
      <c r="P20" s="231"/>
    </row>
    <row r="21" spans="1:16" x14ac:dyDescent="0.2">
      <c r="A21" s="242">
        <f t="shared" si="2"/>
        <v>10</v>
      </c>
      <c r="B21" s="216"/>
      <c r="C21" s="216" t="s">
        <v>77</v>
      </c>
      <c r="D21" s="364">
        <f>B!P22</f>
        <v>0</v>
      </c>
      <c r="E21" s="363">
        <f>'C'!P22</f>
        <v>0</v>
      </c>
      <c r="F21" s="364">
        <f>'Sch M 2.2'!$Q77</f>
        <v>0</v>
      </c>
      <c r="G21" s="228">
        <f t="shared" si="0"/>
        <v>0</v>
      </c>
      <c r="H21" s="364">
        <f>'Sch M 2.3'!$Q76</f>
        <v>0</v>
      </c>
      <c r="I21" s="229">
        <f t="shared" si="1"/>
        <v>0</v>
      </c>
      <c r="J21" s="659">
        <f>J14</f>
        <v>0.1578</v>
      </c>
      <c r="L21" s="233"/>
      <c r="M21" s="229"/>
      <c r="N21" s="227"/>
      <c r="O21" s="231"/>
    </row>
    <row r="22" spans="1:16" x14ac:dyDescent="0.2">
      <c r="A22" s="242">
        <f t="shared" si="2"/>
        <v>11</v>
      </c>
      <c r="B22" s="216"/>
      <c r="C22" s="216" t="s">
        <v>79</v>
      </c>
      <c r="D22" s="364">
        <f>B!P27</f>
        <v>48</v>
      </c>
      <c r="E22" s="363">
        <f>'C'!P27</f>
        <v>452.4</v>
      </c>
      <c r="F22" s="364">
        <f>'Sch M 2.2'!$Q84</f>
        <v>4820.84</v>
      </c>
      <c r="G22" s="228">
        <f t="shared" si="0"/>
        <v>0</v>
      </c>
      <c r="H22" s="364">
        <f>'Sch M 2.3'!$Q83</f>
        <v>4820.84</v>
      </c>
      <c r="I22" s="229">
        <f t="shared" si="1"/>
        <v>0</v>
      </c>
      <c r="J22" s="659">
        <f>J13</f>
        <v>0.18720000000000001</v>
      </c>
      <c r="L22" s="233"/>
      <c r="M22" s="229"/>
      <c r="N22" s="227"/>
      <c r="O22" s="231"/>
    </row>
    <row r="23" spans="1:16" x14ac:dyDescent="0.2">
      <c r="A23" s="242">
        <f t="shared" si="2"/>
        <v>12</v>
      </c>
      <c r="B23" s="216"/>
      <c r="C23" s="216" t="s">
        <v>150</v>
      </c>
      <c r="D23" s="364">
        <f>B!P47</f>
        <v>12</v>
      </c>
      <c r="E23" s="363">
        <f>'C'!P47</f>
        <v>672.3</v>
      </c>
      <c r="F23" s="364">
        <f>'Sch M 2.2'!$Q134</f>
        <v>235.35000000000005</v>
      </c>
      <c r="G23" s="228">
        <f t="shared" si="0"/>
        <v>0</v>
      </c>
      <c r="H23" s="364">
        <f>'Sch M 2.3'!$Q131</f>
        <v>235.35000000000005</v>
      </c>
      <c r="I23" s="229">
        <f t="shared" si="1"/>
        <v>0</v>
      </c>
      <c r="J23" s="659">
        <f>J13</f>
        <v>0.18720000000000001</v>
      </c>
      <c r="L23" s="233"/>
      <c r="M23" s="229"/>
      <c r="N23" s="227"/>
      <c r="O23" s="231"/>
    </row>
    <row r="24" spans="1:16" x14ac:dyDescent="0.2">
      <c r="A24" s="242">
        <f t="shared" si="2"/>
        <v>13</v>
      </c>
      <c r="B24" s="216"/>
      <c r="C24" s="216" t="s">
        <v>151</v>
      </c>
      <c r="D24" s="364">
        <f>B!P52</f>
        <v>0</v>
      </c>
      <c r="E24" s="363">
        <f>'C'!P52</f>
        <v>0</v>
      </c>
      <c r="F24" s="364">
        <f>'Sch M 2.2'!$Q141</f>
        <v>0</v>
      </c>
      <c r="G24" s="228">
        <f t="shared" si="0"/>
        <v>0</v>
      </c>
      <c r="H24" s="364">
        <f>'Sch M 2.3'!$Q138</f>
        <v>0</v>
      </c>
      <c r="I24" s="229">
        <f t="shared" si="1"/>
        <v>0</v>
      </c>
      <c r="J24" s="659">
        <f>J14</f>
        <v>0.1578</v>
      </c>
      <c r="L24" s="233"/>
      <c r="M24" s="229"/>
      <c r="N24" s="227"/>
      <c r="O24" s="231"/>
    </row>
    <row r="25" spans="1:16" x14ac:dyDescent="0.2">
      <c r="A25" s="242">
        <f t="shared" si="2"/>
        <v>14</v>
      </c>
      <c r="B25" s="216"/>
      <c r="C25" s="216" t="s">
        <v>152</v>
      </c>
      <c r="D25" s="364">
        <f>B!P70</f>
        <v>12</v>
      </c>
      <c r="E25" s="363">
        <f>'C'!P71</f>
        <v>588.90000000000009</v>
      </c>
      <c r="F25" s="364">
        <f>'Sch M 2.2'!$Q148</f>
        <v>212.01000000000005</v>
      </c>
      <c r="G25" s="228">
        <f t="shared" si="0"/>
        <v>0</v>
      </c>
      <c r="H25" s="364">
        <f>'Sch M 2.3'!$Q145</f>
        <v>212.01000000000005</v>
      </c>
      <c r="I25" s="229">
        <f t="shared" si="1"/>
        <v>0</v>
      </c>
      <c r="J25" s="659">
        <f>J13</f>
        <v>0.18720000000000001</v>
      </c>
      <c r="L25" s="233"/>
      <c r="M25" s="229"/>
      <c r="N25" s="227"/>
      <c r="O25" s="231"/>
    </row>
    <row r="26" spans="1:16" x14ac:dyDescent="0.2">
      <c r="A26" s="242">
        <f t="shared" si="2"/>
        <v>15</v>
      </c>
      <c r="B26" s="216"/>
      <c r="C26" s="216" t="s">
        <v>153</v>
      </c>
      <c r="D26" s="364">
        <f>B!P75</f>
        <v>12</v>
      </c>
      <c r="E26" s="363">
        <f>'C'!P76</f>
        <v>166.80000000000004</v>
      </c>
      <c r="F26" s="364">
        <f>'Sch M 2.2'!$Q155</f>
        <v>66.72</v>
      </c>
      <c r="G26" s="228">
        <f t="shared" si="0"/>
        <v>0</v>
      </c>
      <c r="H26" s="364">
        <f>'Sch M 2.3'!$Q152</f>
        <v>66.72</v>
      </c>
      <c r="I26" s="229">
        <f t="shared" si="1"/>
        <v>0</v>
      </c>
      <c r="J26" s="659">
        <f>J13</f>
        <v>0.18720000000000001</v>
      </c>
      <c r="L26" s="233"/>
      <c r="M26" s="229"/>
      <c r="N26" s="227"/>
      <c r="O26" s="231"/>
    </row>
    <row r="27" spans="1:16" x14ac:dyDescent="0.2">
      <c r="A27" s="242">
        <f t="shared" si="2"/>
        <v>16</v>
      </c>
      <c r="B27" s="216"/>
      <c r="C27" s="216" t="s">
        <v>73</v>
      </c>
      <c r="D27" s="364">
        <f>B!P222</f>
        <v>36</v>
      </c>
      <c r="E27" s="363">
        <f>'C'!P332</f>
        <v>602100</v>
      </c>
      <c r="F27" s="364">
        <f>'Sch M 2.2'!$Q301</f>
        <v>69542.820000000007</v>
      </c>
      <c r="G27" s="228">
        <f t="shared" si="0"/>
        <v>6245.2799999999988</v>
      </c>
      <c r="H27" s="364">
        <f>'Sch M 2.3'!$Q297</f>
        <v>75788.100000000006</v>
      </c>
      <c r="I27" s="229">
        <f t="shared" si="1"/>
        <v>8.9800000000000005E-2</v>
      </c>
      <c r="J27" s="229">
        <f>ROUND((G27+G30)/(F27+F30),4)</f>
        <v>9.4999999999999998E-3</v>
      </c>
      <c r="L27" s="233"/>
      <c r="M27" s="229"/>
      <c r="N27" s="227"/>
      <c r="O27" s="231"/>
    </row>
    <row r="28" spans="1:16" x14ac:dyDescent="0.2">
      <c r="A28" s="242">
        <f t="shared" si="2"/>
        <v>17</v>
      </c>
      <c r="B28" s="216"/>
      <c r="C28" s="216" t="s">
        <v>98</v>
      </c>
      <c r="D28" s="364">
        <f>B!P228</f>
        <v>0</v>
      </c>
      <c r="E28" s="363">
        <f>'C'!P337</f>
        <v>0</v>
      </c>
      <c r="F28" s="364">
        <f>'Sch M 2.2'!$Q308</f>
        <v>0</v>
      </c>
      <c r="G28" s="228">
        <f t="shared" si="0"/>
        <v>0</v>
      </c>
      <c r="H28" s="364">
        <f>'Sch M 2.3'!$Q304</f>
        <v>0</v>
      </c>
      <c r="I28" s="229">
        <f t="shared" si="1"/>
        <v>0</v>
      </c>
      <c r="J28" s="659">
        <f>J15</f>
        <v>0.28089999999999998</v>
      </c>
      <c r="L28" s="233"/>
      <c r="M28" s="229"/>
      <c r="N28" s="227"/>
      <c r="O28" s="231"/>
    </row>
    <row r="29" spans="1:16" x14ac:dyDescent="0.2">
      <c r="A29" s="242">
        <f t="shared" si="2"/>
        <v>18</v>
      </c>
      <c r="B29" s="216"/>
      <c r="C29" s="216" t="s">
        <v>99</v>
      </c>
      <c r="D29" s="364">
        <f>B!P234</f>
        <v>0</v>
      </c>
      <c r="E29" s="363">
        <f>'C'!P355</f>
        <v>0</v>
      </c>
      <c r="F29" s="364">
        <f>'Sch M 2.2'!$Q315</f>
        <v>0</v>
      </c>
      <c r="G29" s="228">
        <f t="shared" si="0"/>
        <v>0</v>
      </c>
      <c r="H29" s="364">
        <f>'Sch M 2.3'!$Q311</f>
        <v>0</v>
      </c>
      <c r="I29" s="229">
        <f t="shared" si="1"/>
        <v>0</v>
      </c>
      <c r="J29" s="659">
        <f>J15</f>
        <v>0.28089999999999998</v>
      </c>
      <c r="L29" s="233"/>
      <c r="M29" s="229"/>
      <c r="N29" s="227"/>
      <c r="O29" s="231"/>
    </row>
    <row r="30" spans="1:16" x14ac:dyDescent="0.2">
      <c r="A30" s="242">
        <f t="shared" si="2"/>
        <v>19</v>
      </c>
      <c r="B30" s="216"/>
      <c r="C30" s="216" t="s">
        <v>100</v>
      </c>
      <c r="D30" s="364">
        <f>B!P240</f>
        <v>36</v>
      </c>
      <c r="E30" s="363">
        <f>'C'!P360</f>
        <v>6711500</v>
      </c>
      <c r="F30" s="364">
        <f>'Sch M 2.2'!$Q322</f>
        <v>585059.09999999986</v>
      </c>
      <c r="G30" s="228">
        <f t="shared" si="0"/>
        <v>0</v>
      </c>
      <c r="H30" s="364">
        <f>'Sch M 2.3'!$Q318</f>
        <v>585059.09999999986</v>
      </c>
      <c r="I30" s="229">
        <f t="shared" si="1"/>
        <v>0</v>
      </c>
      <c r="J30" s="659">
        <f>J27</f>
        <v>9.4999999999999998E-3</v>
      </c>
      <c r="L30" s="233"/>
      <c r="M30" s="229"/>
      <c r="N30" s="227"/>
      <c r="O30" s="231"/>
    </row>
    <row r="31" spans="1:16" x14ac:dyDescent="0.2">
      <c r="A31" s="242">
        <f t="shared" si="2"/>
        <v>20</v>
      </c>
      <c r="B31" s="216"/>
      <c r="C31" s="216" t="s">
        <v>136</v>
      </c>
      <c r="D31" s="364">
        <f>B!P246</f>
        <v>0</v>
      </c>
      <c r="E31" s="363">
        <f>'C'!P366</f>
        <v>0</v>
      </c>
      <c r="F31" s="364">
        <f>'Sch M 2.2'!$Q329</f>
        <v>0</v>
      </c>
      <c r="G31" s="228">
        <f t="shared" si="0"/>
        <v>0</v>
      </c>
      <c r="H31" s="364">
        <f>'Sch M 2.3'!$Q325</f>
        <v>0</v>
      </c>
      <c r="I31" s="229">
        <f t="shared" si="1"/>
        <v>0</v>
      </c>
      <c r="J31" s="659">
        <f>J27</f>
        <v>9.4999999999999998E-3</v>
      </c>
      <c r="L31" s="233"/>
      <c r="M31" s="229"/>
      <c r="N31" s="227"/>
      <c r="O31" s="231"/>
    </row>
    <row r="32" spans="1:16" x14ac:dyDescent="0.2">
      <c r="A32" s="242">
        <f>A31+1</f>
        <v>21</v>
      </c>
      <c r="B32" s="216"/>
      <c r="C32" s="216" t="s">
        <v>101</v>
      </c>
      <c r="D32" s="364">
        <f>B!P271</f>
        <v>0</v>
      </c>
      <c r="E32" s="363">
        <f>'C'!P402</f>
        <v>0</v>
      </c>
      <c r="F32" s="364">
        <f>'Sch M 2.2'!Q363</f>
        <v>0</v>
      </c>
      <c r="G32" s="228">
        <f t="shared" si="0"/>
        <v>0</v>
      </c>
      <c r="H32" s="364">
        <f>'Sch M 2.3'!$Q359</f>
        <v>0</v>
      </c>
      <c r="I32" s="229">
        <f t="shared" si="1"/>
        <v>0</v>
      </c>
      <c r="J32" s="659">
        <f>J15</f>
        <v>0.28089999999999998</v>
      </c>
      <c r="L32" s="229"/>
      <c r="M32" s="229"/>
      <c r="N32" s="227"/>
      <c r="O32" s="231"/>
    </row>
    <row r="33" spans="1:16" x14ac:dyDescent="0.2">
      <c r="A33" s="242"/>
      <c r="B33" s="216"/>
      <c r="C33" s="216"/>
      <c r="D33" s="364"/>
      <c r="E33" s="363"/>
      <c r="F33" s="364"/>
      <c r="G33" s="228"/>
      <c r="H33" s="364"/>
      <c r="I33" s="229"/>
      <c r="J33" s="216"/>
      <c r="L33" s="229"/>
      <c r="M33" s="229"/>
      <c r="N33" s="227"/>
      <c r="O33" s="231"/>
    </row>
    <row r="34" spans="1:16" ht="10.5" x14ac:dyDescent="0.25">
      <c r="A34" s="242">
        <f>A32+1</f>
        <v>22</v>
      </c>
      <c r="B34" s="216"/>
      <c r="C34" s="245" t="s">
        <v>102</v>
      </c>
      <c r="D34" s="364"/>
      <c r="E34" s="363"/>
      <c r="F34" s="364"/>
      <c r="G34" s="228"/>
      <c r="H34" s="364"/>
      <c r="I34" s="229"/>
      <c r="J34" s="216"/>
      <c r="L34" s="229"/>
      <c r="M34" s="229"/>
      <c r="N34" s="227"/>
      <c r="O34" s="231"/>
    </row>
    <row r="35" spans="1:16" x14ac:dyDescent="0.2">
      <c r="A35" s="242"/>
      <c r="B35" s="216"/>
      <c r="C35" s="216"/>
      <c r="D35" s="364"/>
      <c r="E35" s="363"/>
      <c r="F35" s="364"/>
      <c r="G35" s="228"/>
      <c r="H35" s="364"/>
      <c r="I35" s="229"/>
      <c r="J35" s="216"/>
      <c r="L35" s="229"/>
      <c r="M35" s="229"/>
      <c r="N35" s="227"/>
      <c r="O35" s="231"/>
    </row>
    <row r="36" spans="1:16" x14ac:dyDescent="0.2">
      <c r="A36" s="242">
        <f>A34+1</f>
        <v>23</v>
      </c>
      <c r="B36" s="216"/>
      <c r="C36" s="216" t="s">
        <v>443</v>
      </c>
      <c r="D36" s="364"/>
      <c r="E36" s="363"/>
      <c r="F36" s="364">
        <f>'Sch M 2.2'!Q369</f>
        <v>390077.64</v>
      </c>
      <c r="G36" s="228">
        <f>H36-F36</f>
        <v>70560.000000000058</v>
      </c>
      <c r="H36" s="364">
        <f>'Sch M 2.3'!Q365</f>
        <v>460637.64000000007</v>
      </c>
      <c r="I36" s="229">
        <f t="shared" ref="I36:I40" si="3">IF(F36=0,0,ROUND(G36/F36,4))</f>
        <v>0.18090000000000001</v>
      </c>
      <c r="J36" s="216"/>
      <c r="L36" s="229"/>
      <c r="M36" s="229"/>
      <c r="N36" s="227"/>
      <c r="O36" s="231"/>
    </row>
    <row r="37" spans="1:16" x14ac:dyDescent="0.2">
      <c r="A37" s="242">
        <f>A36+1</f>
        <v>24</v>
      </c>
      <c r="B37" s="216"/>
      <c r="C37" s="216" t="s">
        <v>103</v>
      </c>
      <c r="D37" s="364"/>
      <c r="E37" s="363"/>
      <c r="F37" s="364">
        <f>'Sch M 2.2'!Q370</f>
        <v>117501.34666666666</v>
      </c>
      <c r="G37" s="228">
        <f t="shared" ref="G37:G40" si="4">H37-F37</f>
        <v>0</v>
      </c>
      <c r="H37" s="364">
        <f>'Sch M 2.3'!Q366</f>
        <v>117501.34666666666</v>
      </c>
      <c r="I37" s="229">
        <f t="shared" si="3"/>
        <v>0</v>
      </c>
      <c r="J37" s="216"/>
      <c r="L37" s="229"/>
      <c r="M37" s="229"/>
      <c r="N37" s="227"/>
      <c r="O37" s="231"/>
    </row>
    <row r="38" spans="1:16" x14ac:dyDescent="0.2">
      <c r="A38" s="242">
        <f t="shared" ref="A38:A40" si="5">A37+1</f>
        <v>25</v>
      </c>
      <c r="B38" s="216"/>
      <c r="C38" s="216" t="s">
        <v>104</v>
      </c>
      <c r="D38" s="364"/>
      <c r="E38" s="363"/>
      <c r="F38" s="364">
        <f>'Sch M 2.2'!Q371</f>
        <v>41592</v>
      </c>
      <c r="G38" s="228">
        <f t="shared" si="4"/>
        <v>0</v>
      </c>
      <c r="H38" s="364">
        <f>'Sch M 2.3'!Q367</f>
        <v>41592</v>
      </c>
      <c r="I38" s="229">
        <f t="shared" si="3"/>
        <v>0</v>
      </c>
      <c r="J38" s="216"/>
      <c r="L38" s="229"/>
      <c r="M38" s="229"/>
      <c r="N38" s="227"/>
      <c r="O38" s="231"/>
    </row>
    <row r="39" spans="1:16" x14ac:dyDescent="0.2">
      <c r="A39" s="242">
        <f t="shared" si="5"/>
        <v>26</v>
      </c>
      <c r="B39" s="216"/>
      <c r="C39" s="216" t="s">
        <v>444</v>
      </c>
      <c r="D39" s="364"/>
      <c r="E39" s="363"/>
      <c r="F39" s="364">
        <f>'Sch M 2.2'!Q372</f>
        <v>0</v>
      </c>
      <c r="G39" s="228">
        <f t="shared" si="4"/>
        <v>0</v>
      </c>
      <c r="H39" s="364">
        <f>'Sch M 2.3'!Q368</f>
        <v>0</v>
      </c>
      <c r="I39" s="229">
        <f t="shared" si="3"/>
        <v>0</v>
      </c>
      <c r="J39" s="216"/>
      <c r="L39" s="229"/>
      <c r="M39" s="229"/>
      <c r="N39" s="227"/>
      <c r="O39" s="231"/>
    </row>
    <row r="40" spans="1:16" x14ac:dyDescent="0.2">
      <c r="A40" s="242">
        <f t="shared" si="5"/>
        <v>27</v>
      </c>
      <c r="B40" s="216"/>
      <c r="C40" s="216" t="s">
        <v>105</v>
      </c>
      <c r="D40" s="364"/>
      <c r="E40" s="363"/>
      <c r="F40" s="364">
        <f>'Sch M 2.2'!Q373</f>
        <v>678382.43333333335</v>
      </c>
      <c r="G40" s="228">
        <f t="shared" si="4"/>
        <v>0</v>
      </c>
      <c r="H40" s="364">
        <f>'Sch M 2.3'!Q369</f>
        <v>678382.43333333335</v>
      </c>
      <c r="I40" s="229">
        <f t="shared" si="3"/>
        <v>0</v>
      </c>
      <c r="J40" s="216"/>
      <c r="L40" s="229"/>
      <c r="M40" s="229"/>
      <c r="N40" s="227"/>
      <c r="O40" s="231"/>
    </row>
    <row r="41" spans="1:16" x14ac:dyDescent="0.2">
      <c r="A41" s="242"/>
      <c r="B41" s="216"/>
      <c r="C41" s="216"/>
      <c r="D41" s="267"/>
      <c r="E41" s="272"/>
      <c r="F41" s="216"/>
      <c r="G41" s="216"/>
      <c r="H41" s="216"/>
      <c r="I41" s="216"/>
      <c r="J41" s="216"/>
      <c r="L41" s="430"/>
      <c r="M41" s="430"/>
      <c r="O41" s="231"/>
    </row>
    <row r="42" spans="1:16" ht="10.5" thickBot="1" x14ac:dyDescent="0.25">
      <c r="A42" s="242">
        <f>A40+1</f>
        <v>28</v>
      </c>
      <c r="B42" s="216"/>
      <c r="C42" s="216" t="s">
        <v>373</v>
      </c>
      <c r="D42" s="689">
        <f>SUM(D13:D40)</f>
        <v>1659636</v>
      </c>
      <c r="E42" s="690">
        <f>SUM(E13:E40)</f>
        <v>30288170.399999999</v>
      </c>
      <c r="F42" s="689">
        <f>SUM(F13:F40)</f>
        <v>147364861.42999995</v>
      </c>
      <c r="G42" s="689">
        <f t="shared" ref="G42:H42" si="6">SUM(G13:G40)</f>
        <v>26694985.869680014</v>
      </c>
      <c r="H42" s="689">
        <f t="shared" si="6"/>
        <v>174059847.29967999</v>
      </c>
      <c r="I42" s="236">
        <f>ROUND(G42/F42,4)</f>
        <v>0.18110000000000001</v>
      </c>
      <c r="J42" s="216"/>
      <c r="L42" s="237"/>
      <c r="M42" s="691"/>
      <c r="O42" s="231"/>
      <c r="P42" s="231"/>
    </row>
    <row r="43" spans="1:16" ht="10.5" thickTop="1" x14ac:dyDescent="0.2">
      <c r="A43" s="242"/>
      <c r="B43" s="216"/>
      <c r="C43" s="216"/>
      <c r="D43" s="496"/>
      <c r="E43" s="496"/>
      <c r="F43" s="702"/>
      <c r="G43" s="702"/>
      <c r="H43" s="702"/>
      <c r="I43" s="237"/>
      <c r="J43" s="237"/>
      <c r="K43" s="229"/>
      <c r="L43" s="229"/>
      <c r="M43" s="238"/>
      <c r="O43" s="231"/>
    </row>
    <row r="44" spans="1:16" ht="10.5" x14ac:dyDescent="0.25">
      <c r="A44" s="800" t="str">
        <f>A1</f>
        <v>Columbia Gas of Kentucky, Inc.</v>
      </c>
      <c r="B44" s="800"/>
      <c r="C44" s="800"/>
      <c r="D44" s="800"/>
      <c r="E44" s="800"/>
      <c r="F44" s="800"/>
      <c r="G44" s="800"/>
      <c r="H44" s="800"/>
      <c r="I44" s="698"/>
      <c r="J44" s="214" t="str">
        <f>+$J$1</f>
        <v>KLJ-RDES-1</v>
      </c>
      <c r="L44" s="229"/>
      <c r="M44" s="238"/>
      <c r="O44" s="231"/>
    </row>
    <row r="45" spans="1:16" ht="10.5" x14ac:dyDescent="0.25">
      <c r="A45" s="823" t="s">
        <v>368</v>
      </c>
      <c r="B45" s="823"/>
      <c r="C45" s="823"/>
      <c r="D45" s="823"/>
      <c r="E45" s="823"/>
      <c r="F45" s="823"/>
      <c r="G45" s="823"/>
      <c r="H45" s="823"/>
      <c r="I45" s="700"/>
      <c r="J45" s="214" t="s">
        <v>520</v>
      </c>
      <c r="L45" s="229"/>
      <c r="M45" s="238"/>
      <c r="O45" s="231"/>
    </row>
    <row r="46" spans="1:16" ht="10.5" x14ac:dyDescent="0.25">
      <c r="A46" s="800" t="str">
        <f>A!$A$3</f>
        <v>For the 12 Months Ended December 31, 2022</v>
      </c>
      <c r="B46" s="800"/>
      <c r="C46" s="800"/>
      <c r="D46" s="800"/>
      <c r="E46" s="800"/>
      <c r="F46" s="800"/>
      <c r="G46" s="800"/>
      <c r="H46" s="800"/>
      <c r="I46" s="698"/>
      <c r="J46" s="215" t="str">
        <f>+$J$3</f>
        <v>Witness: K. L. Johnson</v>
      </c>
      <c r="L46" s="229"/>
      <c r="M46" s="238"/>
      <c r="O46" s="231"/>
    </row>
    <row r="47" spans="1:16" x14ac:dyDescent="0.2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L47" s="229"/>
      <c r="M47" s="238"/>
      <c r="O47" s="231"/>
    </row>
    <row r="48" spans="1:16" ht="10.5" x14ac:dyDescent="0.25">
      <c r="A48" s="216"/>
      <c r="B48" s="216"/>
      <c r="C48" s="245"/>
      <c r="D48" s="216"/>
      <c r="E48" s="216"/>
      <c r="F48" s="698" t="s">
        <v>142</v>
      </c>
      <c r="G48" s="698" t="s">
        <v>30</v>
      </c>
      <c r="H48" s="698" t="s">
        <v>9</v>
      </c>
      <c r="I48" s="698" t="s">
        <v>30</v>
      </c>
      <c r="J48" s="698" t="s">
        <v>30</v>
      </c>
      <c r="L48" s="229"/>
      <c r="M48" s="238"/>
      <c r="O48" s="231"/>
    </row>
    <row r="49" spans="1:15" ht="10.5" x14ac:dyDescent="0.25">
      <c r="A49" s="698" t="s">
        <v>1</v>
      </c>
      <c r="B49" s="698"/>
      <c r="C49" s="245"/>
      <c r="D49" s="698" t="s">
        <v>5</v>
      </c>
      <c r="E49" s="698" t="s">
        <v>5</v>
      </c>
      <c r="F49" s="698" t="s">
        <v>47</v>
      </c>
      <c r="G49" s="698" t="s">
        <v>369</v>
      </c>
      <c r="H49" s="698" t="s">
        <v>30</v>
      </c>
      <c r="I49" s="219" t="s">
        <v>144</v>
      </c>
      <c r="J49" s="698" t="s">
        <v>451</v>
      </c>
      <c r="L49" s="229"/>
      <c r="M49" s="238"/>
      <c r="O49" s="231"/>
    </row>
    <row r="50" spans="1:15" ht="10.5" x14ac:dyDescent="0.25">
      <c r="A50" s="263" t="s">
        <v>3</v>
      </c>
      <c r="B50" s="263"/>
      <c r="C50" s="241" t="s">
        <v>4</v>
      </c>
      <c r="D50" s="263" t="s">
        <v>25</v>
      </c>
      <c r="E50" s="263" t="s">
        <v>26</v>
      </c>
      <c r="F50" s="241" t="s">
        <v>48</v>
      </c>
      <c r="G50" s="241" t="s">
        <v>144</v>
      </c>
      <c r="H50" s="241" t="s">
        <v>20</v>
      </c>
      <c r="I50" s="222" t="s">
        <v>370</v>
      </c>
      <c r="J50" s="263" t="s">
        <v>452</v>
      </c>
      <c r="L50" s="229"/>
      <c r="M50" s="238"/>
      <c r="O50" s="231"/>
    </row>
    <row r="51" spans="1:15" ht="10.5" x14ac:dyDescent="0.25">
      <c r="A51" s="216"/>
      <c r="B51" s="216"/>
      <c r="C51" s="245"/>
      <c r="D51" s="698" t="s">
        <v>6</v>
      </c>
      <c r="E51" s="699" t="s">
        <v>7</v>
      </c>
      <c r="F51" s="699" t="s">
        <v>21</v>
      </c>
      <c r="G51" s="699" t="s">
        <v>8</v>
      </c>
      <c r="H51" s="699" t="s">
        <v>371</v>
      </c>
      <c r="I51" s="699" t="s">
        <v>356</v>
      </c>
      <c r="J51" s="699" t="s">
        <v>372</v>
      </c>
      <c r="L51" s="229"/>
      <c r="M51" s="238"/>
      <c r="O51" s="231"/>
    </row>
    <row r="52" spans="1:15" ht="10.5" x14ac:dyDescent="0.25">
      <c r="A52" s="216"/>
      <c r="B52" s="216"/>
      <c r="C52" s="216"/>
      <c r="D52" s="698"/>
      <c r="E52" s="698" t="s">
        <v>22</v>
      </c>
      <c r="F52" s="698" t="s">
        <v>24</v>
      </c>
      <c r="G52" s="698" t="s">
        <v>24</v>
      </c>
      <c r="H52" s="698" t="s">
        <v>24</v>
      </c>
      <c r="I52" s="698" t="s">
        <v>145</v>
      </c>
      <c r="J52" s="216"/>
      <c r="L52" s="229"/>
      <c r="M52" s="238"/>
      <c r="O52" s="231"/>
    </row>
    <row r="53" spans="1:15" ht="10.5" x14ac:dyDescent="0.25">
      <c r="A53" s="216"/>
      <c r="B53" s="216"/>
      <c r="C53" s="216"/>
      <c r="D53" s="699" t="s">
        <v>393</v>
      </c>
      <c r="E53" s="699" t="s">
        <v>394</v>
      </c>
      <c r="F53" s="699" t="s">
        <v>395</v>
      </c>
      <c r="G53" s="699"/>
      <c r="H53" s="699" t="s">
        <v>396</v>
      </c>
      <c r="I53" s="698"/>
      <c r="J53" s="216"/>
      <c r="L53" s="229"/>
      <c r="M53" s="238"/>
      <c r="O53" s="231"/>
    </row>
    <row r="54" spans="1:15" x14ac:dyDescent="0.2">
      <c r="A54" s="242"/>
      <c r="B54" s="216"/>
      <c r="C54" s="216"/>
      <c r="D54" s="496"/>
      <c r="E54" s="496"/>
      <c r="F54" s="702"/>
      <c r="G54" s="702"/>
      <c r="H54" s="702"/>
      <c r="I54" s="237"/>
      <c r="J54" s="237"/>
      <c r="K54" s="229"/>
      <c r="L54" s="229"/>
      <c r="M54" s="238"/>
      <c r="O54" s="231"/>
    </row>
    <row r="55" spans="1:15" ht="10.5" x14ac:dyDescent="0.25">
      <c r="A55" s="242">
        <v>1</v>
      </c>
      <c r="B55" s="216"/>
      <c r="C55" s="245" t="s">
        <v>569</v>
      </c>
      <c r="D55" s="267"/>
      <c r="E55" s="216"/>
      <c r="F55" s="267"/>
      <c r="G55" s="216"/>
      <c r="H55" s="216"/>
      <c r="I55" s="216"/>
      <c r="J55" s="216"/>
      <c r="K55" s="216"/>
      <c r="L55" s="216"/>
    </row>
    <row r="56" spans="1:15" x14ac:dyDescent="0.2">
      <c r="A56" s="242"/>
      <c r="B56" s="216"/>
      <c r="C56" s="216"/>
      <c r="D56" s="267"/>
      <c r="E56" s="216"/>
      <c r="F56" s="216"/>
      <c r="G56" s="216"/>
      <c r="H56" s="216"/>
      <c r="I56" s="216"/>
      <c r="J56" s="216"/>
      <c r="K56" s="216"/>
      <c r="L56" s="216"/>
    </row>
    <row r="57" spans="1:15" x14ac:dyDescent="0.2">
      <c r="A57" s="242">
        <f>A55+1</f>
        <v>2</v>
      </c>
      <c r="B57" s="216"/>
      <c r="C57" s="216" t="str">
        <f t="shared" ref="C57:E76" si="7">C13</f>
        <v>GSR/GTR Residential</v>
      </c>
      <c r="D57" s="268">
        <f t="shared" si="7"/>
        <v>1480254</v>
      </c>
      <c r="E57" s="362">
        <f t="shared" si="7"/>
        <v>8279217.4000000004</v>
      </c>
      <c r="F57" s="365">
        <f>'Sch M 2.2'!Q401+'Sch M 2.2'!Q405+'Sch M 2.2'!Q406+'Sch M 2.2'!Q831+'Sch M 2.2'!Q835+'Sch M 2.2'!Q836+'Sch M 2.2'!Q402+'Sch M 2.2'!Q832</f>
        <v>60687097.960000008</v>
      </c>
      <c r="G57" s="228">
        <f>H57-F57</f>
        <v>17526775.329999983</v>
      </c>
      <c r="H57" s="228">
        <f>'Sch M 2.3'!Q398+'Sch M 2.3'!Q402+'Sch M 2.3'!Q403+'Sch M 2.3'!Q831+'Sch M 2.3'!Q835+'Sch M 2.3'!Q836+'Sch M 2.3'!Q399+'Sch M 2.3'!Q832</f>
        <v>78213873.289999992</v>
      </c>
      <c r="I57" s="229">
        <f>IF(F57=0,0,ROUND(G57/F57,4))</f>
        <v>0.2888</v>
      </c>
      <c r="J57" s="229">
        <f>ROUND((G57+G66+G69+G70+G62+G63+G64+G67)/(F57+F66+F69+F70+F62+F63+F64+F67),4)</f>
        <v>0.2888</v>
      </c>
      <c r="K57" s="216"/>
      <c r="M57" s="238"/>
    </row>
    <row r="58" spans="1:15" x14ac:dyDescent="0.2">
      <c r="A58" s="242">
        <f>A57+1</f>
        <v>3</v>
      </c>
      <c r="B58" s="216"/>
      <c r="C58" s="216" t="str">
        <f t="shared" si="7"/>
        <v>GSO/GTO/GDS</v>
      </c>
      <c r="D58" s="268">
        <f t="shared" si="7"/>
        <v>178216</v>
      </c>
      <c r="E58" s="362">
        <f t="shared" si="7"/>
        <v>5989222.1999999993</v>
      </c>
      <c r="F58" s="268">
        <f>'Sch M 2.2'!Q653+'Sch M 2.2'!Q667+'Sch M 2.2'!Q668+'Sch M 2.2'!Q705+'Sch M 2.2'!Q719+'Sch M 2.2'!Q720+'Sch M 2.2'!Q857+'Sch M 2.2'!Q871+'Sch M 2.2'!Q873+'Sch M 2.2'!Q903+'Sch M 2.2'!Q917+'Sch M 2.2'!Q919+'Sch M 2.2'!Q1021+'Sch M 2.2'!Q1036+'Sch M 2.2'!Q1038+'Sch M 2.2'!Q1050+'Sch M 2.2'!Q1065+'Sch M 2.2'!Q1067+'Sch M 2.2'!Q1022+'Sch M 2.2'!Q1051+'Sch M 2.2'!Q858+'Sch M 2.2'!Q904+'Sch M 2.2'!Q654+'Sch M 2.2'!Q706+'Sch M 2.2'!Q1023+'Sch M 2.2'!Q1052</f>
        <v>26643511.299999997</v>
      </c>
      <c r="G58" s="233">
        <f t="shared" ref="G58:G76" si="8">H58-F58</f>
        <v>7008939.8000000045</v>
      </c>
      <c r="H58" s="233">
        <f>'Sch M 2.3'!Q651+'Sch M 2.3'!Q665+'Sch M 2.3'!Q666+'Sch M 2.3'!Q704+'Sch M 2.3'!Q718+'Sch M 2.3'!Q719+'Sch M 2.3'!Q857+'Sch M 2.3'!Q871+'Sch M 2.3'!Q873+'Sch M 2.3'!Q1019+'Sch M 2.3'!Q1034+'Sch M 2.3'!Q1036+'Sch M 2.3'!Q902+'Sch M 2.3'!Q916+'Sch M 2.3'!Q918+'Sch M 2.3'!Q1048+'Sch M 2.3'!Q1063+'Sch M 2.3'!Q1065+'Sch M 2.3'!Q1020+'Sch M 2.3'!Q1049+'Sch M 2.3'!Q652+'Sch M 2.3'!Q705+'Sch M 2.3'!Q858+'Sch M 2.3'!Q903+'Sch M 2.3'!Q1021+'Sch M 2.3'!Q1050</f>
        <v>33652451.100000001</v>
      </c>
      <c r="I58" s="229">
        <f t="shared" ref="I58:I76" si="9">IF(F58=0,0,ROUND(G58/F58,4))</f>
        <v>0.2631</v>
      </c>
      <c r="J58" s="229">
        <f>ROUND((G58+G65+G68)/(F58+F65+F68),4)</f>
        <v>0.2631</v>
      </c>
      <c r="K58" s="216"/>
      <c r="L58" s="229"/>
      <c r="M58" s="238"/>
    </row>
    <row r="59" spans="1:15" x14ac:dyDescent="0.2">
      <c r="A59" s="242">
        <f t="shared" ref="A59:A76" si="10">A58+1</f>
        <v>4</v>
      </c>
      <c r="B59" s="216"/>
      <c r="C59" s="216" t="str">
        <f t="shared" si="7"/>
        <v>DS/SAS</v>
      </c>
      <c r="D59" s="268">
        <f t="shared" si="7"/>
        <v>830</v>
      </c>
      <c r="E59" s="362">
        <f t="shared" si="7"/>
        <v>8691352.8000000007</v>
      </c>
      <c r="F59" s="268">
        <f>'Sch M 2.2'!Q1225+'Sch M 2.2'!Q1236+'Sch M 2.2'!Q1238+'Sch M 2.2'!Q990+'Sch M 2.2'!Q992+'Sch M 2.2'!Q977+'Sch M 2.2'!Q949+'Sch M 2.2'!Q962+'Sch M 2.2'!Q964+'Sch M 2.2'!Q950+'Sch M 2.2'!Q978+'Sch M 2.2'!Q1226+'Sch M 2.2'!Q979+'Sch M 2.2'!Q951+'Sch M 2.2'!Q1227</f>
        <v>7257538.0300000003</v>
      </c>
      <c r="G59" s="233">
        <f t="shared" si="8"/>
        <v>2074044.4999999991</v>
      </c>
      <c r="H59" s="233">
        <f>'Sch M 2.3'!Q947+'Sch M 2.3'!Q960+'Sch M 2.3'!Q962+'Sch M 2.3'!Q975+'Sch M 2.3'!Q988+'Sch M 2.3'!Q990+'Sch M 2.3'!Q1223+'Sch M 2.3'!Q1234+'Sch M 2.3'!Q948+'Sch M 2.3'!Q976+'Sch M 2.3'!Q1223+'Sch M 2.3'!Q949+'Sch M 2.3'!Q977+'Sch M 2.3'!Q1225</f>
        <v>9331582.5299999993</v>
      </c>
      <c r="I59" s="229">
        <f>IF(F59=0,0,ROUND(G59/F59,4))</f>
        <v>0.2858</v>
      </c>
      <c r="J59" s="229">
        <f>ROUND((G59+G60+G72+G73+G75+G76)/(F59+F60+F72+F73+F75+F76),4)</f>
        <v>0.2858</v>
      </c>
      <c r="K59" s="216"/>
      <c r="L59" s="691"/>
      <c r="M59" s="697"/>
    </row>
    <row r="60" spans="1:15" x14ac:dyDescent="0.2">
      <c r="A60" s="242">
        <f t="shared" si="10"/>
        <v>5</v>
      </c>
      <c r="B60" s="216"/>
      <c r="C60" s="216" t="str">
        <f t="shared" si="7"/>
        <v>IS</v>
      </c>
      <c r="D60" s="268">
        <f t="shared" si="7"/>
        <v>0</v>
      </c>
      <c r="E60" s="362">
        <f t="shared" si="7"/>
        <v>0</v>
      </c>
      <c r="F60" s="268">
        <f>'Sch M 2.2'!Q758+'Sch M 2.2'!Q768+'Sch M 2.2'!Q769+'Sch M 2.2'!Q759</f>
        <v>0</v>
      </c>
      <c r="G60" s="233">
        <f t="shared" si="8"/>
        <v>0</v>
      </c>
      <c r="H60" s="233">
        <f>'Sch M 2.3'!Q756+'Sch M 2.3'!Q766+'Sch M 2.3'!Q767+'Sch M 2.3'!Q757</f>
        <v>0</v>
      </c>
      <c r="I60" s="229">
        <f t="shared" si="9"/>
        <v>0</v>
      </c>
      <c r="J60" s="659">
        <f>J59</f>
        <v>0.2858</v>
      </c>
      <c r="K60" s="216"/>
      <c r="L60" s="229"/>
      <c r="M60" s="238"/>
    </row>
    <row r="61" spans="1:15" x14ac:dyDescent="0.2">
      <c r="A61" s="242">
        <f t="shared" si="10"/>
        <v>6</v>
      </c>
      <c r="B61" s="216"/>
      <c r="C61" s="216" t="str">
        <f t="shared" si="7"/>
        <v>IUS</v>
      </c>
      <c r="D61" s="268">
        <f t="shared" si="7"/>
        <v>24</v>
      </c>
      <c r="E61" s="362">
        <f t="shared" si="7"/>
        <v>11251.2</v>
      </c>
      <c r="F61" s="268">
        <f>'Sch M 2.2'!Q789+'Sch M 2.2'!Q793+'Sch M 2.2'!Q790+'Sch M 2.2'!Q794</f>
        <v>30288.049999999996</v>
      </c>
      <c r="G61" s="233">
        <f>H61-F61</f>
        <v>8420.9800000000032</v>
      </c>
      <c r="H61" s="233">
        <f>'Sch M 2.3'!Q787+'Sch M 2.3'!Q791+'Sch M 2.3'!Q792+'Sch M 2.3'!Q788</f>
        <v>38709.03</v>
      </c>
      <c r="I61" s="229">
        <f t="shared" si="9"/>
        <v>0.27800000000000002</v>
      </c>
      <c r="J61" s="229">
        <f>ROUND(G61/F61,4)</f>
        <v>0.27800000000000002</v>
      </c>
      <c r="K61" s="216"/>
      <c r="L61" s="229"/>
      <c r="M61" s="238"/>
    </row>
    <row r="62" spans="1:15" x14ac:dyDescent="0.2">
      <c r="A62" s="242">
        <f t="shared" si="10"/>
        <v>7</v>
      </c>
      <c r="B62" s="216"/>
      <c r="C62" s="216" t="str">
        <f t="shared" si="7"/>
        <v>IN3 Residential</v>
      </c>
      <c r="D62" s="268">
        <f t="shared" si="7"/>
        <v>120</v>
      </c>
      <c r="E62" s="362">
        <f t="shared" si="7"/>
        <v>1382.6</v>
      </c>
      <c r="F62" s="268">
        <f>'Sch M 2.2'!Q479+'Sch M 2.2'!Q482</f>
        <v>553.04</v>
      </c>
      <c r="G62" s="233">
        <f t="shared" si="8"/>
        <v>0</v>
      </c>
      <c r="H62" s="233">
        <f>'Sch M 2.3'!Q478+'Sch M 2.3'!Q481</f>
        <v>553.04</v>
      </c>
      <c r="I62" s="229">
        <f t="shared" si="9"/>
        <v>0</v>
      </c>
      <c r="J62" s="659">
        <f>J57</f>
        <v>0.2888</v>
      </c>
      <c r="K62" s="216"/>
      <c r="L62" s="229"/>
      <c r="M62" s="238"/>
    </row>
    <row r="63" spans="1:15" x14ac:dyDescent="0.2">
      <c r="A63" s="242">
        <f t="shared" si="10"/>
        <v>8</v>
      </c>
      <c r="B63" s="216"/>
      <c r="C63" s="216" t="str">
        <f t="shared" si="7"/>
        <v>IN4</v>
      </c>
      <c r="D63" s="268">
        <f t="shared" si="7"/>
        <v>0</v>
      </c>
      <c r="E63" s="362">
        <f t="shared" si="7"/>
        <v>0</v>
      </c>
      <c r="F63" s="268">
        <f>'Sch M 2.2'!Q496+'Sch M 2.2'!Q499</f>
        <v>0</v>
      </c>
      <c r="G63" s="233">
        <f t="shared" si="8"/>
        <v>0</v>
      </c>
      <c r="H63" s="233">
        <f>'Sch M 2.3'!Q495+'Sch M 2.3'!Q498</f>
        <v>0</v>
      </c>
      <c r="I63" s="229">
        <f t="shared" si="9"/>
        <v>0</v>
      </c>
      <c r="J63" s="659">
        <f>J57</f>
        <v>0.2888</v>
      </c>
      <c r="K63" s="216"/>
      <c r="L63" s="229"/>
      <c r="M63" s="238"/>
    </row>
    <row r="64" spans="1:15" x14ac:dyDescent="0.2">
      <c r="A64" s="242">
        <f t="shared" si="10"/>
        <v>9</v>
      </c>
      <c r="B64" s="216"/>
      <c r="C64" s="216" t="str">
        <f t="shared" si="7"/>
        <v>IN5</v>
      </c>
      <c r="D64" s="268">
        <f t="shared" si="7"/>
        <v>36</v>
      </c>
      <c r="E64" s="362">
        <f t="shared" si="7"/>
        <v>263.8</v>
      </c>
      <c r="F64" s="268">
        <f>'Sch M 2.2'!Q530+'Sch M 2.2'!Q533</f>
        <v>158.27999999999997</v>
      </c>
      <c r="G64" s="233">
        <f t="shared" si="8"/>
        <v>0</v>
      </c>
      <c r="H64" s="233">
        <f>'Sch M 2.3'!Q529+'Sch M 2.3'!Q532</f>
        <v>158.27999999999997</v>
      </c>
      <c r="I64" s="229">
        <f t="shared" si="9"/>
        <v>0</v>
      </c>
      <c r="J64" s="659">
        <f>J57</f>
        <v>0.2888</v>
      </c>
      <c r="K64" s="216"/>
      <c r="L64" s="229"/>
      <c r="M64" s="238"/>
    </row>
    <row r="65" spans="1:13" x14ac:dyDescent="0.2">
      <c r="A65" s="242">
        <f t="shared" si="10"/>
        <v>10</v>
      </c>
      <c r="B65" s="216"/>
      <c r="C65" s="216" t="str">
        <f t="shared" si="7"/>
        <v>G1C</v>
      </c>
      <c r="D65" s="268">
        <f t="shared" si="7"/>
        <v>0</v>
      </c>
      <c r="E65" s="362">
        <f t="shared" si="7"/>
        <v>0</v>
      </c>
      <c r="F65" s="268">
        <f>'Sch M 2.2'!Q428+'Sch M 2.2'!Q431</f>
        <v>0</v>
      </c>
      <c r="G65" s="233">
        <f t="shared" si="8"/>
        <v>0</v>
      </c>
      <c r="H65" s="233">
        <f>'Sch M 2.3'!Q426+'Sch M 2.3'!Q429</f>
        <v>0</v>
      </c>
      <c r="I65" s="229">
        <f t="shared" si="9"/>
        <v>0</v>
      </c>
      <c r="J65" s="659">
        <f>J58</f>
        <v>0.2631</v>
      </c>
      <c r="K65" s="216"/>
      <c r="L65" s="229"/>
      <c r="M65" s="238"/>
    </row>
    <row r="66" spans="1:13" x14ac:dyDescent="0.2">
      <c r="A66" s="242">
        <f t="shared" si="10"/>
        <v>11</v>
      </c>
      <c r="B66" s="216"/>
      <c r="C66" s="216" t="str">
        <f t="shared" si="7"/>
        <v>G1R</v>
      </c>
      <c r="D66" s="268">
        <f t="shared" si="7"/>
        <v>48</v>
      </c>
      <c r="E66" s="362">
        <f t="shared" si="7"/>
        <v>452.4</v>
      </c>
      <c r="F66" s="268">
        <f>'Sch M 2.2'!Q462+'Sch M 2.2'!Q465</f>
        <v>2836.17</v>
      </c>
      <c r="G66" s="233">
        <f t="shared" si="8"/>
        <v>0</v>
      </c>
      <c r="H66" s="233">
        <f>'Sch M 2.3'!Q461+'Sch M 2.3'!Q464</f>
        <v>2836.17</v>
      </c>
      <c r="I66" s="229">
        <f t="shared" si="9"/>
        <v>0</v>
      </c>
      <c r="J66" s="659">
        <f>J57</f>
        <v>0.2888</v>
      </c>
      <c r="K66" s="216"/>
      <c r="L66" s="229"/>
      <c r="M66" s="238"/>
    </row>
    <row r="67" spans="1:13" x14ac:dyDescent="0.2">
      <c r="A67" s="242">
        <f t="shared" si="10"/>
        <v>12</v>
      </c>
      <c r="B67" s="216"/>
      <c r="C67" s="216" t="str">
        <f t="shared" si="7"/>
        <v>LG2 Residential</v>
      </c>
      <c r="D67" s="268">
        <f t="shared" si="7"/>
        <v>12</v>
      </c>
      <c r="E67" s="362">
        <f t="shared" si="7"/>
        <v>672.3</v>
      </c>
      <c r="F67" s="268">
        <f>'Sch M 2.2'!Q547+'Sch M 2.2'!Q550</f>
        <v>235.35000000000005</v>
      </c>
      <c r="G67" s="233">
        <f t="shared" si="8"/>
        <v>0</v>
      </c>
      <c r="H67" s="233">
        <f>'Sch M 2.3'!Q546+'Sch M 2.3'!Q549</f>
        <v>235.35000000000005</v>
      </c>
      <c r="I67" s="229">
        <f t="shared" si="9"/>
        <v>0</v>
      </c>
      <c r="J67" s="659">
        <f>J57</f>
        <v>0.2888</v>
      </c>
      <c r="K67" s="216"/>
      <c r="L67" s="229"/>
      <c r="M67" s="238"/>
    </row>
    <row r="68" spans="1:13" x14ac:dyDescent="0.2">
      <c r="A68" s="242">
        <f t="shared" si="10"/>
        <v>13</v>
      </c>
      <c r="B68" s="216"/>
      <c r="C68" s="216" t="str">
        <f t="shared" si="7"/>
        <v>LG2 Commercial</v>
      </c>
      <c r="D68" s="268">
        <f t="shared" si="7"/>
        <v>0</v>
      </c>
      <c r="E68" s="362">
        <f t="shared" si="7"/>
        <v>0</v>
      </c>
      <c r="F68" s="268">
        <f>'Sch M 2.2'!Q564+'Sch M 2.2'!Q567</f>
        <v>0</v>
      </c>
      <c r="G68" s="233">
        <f t="shared" si="8"/>
        <v>0</v>
      </c>
      <c r="H68" s="233">
        <f>'Sch M 2.3'!Q563+'Sch M 2.3'!Q566</f>
        <v>0</v>
      </c>
      <c r="I68" s="229">
        <f t="shared" si="9"/>
        <v>0</v>
      </c>
      <c r="J68" s="659">
        <f>J58</f>
        <v>0.2631</v>
      </c>
      <c r="K68" s="216"/>
      <c r="L68" s="229"/>
      <c r="M68" s="238"/>
    </row>
    <row r="69" spans="1:13" x14ac:dyDescent="0.2">
      <c r="A69" s="242">
        <f t="shared" si="10"/>
        <v>14</v>
      </c>
      <c r="B69" s="216"/>
      <c r="C69" s="216" t="str">
        <f t="shared" si="7"/>
        <v>LG3 Residential</v>
      </c>
      <c r="D69" s="268">
        <f t="shared" si="7"/>
        <v>12</v>
      </c>
      <c r="E69" s="362">
        <f t="shared" si="7"/>
        <v>588.90000000000009</v>
      </c>
      <c r="F69" s="268">
        <f>'Sch M 2.2'!Q597+'Sch M 2.2'!Q606</f>
        <v>212.01</v>
      </c>
      <c r="G69" s="233">
        <f t="shared" si="8"/>
        <v>0</v>
      </c>
      <c r="H69" s="233">
        <f>'Sch M 2.3'!Q596+'Sch M 2.3'!Q605</f>
        <v>212.01</v>
      </c>
      <c r="I69" s="229">
        <f t="shared" si="9"/>
        <v>0</v>
      </c>
      <c r="J69" s="659">
        <f>J57</f>
        <v>0.2888</v>
      </c>
      <c r="K69" s="216"/>
      <c r="L69" s="229"/>
      <c r="M69" s="238"/>
    </row>
    <row r="70" spans="1:13" x14ac:dyDescent="0.2">
      <c r="A70" s="242">
        <f t="shared" si="10"/>
        <v>15</v>
      </c>
      <c r="B70" s="216"/>
      <c r="C70" s="216" t="str">
        <f t="shared" si="7"/>
        <v>LG4 Residential</v>
      </c>
      <c r="D70" s="268">
        <f t="shared" si="7"/>
        <v>12</v>
      </c>
      <c r="E70" s="362">
        <f t="shared" si="7"/>
        <v>166.80000000000004</v>
      </c>
      <c r="F70" s="268">
        <f>'Sch M 2.2'!Q620+'Sch M 2.2'!Q623</f>
        <v>66.72</v>
      </c>
      <c r="G70" s="233">
        <f t="shared" si="8"/>
        <v>0</v>
      </c>
      <c r="H70" s="233">
        <f>'Sch M 2.3'!Q618+'Sch M 2.3'!Q621</f>
        <v>66.72</v>
      </c>
      <c r="I70" s="229">
        <f t="shared" si="9"/>
        <v>0</v>
      </c>
      <c r="J70" s="659">
        <f>J57</f>
        <v>0.2888</v>
      </c>
      <c r="K70" s="216"/>
      <c r="L70" s="229"/>
      <c r="M70" s="238"/>
    </row>
    <row r="71" spans="1:13" x14ac:dyDescent="0.2">
      <c r="A71" s="242">
        <f t="shared" si="10"/>
        <v>16</v>
      </c>
      <c r="B71" s="216"/>
      <c r="C71" s="216" t="str">
        <f t="shared" si="7"/>
        <v>DS3</v>
      </c>
      <c r="D71" s="268">
        <f t="shared" si="7"/>
        <v>36</v>
      </c>
      <c r="E71" s="362">
        <f t="shared" si="7"/>
        <v>602100</v>
      </c>
      <c r="F71" s="268">
        <f>'Sch M 2.2'!Q1097+'Sch M 2.2'!Q1101+'Sch M 2.2'!Q1098</f>
        <v>60872.58</v>
      </c>
      <c r="G71" s="233">
        <f t="shared" si="8"/>
        <v>6245.2799999999843</v>
      </c>
      <c r="H71" s="233">
        <f>'Sch M 2.3'!Q1094+'Sch M 2.3'!Q1098+'Sch M 2.3'!Q1095</f>
        <v>67117.859999999986</v>
      </c>
      <c r="I71" s="229">
        <f t="shared" si="9"/>
        <v>0.1026</v>
      </c>
      <c r="J71" s="229">
        <f>ROUND((G71+G74)/(F71+F74),4)</f>
        <v>9.7000000000000003E-3</v>
      </c>
      <c r="K71" s="216"/>
      <c r="L71" s="229"/>
      <c r="M71" s="238"/>
    </row>
    <row r="72" spans="1:13" x14ac:dyDescent="0.2">
      <c r="A72" s="242">
        <f t="shared" si="10"/>
        <v>17</v>
      </c>
      <c r="B72" s="216"/>
      <c r="C72" s="216" t="str">
        <f t="shared" si="7"/>
        <v>FX1</v>
      </c>
      <c r="D72" s="268">
        <f t="shared" si="7"/>
        <v>0</v>
      </c>
      <c r="E72" s="362">
        <f t="shared" si="7"/>
        <v>0</v>
      </c>
      <c r="F72" s="268">
        <f>'Sch M 2.2'!Q1115+'Sch M 2.2'!Q1119+'Sch M 2.2'!Q1116</f>
        <v>0</v>
      </c>
      <c r="G72" s="233">
        <f t="shared" si="8"/>
        <v>0</v>
      </c>
      <c r="H72" s="233">
        <f>'Sch M 2.3'!Q1112+'Sch M 2.3'!Q1116+'Sch M 2.3'!Q1113</f>
        <v>0</v>
      </c>
      <c r="I72" s="229">
        <f t="shared" si="9"/>
        <v>0</v>
      </c>
      <c r="J72" s="659">
        <f>J59</f>
        <v>0.2858</v>
      </c>
      <c r="K72" s="216"/>
      <c r="L72" s="229"/>
      <c r="M72" s="238"/>
    </row>
    <row r="73" spans="1:13" x14ac:dyDescent="0.2">
      <c r="A73" s="242">
        <f t="shared" si="10"/>
        <v>18</v>
      </c>
      <c r="B73" s="216"/>
      <c r="C73" s="216" t="str">
        <f t="shared" si="7"/>
        <v>FX2</v>
      </c>
      <c r="D73" s="268">
        <f t="shared" si="7"/>
        <v>0</v>
      </c>
      <c r="E73" s="362">
        <f t="shared" si="7"/>
        <v>0</v>
      </c>
      <c r="F73" s="268">
        <f>'Sch M 2.2'!Q1133+'Sch M 2.2'!Q1137+'Sch M 2.2'!Q1134</f>
        <v>0</v>
      </c>
      <c r="G73" s="233">
        <f t="shared" si="8"/>
        <v>0</v>
      </c>
      <c r="H73" s="233">
        <f>'Sch M 2.3'!Q1130+'Sch M 2.3'!Q1134+'Sch M 2.3'!Q1131</f>
        <v>0</v>
      </c>
      <c r="I73" s="229">
        <f t="shared" si="9"/>
        <v>0</v>
      </c>
      <c r="J73" s="659">
        <f>J59</f>
        <v>0.2858</v>
      </c>
      <c r="K73" s="216"/>
      <c r="L73" s="229"/>
      <c r="M73" s="238"/>
    </row>
    <row r="74" spans="1:13" x14ac:dyDescent="0.2">
      <c r="A74" s="242">
        <f t="shared" si="10"/>
        <v>19</v>
      </c>
      <c r="B74" s="216"/>
      <c r="C74" s="216" t="str">
        <f t="shared" si="7"/>
        <v>FX5</v>
      </c>
      <c r="D74" s="268">
        <f t="shared" si="7"/>
        <v>36</v>
      </c>
      <c r="E74" s="362">
        <f t="shared" si="7"/>
        <v>6711500</v>
      </c>
      <c r="F74" s="268">
        <f>'Sch M 2.2'!Q1167+'Sch M 2.2'!Q1171+'Sch M 2.2'!Q1168</f>
        <v>585059.10000000009</v>
      </c>
      <c r="G74" s="233">
        <f t="shared" si="8"/>
        <v>0</v>
      </c>
      <c r="H74" s="233">
        <f>'Sch M 2.3'!Q1164+'Sch M 2.3'!Q1168+'Sch M 2.3'!Q1165</f>
        <v>585059.10000000009</v>
      </c>
      <c r="I74" s="229">
        <f t="shared" si="9"/>
        <v>0</v>
      </c>
      <c r="J74" s="659">
        <f>J71</f>
        <v>9.7000000000000003E-3</v>
      </c>
      <c r="L74" s="229"/>
      <c r="M74" s="238"/>
    </row>
    <row r="75" spans="1:13" x14ac:dyDescent="0.2">
      <c r="A75" s="242">
        <f t="shared" si="10"/>
        <v>20</v>
      </c>
      <c r="B75" s="216"/>
      <c r="C75" s="216" t="str">
        <f t="shared" si="7"/>
        <v>FX7</v>
      </c>
      <c r="D75" s="268">
        <f t="shared" si="7"/>
        <v>0</v>
      </c>
      <c r="E75" s="362">
        <f t="shared" si="7"/>
        <v>0</v>
      </c>
      <c r="F75" s="268">
        <f>'Sch M 2.2'!Q1185+'Sch M 2.2'!Q1195+'Sch M 2.2'!Q1186</f>
        <v>0</v>
      </c>
      <c r="G75" s="233">
        <f t="shared" si="8"/>
        <v>0</v>
      </c>
      <c r="H75" s="233">
        <f>'Sch M 2.3'!Q1182+'Sch M 2.3'!Q1192+'Sch M 2.3'!Q1183</f>
        <v>0</v>
      </c>
      <c r="I75" s="229">
        <f t="shared" si="9"/>
        <v>0</v>
      </c>
      <c r="J75" s="659">
        <f>J71</f>
        <v>9.7000000000000003E-3</v>
      </c>
      <c r="L75" s="229"/>
      <c r="M75" s="238"/>
    </row>
    <row r="76" spans="1:13" x14ac:dyDescent="0.2">
      <c r="A76" s="242">
        <f t="shared" si="10"/>
        <v>21</v>
      </c>
      <c r="B76" s="216"/>
      <c r="C76" s="216" t="str">
        <f t="shared" si="7"/>
        <v>SC3</v>
      </c>
      <c r="D76" s="268">
        <f t="shared" si="7"/>
        <v>0</v>
      </c>
      <c r="E76" s="362">
        <f t="shared" si="7"/>
        <v>0</v>
      </c>
      <c r="F76" s="364">
        <f>'Sch M 2.2'!Q1250+'Sch M 2.2'!Q1260+'Sch M 2.2'!Q1251</f>
        <v>0</v>
      </c>
      <c r="G76" s="233">
        <f t="shared" si="8"/>
        <v>0</v>
      </c>
      <c r="H76" s="233">
        <f>'Sch M 2.3'!Q1248+'Sch M 2.3'!Q1258+'Sch M 2.3'!Q1249</f>
        <v>0</v>
      </c>
      <c r="I76" s="229">
        <f t="shared" si="9"/>
        <v>0</v>
      </c>
      <c r="J76" s="659">
        <f>J59</f>
        <v>0.2858</v>
      </c>
      <c r="L76" s="229"/>
      <c r="M76" s="238"/>
    </row>
    <row r="77" spans="1:13" x14ac:dyDescent="0.2">
      <c r="A77" s="242"/>
      <c r="B77" s="216"/>
      <c r="C77" s="216"/>
      <c r="D77" s="267"/>
      <c r="E77" s="272"/>
      <c r="F77" s="216"/>
      <c r="G77" s="216"/>
      <c r="H77" s="216"/>
      <c r="I77" s="229"/>
      <c r="J77" s="216"/>
      <c r="L77" s="229"/>
      <c r="M77" s="238"/>
    </row>
    <row r="78" spans="1:13" ht="10.5" thickBot="1" x14ac:dyDescent="0.25">
      <c r="A78" s="242">
        <f>A76+1</f>
        <v>22</v>
      </c>
      <c r="B78" s="216"/>
      <c r="C78" s="216" t="s">
        <v>374</v>
      </c>
      <c r="D78" s="703">
        <f>SUM(D57:D76)</f>
        <v>1659636</v>
      </c>
      <c r="E78" s="704">
        <f>SUM(E57:E76)</f>
        <v>30288170.399999999</v>
      </c>
      <c r="F78" s="705">
        <f>SUM(F57:F76)</f>
        <v>95268428.590000004</v>
      </c>
      <c r="G78" s="235">
        <f>SUM(G57:G76)</f>
        <v>26624425.889999989</v>
      </c>
      <c r="H78" s="705">
        <f>SUM(H57:H76)</f>
        <v>121892854.47999999</v>
      </c>
      <c r="I78" s="236">
        <f>ROUND(G78/F78,4)</f>
        <v>0.27950000000000003</v>
      </c>
      <c r="J78" s="216"/>
      <c r="L78" s="236"/>
      <c r="M78" s="239"/>
    </row>
    <row r="79" spans="1:13" ht="10.5" thickTop="1" x14ac:dyDescent="0.2">
      <c r="A79" s="216"/>
      <c r="B79" s="216"/>
      <c r="C79" s="216"/>
      <c r="D79" s="486"/>
      <c r="E79" s="237"/>
      <c r="F79" s="237"/>
      <c r="G79" s="237"/>
      <c r="H79" s="229"/>
      <c r="I79" s="229"/>
      <c r="J79" s="229"/>
      <c r="K79" s="238"/>
    </row>
    <row r="80" spans="1:13" x14ac:dyDescent="0.2">
      <c r="A80" s="411"/>
      <c r="B80" s="216"/>
      <c r="C80" s="216"/>
      <c r="D80" s="486"/>
      <c r="E80" s="237"/>
      <c r="F80" s="237"/>
      <c r="G80" s="237"/>
      <c r="H80" s="229"/>
      <c r="I80" s="216"/>
      <c r="J80" s="216"/>
    </row>
    <row r="81" spans="1:10" x14ac:dyDescent="0.2">
      <c r="A81" s="411"/>
      <c r="B81" s="216"/>
      <c r="C81" s="216"/>
      <c r="D81" s="486"/>
      <c r="E81" s="237"/>
      <c r="F81" s="237"/>
      <c r="G81" s="237"/>
      <c r="H81" s="229"/>
      <c r="I81" s="216"/>
      <c r="J81" s="216"/>
    </row>
    <row r="82" spans="1:10" ht="10.5" x14ac:dyDescent="0.25">
      <c r="A82" s="800" t="str">
        <f>A1</f>
        <v>Columbia Gas of Kentucky, Inc.</v>
      </c>
      <c r="B82" s="800"/>
      <c r="C82" s="800"/>
      <c r="D82" s="800"/>
      <c r="E82" s="800"/>
      <c r="F82" s="800"/>
      <c r="G82" s="800"/>
      <c r="H82" s="800"/>
      <c r="I82" s="698"/>
      <c r="J82" s="214" t="str">
        <f>+$J$1</f>
        <v>KLJ-RDES-1</v>
      </c>
    </row>
    <row r="83" spans="1:10" ht="10.5" x14ac:dyDescent="0.25">
      <c r="A83" s="823" t="s">
        <v>368</v>
      </c>
      <c r="B83" s="823"/>
      <c r="C83" s="823"/>
      <c r="D83" s="823"/>
      <c r="E83" s="823"/>
      <c r="F83" s="823"/>
      <c r="G83" s="823"/>
      <c r="H83" s="823"/>
      <c r="I83" s="700"/>
      <c r="J83" s="214" t="s">
        <v>521</v>
      </c>
    </row>
    <row r="84" spans="1:10" ht="10.5" x14ac:dyDescent="0.25">
      <c r="A84" s="800" t="str">
        <f>A!$A$3</f>
        <v>For the 12 Months Ended December 31, 2022</v>
      </c>
      <c r="B84" s="800"/>
      <c r="C84" s="800"/>
      <c r="D84" s="800"/>
      <c r="E84" s="800"/>
      <c r="F84" s="800"/>
      <c r="G84" s="800"/>
      <c r="H84" s="800"/>
      <c r="I84" s="698"/>
      <c r="J84" s="215" t="str">
        <f>+$J$3</f>
        <v>Witness: K. L. Johnson</v>
      </c>
    </row>
    <row r="85" spans="1:10" x14ac:dyDescent="0.2">
      <c r="A85" s="216"/>
      <c r="B85" s="216"/>
      <c r="C85" s="216"/>
      <c r="D85" s="216"/>
      <c r="E85" s="216"/>
      <c r="F85" s="216"/>
      <c r="G85" s="216"/>
      <c r="H85" s="216"/>
      <c r="I85" s="216"/>
      <c r="J85" s="216"/>
    </row>
    <row r="86" spans="1:10" ht="10.5" x14ac:dyDescent="0.25">
      <c r="A86" s="216"/>
      <c r="B86" s="216"/>
      <c r="C86" s="245"/>
      <c r="D86" s="216"/>
      <c r="E86" s="216"/>
      <c r="F86" s="698" t="s">
        <v>142</v>
      </c>
      <c r="G86" s="698" t="s">
        <v>30</v>
      </c>
      <c r="H86" s="698" t="s">
        <v>9</v>
      </c>
      <c r="I86" s="698" t="s">
        <v>30</v>
      </c>
      <c r="J86" s="698" t="s">
        <v>30</v>
      </c>
    </row>
    <row r="87" spans="1:10" ht="10.5" x14ac:dyDescent="0.25">
      <c r="A87" s="698" t="s">
        <v>1</v>
      </c>
      <c r="B87" s="698"/>
      <c r="C87" s="245"/>
      <c r="D87" s="698" t="s">
        <v>5</v>
      </c>
      <c r="E87" s="698" t="s">
        <v>5</v>
      </c>
      <c r="F87" s="698" t="s">
        <v>47</v>
      </c>
      <c r="G87" s="698" t="s">
        <v>369</v>
      </c>
      <c r="H87" s="698" t="s">
        <v>30</v>
      </c>
      <c r="I87" s="219" t="s">
        <v>144</v>
      </c>
      <c r="J87" s="698" t="s">
        <v>451</v>
      </c>
    </row>
    <row r="88" spans="1:10" ht="10.5" x14ac:dyDescent="0.25">
      <c r="A88" s="263" t="s">
        <v>3</v>
      </c>
      <c r="B88" s="263"/>
      <c r="C88" s="241" t="s">
        <v>4</v>
      </c>
      <c r="D88" s="263" t="s">
        <v>25</v>
      </c>
      <c r="E88" s="263" t="s">
        <v>26</v>
      </c>
      <c r="F88" s="241" t="s">
        <v>48</v>
      </c>
      <c r="G88" s="241" t="s">
        <v>144</v>
      </c>
      <c r="H88" s="241" t="s">
        <v>20</v>
      </c>
      <c r="I88" s="222" t="s">
        <v>370</v>
      </c>
      <c r="J88" s="263" t="s">
        <v>452</v>
      </c>
    </row>
    <row r="89" spans="1:10" ht="10.5" x14ac:dyDescent="0.25">
      <c r="A89" s="216"/>
      <c r="B89" s="216"/>
      <c r="C89" s="245"/>
      <c r="D89" s="698" t="s">
        <v>6</v>
      </c>
      <c r="E89" s="699" t="s">
        <v>7</v>
      </c>
      <c r="F89" s="699" t="s">
        <v>21</v>
      </c>
      <c r="G89" s="699" t="s">
        <v>8</v>
      </c>
      <c r="H89" s="699" t="s">
        <v>371</v>
      </c>
      <c r="I89" s="699" t="s">
        <v>356</v>
      </c>
      <c r="J89" s="699" t="s">
        <v>372</v>
      </c>
    </row>
    <row r="90" spans="1:10" ht="10.5" x14ac:dyDescent="0.25">
      <c r="A90" s="216"/>
      <c r="B90" s="216"/>
      <c r="C90" s="216"/>
      <c r="D90" s="698"/>
      <c r="E90" s="698" t="s">
        <v>22</v>
      </c>
      <c r="F90" s="698" t="s">
        <v>24</v>
      </c>
      <c r="G90" s="698" t="s">
        <v>24</v>
      </c>
      <c r="H90" s="698" t="s">
        <v>24</v>
      </c>
      <c r="I90" s="698" t="s">
        <v>145</v>
      </c>
      <c r="J90" s="216"/>
    </row>
    <row r="91" spans="1:10" ht="10.5" x14ac:dyDescent="0.25">
      <c r="A91" s="216"/>
      <c r="B91" s="216"/>
      <c r="C91" s="216"/>
      <c r="D91" s="699" t="s">
        <v>393</v>
      </c>
      <c r="E91" s="699" t="s">
        <v>394</v>
      </c>
      <c r="F91" s="699" t="s">
        <v>395</v>
      </c>
      <c r="G91" s="699"/>
      <c r="H91" s="699" t="s">
        <v>396</v>
      </c>
      <c r="I91" s="698"/>
      <c r="J91" s="216"/>
    </row>
    <row r="92" spans="1:10" x14ac:dyDescent="0.2">
      <c r="A92" s="216"/>
      <c r="B92" s="216"/>
      <c r="C92" s="216"/>
      <c r="D92" s="486"/>
      <c r="E92" s="237"/>
      <c r="F92" s="237"/>
      <c r="G92" s="237"/>
      <c r="H92" s="229"/>
      <c r="I92" s="216"/>
      <c r="J92" s="216"/>
    </row>
    <row r="93" spans="1:10" ht="10.5" x14ac:dyDescent="0.25">
      <c r="A93" s="242">
        <v>1</v>
      </c>
      <c r="B93" s="216"/>
      <c r="C93" s="245" t="s">
        <v>438</v>
      </c>
      <c r="D93" s="267"/>
      <c r="E93" s="216"/>
      <c r="F93" s="216"/>
      <c r="G93" s="216"/>
      <c r="H93" s="216"/>
      <c r="I93" s="216"/>
      <c r="J93" s="216"/>
    </row>
    <row r="94" spans="1:10" x14ac:dyDescent="0.2">
      <c r="A94" s="242">
        <f>A93+1</f>
        <v>2</v>
      </c>
      <c r="B94" s="216"/>
      <c r="C94" s="216" t="str">
        <f>C13</f>
        <v>GSR/GTR Residential</v>
      </c>
      <c r="D94" s="268"/>
      <c r="E94" s="362"/>
      <c r="F94" s="365">
        <f>'Sch M 2.2'!Q409+'Sch M 2.2'!Q839</f>
        <v>31834737.98</v>
      </c>
      <c r="G94" s="228">
        <f>H94-F94</f>
        <v>0</v>
      </c>
      <c r="H94" s="228">
        <f>'Sch M 2.3'!Q407</f>
        <v>31834737.98</v>
      </c>
      <c r="I94" s="229">
        <f t="shared" ref="I94" si="11">IF(F94=0,0,ROUND(G94/F94,4))</f>
        <v>0</v>
      </c>
      <c r="J94" s="229"/>
    </row>
    <row r="95" spans="1:10" x14ac:dyDescent="0.2">
      <c r="A95" s="242">
        <f>A94+1</f>
        <v>3</v>
      </c>
      <c r="B95" s="216"/>
      <c r="C95" s="216" t="str">
        <f>C14</f>
        <v>GSO/GTO/GDS</v>
      </c>
      <c r="D95" s="268"/>
      <c r="E95" s="362"/>
      <c r="F95" s="268">
        <f>'Sch M 2.2'!Q671+'Sch M 2.2'!Q723+'Sch M 2.2'!Q876+'Sch M 2.2'!Q922+'Sch M 2.2'!Q1041+'Sch M 2.2'!Q1070</f>
        <v>17635645.699999999</v>
      </c>
      <c r="G95" s="233">
        <f t="shared" ref="G95:G97" si="12">H95-F95</f>
        <v>0</v>
      </c>
      <c r="H95" s="233">
        <f>'Sch M 2.3'!Q669+'Sch M 2.3'!Q722</f>
        <v>17635645.699999999</v>
      </c>
      <c r="I95" s="229">
        <f t="shared" ref="I95:I97" si="13">IF(F95=0,0,ROUND(G95/F95,4))</f>
        <v>0</v>
      </c>
      <c r="J95" s="229"/>
    </row>
    <row r="96" spans="1:10" x14ac:dyDescent="0.2">
      <c r="A96" s="242">
        <f t="shared" ref="A96:A98" si="14">A95+1</f>
        <v>4</v>
      </c>
      <c r="B96" s="216"/>
      <c r="C96" s="216" t="str">
        <f>C21</f>
        <v>G1C</v>
      </c>
      <c r="D96" s="268"/>
      <c r="E96" s="362"/>
      <c r="F96" s="268">
        <f>'Sch M 2.2'!Q435</f>
        <v>0</v>
      </c>
      <c r="G96" s="233">
        <f t="shared" si="12"/>
        <v>0</v>
      </c>
      <c r="H96" s="233">
        <f>'Sch M 2.3'!Q433</f>
        <v>0</v>
      </c>
      <c r="I96" s="229">
        <f t="shared" si="13"/>
        <v>0</v>
      </c>
      <c r="J96" s="229"/>
    </row>
    <row r="97" spans="1:10" x14ac:dyDescent="0.2">
      <c r="A97" s="242">
        <f t="shared" si="14"/>
        <v>5</v>
      </c>
      <c r="B97" s="216"/>
      <c r="C97" s="216" t="str">
        <f>C22</f>
        <v>G1R</v>
      </c>
      <c r="D97" s="268"/>
      <c r="E97" s="362"/>
      <c r="F97" s="268">
        <f>'Sch M 2.2'!Q469</f>
        <v>1984.67</v>
      </c>
      <c r="G97" s="233">
        <f t="shared" si="12"/>
        <v>0</v>
      </c>
      <c r="H97" s="233">
        <f>'Sch M 2.3'!Q468</f>
        <v>1984.67</v>
      </c>
      <c r="I97" s="229">
        <f t="shared" si="13"/>
        <v>0</v>
      </c>
      <c r="J97" s="229"/>
    </row>
    <row r="98" spans="1:10" x14ac:dyDescent="0.2">
      <c r="A98" s="242">
        <f t="shared" si="14"/>
        <v>6</v>
      </c>
      <c r="B98" s="216"/>
      <c r="C98" s="216" t="s">
        <v>92</v>
      </c>
      <c r="D98" s="268"/>
      <c r="E98" s="362"/>
      <c r="F98" s="268">
        <f>'Sch M 2.2'!Q797</f>
        <v>49359.02</v>
      </c>
      <c r="G98" s="233">
        <f t="shared" ref="G98" si="15">H98-F98</f>
        <v>0</v>
      </c>
      <c r="H98" s="233">
        <f>'Sch M 2.3'!Q795</f>
        <v>49359.02</v>
      </c>
      <c r="I98" s="229">
        <f t="shared" ref="I98" si="16">IF(F98=0,0,ROUND(G98/F98,4))</f>
        <v>0</v>
      </c>
      <c r="J98" s="229"/>
    </row>
    <row r="99" spans="1:10" ht="10.5" thickBot="1" x14ac:dyDescent="0.25">
      <c r="A99" s="242">
        <f>A98+1</f>
        <v>7</v>
      </c>
      <c r="B99" s="216"/>
      <c r="C99" s="216" t="s">
        <v>439</v>
      </c>
      <c r="D99" s="486"/>
      <c r="E99" s="237"/>
      <c r="F99" s="705">
        <f>SUM(F94:F98)</f>
        <v>49521727.370000005</v>
      </c>
      <c r="G99" s="705">
        <f>SUM(G94:G98)</f>
        <v>0</v>
      </c>
      <c r="H99" s="705">
        <f>SUM(H94:H98)</f>
        <v>49521727.370000005</v>
      </c>
      <c r="I99" s="236">
        <f>ROUND(G99/F99,4)</f>
        <v>0</v>
      </c>
      <c r="J99" s="236"/>
    </row>
    <row r="100" spans="1:10" ht="10.5" thickTop="1" x14ac:dyDescent="0.2">
      <c r="A100" s="242"/>
      <c r="B100" s="216"/>
      <c r="C100" s="216"/>
      <c r="D100" s="486"/>
      <c r="E100" s="237"/>
      <c r="F100" s="237"/>
      <c r="G100" s="237"/>
      <c r="H100" s="229"/>
      <c r="I100" s="216"/>
      <c r="J100" s="216"/>
    </row>
    <row r="101" spans="1:10" ht="10.5" x14ac:dyDescent="0.25">
      <c r="A101" s="242">
        <f>A99+1</f>
        <v>8</v>
      </c>
      <c r="B101" s="216"/>
      <c r="C101" s="245" t="s">
        <v>578</v>
      </c>
      <c r="D101" s="267"/>
      <c r="E101" s="216"/>
      <c r="F101" s="216"/>
      <c r="G101" s="216"/>
      <c r="H101" s="216"/>
      <c r="I101" s="216"/>
      <c r="J101" s="216"/>
    </row>
    <row r="102" spans="1:10" x14ac:dyDescent="0.2">
      <c r="A102" s="242">
        <f>A101+1</f>
        <v>9</v>
      </c>
      <c r="B102" s="216"/>
      <c r="C102" s="216" t="str">
        <f>C13</f>
        <v>GSR/GTR Residential</v>
      </c>
      <c r="D102" s="268"/>
      <c r="E102" s="362"/>
      <c r="F102" s="365">
        <f>'Sch M 2.2'!Q417+'Sch M 2.2'!Q846</f>
        <v>444076.19999999995</v>
      </c>
      <c r="G102" s="228">
        <f>H102-F102</f>
        <v>0</v>
      </c>
      <c r="H102" s="228">
        <f>'Sch M 2.3'!Q415+'Sch M 2.3'!Q846</f>
        <v>444076.19999999995</v>
      </c>
      <c r="I102" s="229">
        <f t="shared" ref="I102" si="17">IF(F102=0,0,ROUND(G102/F102,4))</f>
        <v>0</v>
      </c>
      <c r="J102" s="229"/>
    </row>
    <row r="103" spans="1:10" ht="10.5" thickBot="1" x14ac:dyDescent="0.25">
      <c r="A103" s="242">
        <f>A102+1</f>
        <v>10</v>
      </c>
      <c r="B103" s="216"/>
      <c r="C103" s="216" t="s">
        <v>579</v>
      </c>
      <c r="D103" s="486"/>
      <c r="E103" s="237"/>
      <c r="F103" s="705">
        <f>SUM(F102:F102)</f>
        <v>444076.19999999995</v>
      </c>
      <c r="G103" s="235">
        <f>SUM(G102:G102)</f>
        <v>0</v>
      </c>
      <c r="H103" s="705">
        <f>SUM(H102:H102)</f>
        <v>444076.19999999995</v>
      </c>
      <c r="I103" s="229">
        <f t="shared" ref="I103" si="18">IF(F103=0,0,ROUND(G103/F103,4))</f>
        <v>0</v>
      </c>
      <c r="J103" s="236"/>
    </row>
    <row r="104" spans="1:10" ht="10.5" thickTop="1" x14ac:dyDescent="0.2">
      <c r="A104" s="242"/>
      <c r="B104" s="216"/>
      <c r="C104" s="216"/>
      <c r="D104" s="486"/>
      <c r="E104" s="237"/>
      <c r="F104" s="237"/>
      <c r="G104" s="237"/>
      <c r="H104" s="237"/>
      <c r="I104" s="229"/>
      <c r="J104" s="236"/>
    </row>
    <row r="105" spans="1:10" ht="10.5" x14ac:dyDescent="0.25">
      <c r="A105" s="242">
        <f>A103+1</f>
        <v>11</v>
      </c>
      <c r="B105" s="216"/>
      <c r="C105" s="245" t="s">
        <v>580</v>
      </c>
      <c r="D105" s="267"/>
      <c r="E105" s="216"/>
      <c r="F105" s="216"/>
      <c r="G105" s="216"/>
      <c r="H105" s="216"/>
      <c r="I105" s="216"/>
      <c r="J105" s="216"/>
    </row>
    <row r="106" spans="1:10" x14ac:dyDescent="0.2">
      <c r="A106" s="242">
        <f>A105+1</f>
        <v>12</v>
      </c>
      <c r="B106" s="216"/>
      <c r="C106" s="216" t="str">
        <f>+C13</f>
        <v>GSR/GTR Residential</v>
      </c>
      <c r="D106" s="268"/>
      <c r="E106" s="362"/>
      <c r="F106" s="365">
        <f>'Sch M 2.2'!Q416+'Sch M 2.2'!Q845</f>
        <v>119220.72</v>
      </c>
      <c r="G106" s="228">
        <f>H106-F106</f>
        <v>9.6799999882932752E-3</v>
      </c>
      <c r="H106" s="228">
        <f>'Sch M 2.3'!Q414+'Sch M 2.3'!Q845</f>
        <v>119220.72967999999</v>
      </c>
      <c r="I106" s="229">
        <f t="shared" ref="I106:I112" si="19">IF(F106=0,0,ROUND(G106/F106,4))</f>
        <v>0</v>
      </c>
      <c r="J106" s="229"/>
    </row>
    <row r="107" spans="1:10" x14ac:dyDescent="0.2">
      <c r="A107" s="242">
        <f t="shared" ref="A107:A113" si="20">A106+1</f>
        <v>13</v>
      </c>
      <c r="B107" s="216"/>
      <c r="C107" s="216" t="str">
        <f>+C58</f>
        <v>GSO/GTO/GDS</v>
      </c>
      <c r="D107" s="268"/>
      <c r="E107" s="362"/>
      <c r="F107" s="268">
        <f>'Sch M 2.2'!Q677+'Sch M 2.2'!Q729+'Sch M 2.2'!Q872+'Sch M 2.2'!Q918+'Sch M 2.2'!Q1037+'Sch M 2.2'!Q1066</f>
        <v>86244.79</v>
      </c>
      <c r="G107" s="228">
        <f t="shared" ref="G107:G112" si="21">H107-F107</f>
        <v>0</v>
      </c>
      <c r="H107" s="233">
        <f>'Sch M 2.3'!Q675+'Sch M 2.3'!Q728+'Sch M 2.3'!Q872+'Sch M 2.3'!Q917+'Sch M 2.3'!Q1035+'Sch M 2.3'!Q1064</f>
        <v>86244.79</v>
      </c>
      <c r="I107" s="229">
        <f t="shared" si="19"/>
        <v>0</v>
      </c>
      <c r="J107" s="229"/>
    </row>
    <row r="108" spans="1:10" x14ac:dyDescent="0.2">
      <c r="A108" s="242">
        <f t="shared" si="20"/>
        <v>14</v>
      </c>
      <c r="B108" s="216"/>
      <c r="C108" s="216" t="str">
        <f>+C59</f>
        <v>DS/SAS</v>
      </c>
      <c r="D108" s="268"/>
      <c r="E108" s="362"/>
      <c r="F108" s="365">
        <f>'Sch M 2.2'!Q963+'Sch M 2.2'!Q991+'Sch M 2.2'!Q1237</f>
        <v>125155.45999999999</v>
      </c>
      <c r="G108" s="228">
        <f t="shared" si="21"/>
        <v>0</v>
      </c>
      <c r="H108" s="233">
        <f>'Sch M 2.3'!Q961+'Sch M 2.3'!Q989+'Sch M 2.3'!Q1235</f>
        <v>125155.45999999999</v>
      </c>
      <c r="I108" s="229">
        <f t="shared" si="19"/>
        <v>0</v>
      </c>
      <c r="J108" s="229"/>
    </row>
    <row r="109" spans="1:10" x14ac:dyDescent="0.2">
      <c r="A109" s="242">
        <f t="shared" si="20"/>
        <v>15</v>
      </c>
      <c r="B109" s="216"/>
      <c r="C109" s="216" t="str">
        <f>+C71</f>
        <v>DS3</v>
      </c>
      <c r="D109" s="268"/>
      <c r="E109" s="362"/>
      <c r="F109" s="365">
        <f>'Sch M 2.2'!Q1102</f>
        <v>8670.24</v>
      </c>
      <c r="G109" s="228">
        <f t="shared" si="21"/>
        <v>0</v>
      </c>
      <c r="H109" s="233">
        <f>+'Sch M 2.3'!Q1099</f>
        <v>8670.24</v>
      </c>
      <c r="I109" s="229">
        <f t="shared" si="19"/>
        <v>0</v>
      </c>
      <c r="J109" s="229"/>
    </row>
    <row r="110" spans="1:10" x14ac:dyDescent="0.2">
      <c r="A110" s="242">
        <f t="shared" si="20"/>
        <v>16</v>
      </c>
      <c r="B110" s="216"/>
      <c r="C110" s="216" t="str">
        <f>+C61</f>
        <v>IUS</v>
      </c>
      <c r="D110" s="268"/>
      <c r="E110" s="362"/>
      <c r="F110" s="268">
        <f>'Sch M 2.2'!Q803</f>
        <v>162.01</v>
      </c>
      <c r="G110" s="228">
        <f t="shared" si="21"/>
        <v>0</v>
      </c>
      <c r="H110" s="233">
        <f>'Sch M 2.3'!Q801</f>
        <v>162.01</v>
      </c>
      <c r="I110" s="229">
        <f t="shared" si="19"/>
        <v>0</v>
      </c>
      <c r="J110" s="229"/>
    </row>
    <row r="111" spans="1:10" x14ac:dyDescent="0.2">
      <c r="A111" s="242">
        <f t="shared" si="20"/>
        <v>17</v>
      </c>
      <c r="B111" s="216"/>
      <c r="C111" s="216" t="str">
        <f>+C62</f>
        <v>IN3 Residential</v>
      </c>
      <c r="D111" s="268"/>
      <c r="E111" s="362"/>
      <c r="F111" s="268">
        <f>'Sch M 2.2'!Q483</f>
        <v>19.91</v>
      </c>
      <c r="G111" s="228">
        <f t="shared" si="21"/>
        <v>0</v>
      </c>
      <c r="H111" s="233">
        <f>+'Sch M 2.3'!Q482</f>
        <v>19.91</v>
      </c>
      <c r="I111" s="229">
        <f t="shared" si="19"/>
        <v>0</v>
      </c>
      <c r="J111" s="229"/>
    </row>
    <row r="112" spans="1:10" x14ac:dyDescent="0.2">
      <c r="A112" s="242">
        <f t="shared" si="20"/>
        <v>18</v>
      </c>
      <c r="B112" s="216"/>
      <c r="C112" s="216" t="str">
        <f>+C64</f>
        <v>IN5</v>
      </c>
      <c r="D112" s="268"/>
      <c r="E112" s="362"/>
      <c r="F112" s="268">
        <f>'Sch M 2.2'!Q534</f>
        <v>3.7800000000000002</v>
      </c>
      <c r="G112" s="228">
        <f t="shared" si="21"/>
        <v>0</v>
      </c>
      <c r="H112" s="233">
        <f>+'Sch M 2.3'!Q533</f>
        <v>3.7800000000000002</v>
      </c>
      <c r="I112" s="229">
        <f t="shared" si="19"/>
        <v>0</v>
      </c>
      <c r="J112" s="229"/>
    </row>
    <row r="113" spans="1:15" ht="10.5" thickBot="1" x14ac:dyDescent="0.25">
      <c r="A113" s="242">
        <f t="shared" si="20"/>
        <v>19</v>
      </c>
      <c r="B113" s="216"/>
      <c r="C113" s="216" t="s">
        <v>581</v>
      </c>
      <c r="D113" s="486"/>
      <c r="E113" s="237"/>
      <c r="F113" s="705">
        <f>SUM(F106:F112)</f>
        <v>339476.91</v>
      </c>
      <c r="G113" s="705">
        <f t="shared" ref="G113:H113" si="22">SUM(G106:G112)</f>
        <v>9.6799999882932752E-3</v>
      </c>
      <c r="H113" s="705">
        <f t="shared" si="22"/>
        <v>339476.91967999999</v>
      </c>
      <c r="I113" s="229">
        <f>IF(F113=0,0,ROUND(G113/F113,4))</f>
        <v>0</v>
      </c>
      <c r="J113" s="236"/>
      <c r="L113" s="280"/>
      <c r="M113" s="280"/>
      <c r="N113" s="280"/>
      <c r="O113" s="280"/>
    </row>
    <row r="114" spans="1:15" ht="10.5" thickTop="1" x14ac:dyDescent="0.2">
      <c r="A114" s="242"/>
      <c r="B114" s="216"/>
      <c r="C114" s="216"/>
      <c r="D114" s="486"/>
      <c r="E114" s="237"/>
      <c r="F114" s="237"/>
      <c r="G114" s="237"/>
      <c r="H114" s="237"/>
      <c r="I114" s="229"/>
      <c r="J114" s="236"/>
      <c r="L114" s="280"/>
      <c r="M114" s="758"/>
      <c r="N114" s="280"/>
      <c r="O114" s="280"/>
    </row>
    <row r="115" spans="1:15" ht="10.5" x14ac:dyDescent="0.25">
      <c r="A115" s="242">
        <f>+A113+1</f>
        <v>20</v>
      </c>
      <c r="B115" s="216"/>
      <c r="C115" s="245" t="s">
        <v>441</v>
      </c>
      <c r="D115" s="267"/>
      <c r="E115" s="216"/>
      <c r="F115" s="216"/>
      <c r="G115" s="216"/>
      <c r="H115" s="216"/>
      <c r="I115" s="216"/>
      <c r="J115" s="216"/>
      <c r="L115" s="280"/>
      <c r="M115" s="280"/>
      <c r="N115" s="280"/>
      <c r="O115" s="280"/>
    </row>
    <row r="116" spans="1:15" x14ac:dyDescent="0.2">
      <c r="A116" s="242">
        <f>A115+1</f>
        <v>21</v>
      </c>
      <c r="B116" s="216"/>
      <c r="C116" s="216" t="str">
        <f>C13</f>
        <v>GSR/GTR Residential</v>
      </c>
      <c r="D116" s="268"/>
      <c r="E116" s="362"/>
      <c r="F116" s="365">
        <f>'Sch M 2.2'!Q414+'Sch M 2.2'!Q844</f>
        <v>429273.66000000003</v>
      </c>
      <c r="G116" s="228">
        <f>H116-F116</f>
        <v>0</v>
      </c>
      <c r="H116" s="228">
        <f>'Sch M 2.3'!Q412+'Sch M 2.3'!Q844</f>
        <v>429273.66000000003</v>
      </c>
      <c r="I116" s="229">
        <f t="shared" ref="I116" si="23">IF(F116=0,0,ROUND(G116/F116,4))</f>
        <v>0</v>
      </c>
      <c r="J116" s="229"/>
      <c r="L116" s="280"/>
      <c r="M116" s="280"/>
      <c r="N116" s="280"/>
      <c r="O116" s="280"/>
    </row>
    <row r="117" spans="1:15" ht="10.5" thickBot="1" x14ac:dyDescent="0.25">
      <c r="A117" s="242">
        <f>A116+1</f>
        <v>22</v>
      </c>
      <c r="B117" s="216"/>
      <c r="C117" s="216" t="s">
        <v>440</v>
      </c>
      <c r="D117" s="486"/>
      <c r="E117" s="237"/>
      <c r="F117" s="705">
        <f>SUM(F116:F116)</f>
        <v>429273.66000000003</v>
      </c>
      <c r="G117" s="235">
        <f>SUM(G116:G116)</f>
        <v>0</v>
      </c>
      <c r="H117" s="705">
        <f>SUM(H116:H116)</f>
        <v>429273.66000000003</v>
      </c>
      <c r="I117" s="236">
        <f>ROUND(G117/F117,4)</f>
        <v>0</v>
      </c>
      <c r="J117" s="236"/>
      <c r="L117" s="280"/>
      <c r="M117" s="758"/>
      <c r="N117" s="758"/>
      <c r="O117" s="758"/>
    </row>
    <row r="118" spans="1:15" ht="10.5" thickTop="1" x14ac:dyDescent="0.2">
      <c r="A118" s="216"/>
      <c r="B118" s="216"/>
      <c r="C118" s="216"/>
      <c r="D118" s="486"/>
      <c r="E118" s="237"/>
      <c r="F118" s="237"/>
      <c r="G118" s="237"/>
      <c r="H118" s="229"/>
      <c r="I118" s="216"/>
      <c r="J118" s="216"/>
      <c r="L118" s="280"/>
      <c r="M118" s="280"/>
      <c r="N118" s="280"/>
      <c r="O118" s="280"/>
    </row>
    <row r="119" spans="1:15" ht="10.5" x14ac:dyDescent="0.25">
      <c r="A119" s="242">
        <f>A117+1</f>
        <v>23</v>
      </c>
      <c r="B119" s="216"/>
      <c r="C119" s="245" t="s">
        <v>448</v>
      </c>
      <c r="D119" s="267"/>
      <c r="E119" s="216"/>
      <c r="F119" s="216"/>
      <c r="G119" s="216"/>
      <c r="H119" s="216"/>
      <c r="I119" s="216"/>
      <c r="J119" s="216"/>
      <c r="L119" s="280"/>
      <c r="M119" s="280"/>
      <c r="N119" s="280"/>
      <c r="O119" s="280"/>
    </row>
    <row r="120" spans="1:15" x14ac:dyDescent="0.2">
      <c r="A120" s="242">
        <f>A119+1</f>
        <v>24</v>
      </c>
      <c r="B120" s="216"/>
      <c r="C120" s="216" t="str">
        <f>C57</f>
        <v>GSR/GTR Residential</v>
      </c>
      <c r="D120" s="268"/>
      <c r="E120" s="362"/>
      <c r="F120" s="268">
        <f>'Sch M 2.2'!Q415+'Sch M 2.1'!F19</f>
        <v>86353.639999999985</v>
      </c>
      <c r="G120" s="233">
        <f t="shared" ref="G120:G122" si="24">H120-F120</f>
        <v>-9.9999999947613105E-3</v>
      </c>
      <c r="H120" s="233">
        <f>'Sch M 2.3'!Q413</f>
        <v>86353.62999999999</v>
      </c>
      <c r="I120" s="229">
        <f t="shared" ref="I120:I122" si="25">IF(F120=0,0,ROUND(G120/F120,4))</f>
        <v>0</v>
      </c>
      <c r="J120" s="229"/>
      <c r="L120" s="280"/>
      <c r="M120" s="280"/>
      <c r="N120" s="280"/>
      <c r="O120" s="280"/>
    </row>
    <row r="121" spans="1:15" x14ac:dyDescent="0.2">
      <c r="A121" s="242">
        <f t="shared" ref="A121" si="26">A120+1</f>
        <v>25</v>
      </c>
      <c r="B121" s="216"/>
      <c r="C121" s="216" t="str">
        <f>C58</f>
        <v>GSO/GTO/GDS</v>
      </c>
      <c r="D121" s="268"/>
      <c r="E121" s="362"/>
      <c r="F121" s="268">
        <f>'Sch M 2.2'!Q676+'Sch M 2.2'!Q728+'Sch M 2.1'!F29+'Sch M 2.1'!F30</f>
        <v>47837.769999999968</v>
      </c>
      <c r="G121" s="233">
        <f t="shared" si="24"/>
        <v>-1.9999999960418791E-2</v>
      </c>
      <c r="H121" s="233">
        <f>'Sch M 2.3'!Q674+'Sch M 2.3'!Q727</f>
        <v>47837.750000000007</v>
      </c>
      <c r="I121" s="229">
        <f t="shared" si="25"/>
        <v>0</v>
      </c>
      <c r="J121" s="229"/>
      <c r="L121" s="280"/>
      <c r="M121" s="280"/>
      <c r="N121" s="280"/>
      <c r="O121" s="280"/>
    </row>
    <row r="122" spans="1:15" x14ac:dyDescent="0.2">
      <c r="A122" s="242">
        <f>A121+1</f>
        <v>26</v>
      </c>
      <c r="B122" s="216"/>
      <c r="C122" s="216" t="str">
        <f>C61</f>
        <v>IUS</v>
      </c>
      <c r="D122" s="268"/>
      <c r="E122" s="362"/>
      <c r="F122" s="268">
        <f>'Sch M 2.2'!Q802+'Sch M 2.1'!F32</f>
        <v>133.87</v>
      </c>
      <c r="G122" s="233">
        <f t="shared" si="24"/>
        <v>0</v>
      </c>
      <c r="H122" s="233">
        <f>'Sch M 2.3'!Q800</f>
        <v>133.87</v>
      </c>
      <c r="I122" s="229">
        <f t="shared" si="25"/>
        <v>0</v>
      </c>
      <c r="J122" s="229"/>
      <c r="L122" s="280"/>
      <c r="M122" s="280"/>
      <c r="N122" s="280"/>
      <c r="O122" s="280"/>
    </row>
    <row r="123" spans="1:15" ht="10.5" thickBot="1" x14ac:dyDescent="0.25">
      <c r="A123" s="242">
        <f>A122+1</f>
        <v>27</v>
      </c>
      <c r="B123" s="216"/>
      <c r="C123" s="216" t="s">
        <v>449</v>
      </c>
      <c r="D123" s="486"/>
      <c r="E123" s="237"/>
      <c r="F123" s="705">
        <f>SUM(F120:F122)</f>
        <v>134325.27999999994</v>
      </c>
      <c r="G123" s="705">
        <f>SUM(G120:G122)</f>
        <v>-2.9999999955180101E-2</v>
      </c>
      <c r="H123" s="705">
        <f>SUM(H120:H122)</f>
        <v>134325.25</v>
      </c>
      <c r="I123" s="236">
        <f>ROUND(G123/F123,4)</f>
        <v>0</v>
      </c>
      <c r="J123" s="236"/>
      <c r="L123" s="280"/>
      <c r="M123" s="280"/>
      <c r="N123" s="280"/>
      <c r="O123" s="280"/>
    </row>
    <row r="124" spans="1:15" ht="10.5" thickTop="1" x14ac:dyDescent="0.2">
      <c r="A124" s="216"/>
      <c r="B124" s="216"/>
      <c r="C124" s="216"/>
      <c r="D124" s="486"/>
      <c r="E124" s="237"/>
      <c r="F124" s="237"/>
      <c r="G124" s="237"/>
      <c r="H124" s="229"/>
      <c r="I124" s="216"/>
      <c r="J124" s="216"/>
      <c r="L124" s="280"/>
      <c r="M124" s="280"/>
      <c r="N124" s="280"/>
      <c r="O124" s="280"/>
    </row>
    <row r="125" spans="1:15" ht="10.5" x14ac:dyDescent="0.25">
      <c r="A125" s="800" t="str">
        <f>A1</f>
        <v>Columbia Gas of Kentucky, Inc.</v>
      </c>
      <c r="B125" s="800"/>
      <c r="C125" s="800"/>
      <c r="D125" s="800"/>
      <c r="E125" s="800"/>
      <c r="F125" s="800"/>
      <c r="G125" s="800"/>
      <c r="H125" s="800"/>
      <c r="I125" s="366"/>
      <c r="J125" s="214" t="str">
        <f>J1</f>
        <v>KLJ-RDES-1</v>
      </c>
      <c r="K125" s="214"/>
      <c r="L125" s="280"/>
      <c r="M125" s="280"/>
      <c r="N125" s="280"/>
      <c r="O125" s="280"/>
    </row>
    <row r="126" spans="1:15" ht="10.5" x14ac:dyDescent="0.25">
      <c r="A126" s="823" t="s">
        <v>368</v>
      </c>
      <c r="B126" s="823"/>
      <c r="C126" s="823"/>
      <c r="D126" s="823"/>
      <c r="E126" s="823"/>
      <c r="F126" s="823"/>
      <c r="G126" s="823"/>
      <c r="H126" s="823"/>
      <c r="I126" s="367"/>
      <c r="J126" s="214" t="s">
        <v>522</v>
      </c>
      <c r="K126" s="214"/>
      <c r="L126" s="280"/>
      <c r="M126" s="280"/>
      <c r="N126" s="280"/>
      <c r="O126" s="280"/>
    </row>
    <row r="127" spans="1:15" ht="10.5" x14ac:dyDescent="0.25">
      <c r="A127" s="800" t="str">
        <f>A!$A$3</f>
        <v>For the 12 Months Ended December 31, 2022</v>
      </c>
      <c r="B127" s="800"/>
      <c r="C127" s="800"/>
      <c r="D127" s="800"/>
      <c r="E127" s="800"/>
      <c r="F127" s="800"/>
      <c r="G127" s="800"/>
      <c r="H127" s="800"/>
      <c r="I127" s="366"/>
      <c r="J127" s="215" t="str">
        <f>J3</f>
        <v>Witness: K. L. Johnson</v>
      </c>
      <c r="L127" s="280"/>
      <c r="M127" s="280"/>
      <c r="N127" s="280"/>
      <c r="O127" s="280"/>
    </row>
    <row r="128" spans="1:15" x14ac:dyDescent="0.2">
      <c r="I128" s="216"/>
      <c r="J128" s="216"/>
      <c r="L128" s="280"/>
      <c r="M128" s="280"/>
      <c r="N128" s="280"/>
      <c r="O128" s="280"/>
    </row>
    <row r="129" spans="1:15" ht="10.5" x14ac:dyDescent="0.25">
      <c r="A129" s="218" t="s">
        <v>1</v>
      </c>
      <c r="B129" s="218"/>
      <c r="C129" s="217"/>
      <c r="D129" s="218"/>
      <c r="E129" s="218" t="s">
        <v>375</v>
      </c>
      <c r="F129" s="218"/>
      <c r="G129" s="218"/>
      <c r="H129" s="218"/>
      <c r="I129" s="366"/>
      <c r="J129" s="366"/>
      <c r="K129" s="218"/>
      <c r="L129" s="280"/>
      <c r="M129" s="280"/>
      <c r="N129" s="280"/>
      <c r="O129" s="280"/>
    </row>
    <row r="130" spans="1:15" ht="10.5" x14ac:dyDescent="0.25">
      <c r="A130" s="220" t="s">
        <v>3</v>
      </c>
      <c r="B130" s="220"/>
      <c r="C130" s="221" t="s">
        <v>4</v>
      </c>
      <c r="D130" s="220" t="s">
        <v>9</v>
      </c>
      <c r="E130" s="220" t="s">
        <v>442</v>
      </c>
      <c r="F130" s="220" t="s">
        <v>170</v>
      </c>
      <c r="G130" s="220" t="s">
        <v>437</v>
      </c>
      <c r="H130" s="220" t="s">
        <v>92</v>
      </c>
      <c r="I130" s="220" t="s">
        <v>450</v>
      </c>
      <c r="J130" s="241"/>
      <c r="K130" s="221"/>
      <c r="L130" s="280"/>
      <c r="M130" s="280"/>
      <c r="N130" s="280"/>
      <c r="O130" s="280"/>
    </row>
    <row r="131" spans="1:15" ht="10.5" x14ac:dyDescent="0.25">
      <c r="C131" s="217"/>
      <c r="D131" s="218" t="s">
        <v>6</v>
      </c>
      <c r="E131" s="218" t="s">
        <v>7</v>
      </c>
      <c r="F131" s="223" t="s">
        <v>21</v>
      </c>
      <c r="G131" s="223" t="s">
        <v>8</v>
      </c>
      <c r="H131" s="223" t="s">
        <v>355</v>
      </c>
      <c r="I131" s="370" t="s">
        <v>356</v>
      </c>
      <c r="J131" s="366"/>
      <c r="K131" s="218"/>
      <c r="L131" s="280"/>
      <c r="M131" s="795"/>
      <c r="N131" s="280"/>
      <c r="O131" s="280"/>
    </row>
    <row r="132" spans="1:15" ht="10.5" x14ac:dyDescent="0.25">
      <c r="C132" s="217"/>
      <c r="D132" s="218"/>
      <c r="E132" s="218"/>
      <c r="F132" s="223"/>
      <c r="G132" s="223"/>
      <c r="H132" s="223"/>
      <c r="I132" s="224"/>
      <c r="J132" s="366"/>
      <c r="K132" s="218"/>
      <c r="L132" s="280"/>
      <c r="M132" s="280"/>
      <c r="N132" s="280"/>
      <c r="O132" s="280"/>
    </row>
    <row r="133" spans="1:15" ht="10.5" x14ac:dyDescent="0.25">
      <c r="A133" s="225">
        <v>1</v>
      </c>
      <c r="C133" s="217" t="s">
        <v>376</v>
      </c>
      <c r="D133" s="218"/>
      <c r="E133" s="218"/>
      <c r="F133" s="223"/>
      <c r="G133" s="223"/>
      <c r="H133" s="223"/>
      <c r="I133" s="224"/>
      <c r="J133" s="366"/>
      <c r="K133" s="218"/>
      <c r="L133" s="280"/>
      <c r="M133" s="796"/>
      <c r="N133" s="280"/>
      <c r="O133" s="280"/>
    </row>
    <row r="134" spans="1:15" ht="10.5" x14ac:dyDescent="0.25">
      <c r="C134" s="245"/>
      <c r="D134" s="218"/>
      <c r="E134" s="218"/>
      <c r="F134" s="223"/>
      <c r="G134" s="223"/>
      <c r="H134" s="223"/>
      <c r="I134" s="224"/>
      <c r="J134" s="366"/>
      <c r="K134" s="218"/>
      <c r="L134" s="280"/>
      <c r="M134" s="796"/>
      <c r="N134" s="280"/>
      <c r="O134" s="280"/>
    </row>
    <row r="135" spans="1:15" ht="10.5" x14ac:dyDescent="0.25">
      <c r="A135" s="242">
        <f>A133+1</f>
        <v>2</v>
      </c>
      <c r="B135" s="216"/>
      <c r="C135" s="216" t="s">
        <v>566</v>
      </c>
      <c r="D135" s="243">
        <f>SUM(E135:K135)</f>
        <v>446223294.26999998</v>
      </c>
      <c r="E135" s="598">
        <v>302248642</v>
      </c>
      <c r="F135" s="598">
        <v>92297197</v>
      </c>
      <c r="G135" s="598">
        <v>50893363</v>
      </c>
      <c r="H135" s="598">
        <v>155791</v>
      </c>
      <c r="I135" s="598">
        <v>628301.27</v>
      </c>
      <c r="J135" s="366"/>
      <c r="K135" s="218"/>
      <c r="L135" s="280"/>
      <c r="M135" s="796"/>
      <c r="N135" s="280"/>
      <c r="O135" s="280"/>
    </row>
    <row r="136" spans="1:15" ht="10.5" x14ac:dyDescent="0.25">
      <c r="A136" s="242"/>
      <c r="B136" s="216"/>
      <c r="C136" s="216"/>
      <c r="D136" s="216"/>
      <c r="E136" s="366"/>
      <c r="F136" s="224"/>
      <c r="G136" s="224"/>
      <c r="H136" s="656"/>
      <c r="I136" s="656"/>
      <c r="J136" s="366"/>
      <c r="K136" s="218"/>
      <c r="L136" s="280"/>
      <c r="M136" s="796"/>
      <c r="N136" s="280"/>
      <c r="O136" s="280"/>
    </row>
    <row r="137" spans="1:15" ht="10.5" x14ac:dyDescent="0.25">
      <c r="A137" s="242">
        <f>A135+1</f>
        <v>3</v>
      </c>
      <c r="B137" s="216"/>
      <c r="C137" s="216" t="s">
        <v>489</v>
      </c>
      <c r="D137" s="244">
        <v>1</v>
      </c>
      <c r="E137" s="244">
        <v>0.34437000000000001</v>
      </c>
      <c r="F137" s="244">
        <v>3.2980100000000001</v>
      </c>
      <c r="G137" s="244">
        <v>0.46689000000000003</v>
      </c>
      <c r="H137" s="244">
        <v>2.1125799999999999</v>
      </c>
      <c r="I137" s="244">
        <v>21.307950000000002</v>
      </c>
      <c r="J137" s="366"/>
      <c r="K137" s="218"/>
      <c r="L137" s="280"/>
      <c r="M137" s="796"/>
      <c r="N137" s="280"/>
      <c r="O137" s="280"/>
    </row>
    <row r="138" spans="1:15" ht="10.5" x14ac:dyDescent="0.25">
      <c r="A138" s="242">
        <f>A137+1</f>
        <v>4</v>
      </c>
      <c r="B138" s="216"/>
      <c r="C138" s="245" t="s">
        <v>377</v>
      </c>
      <c r="D138" s="246">
        <v>1</v>
      </c>
      <c r="E138" s="246">
        <v>0.71909999999999996</v>
      </c>
      <c r="F138" s="246">
        <v>2.0901000000000001</v>
      </c>
      <c r="G138" s="246">
        <v>0.59499999999999997</v>
      </c>
      <c r="H138" s="246">
        <v>1.3930499999999999</v>
      </c>
      <c r="I138" s="246">
        <v>8.7018000000000004</v>
      </c>
      <c r="J138" s="366"/>
      <c r="K138" s="218"/>
      <c r="L138" s="280"/>
      <c r="M138" s="796"/>
      <c r="N138" s="280"/>
      <c r="O138" s="280"/>
    </row>
    <row r="139" spans="1:15" ht="10.5" x14ac:dyDescent="0.25">
      <c r="A139" s="242">
        <f>A138+1</f>
        <v>5</v>
      </c>
      <c r="B139" s="216"/>
      <c r="C139" s="245" t="s">
        <v>378</v>
      </c>
      <c r="D139" s="247">
        <f>D138-D137</f>
        <v>0</v>
      </c>
      <c r="E139" s="247">
        <f t="shared" ref="E139:G139" si="27">E138-E137</f>
        <v>0.37472999999999995</v>
      </c>
      <c r="F139" s="247">
        <f t="shared" si="27"/>
        <v>-1.20791</v>
      </c>
      <c r="G139" s="247">
        <f t="shared" si="27"/>
        <v>0.12810999999999995</v>
      </c>
      <c r="H139" s="247">
        <f>H138-H137</f>
        <v>-0.71953</v>
      </c>
      <c r="I139" s="247">
        <f>I138-I137</f>
        <v>-12.606150000000001</v>
      </c>
      <c r="J139" s="366"/>
      <c r="K139" s="218"/>
      <c r="L139" s="280"/>
      <c r="M139" s="280"/>
      <c r="N139" s="280"/>
      <c r="O139" s="280"/>
    </row>
    <row r="140" spans="1:15" ht="10.5" x14ac:dyDescent="0.25">
      <c r="A140" s="242"/>
      <c r="B140" s="216"/>
      <c r="C140" s="245"/>
      <c r="D140" s="248"/>
      <c r="E140" s="248"/>
      <c r="F140" s="248"/>
      <c r="G140" s="248"/>
      <c r="H140" s="248"/>
      <c r="I140" s="656"/>
      <c r="J140" s="366"/>
      <c r="K140" s="218"/>
      <c r="L140" s="280"/>
      <c r="M140" s="280"/>
      <c r="N140" s="280"/>
      <c r="O140" s="280"/>
    </row>
    <row r="141" spans="1:15" ht="10.5" x14ac:dyDescent="0.25">
      <c r="A141" s="242">
        <f>A139+1</f>
        <v>6</v>
      </c>
      <c r="B141" s="216"/>
      <c r="C141" s="216" t="s">
        <v>379</v>
      </c>
      <c r="D141" s="249">
        <v>7.4800000000000005E-2</v>
      </c>
      <c r="E141" s="250">
        <f>ROUND(E138*$D141,9)</f>
        <v>5.3788679999999998E-2</v>
      </c>
      <c r="F141" s="250">
        <f t="shared" ref="F141:H141" si="28">ROUND(F138*$D141,9)</f>
        <v>0.15633948</v>
      </c>
      <c r="G141" s="250">
        <f t="shared" si="28"/>
        <v>4.4505999999999997E-2</v>
      </c>
      <c r="H141" s="250">
        <f t="shared" si="28"/>
        <v>0.10420014</v>
      </c>
      <c r="I141" s="250">
        <f t="shared" ref="I141" si="29">ROUND(I138*$D141,9)</f>
        <v>0.65089463999999997</v>
      </c>
      <c r="J141" s="366"/>
      <c r="K141" s="218"/>
      <c r="L141" s="280"/>
      <c r="M141" s="280"/>
      <c r="N141" s="280"/>
      <c r="O141" s="280"/>
    </row>
    <row r="142" spans="1:15" ht="10.5" x14ac:dyDescent="0.25">
      <c r="A142" s="242">
        <f t="shared" ref="A142:A147" si="30">A141+1</f>
        <v>7</v>
      </c>
      <c r="B142" s="216"/>
      <c r="C142" s="216" t="str">
        <f>"Net Operating Income @ Requested Return (Line "&amp;A135&amp;" x Line "&amp;A141&amp;")"</f>
        <v>Net Operating Income @ Requested Return (Line 2 x Line 6)</v>
      </c>
      <c r="D142" s="243">
        <f>ROUND(D135*D141,0)</f>
        <v>33377502</v>
      </c>
      <c r="E142" s="243">
        <f>ROUND(E135*E141,0)</f>
        <v>16257555</v>
      </c>
      <c r="F142" s="243">
        <f t="shared" ref="F142:G142" si="31">ROUND(F135*F141,0)</f>
        <v>14429696</v>
      </c>
      <c r="G142" s="243">
        <f t="shared" si="31"/>
        <v>2265060</v>
      </c>
      <c r="H142" s="243">
        <f>ROUND(H135*H141,0)</f>
        <v>16233</v>
      </c>
      <c r="I142" s="243">
        <f>ROUND(I135*I141,0)</f>
        <v>408958</v>
      </c>
      <c r="J142" s="366"/>
      <c r="K142" s="218"/>
      <c r="L142" s="280"/>
      <c r="M142" s="758"/>
      <c r="N142" s="280"/>
      <c r="O142" s="280"/>
    </row>
    <row r="143" spans="1:15" ht="10.5" x14ac:dyDescent="0.25">
      <c r="A143" s="242">
        <f t="shared" si="30"/>
        <v>8</v>
      </c>
      <c r="B143" s="216"/>
      <c r="C143" s="216" t="s">
        <v>490</v>
      </c>
      <c r="D143" s="251">
        <f>SUM(E143:I143)</f>
        <v>13468742.294203062</v>
      </c>
      <c r="E143" s="599">
        <v>3139206.8891274929</v>
      </c>
      <c r="F143" s="599">
        <v>9197315.1145328283</v>
      </c>
      <c r="G143" s="599">
        <v>717980.80497785751</v>
      </c>
      <c r="H143" s="599">
        <v>9938.5335431833228</v>
      </c>
      <c r="I143" s="599">
        <v>404300.95202170138</v>
      </c>
      <c r="J143" s="366"/>
      <c r="K143" s="218"/>
      <c r="L143" s="280"/>
      <c r="M143" s="280"/>
      <c r="N143" s="280"/>
      <c r="O143" s="280"/>
    </row>
    <row r="144" spans="1:15" ht="10.5" x14ac:dyDescent="0.25">
      <c r="A144" s="242">
        <f t="shared" si="30"/>
        <v>9</v>
      </c>
      <c r="B144" s="216"/>
      <c r="C144" s="216" t="str">
        <f>"Income Deficiency (Line "&amp;A142&amp;" - Line "&amp;A143&amp;")"</f>
        <v>Income Deficiency (Line 7 - Line 8)</v>
      </c>
      <c r="D144" s="243">
        <f>D142-D143</f>
        <v>19908759.705796938</v>
      </c>
      <c r="E144" s="243">
        <f t="shared" ref="E144:G144" si="32">E142-E143</f>
        <v>13118348.110872507</v>
      </c>
      <c r="F144" s="243">
        <f t="shared" si="32"/>
        <v>5232380.8854671717</v>
      </c>
      <c r="G144" s="243">
        <f t="shared" si="32"/>
        <v>1547079.1950221425</v>
      </c>
      <c r="H144" s="243">
        <f>H142-H143</f>
        <v>6294.4664568166772</v>
      </c>
      <c r="I144" s="243">
        <f>I142-I143</f>
        <v>4657.0479782986222</v>
      </c>
      <c r="J144" s="366"/>
      <c r="K144" s="218"/>
      <c r="L144" s="280"/>
      <c r="M144" s="280"/>
      <c r="N144" s="280"/>
      <c r="O144" s="280"/>
    </row>
    <row r="145" spans="1:51" ht="10.5" x14ac:dyDescent="0.25">
      <c r="A145" s="242">
        <f t="shared" si="30"/>
        <v>10</v>
      </c>
      <c r="B145" s="216"/>
      <c r="C145" s="216" t="s">
        <v>380</v>
      </c>
      <c r="D145" s="600">
        <v>1.3408659999999999</v>
      </c>
      <c r="E145" s="252">
        <f t="shared" ref="E145:I145" si="33">$D145</f>
        <v>1.3408659999999999</v>
      </c>
      <c r="F145" s="252">
        <f t="shared" si="33"/>
        <v>1.3408659999999999</v>
      </c>
      <c r="G145" s="252">
        <f t="shared" si="33"/>
        <v>1.3408659999999999</v>
      </c>
      <c r="H145" s="252">
        <f t="shared" si="33"/>
        <v>1.3408659999999999</v>
      </c>
      <c r="I145" s="252">
        <f t="shared" si="33"/>
        <v>1.3408659999999999</v>
      </c>
      <c r="J145" s="366"/>
      <c r="K145" s="218"/>
      <c r="L145" s="280"/>
      <c r="M145" s="535"/>
      <c r="N145" s="280"/>
      <c r="O145" s="280"/>
    </row>
    <row r="146" spans="1:51" ht="10.5" x14ac:dyDescent="0.25">
      <c r="A146" s="242">
        <f t="shared" si="30"/>
        <v>11</v>
      </c>
      <c r="B146" s="216"/>
      <c r="C146" s="245" t="s">
        <v>491</v>
      </c>
      <c r="D146" s="253">
        <f>SUM(E146:I146)</f>
        <v>26694979</v>
      </c>
      <c r="E146" s="253">
        <f>ROUND(E144*E145,0)</f>
        <v>17589947</v>
      </c>
      <c r="F146" s="253">
        <f>ROUND(F144*F145,0)</f>
        <v>7015922</v>
      </c>
      <c r="G146" s="253">
        <f t="shared" ref="G146" si="34">ROUND(G144*G145,0)</f>
        <v>2074426</v>
      </c>
      <c r="H146" s="253">
        <f>ROUND(H144*H145,0)</f>
        <v>8440</v>
      </c>
      <c r="I146" s="253">
        <f>ROUND(I144*I145,0)</f>
        <v>6244</v>
      </c>
      <c r="J146" s="366"/>
      <c r="K146" s="218"/>
      <c r="L146" s="280"/>
      <c r="M146" s="280"/>
      <c r="N146" s="280"/>
      <c r="O146" s="280"/>
    </row>
    <row r="147" spans="1:51" ht="10.5" x14ac:dyDescent="0.25">
      <c r="A147" s="242">
        <f t="shared" si="30"/>
        <v>12</v>
      </c>
      <c r="B147" s="216"/>
      <c r="C147" s="245" t="s">
        <v>381</v>
      </c>
      <c r="D147" s="254">
        <f>SUM(E147:K147)</f>
        <v>1</v>
      </c>
      <c r="E147" s="254">
        <f>1-SUM(F147:I147)</f>
        <v>0.65880000000000005</v>
      </c>
      <c r="F147" s="254">
        <f>ROUND(F146/D146,5)</f>
        <v>0.26282</v>
      </c>
      <c r="G147" s="254">
        <f>ROUND(G146/D146,5)</f>
        <v>7.7710000000000001E-2</v>
      </c>
      <c r="H147" s="254">
        <f>ROUND(H146/D146,5)</f>
        <v>3.2000000000000003E-4</v>
      </c>
      <c r="I147" s="254">
        <f>ROUND(I146/E146,5)</f>
        <v>3.5E-4</v>
      </c>
      <c r="J147" s="366"/>
      <c r="K147" s="218"/>
      <c r="L147" s="280"/>
      <c r="M147" s="758"/>
      <c r="N147" s="280"/>
      <c r="O147" s="280"/>
    </row>
    <row r="148" spans="1:51" ht="10.5" x14ac:dyDescent="0.25">
      <c r="A148" s="242"/>
      <c r="B148" s="216"/>
      <c r="C148" s="216"/>
      <c r="D148" s="255"/>
      <c r="E148" s="255"/>
      <c r="F148" s="255"/>
      <c r="G148" s="255"/>
      <c r="H148" s="255"/>
      <c r="I148" s="224"/>
      <c r="J148" s="366"/>
      <c r="K148" s="218"/>
      <c r="L148" s="280"/>
      <c r="M148" s="280"/>
      <c r="N148" s="280"/>
      <c r="O148" s="280"/>
    </row>
    <row r="149" spans="1:51" ht="10.5" x14ac:dyDescent="0.25">
      <c r="A149" s="242">
        <f>A147+1</f>
        <v>13</v>
      </c>
      <c r="B149" s="216" t="s">
        <v>389</v>
      </c>
      <c r="C149" s="216" t="s">
        <v>492</v>
      </c>
      <c r="D149" s="604">
        <f>SUM(E149:I149)</f>
        <v>134325.27999999994</v>
      </c>
      <c r="E149" s="604">
        <f>F120</f>
        <v>86353.639999999985</v>
      </c>
      <c r="F149" s="604">
        <f>F121</f>
        <v>47837.769999999968</v>
      </c>
      <c r="G149" s="605">
        <v>0</v>
      </c>
      <c r="H149" s="604">
        <f>F122</f>
        <v>133.87</v>
      </c>
      <c r="I149" s="605">
        <v>0</v>
      </c>
      <c r="J149" s="615"/>
      <c r="K149" s="617"/>
      <c r="L149" s="280"/>
      <c r="M149" s="280"/>
      <c r="N149" s="280"/>
      <c r="O149" s="280"/>
    </row>
    <row r="150" spans="1:51" ht="10.5" x14ac:dyDescent="0.25">
      <c r="A150" s="242">
        <f t="shared" ref="A150" si="35">A149+1</f>
        <v>14</v>
      </c>
      <c r="B150" s="216" t="s">
        <v>493</v>
      </c>
      <c r="C150" s="216" t="s">
        <v>494</v>
      </c>
      <c r="D150" s="604">
        <f>SUM(E150:I150)</f>
        <v>134325.25</v>
      </c>
      <c r="E150" s="604">
        <f>H120</f>
        <v>86353.62999999999</v>
      </c>
      <c r="F150" s="604">
        <f>H121</f>
        <v>47837.750000000007</v>
      </c>
      <c r="G150" s="605">
        <v>0</v>
      </c>
      <c r="H150" s="604">
        <f>H122</f>
        <v>133.87</v>
      </c>
      <c r="I150" s="605">
        <v>0</v>
      </c>
      <c r="J150" s="615"/>
      <c r="K150" s="617"/>
      <c r="L150" s="280"/>
      <c r="M150" s="280"/>
      <c r="N150" s="280"/>
      <c r="O150" s="280"/>
    </row>
    <row r="151" spans="1:51" s="279" customFormat="1" ht="10.5" x14ac:dyDescent="0.25">
      <c r="A151" s="242">
        <f t="shared" ref="A151:A152" si="36">A150+1</f>
        <v>15</v>
      </c>
      <c r="B151" s="280" t="s">
        <v>135</v>
      </c>
      <c r="C151" s="280" t="s">
        <v>567</v>
      </c>
      <c r="D151" s="660">
        <v>70560</v>
      </c>
      <c r="E151" s="619">
        <f>D151-SUM(F151:I151)</f>
        <v>62944</v>
      </c>
      <c r="F151" s="619">
        <f>ROUND((D14+D21+D24)/D42*D151,0)</f>
        <v>7577</v>
      </c>
      <c r="G151" s="619">
        <f>ROUND((D15+D16+D28+D29+D31+D32)/D42*D151,0)</f>
        <v>35</v>
      </c>
      <c r="H151" s="619">
        <f>ROUND(D17/D42*D151,0)</f>
        <v>1</v>
      </c>
      <c r="I151" s="619">
        <f>ROUND((D27+D30)/D42*D151,0)</f>
        <v>3</v>
      </c>
      <c r="J151" s="219"/>
      <c r="K151" s="616"/>
    </row>
    <row r="152" spans="1:51" s="607" customFormat="1" ht="10.5" x14ac:dyDescent="0.25">
      <c r="A152" s="242">
        <f t="shared" si="36"/>
        <v>16</v>
      </c>
      <c r="B152" s="280"/>
      <c r="C152" s="620" t="s">
        <v>382</v>
      </c>
      <c r="D152" s="621">
        <f>D146-D151+D149-D150</f>
        <v>26624419.030000001</v>
      </c>
      <c r="E152" s="621">
        <f>E146-E151+E149-E150</f>
        <v>17527003.010000002</v>
      </c>
      <c r="F152" s="621">
        <f t="shared" ref="F152:I152" si="37">F146-F151+F149-F150</f>
        <v>7008345.0199999996</v>
      </c>
      <c r="G152" s="621">
        <f>G146-G151+G149-G150</f>
        <v>2074391</v>
      </c>
      <c r="H152" s="621">
        <f t="shared" si="37"/>
        <v>8439</v>
      </c>
      <c r="I152" s="621">
        <f t="shared" si="37"/>
        <v>6241</v>
      </c>
      <c r="J152" s="280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279"/>
      <c r="AS152" s="279"/>
      <c r="AT152" s="279"/>
      <c r="AU152" s="279"/>
      <c r="AV152" s="279"/>
      <c r="AW152" s="279"/>
      <c r="AX152" s="279"/>
      <c r="AY152" s="279"/>
    </row>
    <row r="153" spans="1:51" ht="10.5" x14ac:dyDescent="0.25">
      <c r="A153" s="242">
        <f>A152+1</f>
        <v>17</v>
      </c>
      <c r="B153" s="280"/>
      <c r="C153" s="620" t="s">
        <v>381</v>
      </c>
      <c r="D153" s="622">
        <f>SUM(E153:I153)</f>
        <v>1</v>
      </c>
      <c r="E153" s="623">
        <f>1-SUM(F153:I153)</f>
        <v>0.658180030095188</v>
      </c>
      <c r="F153" s="623">
        <f>ROUND(F152/D152,54)</f>
        <v>0.26322996990481201</v>
      </c>
      <c r="G153" s="623">
        <f>ROUND(G152/D152,5)</f>
        <v>7.7909999999999993E-2</v>
      </c>
      <c r="H153" s="623">
        <f>ROUND(H152/D152,5)</f>
        <v>3.2000000000000003E-4</v>
      </c>
      <c r="I153" s="623">
        <f>ROUND(I152/E152,5)</f>
        <v>3.6000000000000002E-4</v>
      </c>
      <c r="J153" s="280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9"/>
      <c r="AD153" s="279"/>
      <c r="AE153" s="279"/>
      <c r="AF153" s="279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279"/>
      <c r="AS153" s="279"/>
      <c r="AT153" s="279"/>
      <c r="AU153" s="279"/>
      <c r="AV153" s="279"/>
      <c r="AW153" s="279"/>
      <c r="AX153" s="279"/>
      <c r="AY153" s="279"/>
    </row>
    <row r="154" spans="1:51" ht="10.5" x14ac:dyDescent="0.25">
      <c r="A154" s="242"/>
      <c r="B154" s="280"/>
      <c r="C154" s="620"/>
      <c r="D154" s="624"/>
      <c r="E154" s="623"/>
      <c r="F154" s="623"/>
      <c r="G154" s="623"/>
      <c r="H154" s="623"/>
      <c r="I154" s="623"/>
      <c r="J154" s="280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279"/>
      <c r="AS154" s="279"/>
      <c r="AT154" s="279"/>
      <c r="AU154" s="279"/>
      <c r="AV154" s="279"/>
      <c r="AW154" s="279"/>
      <c r="AX154" s="279"/>
      <c r="AY154" s="279"/>
    </row>
    <row r="155" spans="1:51" ht="10.5" x14ac:dyDescent="0.25">
      <c r="A155" s="242">
        <f>A153+1</f>
        <v>18</v>
      </c>
      <c r="B155" s="216"/>
      <c r="C155" s="256" t="s">
        <v>383</v>
      </c>
      <c r="D155" s="259">
        <f>SUM(E155:I155)</f>
        <v>95268428.590000018</v>
      </c>
      <c r="E155" s="260">
        <f>F57+F66+F62+F63+F64+F67+F69+F70</f>
        <v>60691159.530000009</v>
      </c>
      <c r="F155" s="260">
        <f>F58+F65+F68</f>
        <v>26643511.299999997</v>
      </c>
      <c r="G155" s="260">
        <f>F60+F59+F72+F73+F76+F75</f>
        <v>7257538.0300000003</v>
      </c>
      <c r="H155" s="260">
        <f>F61</f>
        <v>30288.049999999996</v>
      </c>
      <c r="I155" s="260">
        <f>F71+F74</f>
        <v>645931.68000000005</v>
      </c>
      <c r="J155" s="216"/>
    </row>
    <row r="156" spans="1:51" ht="10.5" x14ac:dyDescent="0.25">
      <c r="A156" s="242">
        <f>A155+1</f>
        <v>19</v>
      </c>
      <c r="B156" s="216"/>
      <c r="C156" s="256" t="s">
        <v>384</v>
      </c>
      <c r="D156" s="257">
        <f>SUM(E156:I156)</f>
        <v>1</v>
      </c>
      <c r="E156" s="254">
        <f>1-SUM(F156:I156)</f>
        <v>0.63705000000000001</v>
      </c>
      <c r="F156" s="254">
        <f>ROUND(F155/$D$155,5)</f>
        <v>0.27966999999999997</v>
      </c>
      <c r="G156" s="254">
        <f>ROUND(G155/$D$155,5)</f>
        <v>7.6179999999999998E-2</v>
      </c>
      <c r="H156" s="254">
        <f>ROUND(H155/$D$155,5)</f>
        <v>3.2000000000000003E-4</v>
      </c>
      <c r="I156" s="254">
        <f>ROUND(I155/$D$155,5)</f>
        <v>6.7799999999999996E-3</v>
      </c>
      <c r="J156" s="216"/>
    </row>
    <row r="157" spans="1:51" ht="10.5" x14ac:dyDescent="0.25">
      <c r="A157" s="242"/>
      <c r="B157" s="216"/>
      <c r="C157" s="256"/>
      <c r="D157" s="258"/>
      <c r="E157" s="254"/>
      <c r="F157" s="254"/>
      <c r="G157" s="254"/>
      <c r="H157" s="254"/>
      <c r="I157" s="254"/>
      <c r="J157" s="216"/>
    </row>
    <row r="158" spans="1:51" ht="10.5" x14ac:dyDescent="0.25">
      <c r="A158" s="242">
        <f>A156+1</f>
        <v>20</v>
      </c>
      <c r="B158" s="216"/>
      <c r="C158" s="256" t="s">
        <v>385</v>
      </c>
      <c r="D158" s="259">
        <f>SUM(E158:I158)</f>
        <v>121892847.62</v>
      </c>
      <c r="E158" s="260">
        <f>E155+E152</f>
        <v>78218162.540000007</v>
      </c>
      <c r="F158" s="260">
        <f t="shared" ref="F158:H158" si="38">F155+F152</f>
        <v>33651856.319999993</v>
      </c>
      <c r="G158" s="260">
        <f>G155+G152</f>
        <v>9331929.0300000012</v>
      </c>
      <c r="H158" s="260">
        <f t="shared" si="38"/>
        <v>38727.049999999996</v>
      </c>
      <c r="I158" s="260">
        <f t="shared" ref="I158" si="39">I155+I152</f>
        <v>652172.68000000005</v>
      </c>
      <c r="J158" s="216"/>
    </row>
    <row r="159" spans="1:51" ht="10.5" x14ac:dyDescent="0.25">
      <c r="A159" s="242">
        <f>A158+1</f>
        <v>21</v>
      </c>
      <c r="B159" s="216"/>
      <c r="C159" s="256" t="s">
        <v>386</v>
      </c>
      <c r="D159" s="257">
        <f>SUM(E159:I159)</f>
        <v>0.99999999999999989</v>
      </c>
      <c r="E159" s="254">
        <f>1-SUM(F159:I159)</f>
        <v>0.64168999999999998</v>
      </c>
      <c r="F159" s="254">
        <f>ROUND(F158/$D$158,5)</f>
        <v>0.27607999999999999</v>
      </c>
      <c r="G159" s="254">
        <f>ROUND(G158/$D$158,5)</f>
        <v>7.6560000000000003E-2</v>
      </c>
      <c r="H159" s="254">
        <f>ROUND(H158/$D$158,5)</f>
        <v>3.2000000000000003E-4</v>
      </c>
      <c r="I159" s="254">
        <f>ROUND(I158/$D$158,5)</f>
        <v>5.3499999999999997E-3</v>
      </c>
      <c r="J159" s="216"/>
    </row>
    <row r="160" spans="1:51" x14ac:dyDescent="0.2">
      <c r="A160" s="216"/>
      <c r="B160" s="216"/>
      <c r="C160" s="228"/>
      <c r="D160" s="261"/>
      <c r="E160" s="262"/>
      <c r="F160" s="262"/>
      <c r="G160" s="262"/>
      <c r="H160" s="262"/>
      <c r="I160" s="216"/>
      <c r="J160" s="216"/>
    </row>
    <row r="161" spans="1:11" ht="10.5" x14ac:dyDescent="0.25">
      <c r="A161" s="800" t="str">
        <f>A1</f>
        <v>Columbia Gas of Kentucky, Inc.</v>
      </c>
      <c r="B161" s="800"/>
      <c r="C161" s="800"/>
      <c r="D161" s="800"/>
      <c r="E161" s="800"/>
      <c r="F161" s="800"/>
      <c r="G161" s="800"/>
      <c r="H161" s="800"/>
      <c r="I161" s="366"/>
      <c r="J161" s="214" t="str">
        <f>J1</f>
        <v>KLJ-RDES-1</v>
      </c>
    </row>
    <row r="162" spans="1:11" ht="10.5" x14ac:dyDescent="0.25">
      <c r="A162" s="823" t="s">
        <v>368</v>
      </c>
      <c r="B162" s="823"/>
      <c r="C162" s="823"/>
      <c r="D162" s="823"/>
      <c r="E162" s="823"/>
      <c r="F162" s="823"/>
      <c r="G162" s="823"/>
      <c r="H162" s="823"/>
      <c r="I162" s="367"/>
      <c r="J162" s="214" t="s">
        <v>523</v>
      </c>
    </row>
    <row r="163" spans="1:11" ht="10.5" x14ac:dyDescent="0.25">
      <c r="A163" s="800" t="str">
        <f>A!$A$3</f>
        <v>For the 12 Months Ended December 31, 2022</v>
      </c>
      <c r="B163" s="800"/>
      <c r="C163" s="800"/>
      <c r="D163" s="800"/>
      <c r="E163" s="800"/>
      <c r="F163" s="800"/>
      <c r="G163" s="800"/>
      <c r="H163" s="800"/>
      <c r="I163" s="366"/>
      <c r="J163" s="215" t="str">
        <f>J3</f>
        <v>Witness: K. L. Johnson</v>
      </c>
    </row>
    <row r="164" spans="1:11" x14ac:dyDescent="0.2">
      <c r="A164" s="216"/>
      <c r="B164" s="216"/>
      <c r="C164" s="216"/>
      <c r="D164" s="216"/>
      <c r="E164" s="216"/>
      <c r="F164" s="216"/>
      <c r="G164" s="216"/>
      <c r="H164" s="216"/>
      <c r="I164" s="216"/>
      <c r="J164" s="216"/>
    </row>
    <row r="165" spans="1:11" ht="10.5" x14ac:dyDescent="0.25">
      <c r="A165" s="216"/>
      <c r="B165" s="216"/>
      <c r="C165" s="216"/>
      <c r="D165" s="216"/>
      <c r="E165" s="216"/>
      <c r="F165" s="366" t="s">
        <v>30</v>
      </c>
      <c r="G165" s="366" t="s">
        <v>30</v>
      </c>
      <c r="H165" s="366" t="s">
        <v>146</v>
      </c>
      <c r="I165" s="366" t="s">
        <v>47</v>
      </c>
      <c r="J165" s="366" t="s">
        <v>30</v>
      </c>
      <c r="K165" s="218"/>
    </row>
    <row r="166" spans="1:11" ht="10.5" x14ac:dyDescent="0.25">
      <c r="A166" s="216"/>
      <c r="B166" s="216"/>
      <c r="C166" s="216"/>
      <c r="D166" s="263" t="s">
        <v>25</v>
      </c>
      <c r="E166" s="263" t="s">
        <v>387</v>
      </c>
      <c r="F166" s="263" t="s">
        <v>0</v>
      </c>
      <c r="G166" s="263" t="s">
        <v>20</v>
      </c>
      <c r="H166" s="263" t="s">
        <v>20</v>
      </c>
      <c r="I166" s="263" t="s">
        <v>0</v>
      </c>
      <c r="J166" s="222" t="s">
        <v>147</v>
      </c>
      <c r="K166" s="264"/>
    </row>
    <row r="167" spans="1:11" x14ac:dyDescent="0.2">
      <c r="A167" s="216"/>
      <c r="B167" s="216"/>
      <c r="C167" s="216"/>
      <c r="D167" s="216"/>
      <c r="E167" s="216"/>
      <c r="F167" s="265" t="s">
        <v>60</v>
      </c>
      <c r="G167" s="265" t="s">
        <v>60</v>
      </c>
      <c r="H167" s="265" t="s">
        <v>60</v>
      </c>
      <c r="I167" s="265" t="s">
        <v>60</v>
      </c>
      <c r="J167" s="265" t="s">
        <v>60</v>
      </c>
      <c r="K167" s="265"/>
    </row>
    <row r="168" spans="1:11" ht="10.5" x14ac:dyDescent="0.25">
      <c r="A168" s="242">
        <v>1</v>
      </c>
      <c r="B168" s="216"/>
      <c r="C168" s="266" t="s">
        <v>157</v>
      </c>
      <c r="D168" s="216"/>
      <c r="E168" s="216"/>
      <c r="F168" s="216"/>
      <c r="G168" s="216"/>
      <c r="H168" s="216"/>
      <c r="I168" s="216"/>
      <c r="J168" s="216"/>
      <c r="K168" s="216"/>
    </row>
    <row r="169" spans="1:11" x14ac:dyDescent="0.2">
      <c r="A169" s="242"/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</row>
    <row r="170" spans="1:11" x14ac:dyDescent="0.2">
      <c r="A170" s="242">
        <f>A168+1</f>
        <v>2</v>
      </c>
      <c r="B170" s="216"/>
      <c r="C170" s="216" t="s">
        <v>388</v>
      </c>
      <c r="D170" s="216"/>
      <c r="E170" s="267"/>
      <c r="F170" s="267"/>
      <c r="G170" s="267">
        <f>F13+F22+F18+F19+F20+F23+F25+F26</f>
        <v>93606830.090000004</v>
      </c>
      <c r="H170" s="267"/>
      <c r="I170" s="216"/>
      <c r="J170" s="267"/>
      <c r="K170" s="267"/>
    </row>
    <row r="171" spans="1:11" x14ac:dyDescent="0.2">
      <c r="A171" s="242">
        <f>A170+1</f>
        <v>3</v>
      </c>
      <c r="B171" s="216" t="s">
        <v>135</v>
      </c>
      <c r="C171" s="216" t="s">
        <v>148</v>
      </c>
      <c r="D171" s="216"/>
      <c r="E171" s="267"/>
      <c r="F171" s="267"/>
      <c r="G171" s="268">
        <f>F94+F97</f>
        <v>31836722.650000002</v>
      </c>
      <c r="H171" s="267"/>
      <c r="I171" s="216"/>
      <c r="J171" s="267"/>
      <c r="K171" s="267"/>
    </row>
    <row r="172" spans="1:11" x14ac:dyDescent="0.2">
      <c r="A172" s="242">
        <f>A171+1</f>
        <v>4</v>
      </c>
      <c r="B172" s="216" t="s">
        <v>135</v>
      </c>
      <c r="C172" s="216" t="s">
        <v>448</v>
      </c>
      <c r="D172" s="216"/>
      <c r="E172" s="267"/>
      <c r="F172" s="267"/>
      <c r="G172" s="268">
        <f>F120</f>
        <v>86353.639999999985</v>
      </c>
      <c r="H172" s="267"/>
      <c r="I172" s="216"/>
      <c r="J172" s="267"/>
      <c r="K172" s="267"/>
    </row>
    <row r="173" spans="1:11" x14ac:dyDescent="0.2">
      <c r="A173" s="242">
        <f t="shared" ref="A173:A179" si="40">A172+1</f>
        <v>5</v>
      </c>
      <c r="B173" s="216" t="s">
        <v>135</v>
      </c>
      <c r="C173" s="216" t="s">
        <v>578</v>
      </c>
      <c r="D173" s="216"/>
      <c r="E173" s="267"/>
      <c r="F173" s="267"/>
      <c r="G173" s="268">
        <f>F102</f>
        <v>444076.19999999995</v>
      </c>
      <c r="H173" s="267"/>
      <c r="I173" s="216"/>
      <c r="J173" s="267"/>
      <c r="K173" s="267"/>
    </row>
    <row r="174" spans="1:11" x14ac:dyDescent="0.2">
      <c r="A174" s="242">
        <f t="shared" si="40"/>
        <v>6</v>
      </c>
      <c r="B174" s="216" t="s">
        <v>135</v>
      </c>
      <c r="C174" s="216" t="s">
        <v>582</v>
      </c>
      <c r="D174" s="216"/>
      <c r="E174" s="267"/>
      <c r="F174" s="267"/>
      <c r="G174" s="268">
        <f>F116</f>
        <v>429273.66000000003</v>
      </c>
      <c r="H174" s="267"/>
      <c r="I174" s="216"/>
      <c r="J174" s="267"/>
      <c r="K174" s="267"/>
    </row>
    <row r="175" spans="1:11" x14ac:dyDescent="0.2">
      <c r="A175" s="242">
        <f t="shared" si="40"/>
        <v>7</v>
      </c>
      <c r="B175" s="216" t="s">
        <v>135</v>
      </c>
      <c r="C175" s="216" t="s">
        <v>580</v>
      </c>
      <c r="D175" s="216"/>
      <c r="E175" s="267"/>
      <c r="F175" s="267"/>
      <c r="G175" s="268">
        <f>+F106+F111+F112</f>
        <v>119244.41</v>
      </c>
      <c r="H175" s="267"/>
      <c r="I175" s="216"/>
      <c r="J175" s="267"/>
      <c r="K175" s="267"/>
    </row>
    <row r="176" spans="1:11" x14ac:dyDescent="0.2">
      <c r="A176" s="242">
        <f t="shared" si="40"/>
        <v>8</v>
      </c>
      <c r="B176" s="216" t="s">
        <v>135</v>
      </c>
      <c r="C176" s="216" t="s">
        <v>454</v>
      </c>
      <c r="D176" s="216"/>
      <c r="E176" s="267"/>
      <c r="F176" s="267"/>
      <c r="G176" s="268">
        <f>F66</f>
        <v>2836.17</v>
      </c>
      <c r="H176" s="267"/>
      <c r="I176" s="216"/>
      <c r="J176" s="267"/>
      <c r="K176" s="267"/>
    </row>
    <row r="177" spans="1:17" x14ac:dyDescent="0.2">
      <c r="A177" s="242">
        <f t="shared" si="40"/>
        <v>9</v>
      </c>
      <c r="B177" s="216" t="s">
        <v>135</v>
      </c>
      <c r="C177" s="216" t="s">
        <v>455</v>
      </c>
      <c r="D177" s="216"/>
      <c r="E177" s="267"/>
      <c r="F177" s="267"/>
      <c r="G177" s="268">
        <f>F62</f>
        <v>553.04</v>
      </c>
      <c r="H177" s="267"/>
      <c r="I177" s="216"/>
      <c r="J177" s="267"/>
      <c r="K177" s="267"/>
    </row>
    <row r="178" spans="1:17" x14ac:dyDescent="0.2">
      <c r="A178" s="242">
        <f t="shared" si="40"/>
        <v>10</v>
      </c>
      <c r="B178" s="216" t="s">
        <v>135</v>
      </c>
      <c r="C178" s="216" t="s">
        <v>456</v>
      </c>
      <c r="D178" s="216"/>
      <c r="E178" s="267"/>
      <c r="F178" s="267"/>
      <c r="G178" s="268">
        <f>F19</f>
        <v>0</v>
      </c>
      <c r="H178" s="267"/>
      <c r="I178" s="216"/>
      <c r="J178" s="267"/>
      <c r="K178" s="267"/>
    </row>
    <row r="179" spans="1:17" x14ac:dyDescent="0.2">
      <c r="A179" s="242">
        <f t="shared" si="40"/>
        <v>11</v>
      </c>
      <c r="B179" s="216" t="s">
        <v>135</v>
      </c>
      <c r="C179" s="216" t="s">
        <v>457</v>
      </c>
      <c r="D179" s="216"/>
      <c r="E179" s="267"/>
      <c r="F179" s="267"/>
      <c r="G179" s="268">
        <f>F20</f>
        <v>162.06000000000003</v>
      </c>
      <c r="H179" s="267"/>
      <c r="I179" s="216"/>
      <c r="J179" s="267"/>
      <c r="K179" s="267"/>
    </row>
    <row r="180" spans="1:17" x14ac:dyDescent="0.2">
      <c r="A180" s="242">
        <f t="shared" ref="A180:A185" si="41">A179+1</f>
        <v>12</v>
      </c>
      <c r="B180" s="216" t="s">
        <v>135</v>
      </c>
      <c r="C180" s="216" t="s">
        <v>458</v>
      </c>
      <c r="D180" s="216"/>
      <c r="E180" s="267"/>
      <c r="F180" s="267"/>
      <c r="G180" s="268">
        <f>F67</f>
        <v>235.35000000000005</v>
      </c>
      <c r="H180" s="267"/>
      <c r="I180" s="216"/>
      <c r="J180" s="267"/>
      <c r="K180" s="267"/>
    </row>
    <row r="181" spans="1:17" x14ac:dyDescent="0.2">
      <c r="A181" s="242">
        <f t="shared" si="41"/>
        <v>13</v>
      </c>
      <c r="B181" s="216" t="s">
        <v>135</v>
      </c>
      <c r="C181" s="216" t="s">
        <v>459</v>
      </c>
      <c r="D181" s="216"/>
      <c r="E181" s="267"/>
      <c r="F181" s="267"/>
      <c r="G181" s="268">
        <f>F69</f>
        <v>212.01</v>
      </c>
      <c r="H181" s="267"/>
      <c r="I181" s="216"/>
      <c r="J181" s="267"/>
      <c r="K181" s="267"/>
    </row>
    <row r="182" spans="1:17" x14ac:dyDescent="0.2">
      <c r="A182" s="242">
        <f t="shared" si="41"/>
        <v>14</v>
      </c>
      <c r="B182" s="216" t="s">
        <v>135</v>
      </c>
      <c r="C182" s="216" t="s">
        <v>460</v>
      </c>
      <c r="D182" s="216"/>
      <c r="E182" s="267"/>
      <c r="F182" s="267"/>
      <c r="G182" s="268">
        <f>F70</f>
        <v>66.72</v>
      </c>
      <c r="H182" s="267"/>
      <c r="I182" s="216"/>
      <c r="J182" s="267"/>
      <c r="K182" s="267"/>
    </row>
    <row r="183" spans="1:17" x14ac:dyDescent="0.2">
      <c r="A183" s="242">
        <f t="shared" si="41"/>
        <v>15</v>
      </c>
      <c r="B183" s="216" t="s">
        <v>389</v>
      </c>
      <c r="C183" s="216" t="s">
        <v>390</v>
      </c>
      <c r="D183" s="216"/>
      <c r="E183" s="267"/>
      <c r="F183" s="267"/>
      <c r="G183" s="255">
        <f>E152</f>
        <v>17527003.010000002</v>
      </c>
      <c r="H183" s="267"/>
      <c r="I183" s="267"/>
      <c r="J183" s="267"/>
      <c r="K183" s="267"/>
    </row>
    <row r="184" spans="1:17" x14ac:dyDescent="0.2">
      <c r="A184" s="242">
        <f t="shared" si="41"/>
        <v>16</v>
      </c>
      <c r="B184" s="216"/>
      <c r="C184" s="216" t="s">
        <v>385</v>
      </c>
      <c r="D184" s="216"/>
      <c r="E184" s="267"/>
      <c r="F184" s="267"/>
      <c r="G184" s="267">
        <f>G170-SUM(G171:G182)+G183</f>
        <v>78214097.189999998</v>
      </c>
      <c r="H184" s="267"/>
      <c r="I184" s="267"/>
      <c r="J184" s="267"/>
      <c r="K184" s="267"/>
      <c r="L184" s="231"/>
      <c r="M184" s="231"/>
    </row>
    <row r="185" spans="1:17" ht="10.5" x14ac:dyDescent="0.25">
      <c r="A185" s="242">
        <f t="shared" si="41"/>
        <v>17</v>
      </c>
      <c r="B185" s="216" t="s">
        <v>135</v>
      </c>
      <c r="C185" s="216" t="s">
        <v>461</v>
      </c>
      <c r="D185" s="267">
        <f>D13</f>
        <v>1480254</v>
      </c>
      <c r="E185" s="267"/>
      <c r="F185" s="657">
        <f>ROUND(G183/(H185+H186+H190)*I185,2)+I185+8.75</f>
        <v>29.2</v>
      </c>
      <c r="G185" s="267">
        <f>ROUND(D185*F185,0)</f>
        <v>43223417</v>
      </c>
      <c r="H185" s="267">
        <f>'Sch M 2.2'!Q401+'Sch M 2.2'!Q831</f>
        <v>23684064</v>
      </c>
      <c r="I185" s="269">
        <f>'Sch M 2.2'!D401</f>
        <v>16</v>
      </c>
      <c r="J185" s="267">
        <f>G185-H185</f>
        <v>19539353</v>
      </c>
      <c r="K185" s="274"/>
      <c r="L185" s="270"/>
      <c r="N185" s="231"/>
      <c r="O185" s="694"/>
      <c r="Q185" s="231"/>
    </row>
    <row r="186" spans="1:17" ht="10.5" x14ac:dyDescent="0.25">
      <c r="A186" s="242">
        <f>A185+1</f>
        <v>18</v>
      </c>
      <c r="B186" s="216" t="s">
        <v>135</v>
      </c>
      <c r="C186" s="216" t="s">
        <v>583</v>
      </c>
      <c r="D186" s="267">
        <f>D185</f>
        <v>1480254</v>
      </c>
      <c r="E186" s="267"/>
      <c r="F186" s="657">
        <v>0</v>
      </c>
      <c r="G186" s="267">
        <f>ROUND(D186*F186,0)</f>
        <v>0</v>
      </c>
      <c r="H186" s="267">
        <f>'Sch M 2.2'!Q402+'Sch M 2.2'!Q832</f>
        <v>9814084.0199999996</v>
      </c>
      <c r="I186" s="269">
        <f>Input!K16</f>
        <v>6.63</v>
      </c>
      <c r="J186" s="267">
        <f>G186-H186</f>
        <v>-9814084.0199999996</v>
      </c>
      <c r="K186" s="274"/>
      <c r="L186" s="270"/>
      <c r="N186" s="231"/>
      <c r="O186" s="694"/>
      <c r="Q186" s="231"/>
    </row>
    <row r="187" spans="1:17" ht="10.5" x14ac:dyDescent="0.25">
      <c r="A187" s="242">
        <f t="shared" ref="A187:A188" si="42">A186+1</f>
        <v>19</v>
      </c>
      <c r="B187" s="216" t="s">
        <v>135</v>
      </c>
      <c r="C187" s="216" t="s">
        <v>584</v>
      </c>
      <c r="D187" s="267"/>
      <c r="E187" s="272">
        <f>+E190</f>
        <v>8279217.4000000004</v>
      </c>
      <c r="F187" s="657">
        <v>0</v>
      </c>
      <c r="G187" s="255">
        <f>ROUND(E187*F187,0)</f>
        <v>0</v>
      </c>
      <c r="H187" s="267">
        <f>'Sch M 2.2'!Q406+'Sch M 2.2'!Q836</f>
        <v>-2338878.91</v>
      </c>
      <c r="I187" s="274">
        <f>+'Sch M 2.2'!D406</f>
        <v>-0.28249999999999997</v>
      </c>
      <c r="J187" s="267">
        <f>G187-H187</f>
        <v>2338878.91</v>
      </c>
      <c r="K187" s="274"/>
      <c r="L187" s="270"/>
      <c r="N187" s="231"/>
      <c r="O187" s="694"/>
      <c r="Q187" s="231"/>
    </row>
    <row r="188" spans="1:17" ht="10.5" x14ac:dyDescent="0.25">
      <c r="A188" s="242">
        <f t="shared" si="42"/>
        <v>20</v>
      </c>
      <c r="B188" s="216"/>
      <c r="C188" s="216" t="s">
        <v>149</v>
      </c>
      <c r="D188" s="216"/>
      <c r="E188" s="267"/>
      <c r="F188" s="271"/>
      <c r="G188" s="267">
        <f>G184-G185-G186-G187</f>
        <v>34990680.189999998</v>
      </c>
      <c r="H188" s="267"/>
      <c r="I188" s="267"/>
      <c r="J188" s="267"/>
      <c r="K188" s="701"/>
      <c r="N188" s="231"/>
    </row>
    <row r="189" spans="1:17" ht="10.5" x14ac:dyDescent="0.25">
      <c r="A189" s="242"/>
      <c r="B189" s="216"/>
      <c r="C189" s="216"/>
      <c r="D189" s="216"/>
      <c r="E189" s="267"/>
      <c r="F189" s="253"/>
      <c r="G189" s="267"/>
      <c r="H189" s="267"/>
      <c r="I189" s="267"/>
      <c r="J189" s="267"/>
      <c r="K189" s="267"/>
      <c r="L189" s="270"/>
      <c r="Q189" s="422"/>
    </row>
    <row r="190" spans="1:17" ht="10.5" x14ac:dyDescent="0.25">
      <c r="A190" s="242">
        <f>A188+1</f>
        <v>21</v>
      </c>
      <c r="B190" s="216"/>
      <c r="C190" s="216" t="s">
        <v>110</v>
      </c>
      <c r="D190" s="216"/>
      <c r="E190" s="272">
        <f>E13</f>
        <v>8279217.4000000004</v>
      </c>
      <c r="F190" s="273">
        <f>ROUND((G188/E190),4)</f>
        <v>4.2263000000000002</v>
      </c>
      <c r="G190" s="267">
        <f>ROUND(E190*F190,0)</f>
        <v>34990456</v>
      </c>
      <c r="H190" s="267">
        <f>'Sch M 2.2'!Q405+'Sch M 2.2'!Q835</f>
        <v>29527828.850000001</v>
      </c>
      <c r="I190" s="274">
        <f>'Sch M 2.2'!D405</f>
        <v>3.5665</v>
      </c>
      <c r="J190" s="255">
        <f>G190-H190</f>
        <v>5462627.1499999985</v>
      </c>
      <c r="K190" s="267"/>
      <c r="Q190" s="444"/>
    </row>
    <row r="191" spans="1:17" ht="10.5" x14ac:dyDescent="0.25">
      <c r="A191" s="242">
        <f>A190+1</f>
        <v>22</v>
      </c>
      <c r="B191" s="216"/>
      <c r="C191" s="245" t="s">
        <v>391</v>
      </c>
      <c r="D191" s="245"/>
      <c r="E191" s="275"/>
      <c r="F191" s="253"/>
      <c r="G191" s="276"/>
      <c r="H191" s="276"/>
      <c r="I191" s="277"/>
      <c r="J191" s="253">
        <f>J185+J190+J186+J187</f>
        <v>17526775.039999999</v>
      </c>
      <c r="K191" s="253"/>
      <c r="L191" s="231"/>
      <c r="M191" s="231"/>
    </row>
    <row r="192" spans="1:17" x14ac:dyDescent="0.2">
      <c r="A192" s="280"/>
      <c r="B192" s="280"/>
      <c r="C192" s="280"/>
      <c r="D192" s="280"/>
      <c r="E192" s="282"/>
      <c r="F192" s="282"/>
      <c r="G192" s="282"/>
      <c r="H192" s="282"/>
      <c r="I192" s="282"/>
      <c r="J192" s="282"/>
      <c r="K192" s="282"/>
    </row>
    <row r="193" spans="1:11" ht="10.5" x14ac:dyDescent="0.25">
      <c r="A193" s="800" t="str">
        <f>A1</f>
        <v>Columbia Gas of Kentucky, Inc.</v>
      </c>
      <c r="B193" s="800"/>
      <c r="C193" s="800"/>
      <c r="D193" s="800"/>
      <c r="E193" s="800"/>
      <c r="F193" s="800"/>
      <c r="G193" s="800"/>
      <c r="H193" s="800"/>
      <c r="I193" s="698"/>
      <c r="J193" s="216"/>
      <c r="K193" s="214" t="str">
        <f>J1</f>
        <v>KLJ-RDES-1</v>
      </c>
    </row>
    <row r="194" spans="1:11" ht="10.5" x14ac:dyDescent="0.25">
      <c r="A194" s="823" t="s">
        <v>368</v>
      </c>
      <c r="B194" s="823"/>
      <c r="C194" s="823"/>
      <c r="D194" s="823"/>
      <c r="E194" s="823"/>
      <c r="F194" s="823"/>
      <c r="G194" s="823"/>
      <c r="H194" s="823"/>
      <c r="I194" s="700"/>
      <c r="J194" s="216"/>
      <c r="K194" s="214" t="s">
        <v>524</v>
      </c>
    </row>
    <row r="195" spans="1:11" ht="10.5" x14ac:dyDescent="0.25">
      <c r="A195" s="800" t="str">
        <f>A!$A$3</f>
        <v>For the 12 Months Ended December 31, 2022</v>
      </c>
      <c r="B195" s="800"/>
      <c r="C195" s="800"/>
      <c r="D195" s="800"/>
      <c r="E195" s="800"/>
      <c r="F195" s="800"/>
      <c r="G195" s="800"/>
      <c r="H195" s="800"/>
      <c r="I195" s="698"/>
      <c r="J195" s="216"/>
      <c r="K195" s="215" t="str">
        <f>J3</f>
        <v>Witness: K. L. Johnson</v>
      </c>
    </row>
    <row r="196" spans="1:11" x14ac:dyDescent="0.2">
      <c r="A196" s="280"/>
      <c r="B196" s="280"/>
      <c r="C196" s="280"/>
      <c r="D196" s="280"/>
      <c r="E196" s="282"/>
      <c r="F196" s="282"/>
      <c r="G196" s="282"/>
      <c r="H196" s="282"/>
      <c r="I196" s="282"/>
      <c r="J196" s="282"/>
      <c r="K196" s="282"/>
    </row>
    <row r="197" spans="1:11" ht="10.5" x14ac:dyDescent="0.25">
      <c r="A197" s="216"/>
      <c r="B197" s="216"/>
      <c r="C197" s="216"/>
      <c r="D197" s="216"/>
      <c r="E197" s="216"/>
      <c r="F197" s="698" t="s">
        <v>30</v>
      </c>
      <c r="G197" s="698" t="s">
        <v>30</v>
      </c>
      <c r="H197" s="698" t="s">
        <v>47</v>
      </c>
      <c r="I197" s="698" t="s">
        <v>470</v>
      </c>
      <c r="J197" s="698" t="s">
        <v>47</v>
      </c>
      <c r="K197" s="698" t="s">
        <v>30</v>
      </c>
    </row>
    <row r="198" spans="1:11" ht="10.5" x14ac:dyDescent="0.25">
      <c r="A198" s="216"/>
      <c r="B198" s="216"/>
      <c r="C198" s="216"/>
      <c r="D198" s="263" t="s">
        <v>25</v>
      </c>
      <c r="E198" s="263" t="s">
        <v>387</v>
      </c>
      <c r="F198" s="263" t="s">
        <v>0</v>
      </c>
      <c r="G198" s="263" t="s">
        <v>20</v>
      </c>
      <c r="H198" s="263" t="s">
        <v>20</v>
      </c>
      <c r="I198" s="263" t="s">
        <v>146</v>
      </c>
      <c r="J198" s="263" t="s">
        <v>0</v>
      </c>
      <c r="K198" s="222" t="s">
        <v>147</v>
      </c>
    </row>
    <row r="199" spans="1:11" x14ac:dyDescent="0.2">
      <c r="A199" s="216"/>
      <c r="B199" s="216"/>
      <c r="C199" s="216"/>
      <c r="D199" s="216"/>
      <c r="E199" s="216"/>
      <c r="F199" s="265" t="s">
        <v>60</v>
      </c>
      <c r="G199" s="265" t="s">
        <v>60</v>
      </c>
      <c r="H199" s="265" t="s">
        <v>60</v>
      </c>
      <c r="I199" s="216"/>
      <c r="J199" s="265" t="s">
        <v>60</v>
      </c>
      <c r="K199" s="265" t="s">
        <v>60</v>
      </c>
    </row>
    <row r="200" spans="1:11" ht="10.5" x14ac:dyDescent="0.25">
      <c r="A200" s="242">
        <v>1</v>
      </c>
      <c r="B200" s="216"/>
      <c r="C200" s="266" t="s">
        <v>462</v>
      </c>
      <c r="D200" s="216"/>
      <c r="E200" s="216"/>
      <c r="F200" s="216"/>
      <c r="G200" s="216"/>
      <c r="H200" s="216"/>
      <c r="I200" s="216"/>
      <c r="J200" s="216"/>
      <c r="K200" s="216"/>
    </row>
    <row r="201" spans="1:11" x14ac:dyDescent="0.2">
      <c r="A201" s="242"/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</row>
    <row r="202" spans="1:11" x14ac:dyDescent="0.2">
      <c r="A202" s="242">
        <f>A200+1</f>
        <v>2</v>
      </c>
      <c r="B202" s="216"/>
      <c r="C202" s="216" t="s">
        <v>388</v>
      </c>
      <c r="D202" s="216"/>
      <c r="E202" s="267"/>
      <c r="F202" s="267"/>
      <c r="G202" s="267">
        <f>F14+F21+F24</f>
        <v>44413239.56000001</v>
      </c>
      <c r="H202" s="267"/>
      <c r="I202" s="216"/>
      <c r="J202" s="267"/>
      <c r="K202" s="267"/>
    </row>
    <row r="203" spans="1:11" x14ac:dyDescent="0.2">
      <c r="A203" s="242">
        <f>A202+1</f>
        <v>3</v>
      </c>
      <c r="B203" s="216" t="s">
        <v>135</v>
      </c>
      <c r="C203" s="216" t="s">
        <v>148</v>
      </c>
      <c r="D203" s="216"/>
      <c r="E203" s="267"/>
      <c r="F203" s="267"/>
      <c r="G203" s="268">
        <f>F95+F96</f>
        <v>17635645.699999999</v>
      </c>
      <c r="H203" s="267"/>
      <c r="I203" s="216"/>
      <c r="J203" s="267"/>
      <c r="K203" s="267"/>
    </row>
    <row r="204" spans="1:11" x14ac:dyDescent="0.2">
      <c r="A204" s="242">
        <f t="shared" ref="A204:A209" si="43">A203+1</f>
        <v>4</v>
      </c>
      <c r="B204" s="216" t="s">
        <v>135</v>
      </c>
      <c r="C204" s="216" t="s">
        <v>448</v>
      </c>
      <c r="D204" s="216"/>
      <c r="E204" s="267"/>
      <c r="F204" s="267"/>
      <c r="G204" s="268">
        <f>F121</f>
        <v>47837.769999999968</v>
      </c>
      <c r="H204" s="267"/>
      <c r="I204" s="216"/>
      <c r="J204" s="267"/>
      <c r="K204" s="267"/>
    </row>
    <row r="205" spans="1:11" x14ac:dyDescent="0.2">
      <c r="A205" s="242">
        <f t="shared" si="43"/>
        <v>5</v>
      </c>
      <c r="B205" s="216" t="s">
        <v>135</v>
      </c>
      <c r="C205" s="216" t="str">
        <f>+C175</f>
        <v>NGR&amp;D Rider Revenue</v>
      </c>
      <c r="D205" s="216"/>
      <c r="E205" s="267"/>
      <c r="F205" s="267"/>
      <c r="G205" s="268">
        <f>+F107</f>
        <v>86244.79</v>
      </c>
      <c r="H205" s="267"/>
      <c r="I205" s="216"/>
      <c r="J205" s="267"/>
      <c r="K205" s="267"/>
    </row>
    <row r="206" spans="1:11" x14ac:dyDescent="0.2">
      <c r="A206" s="242">
        <f t="shared" si="43"/>
        <v>6</v>
      </c>
      <c r="B206" s="216" t="s">
        <v>135</v>
      </c>
      <c r="C206" s="216" t="s">
        <v>463</v>
      </c>
      <c r="D206" s="216"/>
      <c r="E206" s="267"/>
      <c r="F206" s="267"/>
      <c r="G206" s="268">
        <f>F65</f>
        <v>0</v>
      </c>
      <c r="H206" s="267"/>
      <c r="I206" s="216"/>
      <c r="J206" s="267"/>
      <c r="K206" s="267"/>
    </row>
    <row r="207" spans="1:11" x14ac:dyDescent="0.2">
      <c r="A207" s="242">
        <f t="shared" si="43"/>
        <v>7</v>
      </c>
      <c r="B207" s="216" t="s">
        <v>135</v>
      </c>
      <c r="C207" s="216" t="s">
        <v>464</v>
      </c>
      <c r="D207" s="216"/>
      <c r="E207" s="267"/>
      <c r="F207" s="267"/>
      <c r="G207" s="268">
        <f>F68</f>
        <v>0</v>
      </c>
      <c r="H207" s="267"/>
      <c r="I207" s="216"/>
      <c r="J207" s="267"/>
      <c r="K207" s="267"/>
    </row>
    <row r="208" spans="1:11" x14ac:dyDescent="0.2">
      <c r="A208" s="242">
        <f t="shared" si="43"/>
        <v>8</v>
      </c>
      <c r="B208" s="216" t="s">
        <v>389</v>
      </c>
      <c r="C208" s="216" t="s">
        <v>390</v>
      </c>
      <c r="D208" s="216"/>
      <c r="E208" s="267"/>
      <c r="F208" s="267"/>
      <c r="G208" s="255">
        <f>F152</f>
        <v>7008345.0199999996</v>
      </c>
      <c r="H208" s="267"/>
      <c r="I208" s="216"/>
      <c r="J208" s="267"/>
      <c r="K208" s="267"/>
    </row>
    <row r="209" spans="1:17" x14ac:dyDescent="0.2">
      <c r="A209" s="242">
        <f t="shared" si="43"/>
        <v>9</v>
      </c>
      <c r="B209" s="216"/>
      <c r="C209" s="216" t="s">
        <v>392</v>
      </c>
      <c r="D209" s="216"/>
      <c r="E209" s="267"/>
      <c r="F209" s="267"/>
      <c r="G209" s="267">
        <f>G202-SUM(G203:G207)+G208</f>
        <v>33651856.320000008</v>
      </c>
      <c r="H209" s="267"/>
      <c r="I209" s="216"/>
      <c r="J209" s="267"/>
      <c r="K209" s="267"/>
      <c r="L209" s="231"/>
      <c r="M209" s="231"/>
    </row>
    <row r="210" spans="1:17" ht="10.5" x14ac:dyDescent="0.25">
      <c r="A210" s="242">
        <f t="shared" ref="A210:A214" si="44">A209+1</f>
        <v>10</v>
      </c>
      <c r="B210" s="216" t="s">
        <v>135</v>
      </c>
      <c r="C210" s="216" t="s">
        <v>461</v>
      </c>
      <c r="D210" s="267">
        <f>D14</f>
        <v>178216</v>
      </c>
      <c r="E210" s="267"/>
      <c r="F210" s="657">
        <f>ROUND(G208/(H210+H211+H212+H220)*J210,2)+J210+31.13</f>
        <v>87.149999999999991</v>
      </c>
      <c r="G210" s="267">
        <f>ROUND(D210*F210,0)</f>
        <v>15531524</v>
      </c>
      <c r="H210" s="267">
        <f>'Sch M 2.2'!Q857+'Sch M 2.2'!Q705+'Sch M 2.2'!Q903+'Sch M 2.2'!Q653+'Sch M 2.2'!Q1021+'Sch M 2.2'!Q1050</f>
        <v>7964473.0399999991</v>
      </c>
      <c r="I210" s="216"/>
      <c r="J210" s="269">
        <f>'Sch M 2.2'!D653</f>
        <v>44.69</v>
      </c>
      <c r="K210" s="267">
        <f>G210-H210</f>
        <v>7567050.9600000009</v>
      </c>
      <c r="Q210" s="231"/>
    </row>
    <row r="211" spans="1:17" ht="10.5" hidden="1" x14ac:dyDescent="0.25">
      <c r="A211" s="242">
        <f t="shared" si="44"/>
        <v>11</v>
      </c>
      <c r="B211" s="216" t="s">
        <v>135</v>
      </c>
      <c r="C211" s="216" t="s">
        <v>517</v>
      </c>
      <c r="D211" s="267">
        <f>'Sch M 2.2'!Q1020+'Sch M 2.2'!Q1049</f>
        <v>242</v>
      </c>
      <c r="E211" s="267"/>
      <c r="F211" s="657">
        <v>0</v>
      </c>
      <c r="G211" s="267">
        <f>ROUND(D211*F211,0)</f>
        <v>0</v>
      </c>
      <c r="H211" s="267">
        <f>'Sch M 2.2'!Q1022+'Sch M 2.2'!Q1051</f>
        <v>0</v>
      </c>
      <c r="I211" s="216"/>
      <c r="J211" s="269">
        <f>'Sch M 2.2'!D1022</f>
        <v>0</v>
      </c>
      <c r="K211" s="267">
        <f>G211-H211</f>
        <v>0</v>
      </c>
      <c r="Q211" s="231"/>
    </row>
    <row r="212" spans="1:17" ht="10.5" x14ac:dyDescent="0.25">
      <c r="A212" s="242">
        <f>+A210+1</f>
        <v>11</v>
      </c>
      <c r="B212" s="216" t="s">
        <v>135</v>
      </c>
      <c r="C212" s="216" t="str">
        <f>+C186</f>
        <v>SMRP Rider</v>
      </c>
      <c r="D212" s="267">
        <f>D210</f>
        <v>178216</v>
      </c>
      <c r="E212" s="267"/>
      <c r="F212" s="657">
        <v>0</v>
      </c>
      <c r="G212" s="267">
        <f>ROUND(D212*F212,0)</f>
        <v>0</v>
      </c>
      <c r="H212" s="267">
        <f>'Sch M 2.2'!Q858+'Sch M 2.2'!Q706+'Sch M 2.2'!Q904+'Sch M 2.2'!Q654+'Sch M 2.2'!Q1023+'Sch M 2.2'!Q1052</f>
        <v>4332430.9600000009</v>
      </c>
      <c r="I212" s="269"/>
      <c r="J212" s="269">
        <f>'Sch M 2.2'!D654</f>
        <v>24.31</v>
      </c>
      <c r="K212" s="267">
        <f>G212-H212</f>
        <v>-4332430.9600000009</v>
      </c>
      <c r="Q212" s="231"/>
    </row>
    <row r="213" spans="1:17" ht="10.5" x14ac:dyDescent="0.25">
      <c r="A213" s="242">
        <f t="shared" si="44"/>
        <v>12</v>
      </c>
      <c r="B213" s="216" t="s">
        <v>135</v>
      </c>
      <c r="C213" s="216" t="str">
        <f>+C187</f>
        <v>Tax Act Adjustment Factor</v>
      </c>
      <c r="D213" s="267"/>
      <c r="E213" s="272">
        <f>+E220</f>
        <v>5989222.1999999993</v>
      </c>
      <c r="F213" s="657">
        <v>0</v>
      </c>
      <c r="G213" s="255">
        <f>ROUND(E213*F213,0)</f>
        <v>0</v>
      </c>
      <c r="H213" s="267">
        <f>'Sch M 2.2'!Q873+'Sch M 2.2'!Q720+'Sch M 2.2'!Q919+'Sch M 2.2'!Q668+'Sch M 2.2'!Q1038+'Sch M 2.2'!Q1067</f>
        <v>-1006189.37</v>
      </c>
      <c r="I213" s="269"/>
      <c r="J213" s="274">
        <f>'Sch M 2.2'!D668</f>
        <v>-0.16800000000000001</v>
      </c>
      <c r="K213" s="267">
        <f>G213-H213</f>
        <v>1006189.37</v>
      </c>
    </row>
    <row r="214" spans="1:17" x14ac:dyDescent="0.2">
      <c r="A214" s="242">
        <f t="shared" si="44"/>
        <v>13</v>
      </c>
      <c r="B214" s="216"/>
      <c r="C214" s="216" t="s">
        <v>149</v>
      </c>
      <c r="D214" s="216"/>
      <c r="E214" s="216"/>
      <c r="F214" s="216"/>
      <c r="G214" s="267">
        <f>G209-G210-G211-G212-G213</f>
        <v>18120332.320000008</v>
      </c>
      <c r="H214" s="216"/>
      <c r="I214" s="216"/>
      <c r="J214" s="216"/>
      <c r="K214" s="267"/>
    </row>
    <row r="215" spans="1:17" x14ac:dyDescent="0.2">
      <c r="A215" s="242"/>
      <c r="B215" s="216"/>
      <c r="C215" s="216"/>
      <c r="D215" s="216"/>
      <c r="E215" s="216"/>
      <c r="F215" s="216"/>
      <c r="G215" s="267"/>
      <c r="H215" s="216"/>
      <c r="I215" s="216"/>
      <c r="J215" s="216"/>
      <c r="K215" s="267"/>
    </row>
    <row r="216" spans="1:17" ht="10.5" x14ac:dyDescent="0.25">
      <c r="A216" s="242">
        <f>A214+1</f>
        <v>14</v>
      </c>
      <c r="B216" s="216"/>
      <c r="C216" s="216" t="s">
        <v>466</v>
      </c>
      <c r="D216" s="216"/>
      <c r="E216" s="272">
        <f>'Sch M 2.2'!Q657+'Sch M 2.2'!Q709+'Sch M 2.2'!Q861+'Sch M 2.2'!Q907+'Sch M 2.2'!Q1026+'Sch M 2.2'!Q1055</f>
        <v>2432335</v>
      </c>
      <c r="F216" s="273">
        <f>ROUND(G216/E216,4)</f>
        <v>3.5621999999999998</v>
      </c>
      <c r="G216" s="267">
        <f>ROUND($G$214*I216,0)</f>
        <v>8664344</v>
      </c>
      <c r="H216" s="267">
        <f>'Sch M 2.2'!Q663+'Sch M 2.2'!Q715+'Sch M 2.2'!Q867+'Sch M 2.2'!Q913+'Sch M 2.2'!Q1032+'Sch M 2.2'!Q1061</f>
        <v>7341030.2799999993</v>
      </c>
      <c r="I216" s="601">
        <f>ROUND(H216/$H$220,10)</f>
        <v>0.47815589809999998</v>
      </c>
      <c r="J216" s="216">
        <f>'Sch M 2.2'!D913</f>
        <v>3.0181</v>
      </c>
      <c r="K216" s="267">
        <f>G216-H216</f>
        <v>1323313.7200000007</v>
      </c>
      <c r="L216" s="603"/>
    </row>
    <row r="217" spans="1:17" ht="10.5" x14ac:dyDescent="0.25">
      <c r="A217" s="242">
        <f>A216+1</f>
        <v>15</v>
      </c>
      <c r="B217" s="216"/>
      <c r="C217" s="216" t="s">
        <v>467</v>
      </c>
      <c r="D217" s="216"/>
      <c r="E217" s="272">
        <f>'Sch M 2.2'!Q658+'Sch M 2.2'!Q710+'Sch M 2.2'!Q862+'Sch M 2.2'!Q908+'Sch M 2.2'!Q1027+'Sch M 2.2'!Q1056</f>
        <v>2252464.9999999995</v>
      </c>
      <c r="F217" s="273">
        <f>ROUND(G217/E217,4)</f>
        <v>2.7494000000000001</v>
      </c>
      <c r="G217" s="267">
        <f t="shared" ref="G217:G218" si="45">ROUND($G$214*I217,0)</f>
        <v>6192976</v>
      </c>
      <c r="H217" s="267">
        <f>'Sch M 2.2'!Q664+'Sch M 2.2'!Q716+'Sch M 2.2'!Q868+'Sch M 2.2'!Q914+'Sch M 2.2'!Q1033+'Sch M 2.2'!Q1062</f>
        <v>5247117.2699999996</v>
      </c>
      <c r="I217" s="601">
        <f t="shared" ref="I217:I218" si="46">ROUND(H217/$H$220,10)</f>
        <v>0.3417694758</v>
      </c>
      <c r="J217" s="216">
        <f>'Sch M 2.2'!D914</f>
        <v>2.3294999999999999</v>
      </c>
      <c r="K217" s="267">
        <f>G217-H217</f>
        <v>945858.73000000045</v>
      </c>
      <c r="L217" s="603"/>
    </row>
    <row r="218" spans="1:17" ht="10.5" x14ac:dyDescent="0.25">
      <c r="A218" s="242">
        <f>A217+1</f>
        <v>16</v>
      </c>
      <c r="B218" s="216"/>
      <c r="C218" s="216" t="s">
        <v>468</v>
      </c>
      <c r="D218" s="216"/>
      <c r="E218" s="272">
        <f>'Sch M 2.2'!Q659+'Sch M 2.2'!Q711+'Sch M 2.2'!Q863+'Sch M 2.2'!Q909+'Sch M 2.2'!Q1028+'Sch M 2.2'!Q1057</f>
        <v>685757.60000000009</v>
      </c>
      <c r="F218" s="273">
        <f>ROUND(G218/E218,4)</f>
        <v>2.6135000000000002</v>
      </c>
      <c r="G218" s="267">
        <f t="shared" si="45"/>
        <v>1792197</v>
      </c>
      <c r="H218" s="267">
        <f>'Sch M 2.2'!Q665+'Sch M 2.2'!Q717+'Sch M 2.2'!Q869+'Sch M 2.2'!Q915+'Sch M 2.2'!Q1034+'Sch M 2.2'!Q1063</f>
        <v>1518473.0500000003</v>
      </c>
      <c r="I218" s="601">
        <f t="shared" si="46"/>
        <v>9.8905305799999996E-2</v>
      </c>
      <c r="J218" s="216">
        <f>'Sch M 2.2'!D915</f>
        <v>2.2143000000000002</v>
      </c>
      <c r="K218" s="267">
        <f>G218-H218</f>
        <v>273723.94999999972</v>
      </c>
      <c r="L218" s="603"/>
    </row>
    <row r="219" spans="1:17" ht="10.5" x14ac:dyDescent="0.25">
      <c r="A219" s="242">
        <f>A218+1</f>
        <v>17</v>
      </c>
      <c r="B219" s="216"/>
      <c r="C219" s="216" t="s">
        <v>469</v>
      </c>
      <c r="D219" s="216"/>
      <c r="E219" s="448">
        <f>'Sch M 2.2'!Q660+'Sch M 2.2'!Q712+'Sch M 2.2'!Q864+'Sch M 2.2'!Q910+'Sch M 2.2'!Q1029+'Sch M 2.2'!Q1058</f>
        <v>618664.60000000009</v>
      </c>
      <c r="F219" s="661">
        <f>ROUND(G219/E219,4)+0.0008</f>
        <v>2.3782000000000001</v>
      </c>
      <c r="G219" s="255">
        <f>ROUND($G$214*I219,0)</f>
        <v>1470815</v>
      </c>
      <c r="H219" s="255">
        <f>'Sch M 2.2'!Q666+'Sch M 2.2'!Q718+'Sch M 2.2'!Q870+'Sch M 2.2'!Q916+'Sch M 2.2'!Q1035+'Sch M 2.2'!Q1064</f>
        <v>1246176.0699999998</v>
      </c>
      <c r="I219" s="602">
        <f>ROUND(H219/$H$220,10)</f>
        <v>8.11693203E-2</v>
      </c>
      <c r="J219" s="216">
        <f>'Sch M 2.2'!D916</f>
        <v>2.0143</v>
      </c>
      <c r="K219" s="255">
        <f>G219-H219</f>
        <v>224638.93000000017</v>
      </c>
      <c r="L219" s="603"/>
    </row>
    <row r="220" spans="1:17" x14ac:dyDescent="0.2">
      <c r="A220" s="242">
        <f>A219+1</f>
        <v>18</v>
      </c>
      <c r="B220" s="216"/>
      <c r="C220" s="216" t="s">
        <v>465</v>
      </c>
      <c r="D220" s="216"/>
      <c r="E220" s="272">
        <f>SUM(E216:E219)</f>
        <v>5989222.1999999993</v>
      </c>
      <c r="F220" s="216"/>
      <c r="G220" s="267">
        <f>SUM(G216:G219)</f>
        <v>18120332</v>
      </c>
      <c r="H220" s="267">
        <f>SUM(H216:H219)</f>
        <v>15352796.67</v>
      </c>
      <c r="I220" s="601">
        <f>SUM(I216:I219)</f>
        <v>1</v>
      </c>
      <c r="J220" s="216"/>
      <c r="K220" s="267">
        <f>SUM(K216:K219)</f>
        <v>2767535.330000001</v>
      </c>
      <c r="L220" s="231"/>
    </row>
    <row r="221" spans="1:17" ht="10.5" x14ac:dyDescent="0.25">
      <c r="A221" s="242"/>
      <c r="B221" s="216"/>
      <c r="C221" s="245"/>
      <c r="D221" s="245"/>
      <c r="E221" s="275"/>
      <c r="F221" s="276"/>
      <c r="G221" s="253"/>
      <c r="H221" s="253"/>
      <c r="I221" s="245"/>
      <c r="J221" s="253"/>
      <c r="K221" s="253"/>
    </row>
    <row r="222" spans="1:17" ht="10.5" x14ac:dyDescent="0.25">
      <c r="A222" s="242">
        <f>A220+1</f>
        <v>19</v>
      </c>
      <c r="B222" s="216"/>
      <c r="C222" s="245" t="s">
        <v>391</v>
      </c>
      <c r="D222" s="245"/>
      <c r="E222" s="275"/>
      <c r="F222" s="253"/>
      <c r="G222" s="253"/>
      <c r="H222" s="253"/>
      <c r="I222" s="277"/>
      <c r="J222" s="216"/>
      <c r="K222" s="253">
        <f>K220+K210+K211+K212+K213</f>
        <v>7008344.700000002</v>
      </c>
      <c r="L222" s="387"/>
      <c r="M222" s="391"/>
    </row>
    <row r="223" spans="1:17" x14ac:dyDescent="0.2">
      <c r="A223" s="280"/>
      <c r="B223" s="280"/>
      <c r="C223" s="280"/>
      <c r="D223" s="280"/>
      <c r="E223" s="280"/>
      <c r="F223" s="280"/>
      <c r="G223" s="280"/>
      <c r="H223" s="280"/>
      <c r="I223" s="280"/>
      <c r="J223" s="280"/>
      <c r="K223" s="280"/>
    </row>
    <row r="224" spans="1:17" ht="10.5" x14ac:dyDescent="0.25">
      <c r="A224" s="800" t="str">
        <f>A1</f>
        <v>Columbia Gas of Kentucky, Inc.</v>
      </c>
      <c r="B224" s="800"/>
      <c r="C224" s="800"/>
      <c r="D224" s="800"/>
      <c r="E224" s="800"/>
      <c r="F224" s="800"/>
      <c r="G224" s="800"/>
      <c r="H224" s="800"/>
      <c r="I224" s="698"/>
      <c r="J224" s="216"/>
      <c r="K224" s="214" t="str">
        <f>J1</f>
        <v>KLJ-RDES-1</v>
      </c>
    </row>
    <row r="225" spans="1:13" ht="10.5" x14ac:dyDescent="0.25">
      <c r="A225" s="823" t="s">
        <v>368</v>
      </c>
      <c r="B225" s="823"/>
      <c r="C225" s="823"/>
      <c r="D225" s="823"/>
      <c r="E225" s="823"/>
      <c r="F225" s="823"/>
      <c r="G225" s="823"/>
      <c r="H225" s="823"/>
      <c r="I225" s="700"/>
      <c r="J225" s="216"/>
      <c r="K225" s="214" t="s">
        <v>525</v>
      </c>
    </row>
    <row r="226" spans="1:13" ht="10.5" x14ac:dyDescent="0.25">
      <c r="A226" s="800" t="str">
        <f>A!$A$3</f>
        <v>For the 12 Months Ended December 31, 2022</v>
      </c>
      <c r="B226" s="800"/>
      <c r="C226" s="800"/>
      <c r="D226" s="800"/>
      <c r="E226" s="800"/>
      <c r="F226" s="800"/>
      <c r="G226" s="800"/>
      <c r="H226" s="800"/>
      <c r="I226" s="698"/>
      <c r="J226" s="216"/>
      <c r="K226" s="215" t="str">
        <f>J3</f>
        <v>Witness: K. L. Johnson</v>
      </c>
    </row>
    <row r="227" spans="1:13" x14ac:dyDescent="0.2">
      <c r="A227" s="280"/>
      <c r="B227" s="280"/>
      <c r="C227" s="280"/>
      <c r="D227" s="280"/>
      <c r="E227" s="282"/>
      <c r="F227" s="282"/>
      <c r="G227" s="282"/>
      <c r="H227" s="282"/>
      <c r="I227" s="282"/>
      <c r="J227" s="282"/>
      <c r="K227" s="282"/>
    </row>
    <row r="228" spans="1:13" ht="10.5" x14ac:dyDescent="0.25">
      <c r="A228" s="216"/>
      <c r="B228" s="216"/>
      <c r="C228" s="216"/>
      <c r="D228" s="216"/>
      <c r="E228" s="216"/>
      <c r="F228" s="698" t="s">
        <v>30</v>
      </c>
      <c r="G228" s="698" t="s">
        <v>30</v>
      </c>
      <c r="H228" s="698" t="s">
        <v>47</v>
      </c>
      <c r="I228" s="698" t="s">
        <v>470</v>
      </c>
      <c r="J228" s="698" t="s">
        <v>47</v>
      </c>
      <c r="K228" s="698" t="s">
        <v>30</v>
      </c>
    </row>
    <row r="229" spans="1:13" ht="10.5" x14ac:dyDescent="0.25">
      <c r="A229" s="216"/>
      <c r="B229" s="216"/>
      <c r="C229" s="216"/>
      <c r="D229" s="263" t="s">
        <v>25</v>
      </c>
      <c r="E229" s="263" t="s">
        <v>387</v>
      </c>
      <c r="F229" s="263" t="s">
        <v>0</v>
      </c>
      <c r="G229" s="263" t="s">
        <v>20</v>
      </c>
      <c r="H229" s="263" t="s">
        <v>20</v>
      </c>
      <c r="I229" s="263" t="s">
        <v>146</v>
      </c>
      <c r="J229" s="263" t="s">
        <v>0</v>
      </c>
      <c r="K229" s="222" t="s">
        <v>147</v>
      </c>
    </row>
    <row r="230" spans="1:13" x14ac:dyDescent="0.2">
      <c r="A230" s="216"/>
      <c r="B230" s="216"/>
      <c r="C230" s="216"/>
      <c r="D230" s="216"/>
      <c r="E230" s="216"/>
      <c r="F230" s="265" t="s">
        <v>60</v>
      </c>
      <c r="G230" s="265" t="s">
        <v>60</v>
      </c>
      <c r="H230" s="265" t="s">
        <v>60</v>
      </c>
      <c r="I230" s="216"/>
      <c r="J230" s="265" t="s">
        <v>60</v>
      </c>
      <c r="K230" s="265" t="s">
        <v>60</v>
      </c>
    </row>
    <row r="231" spans="1:13" ht="10.5" x14ac:dyDescent="0.25">
      <c r="A231" s="242">
        <v>1</v>
      </c>
      <c r="B231" s="216"/>
      <c r="C231" s="266" t="s">
        <v>471</v>
      </c>
      <c r="D231" s="216"/>
      <c r="E231" s="216"/>
      <c r="F231" s="216"/>
      <c r="G231" s="216"/>
      <c r="H231" s="216"/>
      <c r="I231" s="216"/>
      <c r="J231" s="216"/>
      <c r="K231" s="216"/>
    </row>
    <row r="232" spans="1:13" x14ac:dyDescent="0.2">
      <c r="A232" s="242"/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</row>
    <row r="233" spans="1:13" x14ac:dyDescent="0.2">
      <c r="A233" s="242">
        <f>A231+1</f>
        <v>2</v>
      </c>
      <c r="B233" s="216"/>
      <c r="C233" s="216" t="s">
        <v>388</v>
      </c>
      <c r="D233" s="216"/>
      <c r="E233" s="267"/>
      <c r="F233" s="267"/>
      <c r="G233" s="267">
        <f>F16+F15+F28+F29+F32+F31</f>
        <v>7382693.4900000002</v>
      </c>
      <c r="H233" s="267"/>
      <c r="I233" s="216"/>
      <c r="J233" s="267"/>
      <c r="K233" s="267"/>
    </row>
    <row r="234" spans="1:13" x14ac:dyDescent="0.2">
      <c r="A234" s="242">
        <f>+A233+1</f>
        <v>3</v>
      </c>
      <c r="B234" s="216" t="s">
        <v>135</v>
      </c>
      <c r="C234" s="216" t="str">
        <f>+C205</f>
        <v>NGR&amp;D Rider Revenue</v>
      </c>
      <c r="D234" s="216"/>
      <c r="E234" s="267"/>
      <c r="F234" s="267"/>
      <c r="G234" s="267">
        <f>+F108</f>
        <v>125155.45999999999</v>
      </c>
      <c r="H234" s="267"/>
      <c r="I234" s="216"/>
      <c r="J234" s="267"/>
      <c r="K234" s="267"/>
    </row>
    <row r="235" spans="1:13" x14ac:dyDescent="0.2">
      <c r="A235" s="242">
        <f>+A234+1</f>
        <v>4</v>
      </c>
      <c r="B235" s="216" t="s">
        <v>135</v>
      </c>
      <c r="C235" s="216" t="s">
        <v>473</v>
      </c>
      <c r="D235" s="216"/>
      <c r="E235" s="267"/>
      <c r="F235" s="267"/>
      <c r="G235" s="268">
        <f>F72</f>
        <v>0</v>
      </c>
      <c r="H235" s="267"/>
      <c r="I235" s="216"/>
      <c r="J235" s="267"/>
      <c r="K235" s="267"/>
    </row>
    <row r="236" spans="1:13" x14ac:dyDescent="0.2">
      <c r="A236" s="242">
        <f t="shared" ref="A236:A245" si="47">A235+1</f>
        <v>5</v>
      </c>
      <c r="B236" s="216" t="s">
        <v>135</v>
      </c>
      <c r="C236" s="216" t="s">
        <v>474</v>
      </c>
      <c r="D236" s="216"/>
      <c r="E236" s="267"/>
      <c r="F236" s="267"/>
      <c r="G236" s="268">
        <f>F73</f>
        <v>0</v>
      </c>
      <c r="H236" s="267"/>
      <c r="I236" s="216"/>
      <c r="J236" s="267"/>
      <c r="K236" s="267"/>
    </row>
    <row r="237" spans="1:13" x14ac:dyDescent="0.2">
      <c r="A237" s="242">
        <f t="shared" si="47"/>
        <v>6</v>
      </c>
      <c r="B237" s="216" t="s">
        <v>135</v>
      </c>
      <c r="C237" s="216" t="s">
        <v>477</v>
      </c>
      <c r="D237" s="216"/>
      <c r="E237" s="267"/>
      <c r="F237" s="267"/>
      <c r="G237" s="268">
        <f>F75</f>
        <v>0</v>
      </c>
      <c r="H237" s="267"/>
      <c r="I237" s="216"/>
      <c r="J237" s="267"/>
      <c r="K237" s="267"/>
    </row>
    <row r="238" spans="1:13" x14ac:dyDescent="0.2">
      <c r="A238" s="242">
        <f t="shared" si="47"/>
        <v>7</v>
      </c>
      <c r="B238" s="216" t="s">
        <v>135</v>
      </c>
      <c r="C238" s="216" t="s">
        <v>475</v>
      </c>
      <c r="D238" s="216"/>
      <c r="E238" s="267"/>
      <c r="F238" s="267"/>
      <c r="G238" s="268">
        <f>F76</f>
        <v>0</v>
      </c>
      <c r="H238" s="267"/>
      <c r="I238" s="216"/>
      <c r="J238" s="267"/>
      <c r="K238" s="267"/>
    </row>
    <row r="239" spans="1:13" x14ac:dyDescent="0.2">
      <c r="A239" s="242">
        <f t="shared" si="47"/>
        <v>8</v>
      </c>
      <c r="B239" s="216" t="s">
        <v>389</v>
      </c>
      <c r="C239" s="216" t="s">
        <v>390</v>
      </c>
      <c r="D239" s="216"/>
      <c r="E239" s="267"/>
      <c r="F239" s="267"/>
      <c r="G239" s="255">
        <f>G152</f>
        <v>2074391</v>
      </c>
      <c r="H239" s="267"/>
      <c r="I239" s="216"/>
      <c r="J239" s="267"/>
      <c r="K239" s="267"/>
    </row>
    <row r="240" spans="1:13" x14ac:dyDescent="0.2">
      <c r="A240" s="242">
        <f t="shared" si="47"/>
        <v>9</v>
      </c>
      <c r="B240" s="216"/>
      <c r="C240" s="216" t="s">
        <v>392</v>
      </c>
      <c r="D240" s="216"/>
      <c r="E240" s="267"/>
      <c r="F240" s="267"/>
      <c r="G240" s="267">
        <f>G233-SUM(G234:G238)+G239</f>
        <v>9331929.0300000012</v>
      </c>
      <c r="H240" s="267"/>
      <c r="I240" s="216"/>
      <c r="J240" s="267"/>
      <c r="K240" s="267"/>
      <c r="L240" s="231"/>
      <c r="M240" s="231"/>
    </row>
    <row r="241" spans="1:17" ht="10.5" x14ac:dyDescent="0.25">
      <c r="A241" s="242">
        <f t="shared" si="47"/>
        <v>10</v>
      </c>
      <c r="B241" s="216" t="s">
        <v>135</v>
      </c>
      <c r="C241" s="216" t="s">
        <v>461</v>
      </c>
      <c r="D241" s="267">
        <f>D16+D15</f>
        <v>830</v>
      </c>
      <c r="E241" s="267"/>
      <c r="F241" s="657">
        <f>ROUND(G239/(H241+H242+H243+H250)*J241,2)+J241+1587.67</f>
        <v>4151</v>
      </c>
      <c r="G241" s="267">
        <f>ROUND(D241*F241,0)</f>
        <v>3445330</v>
      </c>
      <c r="H241" s="267">
        <f>'Sch M 2.2'!Q758+'Sch M 2.2'!Q949+'Sch M 2.2'!Q977+'Sch M 2.2'!Q1225</f>
        <v>1665810</v>
      </c>
      <c r="I241" s="216"/>
      <c r="J241" s="269">
        <f>'Sch M 2.2'!D977</f>
        <v>2007</v>
      </c>
      <c r="K241" s="267">
        <f>G241-H241</f>
        <v>1779520</v>
      </c>
      <c r="L241" s="216"/>
      <c r="M241" s="267"/>
      <c r="Q241" s="231"/>
    </row>
    <row r="242" spans="1:17" ht="10.5" hidden="1" x14ac:dyDescent="0.25">
      <c r="A242" s="242">
        <f t="shared" si="47"/>
        <v>11</v>
      </c>
      <c r="B242" s="216" t="s">
        <v>135</v>
      </c>
      <c r="C242" s="216" t="s">
        <v>517</v>
      </c>
      <c r="D242" s="267">
        <f>D241</f>
        <v>830</v>
      </c>
      <c r="E242" s="267"/>
      <c r="F242" s="657">
        <v>0</v>
      </c>
      <c r="G242" s="267">
        <f>ROUND(D242*F242,0)</f>
        <v>0</v>
      </c>
      <c r="H242" s="267">
        <f>'Sch M 2.2'!Q759+'Sch M 2.2'!Q950+'Sch M 2.2'!Q978+'Sch M 2.2'!Q1226</f>
        <v>0</v>
      </c>
      <c r="I242" s="216"/>
      <c r="J242" s="269">
        <f>'Sch M 2.2'!D978</f>
        <v>0</v>
      </c>
      <c r="K242" s="267">
        <f>G242-H242</f>
        <v>0</v>
      </c>
      <c r="L242" s="216"/>
      <c r="M242" s="267"/>
      <c r="Q242" s="231"/>
    </row>
    <row r="243" spans="1:17" ht="10.5" x14ac:dyDescent="0.25">
      <c r="A243" s="242">
        <f>+A241+1</f>
        <v>11</v>
      </c>
      <c r="B243" s="216" t="s">
        <v>135</v>
      </c>
      <c r="C243" s="216" t="str">
        <f>+C212</f>
        <v>SMRP Rider</v>
      </c>
      <c r="D243" s="267">
        <f>D241</f>
        <v>830</v>
      </c>
      <c r="E243" s="267"/>
      <c r="F243" s="657">
        <v>0</v>
      </c>
      <c r="G243" s="267">
        <f>ROUND(D243*F243,0)</f>
        <v>0</v>
      </c>
      <c r="H243" s="267">
        <f>'Sch M 2.2'!Q979+'Sch M 2.2'!Q951+'Sch M 2.2'!Q1227+'Sch M 2.2'!Q759</f>
        <v>1013604.3</v>
      </c>
      <c r="I243" s="269"/>
      <c r="J243" s="269">
        <f>'Sch M 2.2'!D979</f>
        <v>1221.21</v>
      </c>
      <c r="K243" s="267">
        <f>G243-H243</f>
        <v>-1013604.3</v>
      </c>
      <c r="L243" s="216"/>
      <c r="M243" s="267"/>
      <c r="Q243" s="231"/>
    </row>
    <row r="244" spans="1:17" ht="10.5" x14ac:dyDescent="0.25">
      <c r="A244" s="242">
        <f t="shared" si="47"/>
        <v>12</v>
      </c>
      <c r="B244" s="216" t="s">
        <v>135</v>
      </c>
      <c r="C244" s="216" t="str">
        <f>+C213</f>
        <v>Tax Act Adjustment Factor</v>
      </c>
      <c r="D244" s="267"/>
      <c r="E244" s="272">
        <f>+E250</f>
        <v>8691352.7999999989</v>
      </c>
      <c r="F244" s="657">
        <v>0</v>
      </c>
      <c r="G244" s="255">
        <f>ROUND(E244*F244,0)</f>
        <v>0</v>
      </c>
      <c r="H244" s="267">
        <f>'Sch M 2.2'!Q992+'Sch M 2.2'!Q964+'Sch M 2.2'!Q1238+'Sch M 2.2'!Q769</f>
        <v>-225975.16999999998</v>
      </c>
      <c r="I244" s="269"/>
      <c r="J244" s="274">
        <f>+'Sch M 2.2'!D992</f>
        <v>-2.5999999999999999E-2</v>
      </c>
      <c r="K244" s="267">
        <f>G244-H244</f>
        <v>225975.16999999998</v>
      </c>
      <c r="L244" s="216"/>
      <c r="M244" s="267"/>
    </row>
    <row r="245" spans="1:17" x14ac:dyDescent="0.2">
      <c r="A245" s="242">
        <f t="shared" si="47"/>
        <v>13</v>
      </c>
      <c r="B245" s="216"/>
      <c r="C245" s="216" t="s">
        <v>149</v>
      </c>
      <c r="D245" s="216"/>
      <c r="E245" s="216"/>
      <c r="F245" s="216"/>
      <c r="G245" s="267">
        <f>G240-G241-G242-G243-G244</f>
        <v>5886599.0300000012</v>
      </c>
      <c r="H245" s="216"/>
      <c r="I245" s="216"/>
      <c r="J245" s="216"/>
      <c r="K245" s="267"/>
      <c r="M245" s="231"/>
    </row>
    <row r="246" spans="1:17" x14ac:dyDescent="0.2">
      <c r="A246" s="242"/>
      <c r="B246" s="216"/>
      <c r="C246" s="216"/>
      <c r="D246" s="216"/>
      <c r="E246" s="216"/>
      <c r="F246" s="216"/>
      <c r="G246" s="267"/>
      <c r="H246" s="216"/>
      <c r="I246" s="216"/>
      <c r="J246" s="216"/>
      <c r="K246" s="267"/>
    </row>
    <row r="247" spans="1:17" ht="10.5" x14ac:dyDescent="0.25">
      <c r="A247" s="242">
        <f>A245+1</f>
        <v>14</v>
      </c>
      <c r="B247" s="216"/>
      <c r="C247" s="216" t="s">
        <v>266</v>
      </c>
      <c r="D247" s="216"/>
      <c r="E247" s="272">
        <f>'Sch M 2.2'!Q762+'Sch M 2.2'!Q954+'Sch M 2.2'!Q982</f>
        <v>6222918.1999999993</v>
      </c>
      <c r="F247" s="695">
        <f>ROUND(G247/E247,4)</f>
        <v>0.77010000000000001</v>
      </c>
      <c r="G247" s="267">
        <f>ROUND($G$245*I247,0)</f>
        <v>4792387</v>
      </c>
      <c r="H247" s="267">
        <f>'Sch M 2.2'!Q766+'Sch M 2.2'!Q959+'Sch M 2.2'!Q987+'Sch M 2.2'!Q1234</f>
        <v>3911104.1000000006</v>
      </c>
      <c r="I247" s="601">
        <f>ROUND(H247/$H$250,10)</f>
        <v>0.81411814819999995</v>
      </c>
      <c r="J247" s="274">
        <f>'Sch M 2.2'!D959</f>
        <v>0.62849999999999995</v>
      </c>
      <c r="K247" s="267">
        <f>G247-H247</f>
        <v>881282.89999999944</v>
      </c>
    </row>
    <row r="248" spans="1:17" ht="10.5" x14ac:dyDescent="0.25">
      <c r="A248" s="242">
        <f>A247+1</f>
        <v>15</v>
      </c>
      <c r="B248" s="216"/>
      <c r="C248" s="216" t="s">
        <v>546</v>
      </c>
      <c r="D248" s="216"/>
      <c r="E248" s="272">
        <f>'Sch M 2.2'!Q763+'Sch M 2.2'!Q955+'Sch M 2.2'!Q983</f>
        <v>1867226</v>
      </c>
      <c r="F248" s="695">
        <f>ROUND(G248/E248,4)</f>
        <v>0.45789999999999997</v>
      </c>
      <c r="G248" s="267">
        <f>ROUND($G$245*I248,0)</f>
        <v>855013</v>
      </c>
      <c r="H248" s="267">
        <f>'Sch M 2.2'!Q767+'Sch M 2.2'!Q960+'Sch M 2.2'!Q988+'Sch M 2.2'!Q1235</f>
        <v>697782.36999999988</v>
      </c>
      <c r="I248" s="601">
        <f>ROUND(H248/$H$250,10)</f>
        <v>0.145247295</v>
      </c>
      <c r="J248" s="274">
        <f>'Sch M 2.2'!D960</f>
        <v>0.37369999999999998</v>
      </c>
      <c r="K248" s="267">
        <f>G248-H248</f>
        <v>157230.63000000012</v>
      </c>
    </row>
    <row r="249" spans="1:17" ht="10.5" x14ac:dyDescent="0.25">
      <c r="A249" s="242">
        <f>A248+1</f>
        <v>16</v>
      </c>
      <c r="B249" s="216"/>
      <c r="C249" s="216" t="s">
        <v>548</v>
      </c>
      <c r="D249" s="216"/>
      <c r="E249" s="448">
        <f>'Sch M 2.2'!Q764+'Sch M 2.2'!Q956+'Sch M 2.2'!Q984</f>
        <v>601208.6</v>
      </c>
      <c r="F249" s="661">
        <f>ROUND(G249/E249,4)-0.0004</f>
        <v>0.39749999999999996</v>
      </c>
      <c r="G249" s="255">
        <f>ROUND($G$245*I249,0)</f>
        <v>239199</v>
      </c>
      <c r="H249" s="255">
        <f>'Sch M 2.2'!Q768+'Sch M 2.2'!Q961+'Sch M 2.2'!Q989+'Sch M 2.2'!Q1236</f>
        <v>195212.43</v>
      </c>
      <c r="I249" s="602">
        <f>ROUND(H249/$H$250,10)</f>
        <v>4.06345569E-2</v>
      </c>
      <c r="J249" s="274">
        <f>'Sch M 2.2'!D961</f>
        <v>0.32469999999999999</v>
      </c>
      <c r="K249" s="255">
        <f>G249-H249</f>
        <v>43986.570000000007</v>
      </c>
    </row>
    <row r="250" spans="1:17" x14ac:dyDescent="0.2">
      <c r="A250" s="242">
        <f>A249+1</f>
        <v>17</v>
      </c>
      <c r="B250" s="216"/>
      <c r="C250" s="216" t="s">
        <v>465</v>
      </c>
      <c r="D250" s="216"/>
      <c r="E250" s="272">
        <f>SUM(E247:E249)</f>
        <v>8691352.7999999989</v>
      </c>
      <c r="F250" s="216"/>
      <c r="G250" s="267">
        <f>SUM(G247:G249)</f>
        <v>5886599</v>
      </c>
      <c r="H250" s="267">
        <f>SUM(H247:H249)</f>
        <v>4804098.9000000004</v>
      </c>
      <c r="I250" s="601">
        <f>SUM(I247:I249)</f>
        <v>1.0000000001</v>
      </c>
      <c r="J250" s="216"/>
      <c r="K250" s="267">
        <f>SUM(K247:K249)</f>
        <v>1082500.0999999996</v>
      </c>
    </row>
    <row r="251" spans="1:17" ht="10.5" x14ac:dyDescent="0.25">
      <c r="A251" s="242"/>
      <c r="B251" s="216"/>
      <c r="C251" s="245"/>
      <c r="D251" s="245"/>
      <c r="E251" s="275"/>
      <c r="F251" s="276"/>
      <c r="G251" s="253"/>
      <c r="H251" s="253"/>
      <c r="I251" s="245"/>
      <c r="J251" s="253"/>
      <c r="K251" s="253"/>
    </row>
    <row r="252" spans="1:17" ht="10.5" x14ac:dyDescent="0.25">
      <c r="A252" s="242">
        <f>A250+1</f>
        <v>18</v>
      </c>
      <c r="B252" s="216"/>
      <c r="C252" s="245" t="s">
        <v>391</v>
      </c>
      <c r="D252" s="245"/>
      <c r="E252" s="275"/>
      <c r="F252" s="253"/>
      <c r="G252" s="253"/>
      <c r="H252" s="253"/>
      <c r="I252" s="277"/>
      <c r="J252" s="216"/>
      <c r="K252" s="253">
        <f>K250+K241+K242+K243+K244</f>
        <v>2074390.9699999995</v>
      </c>
    </row>
    <row r="253" spans="1:17" ht="10.5" x14ac:dyDescent="0.25">
      <c r="A253" s="242"/>
      <c r="B253" s="216"/>
      <c r="C253" s="245"/>
      <c r="D253" s="245"/>
      <c r="E253" s="275"/>
      <c r="F253" s="253"/>
      <c r="G253" s="253"/>
      <c r="H253" s="253"/>
      <c r="I253" s="277"/>
      <c r="J253" s="216"/>
      <c r="K253" s="253"/>
    </row>
    <row r="254" spans="1:17" ht="10.5" x14ac:dyDescent="0.25">
      <c r="A254" s="658"/>
      <c r="B254" s="216"/>
      <c r="C254" s="245"/>
      <c r="D254" s="245"/>
      <c r="E254" s="275"/>
      <c r="F254" s="253"/>
      <c r="G254" s="253"/>
      <c r="H254" s="253"/>
      <c r="I254" s="277"/>
      <c r="J254" s="216"/>
      <c r="K254" s="253"/>
    </row>
    <row r="255" spans="1:17" ht="10.5" x14ac:dyDescent="0.25">
      <c r="A255" s="242"/>
      <c r="B255" s="216"/>
      <c r="C255" s="245"/>
      <c r="D255" s="245"/>
      <c r="E255" s="275"/>
      <c r="F255" s="253"/>
      <c r="G255" s="253"/>
      <c r="H255" s="253"/>
      <c r="I255" s="277"/>
      <c r="J255" s="216"/>
      <c r="K255" s="253"/>
    </row>
    <row r="256" spans="1:17" ht="10.5" x14ac:dyDescent="0.25">
      <c r="A256" s="800" t="str">
        <f>A1</f>
        <v>Columbia Gas of Kentucky, Inc.</v>
      </c>
      <c r="B256" s="800"/>
      <c r="C256" s="800"/>
      <c r="D256" s="800"/>
      <c r="E256" s="800"/>
      <c r="F256" s="800"/>
      <c r="G256" s="800"/>
      <c r="H256" s="800"/>
      <c r="I256" s="698"/>
      <c r="J256" s="216"/>
      <c r="K256" s="214" t="str">
        <f>J1</f>
        <v>KLJ-RDES-1</v>
      </c>
    </row>
    <row r="257" spans="1:17" ht="10.5" x14ac:dyDescent="0.25">
      <c r="A257" s="823" t="s">
        <v>368</v>
      </c>
      <c r="B257" s="823"/>
      <c r="C257" s="823"/>
      <c r="D257" s="823"/>
      <c r="E257" s="823"/>
      <c r="F257" s="823"/>
      <c r="G257" s="823"/>
      <c r="H257" s="823"/>
      <c r="I257" s="700"/>
      <c r="J257" s="216"/>
      <c r="K257" s="214" t="s">
        <v>526</v>
      </c>
    </row>
    <row r="258" spans="1:17" ht="10.5" x14ac:dyDescent="0.25">
      <c r="A258" s="800" t="str">
        <f>A!$A$3</f>
        <v>For the 12 Months Ended December 31, 2022</v>
      </c>
      <c r="B258" s="800"/>
      <c r="C258" s="800"/>
      <c r="D258" s="800"/>
      <c r="E258" s="800"/>
      <c r="F258" s="800"/>
      <c r="G258" s="800"/>
      <c r="H258" s="800"/>
      <c r="I258" s="698"/>
      <c r="J258" s="216"/>
      <c r="K258" s="215" t="str">
        <f>J3</f>
        <v>Witness: K. L. Johnson</v>
      </c>
    </row>
    <row r="259" spans="1:17" x14ac:dyDescent="0.2">
      <c r="A259" s="280"/>
      <c r="B259" s="280"/>
      <c r="C259" s="280"/>
      <c r="D259" s="280"/>
      <c r="E259" s="282"/>
      <c r="F259" s="282"/>
      <c r="G259" s="282"/>
      <c r="H259" s="282"/>
      <c r="I259" s="282"/>
      <c r="J259" s="282"/>
      <c r="K259" s="282"/>
    </row>
    <row r="260" spans="1:17" ht="10.5" x14ac:dyDescent="0.25">
      <c r="A260" s="216"/>
      <c r="B260" s="216"/>
      <c r="C260" s="216"/>
      <c r="D260" s="216"/>
      <c r="E260" s="216"/>
      <c r="F260" s="698" t="s">
        <v>30</v>
      </c>
      <c r="G260" s="698" t="s">
        <v>30</v>
      </c>
      <c r="H260" s="698" t="s">
        <v>47</v>
      </c>
      <c r="I260" s="698" t="s">
        <v>470</v>
      </c>
      <c r="J260" s="698" t="s">
        <v>47</v>
      </c>
      <c r="K260" s="698" t="s">
        <v>30</v>
      </c>
      <c r="M260" s="452"/>
    </row>
    <row r="261" spans="1:17" ht="10.5" x14ac:dyDescent="0.25">
      <c r="A261" s="216"/>
      <c r="B261" s="216"/>
      <c r="C261" s="216"/>
      <c r="D261" s="263" t="s">
        <v>25</v>
      </c>
      <c r="E261" s="263" t="s">
        <v>387</v>
      </c>
      <c r="F261" s="263" t="s">
        <v>0</v>
      </c>
      <c r="G261" s="263" t="s">
        <v>20</v>
      </c>
      <c r="H261" s="263" t="s">
        <v>20</v>
      </c>
      <c r="I261" s="263" t="s">
        <v>146</v>
      </c>
      <c r="J261" s="263" t="s">
        <v>0</v>
      </c>
      <c r="K261" s="222" t="s">
        <v>147</v>
      </c>
      <c r="M261" s="452"/>
    </row>
    <row r="262" spans="1:17" x14ac:dyDescent="0.2">
      <c r="A262" s="216"/>
      <c r="B262" s="216"/>
      <c r="C262" s="216"/>
      <c r="D262" s="216"/>
      <c r="E262" s="216"/>
      <c r="F262" s="265" t="s">
        <v>60</v>
      </c>
      <c r="G262" s="265" t="s">
        <v>60</v>
      </c>
      <c r="H262" s="265" t="s">
        <v>60</v>
      </c>
      <c r="I262" s="216"/>
      <c r="J262" s="265" t="s">
        <v>60</v>
      </c>
      <c r="K262" s="265" t="s">
        <v>60</v>
      </c>
    </row>
    <row r="263" spans="1:17" ht="10.5" x14ac:dyDescent="0.25">
      <c r="A263" s="242">
        <v>1</v>
      </c>
      <c r="B263" s="216"/>
      <c r="C263" s="266" t="s">
        <v>478</v>
      </c>
      <c r="D263" s="216"/>
      <c r="E263" s="216"/>
      <c r="F263" s="216"/>
      <c r="G263" s="216"/>
      <c r="H263" s="216"/>
      <c r="I263" s="216"/>
      <c r="J263" s="216"/>
      <c r="K263" s="216"/>
    </row>
    <row r="264" spans="1:17" x14ac:dyDescent="0.2">
      <c r="A264" s="242"/>
      <c r="B264" s="216"/>
      <c r="C264" s="216"/>
      <c r="D264" s="216"/>
      <c r="E264" s="216"/>
      <c r="F264" s="216"/>
      <c r="G264" s="216"/>
      <c r="H264" s="216"/>
      <c r="I264" s="216"/>
      <c r="J264" s="216"/>
      <c r="K264" s="216"/>
    </row>
    <row r="265" spans="1:17" x14ac:dyDescent="0.2">
      <c r="A265" s="242">
        <f>A263+1</f>
        <v>2</v>
      </c>
      <c r="B265" s="216"/>
      <c r="C265" s="216" t="s">
        <v>388</v>
      </c>
      <c r="D265" s="216"/>
      <c r="E265" s="267"/>
      <c r="F265" s="267"/>
      <c r="G265" s="267">
        <f>F17</f>
        <v>79942.95</v>
      </c>
      <c r="H265" s="267"/>
      <c r="I265" s="216"/>
      <c r="J265" s="267"/>
      <c r="K265" s="267"/>
    </row>
    <row r="266" spans="1:17" x14ac:dyDescent="0.2">
      <c r="A266" s="242">
        <f>A265+1</f>
        <v>3</v>
      </c>
      <c r="B266" s="216" t="s">
        <v>135</v>
      </c>
      <c r="C266" s="216" t="s">
        <v>335</v>
      </c>
      <c r="D266" s="216"/>
      <c r="E266" s="267"/>
      <c r="F266" s="267"/>
      <c r="G266" s="268">
        <f>F98</f>
        <v>49359.02</v>
      </c>
      <c r="H266" s="267"/>
      <c r="I266" s="216"/>
      <c r="J266" s="267"/>
      <c r="K266" s="267"/>
    </row>
    <row r="267" spans="1:17" x14ac:dyDescent="0.2">
      <c r="A267" s="242">
        <f>A266+1</f>
        <v>4</v>
      </c>
      <c r="B267" s="216" t="s">
        <v>135</v>
      </c>
      <c r="C267" s="216" t="s">
        <v>448</v>
      </c>
      <c r="D267" s="216"/>
      <c r="E267" s="267"/>
      <c r="F267" s="267"/>
      <c r="G267" s="268">
        <f>F122</f>
        <v>133.87</v>
      </c>
      <c r="H267" s="267"/>
      <c r="I267" s="216"/>
      <c r="J267" s="267"/>
      <c r="K267" s="267"/>
    </row>
    <row r="268" spans="1:17" x14ac:dyDescent="0.2">
      <c r="A268" s="242"/>
      <c r="B268" s="216" t="s">
        <v>135</v>
      </c>
      <c r="C268" s="216" t="str">
        <f>+C205</f>
        <v>NGR&amp;D Rider Revenue</v>
      </c>
      <c r="D268" s="216"/>
      <c r="E268" s="267"/>
      <c r="F268" s="267"/>
      <c r="G268" s="268">
        <f>+F110</f>
        <v>162.01</v>
      </c>
      <c r="H268" s="267"/>
      <c r="I268" s="216"/>
      <c r="J268" s="267"/>
      <c r="K268" s="267"/>
    </row>
    <row r="269" spans="1:17" x14ac:dyDescent="0.2">
      <c r="A269" s="242">
        <f>A267+1</f>
        <v>5</v>
      </c>
      <c r="B269" s="216" t="s">
        <v>389</v>
      </c>
      <c r="C269" s="216" t="s">
        <v>390</v>
      </c>
      <c r="D269" s="216"/>
      <c r="E269" s="267"/>
      <c r="F269" s="267"/>
      <c r="G269" s="255">
        <f>H152</f>
        <v>8439</v>
      </c>
      <c r="H269" s="267"/>
      <c r="I269" s="216"/>
      <c r="J269" s="267"/>
      <c r="K269" s="267"/>
    </row>
    <row r="270" spans="1:17" x14ac:dyDescent="0.2">
      <c r="A270" s="242">
        <f>A269+1</f>
        <v>6</v>
      </c>
      <c r="B270" s="216"/>
      <c r="C270" s="216" t="s">
        <v>392</v>
      </c>
      <c r="D270" s="216"/>
      <c r="E270" s="267"/>
      <c r="F270" s="267"/>
      <c r="G270" s="267">
        <f>G265-SUM(G266:G268)+G269</f>
        <v>38727.049999999996</v>
      </c>
      <c r="H270" s="267"/>
      <c r="I270" s="216"/>
      <c r="J270" s="267"/>
      <c r="K270" s="267"/>
      <c r="L270" s="231"/>
      <c r="M270" s="231"/>
    </row>
    <row r="271" spans="1:17" ht="10.5" x14ac:dyDescent="0.25">
      <c r="A271" s="242">
        <f>A270+1</f>
        <v>7</v>
      </c>
      <c r="B271" s="216" t="s">
        <v>135</v>
      </c>
      <c r="C271" s="216" t="s">
        <v>461</v>
      </c>
      <c r="D271" s="267">
        <f>D17</f>
        <v>24</v>
      </c>
      <c r="E271" s="267"/>
      <c r="F271" s="657">
        <f>ROUND(G269/(H271+H272+H274+H277)*J271,2)+J271+272.24</f>
        <v>991.2</v>
      </c>
      <c r="G271" s="267">
        <f>ROUND(D271*F271,0)</f>
        <v>23789</v>
      </c>
      <c r="H271" s="267">
        <f>'Sch M 2.2'!Q789</f>
        <v>13617.599999999997</v>
      </c>
      <c r="I271" s="216"/>
      <c r="J271" s="269">
        <f>'Sch M 2.2'!D789</f>
        <v>567.4</v>
      </c>
      <c r="K271" s="267">
        <f>G271-H271</f>
        <v>10171.400000000003</v>
      </c>
      <c r="Q271" s="231"/>
    </row>
    <row r="272" spans="1:17" ht="10.5" x14ac:dyDescent="0.25">
      <c r="A272" s="242">
        <f t="shared" ref="A272:A274" si="48">A271+1</f>
        <v>8</v>
      </c>
      <c r="B272" s="216" t="s">
        <v>135</v>
      </c>
      <c r="C272" s="216" t="str">
        <f>+C243</f>
        <v>SMRP Rider</v>
      </c>
      <c r="D272" s="267">
        <f>D271</f>
        <v>24</v>
      </c>
      <c r="E272" s="267"/>
      <c r="F272" s="657">
        <v>0</v>
      </c>
      <c r="G272" s="267">
        <f>ROUND(D272*F272,0)</f>
        <v>0</v>
      </c>
      <c r="H272" s="267">
        <f>'Sch M 2.2'!Q790</f>
        <v>4987.2000000000007</v>
      </c>
      <c r="I272" s="269"/>
      <c r="J272" s="269">
        <f>'Sch M 2.2'!D790</f>
        <v>207.8</v>
      </c>
      <c r="K272" s="267">
        <f>G272-H272</f>
        <v>-4987.2000000000007</v>
      </c>
      <c r="Q272" s="231"/>
    </row>
    <row r="273" spans="1:17" ht="10.5" x14ac:dyDescent="0.25">
      <c r="A273" s="242">
        <f t="shared" si="48"/>
        <v>9</v>
      </c>
      <c r="B273" s="216" t="s">
        <v>135</v>
      </c>
      <c r="C273" s="216" t="str">
        <f>+C244</f>
        <v>Tax Act Adjustment Factor</v>
      </c>
      <c r="D273" s="267"/>
      <c r="E273" s="272">
        <f>+E277</f>
        <v>11251.2</v>
      </c>
      <c r="F273" s="657">
        <v>0</v>
      </c>
      <c r="G273" s="255">
        <f>ROUND(E273*F273,0)</f>
        <v>0</v>
      </c>
      <c r="H273" s="267">
        <f>'Sch M 2.2'!Q794</f>
        <v>-1305.1300000000001</v>
      </c>
      <c r="I273" s="269"/>
      <c r="J273" s="274">
        <f>'Sch M 2.2'!D794</f>
        <v>-0.11600000000000001</v>
      </c>
      <c r="K273" s="267">
        <f>G273-H273</f>
        <v>1305.1300000000001</v>
      </c>
      <c r="Q273" s="231"/>
    </row>
    <row r="274" spans="1:17" x14ac:dyDescent="0.2">
      <c r="A274" s="242">
        <f t="shared" si="48"/>
        <v>10</v>
      </c>
      <c r="B274" s="216"/>
      <c r="C274" s="216" t="s">
        <v>149</v>
      </c>
      <c r="D274" s="216"/>
      <c r="E274" s="216"/>
      <c r="F274" s="216"/>
      <c r="G274" s="267">
        <f>G270-G271-G272-G273</f>
        <v>14938.049999999996</v>
      </c>
      <c r="H274" s="216"/>
      <c r="I274" s="216"/>
      <c r="J274" s="216"/>
      <c r="K274" s="267"/>
    </row>
    <row r="275" spans="1:17" x14ac:dyDescent="0.2">
      <c r="A275" s="242"/>
      <c r="B275" s="216"/>
      <c r="C275" s="216"/>
      <c r="D275" s="216"/>
      <c r="E275" s="216"/>
      <c r="F275" s="216"/>
      <c r="G275" s="267"/>
      <c r="H275" s="216"/>
      <c r="I275" s="216"/>
      <c r="J275" s="216"/>
      <c r="K275" s="267"/>
    </row>
    <row r="276" spans="1:17" ht="10.5" x14ac:dyDescent="0.25">
      <c r="A276" s="242">
        <f>A274+1</f>
        <v>11</v>
      </c>
      <c r="B276" s="216"/>
      <c r="C276" s="216" t="s">
        <v>110</v>
      </c>
      <c r="D276" s="216"/>
      <c r="E276" s="448">
        <f>'Sch M 2.2'!Q792</f>
        <v>11251.2</v>
      </c>
      <c r="F276" s="661">
        <f>IF(E276=0,0,ROUND(G276/E276,4))-0.0016</f>
        <v>1.3261000000000001</v>
      </c>
      <c r="G276" s="255">
        <f>G274</f>
        <v>14938.049999999996</v>
      </c>
      <c r="H276" s="267">
        <f>'Sch M 2.2'!Q793</f>
        <v>12988.380000000001</v>
      </c>
      <c r="I276" s="601"/>
      <c r="J276" s="274">
        <f>'Sch M 2.2'!D793</f>
        <v>1.1544000000000001</v>
      </c>
      <c r="K276" s="255">
        <f>G276-H276</f>
        <v>1949.6699999999946</v>
      </c>
    </row>
    <row r="277" spans="1:17" x14ac:dyDescent="0.2">
      <c r="A277" s="242">
        <f>A276+1</f>
        <v>12</v>
      </c>
      <c r="B277" s="216"/>
      <c r="C277" s="216" t="s">
        <v>465</v>
      </c>
      <c r="D277" s="216"/>
      <c r="E277" s="272">
        <f>SUM(E276:E276)</f>
        <v>11251.2</v>
      </c>
      <c r="F277" s="216"/>
      <c r="G277" s="267">
        <f>SUM(G276:G276)</f>
        <v>14938.049999999996</v>
      </c>
      <c r="H277" s="267">
        <f>SUM(H276:H276)</f>
        <v>12988.380000000001</v>
      </c>
      <c r="I277" s="601"/>
      <c r="J277" s="216"/>
      <c r="K277" s="267">
        <f>SUM(K276:K276)</f>
        <v>1949.6699999999946</v>
      </c>
    </row>
    <row r="278" spans="1:17" ht="10.5" x14ac:dyDescent="0.25">
      <c r="A278" s="242"/>
      <c r="B278" s="216"/>
      <c r="C278" s="245"/>
      <c r="D278" s="245"/>
      <c r="E278" s="275"/>
      <c r="F278" s="276"/>
      <c r="G278" s="253"/>
      <c r="H278" s="253"/>
      <c r="I278" s="245"/>
      <c r="J278" s="253"/>
      <c r="K278" s="253"/>
    </row>
    <row r="279" spans="1:17" ht="10.5" x14ac:dyDescent="0.25">
      <c r="A279" s="242">
        <f>A277+1</f>
        <v>13</v>
      </c>
      <c r="B279" s="216"/>
      <c r="C279" s="245" t="s">
        <v>391</v>
      </c>
      <c r="D279" s="245"/>
      <c r="E279" s="275"/>
      <c r="F279" s="253"/>
      <c r="G279" s="253"/>
      <c r="H279" s="253"/>
      <c r="I279" s="277"/>
      <c r="J279" s="216"/>
      <c r="K279" s="253">
        <f>K277+K271+K272+K273</f>
        <v>8438.9999999999964</v>
      </c>
    </row>
    <row r="280" spans="1:17" ht="10.5" x14ac:dyDescent="0.25">
      <c r="A280" s="242"/>
      <c r="B280" s="216"/>
      <c r="C280" s="245"/>
      <c r="D280" s="245"/>
      <c r="E280" s="275"/>
      <c r="F280" s="253"/>
      <c r="G280" s="253"/>
      <c r="H280" s="253"/>
      <c r="I280" s="277"/>
      <c r="J280" s="216"/>
      <c r="K280" s="253"/>
    </row>
    <row r="281" spans="1:17" ht="10.5" x14ac:dyDescent="0.25">
      <c r="A281" s="242">
        <f>A279+1</f>
        <v>14</v>
      </c>
      <c r="B281" s="216"/>
      <c r="C281" s="266" t="s">
        <v>472</v>
      </c>
      <c r="D281" s="216"/>
      <c r="E281" s="216"/>
      <c r="F281" s="216"/>
      <c r="G281" s="216"/>
      <c r="H281" s="216"/>
      <c r="I281" s="216"/>
      <c r="J281" s="216"/>
      <c r="K281" s="216"/>
    </row>
    <row r="282" spans="1:17" x14ac:dyDescent="0.2">
      <c r="A282" s="242"/>
      <c r="B282" s="216"/>
      <c r="C282" s="216"/>
      <c r="D282" s="216"/>
      <c r="E282" s="216"/>
      <c r="F282" s="216"/>
      <c r="G282" s="216"/>
      <c r="H282" s="216"/>
      <c r="I282" s="216"/>
      <c r="J282" s="216"/>
      <c r="K282" s="216"/>
    </row>
    <row r="283" spans="1:17" x14ac:dyDescent="0.2">
      <c r="A283" s="242">
        <f>A281+1</f>
        <v>15</v>
      </c>
      <c r="B283" s="216"/>
      <c r="C283" s="216" t="s">
        <v>388</v>
      </c>
      <c r="D283" s="216"/>
      <c r="E283" s="267"/>
      <c r="F283" s="267"/>
      <c r="G283" s="267">
        <f>F27+F30</f>
        <v>654601.91999999993</v>
      </c>
      <c r="H283" s="267"/>
      <c r="I283" s="216"/>
      <c r="J283" s="267"/>
      <c r="K283" s="267"/>
      <c r="L283" s="231"/>
    </row>
    <row r="284" spans="1:17" x14ac:dyDescent="0.2">
      <c r="A284" s="242">
        <f>+A283+1</f>
        <v>16</v>
      </c>
      <c r="B284" s="216" t="s">
        <v>135</v>
      </c>
      <c r="C284" s="216" t="str">
        <f>+C268</f>
        <v>NGR&amp;D Rider Revenue</v>
      </c>
      <c r="D284" s="216"/>
      <c r="E284" s="267"/>
      <c r="F284" s="267"/>
      <c r="G284" s="267">
        <f>+F109</f>
        <v>8670.24</v>
      </c>
      <c r="H284" s="267"/>
      <c r="I284" s="216"/>
      <c r="J284" s="267"/>
      <c r="K284" s="267"/>
    </row>
    <row r="285" spans="1:17" x14ac:dyDescent="0.2">
      <c r="A285" s="242">
        <f t="shared" ref="A285:A288" si="49">+A284+1</f>
        <v>17</v>
      </c>
      <c r="B285" s="216" t="s">
        <v>135</v>
      </c>
      <c r="C285" s="216" t="s">
        <v>476</v>
      </c>
      <c r="D285" s="216"/>
      <c r="E285" s="267"/>
      <c r="F285" s="267"/>
      <c r="G285" s="268">
        <f>F74</f>
        <v>585059.10000000009</v>
      </c>
      <c r="H285" s="267"/>
      <c r="I285" s="216"/>
      <c r="J285" s="267"/>
      <c r="K285" s="267"/>
    </row>
    <row r="286" spans="1:17" x14ac:dyDescent="0.2">
      <c r="A286" s="242">
        <f t="shared" si="49"/>
        <v>18</v>
      </c>
      <c r="B286" s="216" t="s">
        <v>389</v>
      </c>
      <c r="C286" s="216" t="s">
        <v>390</v>
      </c>
      <c r="D286" s="216"/>
      <c r="E286" s="267"/>
      <c r="F286" s="267"/>
      <c r="G286" s="255">
        <f>I152</f>
        <v>6241</v>
      </c>
      <c r="H286" s="267"/>
      <c r="I286" s="216"/>
      <c r="J286" s="267"/>
      <c r="K286" s="267"/>
    </row>
    <row r="287" spans="1:17" x14ac:dyDescent="0.2">
      <c r="A287" s="242">
        <f t="shared" si="49"/>
        <v>19</v>
      </c>
      <c r="B287" s="216"/>
      <c r="C287" s="216" t="s">
        <v>392</v>
      </c>
      <c r="D287" s="216"/>
      <c r="E287" s="267"/>
      <c r="F287" s="267"/>
      <c r="G287" s="267">
        <f>G283-SUM(G284:G285)+G286</f>
        <v>67113.579999999842</v>
      </c>
      <c r="H287" s="267"/>
      <c r="I287" s="216"/>
      <c r="J287" s="267"/>
      <c r="K287" s="267"/>
      <c r="L287" s="231"/>
    </row>
    <row r="288" spans="1:17" ht="10.5" x14ac:dyDescent="0.25">
      <c r="A288" s="242">
        <f t="shared" si="49"/>
        <v>20</v>
      </c>
      <c r="B288" s="216" t="s">
        <v>135</v>
      </c>
      <c r="C288" s="216" t="s">
        <v>461</v>
      </c>
      <c r="D288" s="267">
        <f>D71</f>
        <v>36</v>
      </c>
      <c r="E288" s="267"/>
      <c r="F288" s="657">
        <f>(ROUND(J288*(G286/G287),2)+J288)+2.5</f>
        <v>282.2</v>
      </c>
      <c r="G288" s="267">
        <f>ROUND(D288*F288,0)</f>
        <v>10159</v>
      </c>
      <c r="H288" s="267">
        <f>'Sch M 2.2'!Q1097</f>
        <v>9212.4</v>
      </c>
      <c r="I288" s="216"/>
      <c r="J288" s="269">
        <f>'Sch M 2.2'!D1097</f>
        <v>255.9</v>
      </c>
      <c r="K288" s="267">
        <f>G288-H288</f>
        <v>946.60000000000036</v>
      </c>
      <c r="Q288" s="231"/>
    </row>
    <row r="289" spans="1:17" ht="10.5" hidden="1" x14ac:dyDescent="0.25">
      <c r="A289" s="242"/>
      <c r="B289" s="216"/>
      <c r="C289" s="216"/>
      <c r="D289" s="267"/>
      <c r="E289" s="267"/>
      <c r="F289" s="657"/>
      <c r="G289" s="267"/>
      <c r="H289" s="267"/>
      <c r="I289" s="216"/>
      <c r="J289" s="269"/>
      <c r="K289" s="267"/>
      <c r="Q289" s="231"/>
    </row>
    <row r="290" spans="1:17" x14ac:dyDescent="0.2">
      <c r="A290" s="242">
        <f>+A288+1</f>
        <v>21</v>
      </c>
      <c r="B290" s="216"/>
      <c r="C290" s="216" t="s">
        <v>149</v>
      </c>
      <c r="D290" s="216"/>
      <c r="E290" s="216"/>
      <c r="F290" s="216"/>
      <c r="G290" s="267">
        <f>G287-G288-G289</f>
        <v>56954.579999999842</v>
      </c>
      <c r="H290" s="216"/>
      <c r="I290" s="216"/>
      <c r="J290" s="216"/>
      <c r="K290" s="267"/>
      <c r="Q290" s="231"/>
    </row>
    <row r="291" spans="1:17" x14ac:dyDescent="0.2">
      <c r="A291" s="242"/>
      <c r="B291" s="216"/>
      <c r="C291" s="216"/>
      <c r="D291" s="216"/>
      <c r="E291" s="216"/>
      <c r="F291" s="216"/>
      <c r="G291" s="267"/>
      <c r="H291" s="216"/>
      <c r="I291" s="216"/>
      <c r="J291" s="216"/>
      <c r="K291" s="267"/>
    </row>
    <row r="292" spans="1:17" ht="10.5" x14ac:dyDescent="0.25">
      <c r="A292" s="242">
        <f>A290+1</f>
        <v>22</v>
      </c>
      <c r="B292" s="216"/>
      <c r="C292" s="216" t="s">
        <v>110</v>
      </c>
      <c r="D292" s="216"/>
      <c r="E292" s="448">
        <f>'Sch M 2.2'!Q1100</f>
        <v>602100</v>
      </c>
      <c r="F292" s="695">
        <f>ROUND(G292/E292,4)</f>
        <v>9.4600000000000004E-2</v>
      </c>
      <c r="G292" s="255">
        <f>G290</f>
        <v>56954.579999999842</v>
      </c>
      <c r="H292" s="255">
        <f>'Sch M 2.2'!Q1101</f>
        <v>51660.18</v>
      </c>
      <c r="I292" s="601"/>
      <c r="J292" s="274">
        <f>'Sch M 2.2'!D1101</f>
        <v>8.5800000000000001E-2</v>
      </c>
      <c r="K292" s="255">
        <f>G292-H292</f>
        <v>5294.3999999998414</v>
      </c>
    </row>
    <row r="293" spans="1:17" x14ac:dyDescent="0.2">
      <c r="A293" s="242">
        <f>A292+1</f>
        <v>23</v>
      </c>
      <c r="B293" s="216"/>
      <c r="C293" s="216" t="s">
        <v>465</v>
      </c>
      <c r="D293" s="216"/>
      <c r="E293" s="272">
        <f>SUM(E292:E292)</f>
        <v>602100</v>
      </c>
      <c r="F293" s="216"/>
      <c r="G293" s="267">
        <f>SUM(G292:G292)</f>
        <v>56954.579999999842</v>
      </c>
      <c r="H293" s="267">
        <f>SUM(H292:H292)</f>
        <v>51660.18</v>
      </c>
      <c r="I293" s="601"/>
      <c r="J293" s="216"/>
      <c r="K293" s="267">
        <f>SUM(K292:K292)</f>
        <v>5294.3999999998414</v>
      </c>
    </row>
    <row r="294" spans="1:17" ht="10.5" x14ac:dyDescent="0.25">
      <c r="A294" s="242"/>
      <c r="B294" s="216"/>
      <c r="C294" s="245"/>
      <c r="D294" s="245"/>
      <c r="E294" s="275"/>
      <c r="F294" s="276"/>
      <c r="G294" s="253"/>
      <c r="H294" s="253"/>
      <c r="I294" s="245"/>
      <c r="J294" s="253"/>
      <c r="K294" s="253"/>
    </row>
    <row r="295" spans="1:17" ht="10.5" x14ac:dyDescent="0.25">
      <c r="A295" s="242">
        <f>A293+1</f>
        <v>24</v>
      </c>
      <c r="B295" s="216"/>
      <c r="C295" s="245" t="s">
        <v>391</v>
      </c>
      <c r="D295" s="245"/>
      <c r="E295" s="275"/>
      <c r="F295" s="253"/>
      <c r="G295" s="253"/>
      <c r="H295" s="253"/>
      <c r="I295" s="277"/>
      <c r="J295" s="216"/>
      <c r="K295" s="253">
        <f>K293+K288+K289</f>
        <v>6240.9999999998417</v>
      </c>
    </row>
    <row r="296" spans="1:17" x14ac:dyDescent="0.2">
      <c r="A296" s="216"/>
      <c r="B296" s="216"/>
      <c r="C296" s="216"/>
      <c r="D296" s="216"/>
      <c r="E296" s="216"/>
      <c r="F296" s="216"/>
      <c r="G296" s="216"/>
      <c r="H296" s="216"/>
      <c r="I296" s="216"/>
      <c r="J296" s="216"/>
      <c r="K296" s="216"/>
    </row>
    <row r="297" spans="1:17" x14ac:dyDescent="0.2">
      <c r="A297" s="411"/>
      <c r="B297" s="216"/>
      <c r="C297" s="216"/>
      <c r="D297" s="216"/>
      <c r="E297" s="216"/>
      <c r="F297" s="216"/>
      <c r="G297" s="216"/>
      <c r="H297" s="216"/>
      <c r="I297" s="216"/>
      <c r="J297" s="216"/>
      <c r="K297" s="216"/>
    </row>
    <row r="298" spans="1:17" x14ac:dyDescent="0.2">
      <c r="A298" s="216"/>
      <c r="B298" s="216"/>
      <c r="C298" s="216"/>
      <c r="D298" s="216"/>
      <c r="E298" s="216"/>
      <c r="F298" s="216"/>
      <c r="G298" s="216"/>
      <c r="H298" s="216"/>
      <c r="I298" s="216"/>
      <c r="J298" s="216"/>
      <c r="K298" s="216"/>
    </row>
    <row r="299" spans="1:17" x14ac:dyDescent="0.2">
      <c r="A299" s="216"/>
      <c r="B299" s="216"/>
      <c r="C299" s="216"/>
      <c r="D299" s="216"/>
      <c r="E299" s="216"/>
      <c r="F299" s="216"/>
      <c r="G299" s="216"/>
      <c r="H299" s="216"/>
      <c r="I299" s="216"/>
      <c r="J299" s="216"/>
      <c r="K299" s="216"/>
    </row>
    <row r="300" spans="1:17" x14ac:dyDescent="0.2">
      <c r="A300" s="216"/>
      <c r="B300" s="216"/>
      <c r="C300" s="216"/>
      <c r="D300" s="216"/>
      <c r="E300" s="216"/>
      <c r="F300" s="216"/>
      <c r="G300" s="216"/>
      <c r="H300" s="216"/>
      <c r="I300" s="216"/>
      <c r="J300" s="216"/>
      <c r="K300" s="216"/>
    </row>
    <row r="301" spans="1:17" x14ac:dyDescent="0.2">
      <c r="A301" s="216"/>
      <c r="B301" s="216"/>
      <c r="C301" s="216"/>
      <c r="D301" s="216"/>
      <c r="E301" s="216"/>
      <c r="F301" s="216"/>
      <c r="G301" s="216"/>
      <c r="H301" s="216"/>
      <c r="I301" s="216"/>
      <c r="J301" s="216"/>
      <c r="K301" s="216"/>
    </row>
    <row r="302" spans="1:17" x14ac:dyDescent="0.2">
      <c r="A302" s="216"/>
      <c r="B302" s="216"/>
      <c r="C302" s="216"/>
      <c r="D302" s="216"/>
      <c r="E302" s="216"/>
      <c r="F302" s="216"/>
      <c r="G302" s="216"/>
      <c r="H302" s="216"/>
      <c r="I302" s="216"/>
      <c r="J302" s="216"/>
      <c r="K302" s="216"/>
    </row>
    <row r="303" spans="1:17" x14ac:dyDescent="0.2">
      <c r="A303" s="216"/>
      <c r="B303" s="216"/>
      <c r="C303" s="216"/>
      <c r="D303" s="216"/>
      <c r="E303" s="216"/>
      <c r="F303" s="216"/>
      <c r="G303" s="216"/>
      <c r="H303" s="216"/>
      <c r="I303" s="216"/>
      <c r="J303" s="216"/>
      <c r="K303" s="216"/>
    </row>
  </sheetData>
  <mergeCells count="24">
    <mergeCell ref="A258:H258"/>
    <mergeCell ref="A256:H256"/>
    <mergeCell ref="A257:H257"/>
    <mergeCell ref="A194:H194"/>
    <mergeCell ref="A195:H195"/>
    <mergeCell ref="A226:H226"/>
    <mergeCell ref="A84:H84"/>
    <mergeCell ref="A1:H1"/>
    <mergeCell ref="A2:H2"/>
    <mergeCell ref="A3:H3"/>
    <mergeCell ref="A82:H82"/>
    <mergeCell ref="A83:H83"/>
    <mergeCell ref="A44:H44"/>
    <mergeCell ref="A45:H45"/>
    <mergeCell ref="A46:H46"/>
    <mergeCell ref="A163:H163"/>
    <mergeCell ref="A224:H224"/>
    <mergeCell ref="A225:H225"/>
    <mergeCell ref="A193:H193"/>
    <mergeCell ref="A125:H125"/>
    <mergeCell ref="A126:H126"/>
    <mergeCell ref="A127:H127"/>
    <mergeCell ref="A161:H161"/>
    <mergeCell ref="A162:H162"/>
  </mergeCells>
  <pageMargins left="0" right="0" top="0.75" bottom="0.75" header="0.3" footer="0.3"/>
  <pageSetup scale="89" orientation="landscape" r:id="rId1"/>
  <rowBreaks count="7" manualBreakCount="7">
    <brk id="43" max="10" man="1"/>
    <brk id="81" max="10" man="1"/>
    <brk id="124" max="10" man="1"/>
    <brk id="160" max="10" man="1"/>
    <brk id="192" max="10" man="1"/>
    <brk id="223" max="10" man="1"/>
    <brk id="255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7030A0"/>
    <pageSetUpPr fitToPage="1"/>
  </sheetPr>
  <dimension ref="A1:K59"/>
  <sheetViews>
    <sheetView workbookViewId="0">
      <selection activeCell="G49" sqref="G49"/>
    </sheetView>
  </sheetViews>
  <sheetFormatPr defaultColWidth="9.625" defaultRowHeight="12.5" x14ac:dyDescent="0.25"/>
  <cols>
    <col min="1" max="1" width="10" style="1" bestFit="1" customWidth="1"/>
    <col min="2" max="2" width="9.625" style="1"/>
    <col min="3" max="3" width="62.375" style="1" customWidth="1"/>
    <col min="4" max="4" width="39.125" style="1" bestFit="1" customWidth="1"/>
    <col min="5" max="6" width="20.375" style="1" bestFit="1" customWidth="1"/>
    <col min="7" max="7" width="14.625" style="1" customWidth="1"/>
    <col min="8" max="16384" width="9.625" style="1"/>
  </cols>
  <sheetData>
    <row r="1" spans="1:11" x14ac:dyDescent="0.25">
      <c r="G1" s="34" t="s">
        <v>563</v>
      </c>
    </row>
    <row r="2" spans="1:11" x14ac:dyDescent="0.25">
      <c r="G2" s="34" t="s">
        <v>352</v>
      </c>
    </row>
    <row r="3" spans="1:11" x14ac:dyDescent="0.25">
      <c r="G3" s="34" t="str">
        <f>+'Rate Design KLJ-RDES-1'!$J$3</f>
        <v>Witness: K. L. Johnson</v>
      </c>
    </row>
    <row r="4" spans="1:11" ht="13" x14ac:dyDescent="0.3">
      <c r="A4" s="824" t="str">
        <f>CONAME</f>
        <v>Columbia Gas of Kentucky, Inc.</v>
      </c>
      <c r="B4" s="824"/>
      <c r="C4" s="824"/>
      <c r="D4" s="824"/>
      <c r="E4" s="824"/>
      <c r="F4" s="824"/>
      <c r="G4" s="824"/>
      <c r="H4" s="42"/>
      <c r="I4" s="42"/>
      <c r="J4" s="597"/>
      <c r="K4" s="38"/>
    </row>
    <row r="5" spans="1:11" ht="13" x14ac:dyDescent="0.3">
      <c r="A5" s="825" t="s">
        <v>482</v>
      </c>
      <c r="B5" s="825"/>
      <c r="C5" s="825"/>
      <c r="D5" s="825"/>
      <c r="E5" s="825"/>
      <c r="F5" s="825"/>
      <c r="G5" s="825"/>
      <c r="H5" s="43"/>
      <c r="I5" s="43"/>
    </row>
    <row r="6" spans="1:11" ht="13" x14ac:dyDescent="0.3">
      <c r="A6" s="824" t="str">
        <f>TYDESC</f>
        <v>For the 12 Months Ended December 31, 2022</v>
      </c>
      <c r="B6" s="824"/>
      <c r="C6" s="824"/>
      <c r="D6" s="824"/>
      <c r="E6" s="824"/>
      <c r="F6" s="824"/>
      <c r="G6" s="824"/>
      <c r="H6" s="42"/>
      <c r="I6" s="42"/>
    </row>
    <row r="7" spans="1:11" ht="13" x14ac:dyDescent="0.3">
      <c r="A7" s="35" t="s">
        <v>1</v>
      </c>
      <c r="F7" s="35"/>
      <c r="G7" s="35"/>
      <c r="H7" s="35"/>
      <c r="I7" s="36"/>
      <c r="J7" s="35"/>
      <c r="K7" s="35"/>
    </row>
    <row r="8" spans="1:11" ht="13" x14ac:dyDescent="0.3">
      <c r="A8" s="5" t="s">
        <v>3</v>
      </c>
      <c r="D8" s="5" t="s">
        <v>183</v>
      </c>
      <c r="E8" s="5" t="s">
        <v>179</v>
      </c>
      <c r="F8" s="5" t="s">
        <v>180</v>
      </c>
      <c r="G8" s="5"/>
      <c r="H8" s="5"/>
      <c r="I8" s="5"/>
      <c r="J8" s="5"/>
      <c r="K8" s="37"/>
    </row>
    <row r="9" spans="1:11" x14ac:dyDescent="0.25">
      <c r="E9" s="40" t="s">
        <v>60</v>
      </c>
      <c r="F9" s="40" t="s">
        <v>60</v>
      </c>
      <c r="G9" s="40"/>
      <c r="H9" s="40"/>
    </row>
    <row r="11" spans="1:11" ht="13" x14ac:dyDescent="0.3">
      <c r="A11" s="1">
        <v>1</v>
      </c>
      <c r="C11" s="20" t="s">
        <v>178</v>
      </c>
    </row>
    <row r="13" spans="1:11" x14ac:dyDescent="0.25">
      <c r="A13" s="1">
        <f>A11+1</f>
        <v>2</v>
      </c>
      <c r="C13" s="1" t="s">
        <v>184</v>
      </c>
      <c r="F13" s="2">
        <f>'Sch M 2.2'!Q369</f>
        <v>390077.64</v>
      </c>
    </row>
    <row r="14" spans="1:11" x14ac:dyDescent="0.25">
      <c r="F14" s="2"/>
    </row>
    <row r="15" spans="1:11" x14ac:dyDescent="0.25">
      <c r="A15" s="1">
        <f>A13+1</f>
        <v>3</v>
      </c>
      <c r="C15" s="1" t="s">
        <v>181</v>
      </c>
      <c r="F15" s="2"/>
    </row>
    <row r="16" spans="1:11" x14ac:dyDescent="0.25">
      <c r="F16" s="2"/>
    </row>
    <row r="17" spans="1:6" x14ac:dyDescent="0.25">
      <c r="A17" s="1">
        <f>A15+1</f>
        <v>4</v>
      </c>
      <c r="B17" s="1" t="s">
        <v>75</v>
      </c>
      <c r="C17" s="1" t="str">
        <f>'Sch M 2.1'!B19</f>
        <v>General Service - Residential</v>
      </c>
      <c r="D17" s="1" t="s">
        <v>64</v>
      </c>
      <c r="E17" s="2">
        <f>'Sch M 2.1'!E19</f>
        <v>86451073.719999999</v>
      </c>
      <c r="F17" s="2"/>
    </row>
    <row r="18" spans="1:6" x14ac:dyDescent="0.25">
      <c r="A18" s="1">
        <f>A17+1</f>
        <v>5</v>
      </c>
      <c r="B18" s="1" t="s">
        <v>77</v>
      </c>
      <c r="C18" s="1" t="str">
        <f>'Sch M 2.1'!B20</f>
        <v>LG&amp;E Commercial</v>
      </c>
      <c r="D18" s="1" t="s">
        <v>64</v>
      </c>
      <c r="E18" s="2">
        <f>'Sch M 2.1'!E20</f>
        <v>0</v>
      </c>
      <c r="F18" s="2"/>
    </row>
    <row r="19" spans="1:6" x14ac:dyDescent="0.25">
      <c r="A19" s="1">
        <f>A18+1</f>
        <v>6</v>
      </c>
      <c r="B19" s="1" t="s">
        <v>79</v>
      </c>
      <c r="C19" s="1" t="str">
        <f>'Sch M 2.1'!B21</f>
        <v>LG&amp;E Residential</v>
      </c>
      <c r="D19" s="1" t="s">
        <v>64</v>
      </c>
      <c r="E19" s="2">
        <f>'Sch M 2.1'!E21</f>
        <v>4820.84</v>
      </c>
      <c r="F19" s="2"/>
    </row>
    <row r="20" spans="1:6" x14ac:dyDescent="0.25">
      <c r="A20" s="1">
        <f>A19+1</f>
        <v>7</v>
      </c>
      <c r="B20" s="1" t="s">
        <v>74</v>
      </c>
      <c r="C20" s="1" t="str">
        <f>'Sch M 2.1'!B29</f>
        <v>General Service - Commercial</v>
      </c>
      <c r="D20" s="1" t="s">
        <v>64</v>
      </c>
      <c r="E20" s="2">
        <f>'Sch M 2.1'!E29</f>
        <v>35527761.530000001</v>
      </c>
      <c r="F20" s="2"/>
    </row>
    <row r="21" spans="1:6" x14ac:dyDescent="0.25">
      <c r="A21" s="1">
        <f t="shared" ref="A21:A38" si="0">A20+1</f>
        <v>8</v>
      </c>
      <c r="B21" s="1" t="s">
        <v>74</v>
      </c>
      <c r="C21" s="1" t="str">
        <f>'Sch M 2.1'!B30</f>
        <v>General Service - Industrial</v>
      </c>
      <c r="D21" s="1" t="s">
        <v>64</v>
      </c>
      <c r="E21" s="2">
        <f>'Sch M 2.1'!E30</f>
        <v>1704101.4800000004</v>
      </c>
      <c r="F21" s="2"/>
    </row>
    <row r="22" spans="1:6" x14ac:dyDescent="0.25">
      <c r="A22" s="1">
        <f>A21+1</f>
        <v>9</v>
      </c>
      <c r="B22" s="1" t="s">
        <v>280</v>
      </c>
      <c r="C22" s="1" t="str">
        <f>'Sch M 2.1'!B31</f>
        <v>Interruptible Service - Industrial</v>
      </c>
      <c r="D22" s="1" t="s">
        <v>64</v>
      </c>
      <c r="E22" s="2">
        <f>'Sch M 2.1'!E31</f>
        <v>0</v>
      </c>
      <c r="F22" s="2"/>
    </row>
    <row r="23" spans="1:6" x14ac:dyDescent="0.25">
      <c r="A23" s="1">
        <f>A22+1</f>
        <v>10</v>
      </c>
      <c r="B23" s="1" t="s">
        <v>92</v>
      </c>
      <c r="C23" s="1" t="str">
        <f>'Sch M 2.1'!B32</f>
        <v>Intrastate Utility Service - Wholesale</v>
      </c>
      <c r="D23" s="1" t="s">
        <v>64</v>
      </c>
      <c r="E23" s="2">
        <f>'Sch M 2.1'!E32</f>
        <v>80099.34</v>
      </c>
      <c r="F23" s="2"/>
    </row>
    <row r="24" spans="1:6" x14ac:dyDescent="0.25">
      <c r="A24" s="1">
        <f>A23+1</f>
        <v>11</v>
      </c>
      <c r="B24" s="1" t="s">
        <v>96</v>
      </c>
      <c r="C24" s="1" t="str">
        <f>'Sch M 2.1'!B36</f>
        <v xml:space="preserve">GTS Choice - Residential </v>
      </c>
      <c r="D24" s="1" t="s">
        <v>64</v>
      </c>
      <c r="E24" s="2">
        <f>'Sch M 2.1'!E36</f>
        <v>7250553.2899999991</v>
      </c>
      <c r="F24" s="2"/>
    </row>
    <row r="25" spans="1:6" x14ac:dyDescent="0.25">
      <c r="A25" s="1">
        <f>A24+1</f>
        <v>12</v>
      </c>
      <c r="B25" s="1" t="s">
        <v>97</v>
      </c>
      <c r="C25" s="1" t="str">
        <f>'Sch M 2.1'!B37</f>
        <v>GTS Choice - Commercial</v>
      </c>
      <c r="D25" s="1" t="s">
        <v>64</v>
      </c>
      <c r="E25" s="2">
        <f>'Sch M 2.1'!E37</f>
        <v>6225788.3699999992</v>
      </c>
      <c r="F25" s="2"/>
    </row>
    <row r="26" spans="1:6" x14ac:dyDescent="0.25">
      <c r="A26" s="1">
        <f t="shared" si="0"/>
        <v>13</v>
      </c>
      <c r="B26" s="1" t="s">
        <v>97</v>
      </c>
      <c r="C26" s="1" t="str">
        <f>'Sch M 2.1'!B38</f>
        <v>GTS Choice - Industrial</v>
      </c>
      <c r="D26" s="1" t="s">
        <v>64</v>
      </c>
      <c r="E26" s="2">
        <f>'Sch M 2.1'!E38</f>
        <v>107456.06</v>
      </c>
      <c r="F26" s="2"/>
    </row>
    <row r="27" spans="1:6" x14ac:dyDescent="0.25">
      <c r="A27" s="1">
        <f t="shared" si="0"/>
        <v>14</v>
      </c>
      <c r="B27" s="1" t="s">
        <v>158</v>
      </c>
      <c r="C27" s="1" t="str">
        <f>'Sch M 2.1'!B39</f>
        <v>GTS Delivery Service - Commercial</v>
      </c>
      <c r="D27" s="1" t="s">
        <v>64</v>
      </c>
      <c r="E27" s="2">
        <f>'Sch M 2.1'!E39</f>
        <v>2725642.5700000003</v>
      </c>
      <c r="F27" s="2"/>
    </row>
    <row r="28" spans="1:6" x14ac:dyDescent="0.25">
      <c r="A28" s="1">
        <f t="shared" si="0"/>
        <v>15</v>
      </c>
      <c r="B28" s="1" t="s">
        <v>158</v>
      </c>
      <c r="C28" s="1" t="str">
        <f>'Sch M 2.1'!B40</f>
        <v>GTS Delivery Service - Industrial</v>
      </c>
      <c r="D28" s="1" t="s">
        <v>64</v>
      </c>
      <c r="E28" s="2">
        <f>'Sch M 2.1'!E40</f>
        <v>4657050.92</v>
      </c>
      <c r="F28" s="2"/>
    </row>
    <row r="29" spans="1:6" x14ac:dyDescent="0.25">
      <c r="A29" s="1">
        <f t="shared" si="0"/>
        <v>16</v>
      </c>
      <c r="B29" s="1" t="s">
        <v>161</v>
      </c>
      <c r="C29" s="1" t="str">
        <f>'Sch M 2.1'!B41</f>
        <v>GTS Grandfathered Delivery Service - Commercial</v>
      </c>
      <c r="D29" s="1" t="s">
        <v>64</v>
      </c>
      <c r="E29" s="2">
        <f>'Sch M 2.1'!E41</f>
        <v>759909.12999999989</v>
      </c>
      <c r="F29" s="2"/>
    </row>
    <row r="30" spans="1:6" x14ac:dyDescent="0.25">
      <c r="A30" s="1">
        <f t="shared" si="0"/>
        <v>17</v>
      </c>
      <c r="B30" s="1" t="s">
        <v>161</v>
      </c>
      <c r="C30" s="1" t="str">
        <f>'Sch M 2.1'!B42</f>
        <v>GTS Grandfathered Delivery Service - Industrial</v>
      </c>
      <c r="D30" s="1" t="s">
        <v>64</v>
      </c>
      <c r="E30" s="2">
        <f>'Sch M 2.1'!E42</f>
        <v>144100.69</v>
      </c>
      <c r="F30" s="2"/>
    </row>
    <row r="31" spans="1:6" x14ac:dyDescent="0.25">
      <c r="A31" s="1">
        <f t="shared" si="0"/>
        <v>18</v>
      </c>
      <c r="B31" s="1" t="s">
        <v>73</v>
      </c>
      <c r="C31" s="1" t="str">
        <f>'Sch M 2.1'!B43</f>
        <v>GTS Main Line Service - Industrial</v>
      </c>
      <c r="D31" s="1" t="s">
        <v>64</v>
      </c>
      <c r="E31" s="2">
        <f>'Sch M 2.1'!E43</f>
        <v>69542.820000000007</v>
      </c>
      <c r="F31" s="2"/>
    </row>
    <row r="32" spans="1:6" x14ac:dyDescent="0.25">
      <c r="A32" s="1">
        <f t="shared" si="0"/>
        <v>19</v>
      </c>
      <c r="B32" s="1" t="s">
        <v>98</v>
      </c>
      <c r="C32" s="1" t="str">
        <f>'Sch M 2.1'!B44</f>
        <v>GTS Flex Rate - Commercial</v>
      </c>
      <c r="D32" s="1" t="s">
        <v>64</v>
      </c>
      <c r="E32" s="2">
        <f>'Sch M 2.1'!E44</f>
        <v>0</v>
      </c>
      <c r="F32" s="2"/>
    </row>
    <row r="33" spans="1:6" x14ac:dyDescent="0.25">
      <c r="A33" s="1">
        <f t="shared" si="0"/>
        <v>20</v>
      </c>
      <c r="B33" s="1" t="s">
        <v>99</v>
      </c>
      <c r="C33" s="1" t="str">
        <f>'Sch M 2.1'!B45</f>
        <v>GTS Flex Rate - Commercial</v>
      </c>
      <c r="D33" s="1" t="s">
        <v>64</v>
      </c>
      <c r="E33" s="2">
        <f>'Sch M 2.1'!E45</f>
        <v>0</v>
      </c>
      <c r="F33" s="2"/>
    </row>
    <row r="34" spans="1:6" x14ac:dyDescent="0.25">
      <c r="A34" s="1">
        <f>A33+1</f>
        <v>21</v>
      </c>
      <c r="B34" s="1" t="s">
        <v>100</v>
      </c>
      <c r="C34" s="1" t="str">
        <f>'Sch M 2.1'!B46</f>
        <v>GTS Flex Rate - Industrial</v>
      </c>
      <c r="D34" s="1" t="s">
        <v>64</v>
      </c>
      <c r="E34" s="2">
        <f>'Sch M 2.1'!E46</f>
        <v>585059.09999999986</v>
      </c>
      <c r="F34" s="2"/>
    </row>
    <row r="35" spans="1:6" x14ac:dyDescent="0.25">
      <c r="A35" s="1">
        <f>A34+1</f>
        <v>22</v>
      </c>
      <c r="B35" s="1" t="s">
        <v>136</v>
      </c>
      <c r="C35" s="1" t="str">
        <f>'Sch M 2.1'!B47</f>
        <v>GTS Flex Rate - Industrial</v>
      </c>
      <c r="D35" s="1" t="s">
        <v>64</v>
      </c>
      <c r="E35" s="2">
        <f>'Sch M 2.1'!E47</f>
        <v>0</v>
      </c>
      <c r="F35" s="2"/>
    </row>
    <row r="36" spans="1:6" x14ac:dyDescent="0.25">
      <c r="A36" s="1">
        <f>A35+1</f>
        <v>23</v>
      </c>
      <c r="B36" s="1" t="s">
        <v>137</v>
      </c>
      <c r="C36" s="1" t="str">
        <f>'Sch M 2.1'!B48</f>
        <v>GTS Special Agency Service</v>
      </c>
      <c r="D36" s="1" t="s">
        <v>64</v>
      </c>
      <c r="E36" s="2">
        <f>'Sch M 2.1'!E48</f>
        <v>0</v>
      </c>
      <c r="F36" s="2"/>
    </row>
    <row r="37" spans="1:6" x14ac:dyDescent="0.25">
      <c r="A37" s="1">
        <f t="shared" si="0"/>
        <v>24</v>
      </c>
      <c r="B37" s="1" t="s">
        <v>101</v>
      </c>
      <c r="C37" s="1" t="str">
        <f>'Sch M 2.1'!B49</f>
        <v>GTS Special Rate - Industrial</v>
      </c>
      <c r="D37" s="1" t="s">
        <v>64</v>
      </c>
      <c r="E37" s="2">
        <f>'Sch M 2.1'!E49</f>
        <v>0</v>
      </c>
      <c r="F37" s="2"/>
    </row>
    <row r="38" spans="1:6" x14ac:dyDescent="0.25">
      <c r="A38" s="1">
        <f t="shared" si="0"/>
        <v>25</v>
      </c>
      <c r="C38" s="1" t="s">
        <v>9</v>
      </c>
      <c r="F38" s="2">
        <f>SUM(E17:E37)</f>
        <v>146292959.85999998</v>
      </c>
    </row>
    <row r="40" spans="1:6" x14ac:dyDescent="0.25">
      <c r="A40" s="1">
        <f>A38+1</f>
        <v>26</v>
      </c>
      <c r="C40" s="1" t="s">
        <v>333</v>
      </c>
      <c r="D40" s="39" t="s">
        <v>187</v>
      </c>
      <c r="F40" s="44">
        <f>ROUND(F13/F38,9)</f>
        <v>2.6664140000000002E-3</v>
      </c>
    </row>
    <row r="42" spans="1:6" x14ac:dyDescent="0.25">
      <c r="A42" s="1">
        <f>A40+1</f>
        <v>27</v>
      </c>
      <c r="C42" s="1" t="s">
        <v>182</v>
      </c>
    </row>
    <row r="44" spans="1:6" x14ac:dyDescent="0.25">
      <c r="A44" s="1">
        <f>A42+1</f>
        <v>28</v>
      </c>
      <c r="C44" s="1" t="s">
        <v>156</v>
      </c>
      <c r="D44" s="9" t="s">
        <v>568</v>
      </c>
      <c r="E44" s="2">
        <f>'Rate Design KLJ-RDES-1'!H13</f>
        <v>111127535.48968001</v>
      </c>
    </row>
    <row r="45" spans="1:6" x14ac:dyDescent="0.25">
      <c r="A45" s="1">
        <f>A44+1</f>
        <v>29</v>
      </c>
      <c r="C45" s="1" t="s">
        <v>170</v>
      </c>
      <c r="D45" s="9" t="s">
        <v>568</v>
      </c>
      <c r="E45" s="2">
        <f>'Rate Design KLJ-RDES-1'!H14</f>
        <v>51422179.340000011</v>
      </c>
    </row>
    <row r="46" spans="1:6" x14ac:dyDescent="0.25">
      <c r="A46" s="1">
        <f t="shared" ref="A46:A55" si="1">A45+1</f>
        <v>30</v>
      </c>
      <c r="C46" s="9" t="s">
        <v>188</v>
      </c>
      <c r="D46" s="9" t="s">
        <v>568</v>
      </c>
      <c r="E46" s="2">
        <f>'Rate Design KLJ-RDES-1'!H15</f>
        <v>9456737.9900000002</v>
      </c>
    </row>
    <row r="47" spans="1:6" x14ac:dyDescent="0.25">
      <c r="A47" s="1">
        <f t="shared" si="1"/>
        <v>31</v>
      </c>
      <c r="C47" s="9" t="s">
        <v>288</v>
      </c>
      <c r="D47" s="9" t="s">
        <v>568</v>
      </c>
      <c r="E47" s="2">
        <f>'Rate Design KLJ-RDES-1'!H16</f>
        <v>0</v>
      </c>
    </row>
    <row r="48" spans="1:6" x14ac:dyDescent="0.25">
      <c r="A48" s="1">
        <f t="shared" si="1"/>
        <v>32</v>
      </c>
      <c r="C48" s="9" t="s">
        <v>92</v>
      </c>
      <c r="D48" s="9" t="s">
        <v>568</v>
      </c>
      <c r="E48" s="2">
        <f>'Rate Design KLJ-RDES-1'!H17</f>
        <v>88363.93</v>
      </c>
    </row>
    <row r="49" spans="1:6" x14ac:dyDescent="0.25">
      <c r="A49" s="1">
        <f t="shared" si="1"/>
        <v>33</v>
      </c>
      <c r="C49" s="9" t="s">
        <v>73</v>
      </c>
      <c r="D49" s="9" t="s">
        <v>568</v>
      </c>
      <c r="E49" s="2">
        <f>'Rate Design KLJ-RDES-1'!H27</f>
        <v>75788.100000000006</v>
      </c>
    </row>
    <row r="50" spans="1:6" x14ac:dyDescent="0.25">
      <c r="A50" s="1">
        <f t="shared" si="1"/>
        <v>34</v>
      </c>
      <c r="C50" s="1" t="s">
        <v>98</v>
      </c>
      <c r="D50" s="9" t="s">
        <v>568</v>
      </c>
      <c r="E50" s="2">
        <f>'Rate Design KLJ-RDES-1'!H28</f>
        <v>0</v>
      </c>
    </row>
    <row r="51" spans="1:6" x14ac:dyDescent="0.25">
      <c r="A51" s="1">
        <f t="shared" si="1"/>
        <v>35</v>
      </c>
      <c r="C51" s="1" t="s">
        <v>99</v>
      </c>
      <c r="D51" s="9" t="s">
        <v>568</v>
      </c>
      <c r="E51" s="2">
        <f>'Rate Design KLJ-RDES-1'!H29</f>
        <v>0</v>
      </c>
    </row>
    <row r="52" spans="1:6" x14ac:dyDescent="0.25">
      <c r="A52" s="1">
        <f t="shared" si="1"/>
        <v>36</v>
      </c>
      <c r="C52" s="1" t="s">
        <v>100</v>
      </c>
      <c r="D52" s="9" t="s">
        <v>568</v>
      </c>
      <c r="E52" s="2">
        <f>'Rate Design KLJ-RDES-1'!H30</f>
        <v>585059.09999999986</v>
      </c>
    </row>
    <row r="53" spans="1:6" x14ac:dyDescent="0.25">
      <c r="A53" s="1">
        <f t="shared" si="1"/>
        <v>37</v>
      </c>
      <c r="C53" s="1" t="s">
        <v>136</v>
      </c>
      <c r="D53" s="9" t="s">
        <v>568</v>
      </c>
      <c r="E53" s="2">
        <f>'Rate Design KLJ-RDES-1'!H31</f>
        <v>0</v>
      </c>
    </row>
    <row r="54" spans="1:6" x14ac:dyDescent="0.25">
      <c r="A54" s="1">
        <f t="shared" si="1"/>
        <v>38</v>
      </c>
      <c r="C54" s="1" t="s">
        <v>101</v>
      </c>
      <c r="D54" s="9" t="s">
        <v>568</v>
      </c>
      <c r="E54" s="2">
        <f>'Rate Design KLJ-RDES-1'!H32</f>
        <v>0</v>
      </c>
    </row>
    <row r="55" spans="1:6" x14ac:dyDescent="0.25">
      <c r="A55" s="1">
        <f t="shared" si="1"/>
        <v>39</v>
      </c>
      <c r="C55" s="1" t="s">
        <v>9</v>
      </c>
      <c r="F55" s="2">
        <f>SUM(E44:E54)</f>
        <v>172755663.94968003</v>
      </c>
    </row>
    <row r="57" spans="1:6" x14ac:dyDescent="0.25">
      <c r="A57" s="1">
        <f>A55+1</f>
        <v>40</v>
      </c>
      <c r="C57" s="1" t="s">
        <v>185</v>
      </c>
      <c r="D57" s="1" t="s">
        <v>480</v>
      </c>
      <c r="F57" s="2">
        <f>ROUND(F55*F40,0)</f>
        <v>460638</v>
      </c>
    </row>
    <row r="59" spans="1:6" ht="13" x14ac:dyDescent="0.3">
      <c r="A59" s="1">
        <f>A57+1</f>
        <v>41</v>
      </c>
      <c r="C59" s="20" t="s">
        <v>186</v>
      </c>
      <c r="D59" s="20" t="s">
        <v>481</v>
      </c>
      <c r="E59" s="20"/>
      <c r="F59" s="41">
        <f>F57-F13</f>
        <v>70560.359999999986</v>
      </c>
    </row>
  </sheetData>
  <mergeCells count="3">
    <mergeCell ref="A6:G6"/>
    <mergeCell ref="A5:G5"/>
    <mergeCell ref="A4:G4"/>
  </mergeCells>
  <phoneticPr fontId="2" type="noConversion"/>
  <pageMargins left="0.75" right="0.75" top="1" bottom="0.75" header="0.5" footer="0.5"/>
  <pageSetup scale="72" orientation="portrait" r:id="rId1"/>
  <headerFooter alignWithMargins="0"/>
  <ignoredErrors>
    <ignoredError sqref="G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7"/>
  <sheetViews>
    <sheetView workbookViewId="0"/>
  </sheetViews>
  <sheetFormatPr defaultColWidth="9.625" defaultRowHeight="10" x14ac:dyDescent="0.2"/>
  <cols>
    <col min="1" max="1" width="6.375" style="213" customWidth="1"/>
    <col min="2" max="2" width="48.375" style="213" customWidth="1"/>
    <col min="3" max="3" width="15" style="213" customWidth="1"/>
    <col min="4" max="4" width="19.375" style="213" customWidth="1"/>
    <col min="5" max="5" width="14.625" style="213" customWidth="1"/>
    <col min="6" max="6" width="8.375" style="213" customWidth="1"/>
    <col min="7" max="16384" width="9.625" style="213"/>
  </cols>
  <sheetData>
    <row r="1" spans="1:8" ht="12.5" x14ac:dyDescent="0.25">
      <c r="A1" s="1"/>
      <c r="B1" s="1"/>
      <c r="C1" s="1"/>
      <c r="D1" s="1"/>
      <c r="E1" s="1"/>
      <c r="F1" s="625" t="s">
        <v>495</v>
      </c>
    </row>
    <row r="2" spans="1:8" ht="12.5" x14ac:dyDescent="0.25">
      <c r="A2" s="1"/>
      <c r="B2" s="1"/>
      <c r="C2" s="1"/>
      <c r="D2" s="1"/>
      <c r="E2" s="1"/>
      <c r="F2" s="625" t="str">
        <f>+'Late Payment KLJ-RDES-2'!$G$3</f>
        <v>Witness: K. L. Johnson</v>
      </c>
    </row>
    <row r="3" spans="1:8" ht="12.5" x14ac:dyDescent="0.25">
      <c r="A3" s="1"/>
      <c r="B3" s="1"/>
      <c r="C3" s="1"/>
      <c r="D3" s="1"/>
      <c r="E3" s="1"/>
      <c r="F3" s="625" t="s">
        <v>564</v>
      </c>
    </row>
    <row r="4" spans="1:8" ht="12.5" x14ac:dyDescent="0.25">
      <c r="A4" s="1"/>
      <c r="B4" s="1"/>
      <c r="C4" s="1"/>
      <c r="D4" s="1"/>
      <c r="E4" s="1"/>
      <c r="F4" s="625" t="s">
        <v>510</v>
      </c>
    </row>
    <row r="5" spans="1:8" ht="12.5" x14ac:dyDescent="0.25">
      <c r="A5" s="826" t="s">
        <v>36</v>
      </c>
      <c r="B5" s="826"/>
      <c r="C5" s="826"/>
      <c r="D5" s="826"/>
      <c r="E5" s="826"/>
      <c r="F5" s="826"/>
    </row>
    <row r="6" spans="1:8" ht="12.5" x14ac:dyDescent="0.25">
      <c r="A6" s="827" t="s">
        <v>561</v>
      </c>
      <c r="B6" s="827"/>
      <c r="C6" s="827"/>
      <c r="D6" s="827"/>
      <c r="E6" s="827"/>
      <c r="F6" s="827"/>
    </row>
    <row r="7" spans="1:8" ht="12.5" x14ac:dyDescent="0.25">
      <c r="A7" s="826" t="s">
        <v>496</v>
      </c>
      <c r="B7" s="826"/>
      <c r="C7" s="826"/>
      <c r="D7" s="826"/>
      <c r="E7" s="826"/>
      <c r="F7" s="826"/>
    </row>
    <row r="8" spans="1:8" ht="12.5" x14ac:dyDescent="0.25">
      <c r="A8" s="1"/>
      <c r="B8" s="1"/>
      <c r="C8" s="1"/>
      <c r="D8" s="1"/>
      <c r="E8" s="1"/>
      <c r="F8" s="1"/>
    </row>
    <row r="9" spans="1:8" ht="12.5" x14ac:dyDescent="0.25">
      <c r="A9" s="1"/>
      <c r="B9" s="1"/>
      <c r="C9" s="626" t="s">
        <v>47</v>
      </c>
      <c r="D9" s="626"/>
      <c r="E9" s="626" t="s">
        <v>30</v>
      </c>
      <c r="F9" s="626"/>
    </row>
    <row r="10" spans="1:8" ht="12.5" x14ac:dyDescent="0.25">
      <c r="A10" s="1"/>
      <c r="B10" s="1"/>
      <c r="C10" s="627" t="s">
        <v>48</v>
      </c>
      <c r="D10" s="627"/>
      <c r="E10" s="627" t="s">
        <v>48</v>
      </c>
      <c r="F10" s="627"/>
    </row>
    <row r="11" spans="1:8" ht="13" x14ac:dyDescent="0.3">
      <c r="A11" s="20" t="s">
        <v>505</v>
      </c>
      <c r="B11" s="9"/>
      <c r="C11" s="9"/>
      <c r="D11" s="9"/>
      <c r="E11" s="9"/>
      <c r="F11" s="628"/>
    </row>
    <row r="12" spans="1:8" ht="12.5" x14ac:dyDescent="0.25">
      <c r="A12" s="1"/>
      <c r="B12" s="9" t="s">
        <v>497</v>
      </c>
      <c r="C12" s="629">
        <f>'Rate Design KLJ-RDES-1'!I185</f>
        <v>16</v>
      </c>
      <c r="D12" s="630"/>
      <c r="E12" s="629">
        <f>'Rate Design KLJ-RDES-1'!F185</f>
        <v>29.2</v>
      </c>
      <c r="F12" s="631"/>
      <c r="H12" s="391"/>
    </row>
    <row r="13" spans="1:8" ht="12.5" x14ac:dyDescent="0.25">
      <c r="A13" s="1"/>
      <c r="B13" s="9" t="s">
        <v>110</v>
      </c>
      <c r="C13" s="634">
        <f>'Rate Design KLJ-RDES-1'!I190</f>
        <v>3.5665</v>
      </c>
      <c r="D13" s="634"/>
      <c r="E13" s="634">
        <f>'Rate Design KLJ-RDES-1'!F190</f>
        <v>4.2263000000000002</v>
      </c>
      <c r="F13" s="631"/>
      <c r="H13" s="633"/>
    </row>
    <row r="14" spans="1:8" ht="12.5" x14ac:dyDescent="0.25">
      <c r="A14" s="1"/>
      <c r="B14" s="9"/>
      <c r="C14" s="630"/>
      <c r="D14" s="630"/>
      <c r="E14" s="630"/>
      <c r="F14" s="631"/>
    </row>
    <row r="15" spans="1:8" ht="13" x14ac:dyDescent="0.3">
      <c r="A15" s="20" t="s">
        <v>506</v>
      </c>
      <c r="B15" s="9"/>
      <c r="C15" s="630"/>
      <c r="D15" s="630"/>
      <c r="E15" s="630"/>
      <c r="F15" s="628"/>
    </row>
    <row r="16" spans="1:8" ht="13" x14ac:dyDescent="0.3">
      <c r="A16" s="20"/>
      <c r="B16" s="9" t="s">
        <v>497</v>
      </c>
      <c r="C16" s="629">
        <f>'Rate Design KLJ-RDES-1'!J210</f>
        <v>44.69</v>
      </c>
      <c r="D16" s="630"/>
      <c r="E16" s="629">
        <f>'Rate Design KLJ-RDES-1'!F210</f>
        <v>87.149999999999991</v>
      </c>
      <c r="F16" s="628"/>
    </row>
    <row r="17" spans="1:6" ht="13" x14ac:dyDescent="0.3">
      <c r="A17" s="20"/>
      <c r="B17" s="9" t="s">
        <v>466</v>
      </c>
      <c r="C17" s="634">
        <f>'Rate Design KLJ-RDES-1'!J216</f>
        <v>3.0181</v>
      </c>
      <c r="D17" s="634"/>
      <c r="E17" s="634">
        <f>'Rate Design KLJ-RDES-1'!F216</f>
        <v>3.5621999999999998</v>
      </c>
      <c r="F17" s="628"/>
    </row>
    <row r="18" spans="1:6" ht="13" x14ac:dyDescent="0.3">
      <c r="A18" s="20"/>
      <c r="B18" s="9" t="s">
        <v>467</v>
      </c>
      <c r="C18" s="634">
        <f>'Rate Design KLJ-RDES-1'!J217</f>
        <v>2.3294999999999999</v>
      </c>
      <c r="D18" s="634"/>
      <c r="E18" s="634">
        <f>'Rate Design KLJ-RDES-1'!F217</f>
        <v>2.7494000000000001</v>
      </c>
      <c r="F18" s="628"/>
    </row>
    <row r="19" spans="1:6" ht="13" x14ac:dyDescent="0.3">
      <c r="A19" s="20"/>
      <c r="B19" s="9" t="s">
        <v>468</v>
      </c>
      <c r="C19" s="634">
        <f>'Rate Design KLJ-RDES-1'!J218</f>
        <v>2.2143000000000002</v>
      </c>
      <c r="D19" s="634"/>
      <c r="E19" s="634">
        <f>'Rate Design KLJ-RDES-1'!F218</f>
        <v>2.6135000000000002</v>
      </c>
      <c r="F19" s="628"/>
    </row>
    <row r="20" spans="1:6" ht="13" x14ac:dyDescent="0.3">
      <c r="A20" s="20"/>
      <c r="B20" s="9" t="s">
        <v>469</v>
      </c>
      <c r="C20" s="634">
        <f>'Rate Design KLJ-RDES-1'!J219</f>
        <v>2.0143</v>
      </c>
      <c r="D20" s="634"/>
      <c r="E20" s="634">
        <f>'Rate Design KLJ-RDES-1'!F219</f>
        <v>2.3782000000000001</v>
      </c>
      <c r="F20" s="628"/>
    </row>
    <row r="21" spans="1:6" ht="13" x14ac:dyDescent="0.3">
      <c r="A21" s="20"/>
      <c r="B21" s="9"/>
      <c r="C21" s="634"/>
      <c r="D21" s="634"/>
      <c r="E21" s="634"/>
      <c r="F21" s="628"/>
    </row>
    <row r="22" spans="1:6" ht="13" x14ac:dyDescent="0.3">
      <c r="A22" s="20" t="s">
        <v>507</v>
      </c>
      <c r="B22" s="9"/>
      <c r="C22" s="630"/>
      <c r="D22" s="630"/>
      <c r="E22" s="630"/>
      <c r="F22" s="628"/>
    </row>
    <row r="23" spans="1:6" ht="13" x14ac:dyDescent="0.3">
      <c r="A23" s="20"/>
      <c r="B23" s="9" t="s">
        <v>497</v>
      </c>
      <c r="C23" s="629">
        <f>'Rate Design KLJ-RDES-1'!J241</f>
        <v>2007</v>
      </c>
      <c r="D23" s="630"/>
      <c r="E23" s="629">
        <f>'Rate Design KLJ-RDES-1'!F241</f>
        <v>4151</v>
      </c>
      <c r="F23" s="628"/>
    </row>
    <row r="24" spans="1:6" ht="13" x14ac:dyDescent="0.3">
      <c r="A24" s="20"/>
      <c r="B24" s="9" t="s">
        <v>409</v>
      </c>
      <c r="C24" s="634">
        <f>'Rate Design KLJ-RDES-1'!J247</f>
        <v>0.62849999999999995</v>
      </c>
      <c r="D24" s="634"/>
      <c r="E24" s="634">
        <f>'Rate Design KLJ-RDES-1'!F247</f>
        <v>0.77010000000000001</v>
      </c>
      <c r="F24" s="628"/>
    </row>
    <row r="25" spans="1:6" ht="13" x14ac:dyDescent="0.3">
      <c r="A25" s="20"/>
      <c r="B25" s="9" t="s">
        <v>549</v>
      </c>
      <c r="C25" s="634">
        <f>'Rate Design KLJ-RDES-1'!J248</f>
        <v>0.37369999999999998</v>
      </c>
      <c r="D25" s="634"/>
      <c r="E25" s="634">
        <f>'Rate Design KLJ-RDES-1'!F248</f>
        <v>0.45789999999999997</v>
      </c>
      <c r="F25" s="628"/>
    </row>
    <row r="26" spans="1:6" ht="13" x14ac:dyDescent="0.3">
      <c r="A26" s="20"/>
      <c r="B26" s="9" t="s">
        <v>547</v>
      </c>
      <c r="C26" s="634">
        <f>'Rate Design KLJ-RDES-1'!J249</f>
        <v>0.32469999999999999</v>
      </c>
      <c r="D26" s="634"/>
      <c r="E26" s="634">
        <f>'Rate Design KLJ-RDES-1'!F249</f>
        <v>0.39749999999999996</v>
      </c>
      <c r="F26" s="628"/>
    </row>
    <row r="27" spans="1:6" ht="13" x14ac:dyDescent="0.3">
      <c r="A27" s="20"/>
      <c r="B27" s="9"/>
      <c r="C27" s="632"/>
      <c r="D27" s="630"/>
      <c r="E27" s="632"/>
      <c r="F27" s="628"/>
    </row>
    <row r="28" spans="1:6" ht="13" x14ac:dyDescent="0.3">
      <c r="A28" s="20" t="s">
        <v>508</v>
      </c>
      <c r="B28" s="9"/>
      <c r="C28" s="630"/>
      <c r="D28" s="630"/>
      <c r="E28" s="630"/>
      <c r="F28" s="628"/>
    </row>
    <row r="29" spans="1:6" ht="13" x14ac:dyDescent="0.3">
      <c r="A29" s="20"/>
      <c r="B29" s="9"/>
      <c r="C29" s="630"/>
      <c r="D29" s="630"/>
      <c r="E29" s="630"/>
      <c r="F29" s="628"/>
    </row>
    <row r="30" spans="1:6" ht="13" x14ac:dyDescent="0.3">
      <c r="A30" s="20"/>
      <c r="B30" s="9" t="s">
        <v>497</v>
      </c>
      <c r="C30" s="629">
        <f>'Rate Design KLJ-RDES-1'!J271</f>
        <v>567.4</v>
      </c>
      <c r="D30" s="630"/>
      <c r="E30" s="629">
        <f>'Rate Design KLJ-RDES-1'!F271</f>
        <v>991.2</v>
      </c>
      <c r="F30" s="628"/>
    </row>
    <row r="31" spans="1:6" ht="13" x14ac:dyDescent="0.3">
      <c r="A31" s="20"/>
      <c r="B31" s="9" t="s">
        <v>110</v>
      </c>
      <c r="C31" s="634">
        <f>'Rate Design KLJ-RDES-1'!J276</f>
        <v>1.1544000000000001</v>
      </c>
      <c r="D31" s="634"/>
      <c r="E31" s="634">
        <f>'Rate Design KLJ-RDES-1'!F276</f>
        <v>1.3261000000000001</v>
      </c>
      <c r="F31" s="628"/>
    </row>
    <row r="32" spans="1:6" ht="13" x14ac:dyDescent="0.3">
      <c r="A32" s="20"/>
      <c r="B32" s="9"/>
      <c r="C32" s="630"/>
      <c r="D32" s="630"/>
      <c r="E32" s="630"/>
      <c r="F32" s="628"/>
    </row>
    <row r="33" spans="1:6" ht="13" x14ac:dyDescent="0.3">
      <c r="A33" s="20" t="s">
        <v>509</v>
      </c>
      <c r="B33" s="9"/>
      <c r="C33" s="9"/>
      <c r="D33" s="9"/>
      <c r="E33" s="9"/>
      <c r="F33" s="628"/>
    </row>
    <row r="34" spans="1:6" ht="12.5" x14ac:dyDescent="0.25">
      <c r="A34" s="1"/>
      <c r="B34" s="9" t="s">
        <v>497</v>
      </c>
      <c r="C34" s="629">
        <f>'Rate Design KLJ-RDES-1'!J288</f>
        <v>255.9</v>
      </c>
      <c r="D34" s="630"/>
      <c r="E34" s="629">
        <f>'Rate Design KLJ-RDES-1'!F288</f>
        <v>282.2</v>
      </c>
      <c r="F34" s="631"/>
    </row>
    <row r="35" spans="1:6" ht="12.5" x14ac:dyDescent="0.25">
      <c r="A35" s="1"/>
      <c r="B35" s="9" t="s">
        <v>110</v>
      </c>
      <c r="C35" s="634">
        <f>'Rate Design KLJ-RDES-1'!J292</f>
        <v>8.5800000000000001E-2</v>
      </c>
      <c r="D35" s="634"/>
      <c r="E35" s="634">
        <f>'Rate Design KLJ-RDES-1'!F292</f>
        <v>9.4600000000000004E-2</v>
      </c>
      <c r="F35" s="631"/>
    </row>
    <row r="36" spans="1:6" ht="12.5" x14ac:dyDescent="0.25">
      <c r="A36" s="1"/>
      <c r="B36" s="9"/>
      <c r="C36" s="630"/>
      <c r="D36" s="630"/>
      <c r="E36" s="630"/>
      <c r="F36" s="631"/>
    </row>
    <row r="37" spans="1:6" x14ac:dyDescent="0.2">
      <c r="A37" s="213" t="s">
        <v>575</v>
      </c>
    </row>
  </sheetData>
  <mergeCells count="3">
    <mergeCell ref="A5:F5"/>
    <mergeCell ref="A6:F6"/>
    <mergeCell ref="A7:F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82"/>
  <sheetViews>
    <sheetView zoomScaleNormal="100" workbookViewId="0">
      <selection activeCell="G99" sqref="G99"/>
    </sheetView>
  </sheetViews>
  <sheetFormatPr defaultColWidth="9.625" defaultRowHeight="12.5" x14ac:dyDescent="0.25"/>
  <cols>
    <col min="1" max="1" width="10" style="1" bestFit="1" customWidth="1"/>
    <col min="2" max="2" width="61.625" style="1" bestFit="1" customWidth="1"/>
    <col min="3" max="3" width="13.625" style="1" bestFit="1" customWidth="1"/>
    <col min="4" max="4" width="12.625" style="1" bestFit="1" customWidth="1"/>
    <col min="5" max="5" width="19.375" style="1" bestFit="1" customWidth="1"/>
    <col min="6" max="6" width="13.125" style="1" customWidth="1"/>
    <col min="7" max="7" width="13.125" style="1" bestFit="1" customWidth="1"/>
    <col min="8" max="16384" width="9.625" style="1"/>
  </cols>
  <sheetData>
    <row r="1" spans="1:7" x14ac:dyDescent="0.25">
      <c r="F1" s="625" t="s">
        <v>495</v>
      </c>
    </row>
    <row r="2" spans="1:7" x14ac:dyDescent="0.25">
      <c r="F2" s="625" t="str">
        <f>+'KLJ-RDES-3'!$F$2</f>
        <v>Witness: K. L. Johnson</v>
      </c>
    </row>
    <row r="3" spans="1:7" x14ac:dyDescent="0.25">
      <c r="F3" s="625" t="s">
        <v>565</v>
      </c>
    </row>
    <row r="4" spans="1:7" x14ac:dyDescent="0.25">
      <c r="F4" s="625" t="s">
        <v>602</v>
      </c>
    </row>
    <row r="5" spans="1:7" s="9" customFormat="1" ht="13" x14ac:dyDescent="0.3">
      <c r="A5" s="824" t="s">
        <v>36</v>
      </c>
      <c r="B5" s="824"/>
      <c r="C5" s="824"/>
      <c r="D5" s="824"/>
      <c r="E5" s="824"/>
      <c r="F5" s="824"/>
    </row>
    <row r="6" spans="1:7" s="9" customFormat="1" ht="13" x14ac:dyDescent="0.3">
      <c r="A6" s="824" t="s">
        <v>511</v>
      </c>
      <c r="B6" s="824"/>
      <c r="C6" s="824"/>
      <c r="D6" s="824"/>
      <c r="E6" s="824"/>
      <c r="F6" s="824"/>
    </row>
    <row r="7" spans="1:7" s="9" customFormat="1" ht="13" x14ac:dyDescent="0.3">
      <c r="A7" s="828" t="s">
        <v>570</v>
      </c>
      <c r="B7" s="829"/>
      <c r="C7" s="829"/>
      <c r="D7" s="829"/>
      <c r="E7" s="829"/>
      <c r="F7" s="829"/>
    </row>
    <row r="8" spans="1:7" s="9" customFormat="1" x14ac:dyDescent="0.25">
      <c r="C8" s="635"/>
      <c r="D8" s="635"/>
      <c r="E8" s="635"/>
      <c r="F8" s="635"/>
    </row>
    <row r="9" spans="1:7" s="9" customFormat="1" ht="13" x14ac:dyDescent="0.3">
      <c r="A9" s="716" t="s">
        <v>1</v>
      </c>
      <c r="B9" s="22"/>
      <c r="C9" s="716"/>
      <c r="D9" s="716" t="s">
        <v>0</v>
      </c>
      <c r="E9" s="716"/>
      <c r="F9" s="716"/>
    </row>
    <row r="10" spans="1:7" s="9" customFormat="1" ht="13" x14ac:dyDescent="0.3">
      <c r="A10" s="3" t="s">
        <v>3</v>
      </c>
      <c r="B10" s="10" t="s">
        <v>498</v>
      </c>
      <c r="C10" s="3" t="s">
        <v>499</v>
      </c>
      <c r="D10" s="3" t="s">
        <v>515</v>
      </c>
      <c r="E10" s="3" t="s">
        <v>180</v>
      </c>
      <c r="F10" s="716"/>
    </row>
    <row r="11" spans="1:7" s="9" customFormat="1" ht="13" x14ac:dyDescent="0.3">
      <c r="C11" s="716" t="s">
        <v>22</v>
      </c>
      <c r="D11" s="716" t="s">
        <v>24</v>
      </c>
      <c r="E11" s="716" t="s">
        <v>24</v>
      </c>
      <c r="F11" s="716"/>
    </row>
    <row r="12" spans="1:7" s="9" customFormat="1" ht="13" x14ac:dyDescent="0.3">
      <c r="C12" s="716"/>
      <c r="D12" s="716"/>
      <c r="E12" s="716"/>
      <c r="F12" s="716"/>
    </row>
    <row r="13" spans="1:7" s="9" customFormat="1" ht="13" x14ac:dyDescent="0.3">
      <c r="A13" s="635">
        <v>1</v>
      </c>
      <c r="B13" s="22" t="s">
        <v>500</v>
      </c>
      <c r="C13" s="716"/>
      <c r="D13" s="716"/>
      <c r="E13" s="716"/>
      <c r="F13" s="716"/>
    </row>
    <row r="14" spans="1:7" s="9" customFormat="1" x14ac:dyDescent="0.25"/>
    <row r="15" spans="1:7" s="9" customFormat="1" x14ac:dyDescent="0.25">
      <c r="A15" s="635">
        <f>A13+1</f>
        <v>2</v>
      </c>
      <c r="B15" s="9" t="s">
        <v>585</v>
      </c>
      <c r="D15" s="638"/>
      <c r="E15" s="639">
        <f>Input!H16</f>
        <v>16</v>
      </c>
      <c r="F15" s="640"/>
    </row>
    <row r="16" spans="1:7" s="9" customFormat="1" x14ac:dyDescent="0.25">
      <c r="A16" s="635">
        <f>A15+1</f>
        <v>3</v>
      </c>
      <c r="B16" s="9" t="s">
        <v>586</v>
      </c>
      <c r="D16" s="641"/>
      <c r="E16" s="639">
        <f>Input!K16</f>
        <v>6.63</v>
      </c>
      <c r="F16" s="640"/>
      <c r="G16" s="636"/>
    </row>
    <row r="17" spans="1:7" s="9" customFormat="1" x14ac:dyDescent="0.25">
      <c r="A17" s="635">
        <f>A16+1</f>
        <v>4</v>
      </c>
      <c r="B17" s="9" t="s">
        <v>587</v>
      </c>
      <c r="D17" s="641"/>
      <c r="E17" s="639">
        <f>Input!L16</f>
        <v>0.28999999999999998</v>
      </c>
      <c r="F17" s="640"/>
    </row>
    <row r="18" spans="1:7" s="9" customFormat="1" x14ac:dyDescent="0.25">
      <c r="A18" s="635">
        <f>A17+1</f>
        <v>5</v>
      </c>
      <c r="B18" s="9" t="s">
        <v>588</v>
      </c>
      <c r="C18" s="637">
        <f>+C20</f>
        <v>5.6</v>
      </c>
      <c r="D18" s="643">
        <f>+Input!J16</f>
        <v>-0.28249999999999997</v>
      </c>
      <c r="E18" s="639">
        <f>+C18*D18</f>
        <v>-1.5819999999999999</v>
      </c>
      <c r="F18" s="640"/>
    </row>
    <row r="19" spans="1:7" s="9" customFormat="1" x14ac:dyDescent="0.25">
      <c r="A19" s="635"/>
      <c r="D19" s="642"/>
      <c r="E19" s="639"/>
      <c r="F19" s="640"/>
    </row>
    <row r="20" spans="1:7" s="9" customFormat="1" x14ac:dyDescent="0.25">
      <c r="A20" s="635">
        <f>+A18+1</f>
        <v>6</v>
      </c>
      <c r="B20" s="9" t="s">
        <v>589</v>
      </c>
      <c r="C20" s="637">
        <v>5.6</v>
      </c>
      <c r="D20" s="643">
        <f>Input!C16</f>
        <v>3.5665</v>
      </c>
      <c r="E20" s="639">
        <f>ROUND(C20*D20,2)</f>
        <v>19.97</v>
      </c>
    </row>
    <row r="21" spans="1:7" s="9" customFormat="1" x14ac:dyDescent="0.25">
      <c r="A21" s="635">
        <f>A20+1</f>
        <v>7</v>
      </c>
      <c r="B21" s="9" t="s">
        <v>590</v>
      </c>
      <c r="C21" s="637">
        <f>$C$20</f>
        <v>5.6</v>
      </c>
      <c r="D21" s="643">
        <f>Input!N16</f>
        <v>1.44E-2</v>
      </c>
      <c r="E21" s="639">
        <f t="shared" ref="E21" si="0">ROUND(C21*D21,2)</f>
        <v>0.08</v>
      </c>
    </row>
    <row r="22" spans="1:7" s="9" customFormat="1" x14ac:dyDescent="0.25">
      <c r="A22" s="635">
        <f t="shared" ref="A22:A23" si="1">A21+1</f>
        <v>8</v>
      </c>
      <c r="B22" s="9" t="s">
        <v>591</v>
      </c>
      <c r="C22" s="637"/>
      <c r="D22" s="643"/>
      <c r="E22" s="639">
        <v>0.3</v>
      </c>
    </row>
    <row r="23" spans="1:7" s="9" customFormat="1" x14ac:dyDescent="0.25">
      <c r="A23" s="635">
        <f t="shared" si="1"/>
        <v>9</v>
      </c>
      <c r="B23" s="9" t="s">
        <v>514</v>
      </c>
      <c r="C23" s="637">
        <f t="shared" ref="C23" si="2">$C$20</f>
        <v>5.6</v>
      </c>
      <c r="D23" s="643">
        <v>4.4127999999999998</v>
      </c>
      <c r="E23" s="639">
        <f>ROUND(C23*D23,2)</f>
        <v>24.71</v>
      </c>
    </row>
    <row r="24" spans="1:7" s="9" customFormat="1" x14ac:dyDescent="0.25">
      <c r="A24" s="635"/>
      <c r="C24" s="637"/>
      <c r="D24" s="643"/>
      <c r="E24" s="644"/>
    </row>
    <row r="25" spans="1:7" s="9" customFormat="1" ht="13" thickBot="1" x14ac:dyDescent="0.3">
      <c r="A25" s="635">
        <f>+A23+1</f>
        <v>10</v>
      </c>
      <c r="B25" s="9" t="s">
        <v>502</v>
      </c>
      <c r="C25" s="637">
        <f>+C23</f>
        <v>5.6</v>
      </c>
      <c r="D25" s="24"/>
      <c r="E25" s="645">
        <f>SUM(E15:E23)</f>
        <v>66.397999999999996</v>
      </c>
      <c r="F25" s="646"/>
    </row>
    <row r="26" spans="1:7" s="9" customFormat="1" ht="13" thickTop="1" x14ac:dyDescent="0.25">
      <c r="D26" s="24"/>
      <c r="E26" s="636"/>
    </row>
    <row r="27" spans="1:7" s="9" customFormat="1" ht="13" x14ac:dyDescent="0.3">
      <c r="A27" s="635">
        <f>A25+1</f>
        <v>11</v>
      </c>
      <c r="B27" s="22" t="s">
        <v>134</v>
      </c>
      <c r="C27" s="716"/>
      <c r="D27" s="647"/>
      <c r="E27" s="648"/>
    </row>
    <row r="28" spans="1:7" s="9" customFormat="1" x14ac:dyDescent="0.25">
      <c r="D28" s="24"/>
      <c r="E28" s="636"/>
    </row>
    <row r="29" spans="1:7" s="9" customFormat="1" x14ac:dyDescent="0.25">
      <c r="A29" s="635">
        <f>A27+1</f>
        <v>12</v>
      </c>
      <c r="B29" s="9" t="str">
        <f>+B15</f>
        <v>Customer Charge per billing period</v>
      </c>
      <c r="D29" s="638"/>
      <c r="E29" s="639">
        <f>Input!V16</f>
        <v>29.2</v>
      </c>
      <c r="G29" s="636"/>
    </row>
    <row r="30" spans="1:7" s="9" customFormat="1" x14ac:dyDescent="0.25">
      <c r="A30" s="635">
        <f>A29+1</f>
        <v>13</v>
      </c>
      <c r="B30" s="9" t="str">
        <f>+B16</f>
        <v>SMRP Rider per billing period</v>
      </c>
      <c r="D30" s="641"/>
      <c r="E30" s="639">
        <f>Input!X16</f>
        <v>0</v>
      </c>
    </row>
    <row r="31" spans="1:7" s="9" customFormat="1" x14ac:dyDescent="0.25">
      <c r="A31" s="635">
        <f>A30+1</f>
        <v>14</v>
      </c>
      <c r="B31" s="9" t="str">
        <f>+B17</f>
        <v>EECPRC per billing period</v>
      </c>
      <c r="D31" s="641"/>
      <c r="E31" s="639">
        <f>Input!Y16</f>
        <v>0.28999999999999998</v>
      </c>
    </row>
    <row r="32" spans="1:7" s="9" customFormat="1" x14ac:dyDescent="0.25">
      <c r="A32" s="635">
        <f>A31+1</f>
        <v>15</v>
      </c>
      <c r="B32" s="9" t="str">
        <f>+B18</f>
        <v>Tax Act Adjustment Factor per Mcf</v>
      </c>
      <c r="C32" s="637">
        <f>+C34</f>
        <v>5.6</v>
      </c>
      <c r="D32" s="641">
        <v>0</v>
      </c>
      <c r="E32" s="639">
        <v>0</v>
      </c>
    </row>
    <row r="33" spans="1:7" s="9" customFormat="1" x14ac:dyDescent="0.25">
      <c r="A33" s="635"/>
      <c r="D33" s="642"/>
      <c r="E33" s="639"/>
    </row>
    <row r="34" spans="1:7" s="9" customFormat="1" x14ac:dyDescent="0.25">
      <c r="A34" s="635">
        <f>A32+1</f>
        <v>16</v>
      </c>
      <c r="B34" s="9" t="str">
        <f>+B20</f>
        <v>Delivery Charge per Mcf</v>
      </c>
      <c r="C34" s="637">
        <f t="shared" ref="C34:C37" si="3">$C$20</f>
        <v>5.6</v>
      </c>
      <c r="D34" s="643">
        <f>Input!Q16</f>
        <v>4.2263000000000002</v>
      </c>
      <c r="E34" s="639">
        <f t="shared" ref="E34:E37" si="4">ROUND(C34*D34,2)</f>
        <v>23.67</v>
      </c>
    </row>
    <row r="35" spans="1:7" s="9" customFormat="1" x14ac:dyDescent="0.25">
      <c r="A35" s="635">
        <f>A34+1</f>
        <v>17</v>
      </c>
      <c r="B35" s="9" t="str">
        <f>+B21</f>
        <v>NGR&amp;D Rider per Mcf</v>
      </c>
      <c r="C35" s="637">
        <f t="shared" si="3"/>
        <v>5.6</v>
      </c>
      <c r="D35" s="643">
        <f>Input!AA16</f>
        <v>1.44E-2</v>
      </c>
      <c r="E35" s="639">
        <f t="shared" si="4"/>
        <v>0.08</v>
      </c>
    </row>
    <row r="36" spans="1:7" s="9" customFormat="1" x14ac:dyDescent="0.25">
      <c r="A36" s="635">
        <f t="shared" ref="A36:A37" si="5">A35+1</f>
        <v>18</v>
      </c>
      <c r="B36" s="9" t="str">
        <f>+B22</f>
        <v>EAP per billing period</v>
      </c>
      <c r="C36" s="637"/>
      <c r="D36" s="643"/>
      <c r="E36" s="639">
        <v>0.3</v>
      </c>
    </row>
    <row r="37" spans="1:7" s="9" customFormat="1" x14ac:dyDescent="0.25">
      <c r="A37" s="635">
        <f t="shared" si="5"/>
        <v>19</v>
      </c>
      <c r="B37" s="9" t="str">
        <f>+B23</f>
        <v>Gas Cost Adjustment (GCA)</v>
      </c>
      <c r="C37" s="637">
        <f t="shared" si="3"/>
        <v>5.6</v>
      </c>
      <c r="D37" s="643">
        <v>4.3988999999999994</v>
      </c>
      <c r="E37" s="639">
        <f t="shared" si="4"/>
        <v>24.63</v>
      </c>
    </row>
    <row r="38" spans="1:7" s="9" customFormat="1" x14ac:dyDescent="0.25">
      <c r="A38" s="635"/>
      <c r="C38" s="637"/>
      <c r="D38" s="643"/>
      <c r="E38" s="649"/>
    </row>
    <row r="39" spans="1:7" s="9" customFormat="1" ht="13" thickBot="1" x14ac:dyDescent="0.3">
      <c r="A39" s="635">
        <f>+A37+1</f>
        <v>20</v>
      </c>
      <c r="B39" s="9" t="s">
        <v>502</v>
      </c>
      <c r="C39" s="637">
        <f>+C37</f>
        <v>5.6</v>
      </c>
      <c r="D39" s="24"/>
      <c r="E39" s="650">
        <f>SUM(E29:E37)</f>
        <v>78.169999999999987</v>
      </c>
    </row>
    <row r="40" spans="1:7" s="9" customFormat="1" ht="14" thickTop="1" thickBot="1" x14ac:dyDescent="0.35">
      <c r="G40" s="22" t="s">
        <v>573</v>
      </c>
    </row>
    <row r="41" spans="1:7" s="9" customFormat="1" ht="13.5" thickBot="1" x14ac:dyDescent="0.35">
      <c r="A41" s="635">
        <f>A39+1</f>
        <v>21</v>
      </c>
      <c r="B41" s="651" t="s">
        <v>503</v>
      </c>
      <c r="C41" s="652"/>
      <c r="D41" s="652"/>
      <c r="E41" s="653">
        <f>ROUND((E39-E25)/E25,4)</f>
        <v>0.17730000000000001</v>
      </c>
      <c r="G41" s="696">
        <v>0.2636</v>
      </c>
    </row>
    <row r="42" spans="1:7" s="9" customFormat="1" ht="13" x14ac:dyDescent="0.3">
      <c r="A42" s="635"/>
      <c r="B42" s="22"/>
      <c r="C42" s="22"/>
      <c r="D42" s="22"/>
      <c r="E42" s="22"/>
      <c r="G42" s="22"/>
    </row>
    <row r="43" spans="1:7" s="9" customFormat="1" ht="13" x14ac:dyDescent="0.3">
      <c r="A43" s="635">
        <f>A41+1</f>
        <v>22</v>
      </c>
      <c r="B43" s="22" t="s">
        <v>504</v>
      </c>
      <c r="C43" s="22"/>
      <c r="D43" s="22"/>
      <c r="E43" s="654">
        <f>ROUND((E29+E30+E34-E15-E16-E20-E18)/(E15+E16+E20+E18),4)</f>
        <v>0.28889999999999999</v>
      </c>
      <c r="G43" s="654">
        <v>0.38019999999999998</v>
      </c>
    </row>
    <row r="44" spans="1:7" s="9" customFormat="1" ht="13" x14ac:dyDescent="0.3">
      <c r="A44" s="635"/>
      <c r="B44" s="22"/>
      <c r="C44" s="22"/>
      <c r="D44" s="22"/>
      <c r="E44" s="654"/>
    </row>
    <row r="45" spans="1:7" s="9" customFormat="1" ht="13" x14ac:dyDescent="0.3">
      <c r="A45" s="635"/>
      <c r="B45" s="22"/>
      <c r="C45" s="22"/>
      <c r="D45" s="22"/>
      <c r="E45" s="654"/>
    </row>
    <row r="46" spans="1:7" s="9" customFormat="1" x14ac:dyDescent="0.25"/>
    <row r="47" spans="1:7" s="9" customFormat="1" x14ac:dyDescent="0.25">
      <c r="A47" s="692" t="s">
        <v>600</v>
      </c>
    </row>
    <row r="48" spans="1:7" s="9" customFormat="1" x14ac:dyDescent="0.25">
      <c r="F48" s="631" t="s">
        <v>495</v>
      </c>
    </row>
    <row r="49" spans="1:6" s="9" customFormat="1" x14ac:dyDescent="0.25">
      <c r="F49" s="631" t="str">
        <f>+F2</f>
        <v>Witness: K. L. Johnson</v>
      </c>
    </row>
    <row r="50" spans="1:6" s="9" customFormat="1" x14ac:dyDescent="0.25">
      <c r="F50" s="631" t="str">
        <f>+F3</f>
        <v>Attachment KLJ-RDES-4</v>
      </c>
    </row>
    <row r="51" spans="1:6" s="9" customFormat="1" x14ac:dyDescent="0.25">
      <c r="F51" s="631" t="s">
        <v>603</v>
      </c>
    </row>
    <row r="52" spans="1:6" s="9" customFormat="1" ht="13" x14ac:dyDescent="0.3">
      <c r="A52" s="824" t="s">
        <v>36</v>
      </c>
      <c r="B52" s="824"/>
      <c r="C52" s="824"/>
      <c r="D52" s="824"/>
      <c r="E52" s="824"/>
      <c r="F52" s="824"/>
    </row>
    <row r="53" spans="1:6" s="9" customFormat="1" ht="13" x14ac:dyDescent="0.3">
      <c r="A53" s="824" t="s">
        <v>577</v>
      </c>
      <c r="B53" s="824"/>
      <c r="C53" s="824"/>
      <c r="D53" s="824"/>
      <c r="E53" s="824"/>
      <c r="F53" s="824"/>
    </row>
    <row r="54" spans="1:6" s="9" customFormat="1" ht="13" x14ac:dyDescent="0.3">
      <c r="A54" s="828" t="str">
        <f>+A7</f>
        <v>March 2021</v>
      </c>
      <c r="B54" s="829"/>
      <c r="C54" s="829"/>
      <c r="D54" s="829"/>
      <c r="E54" s="829"/>
      <c r="F54" s="829"/>
    </row>
    <row r="55" spans="1:6" s="9" customFormat="1" x14ac:dyDescent="0.25">
      <c r="C55" s="635"/>
      <c r="D55" s="635"/>
      <c r="E55" s="635"/>
      <c r="F55" s="635"/>
    </row>
    <row r="56" spans="1:6" s="9" customFormat="1" ht="13" x14ac:dyDescent="0.3">
      <c r="A56" s="716" t="s">
        <v>1</v>
      </c>
      <c r="B56" s="22"/>
      <c r="C56" s="716"/>
      <c r="D56" s="716" t="s">
        <v>0</v>
      </c>
      <c r="E56" s="716" t="s">
        <v>599</v>
      </c>
      <c r="F56" s="716"/>
    </row>
    <row r="57" spans="1:6" s="9" customFormat="1" ht="13" x14ac:dyDescent="0.3">
      <c r="A57" s="3" t="s">
        <v>3</v>
      </c>
      <c r="B57" s="10" t="s">
        <v>498</v>
      </c>
      <c r="C57" s="3" t="s">
        <v>499</v>
      </c>
      <c r="D57" s="3" t="s">
        <v>515</v>
      </c>
      <c r="E57" s="3" t="s">
        <v>180</v>
      </c>
      <c r="F57" s="3"/>
    </row>
    <row r="58" spans="1:6" s="9" customFormat="1" ht="13" x14ac:dyDescent="0.3">
      <c r="C58" s="716" t="s">
        <v>22</v>
      </c>
      <c r="D58" s="716" t="s">
        <v>24</v>
      </c>
      <c r="E58" s="716" t="s">
        <v>24</v>
      </c>
      <c r="F58" s="716"/>
    </row>
    <row r="59" spans="1:6" s="9" customFormat="1" ht="13" x14ac:dyDescent="0.3">
      <c r="C59" s="716"/>
      <c r="D59" s="716"/>
      <c r="E59" s="716"/>
      <c r="F59" s="716"/>
    </row>
    <row r="60" spans="1:6" s="9" customFormat="1" ht="13" x14ac:dyDescent="0.3">
      <c r="A60" s="635">
        <v>1</v>
      </c>
      <c r="B60" s="22" t="s">
        <v>500</v>
      </c>
      <c r="C60" s="716"/>
      <c r="D60" s="716"/>
      <c r="E60" s="716"/>
      <c r="F60" s="716"/>
    </row>
    <row r="61" spans="1:6" s="9" customFormat="1" x14ac:dyDescent="0.25"/>
    <row r="62" spans="1:6" s="9" customFormat="1" x14ac:dyDescent="0.25">
      <c r="A62" s="635">
        <f>A60+1</f>
        <v>2</v>
      </c>
      <c r="B62" s="9" t="str">
        <f>+B15</f>
        <v>Customer Charge per billing period</v>
      </c>
      <c r="D62" s="638"/>
      <c r="E62" s="639">
        <f>Input!H27</f>
        <v>44.69</v>
      </c>
      <c r="F62" s="640"/>
    </row>
    <row r="63" spans="1:6" s="9" customFormat="1" x14ac:dyDescent="0.25">
      <c r="A63" s="635">
        <f>A62+1</f>
        <v>3</v>
      </c>
      <c r="B63" s="9" t="str">
        <f>+B16</f>
        <v>SMRP Rider per billing period</v>
      </c>
      <c r="D63" s="641"/>
      <c r="E63" s="639">
        <f>Input!K27</f>
        <v>24.31</v>
      </c>
      <c r="F63" s="640"/>
    </row>
    <row r="64" spans="1:6" s="9" customFormat="1" x14ac:dyDescent="0.25">
      <c r="A64" s="635">
        <f>A63+1</f>
        <v>4</v>
      </c>
      <c r="B64" s="9" t="str">
        <f>+B18</f>
        <v>Tax Act Adjustment Factor per Mcf</v>
      </c>
      <c r="C64" s="637">
        <f>+C66</f>
        <v>27.3</v>
      </c>
      <c r="D64" s="641">
        <f>+Input!J27</f>
        <v>-0.16800000000000001</v>
      </c>
      <c r="E64" s="639">
        <f>+C64*D64</f>
        <v>-4.5864000000000003</v>
      </c>
      <c r="F64" s="640"/>
    </row>
    <row r="65" spans="1:6" s="9" customFormat="1" x14ac:dyDescent="0.25">
      <c r="A65" s="635"/>
      <c r="D65" s="642"/>
      <c r="E65" s="639"/>
      <c r="F65" s="640"/>
    </row>
    <row r="66" spans="1:6" s="9" customFormat="1" x14ac:dyDescent="0.25">
      <c r="A66" s="635">
        <f>+A64+1</f>
        <v>5</v>
      </c>
      <c r="B66" s="9" t="s">
        <v>592</v>
      </c>
      <c r="C66" s="637">
        <v>27.3</v>
      </c>
      <c r="D66" s="643">
        <f>Input!C27</f>
        <v>3.0181</v>
      </c>
      <c r="E66" s="639">
        <f>ROUND(C66*D66,2)</f>
        <v>82.39</v>
      </c>
      <c r="F66" s="636"/>
    </row>
    <row r="67" spans="1:6" s="9" customFormat="1" x14ac:dyDescent="0.25">
      <c r="A67" s="635">
        <f>A66+1</f>
        <v>6</v>
      </c>
      <c r="B67" s="9" t="s">
        <v>593</v>
      </c>
      <c r="C67" s="655">
        <v>0</v>
      </c>
      <c r="D67" s="643">
        <f>Input!D27</f>
        <v>2.3294999999999999</v>
      </c>
      <c r="E67" s="639">
        <f t="shared" ref="E67:E69" si="6">ROUND(C67*D67,2)</f>
        <v>0</v>
      </c>
      <c r="F67" s="636"/>
    </row>
    <row r="68" spans="1:6" s="9" customFormat="1" x14ac:dyDescent="0.25">
      <c r="A68" s="635">
        <f>A67+1</f>
        <v>7</v>
      </c>
      <c r="B68" s="9" t="s">
        <v>594</v>
      </c>
      <c r="C68" s="655">
        <v>0</v>
      </c>
      <c r="D68" s="643">
        <f>Input!E27</f>
        <v>2.2143000000000002</v>
      </c>
      <c r="E68" s="639">
        <f t="shared" si="6"/>
        <v>0</v>
      </c>
      <c r="F68" s="636"/>
    </row>
    <row r="69" spans="1:6" s="9" customFormat="1" x14ac:dyDescent="0.25">
      <c r="A69" s="635">
        <f>A68+1</f>
        <v>8</v>
      </c>
      <c r="B69" s="9" t="s">
        <v>595</v>
      </c>
      <c r="C69" s="655">
        <v>0</v>
      </c>
      <c r="D69" s="643">
        <f>Input!F27</f>
        <v>2.0143</v>
      </c>
      <c r="E69" s="639">
        <f t="shared" si="6"/>
        <v>0</v>
      </c>
      <c r="F69" s="636"/>
    </row>
    <row r="70" spans="1:6" s="9" customFormat="1" x14ac:dyDescent="0.25">
      <c r="A70" s="635">
        <f t="shared" ref="A70" si="7">A69+1</f>
        <v>9</v>
      </c>
      <c r="B70" s="9" t="str">
        <f>+B21</f>
        <v>NGR&amp;D Rider per Mcf</v>
      </c>
      <c r="C70" s="637">
        <f>SUM(C66:C69)</f>
        <v>27.3</v>
      </c>
      <c r="D70" s="643">
        <f>Input!N27</f>
        <v>1.44E-2</v>
      </c>
      <c r="E70" s="639">
        <f t="shared" ref="E70:E71" si="8">ROUND(C70*D70,2)</f>
        <v>0.39</v>
      </c>
      <c r="F70" s="636"/>
    </row>
    <row r="71" spans="1:6" s="9" customFormat="1" x14ac:dyDescent="0.25">
      <c r="A71" s="635">
        <f>+A70+1</f>
        <v>10</v>
      </c>
      <c r="B71" s="9" t="str">
        <f>+B23</f>
        <v>Gas Cost Adjustment (GCA)</v>
      </c>
      <c r="C71" s="637">
        <f>C70</f>
        <v>27.3</v>
      </c>
      <c r="D71" s="643">
        <f>+D23</f>
        <v>4.4127999999999998</v>
      </c>
      <c r="E71" s="639">
        <f t="shared" si="8"/>
        <v>120.47</v>
      </c>
      <c r="F71" s="636"/>
    </row>
    <row r="72" spans="1:6" s="9" customFormat="1" x14ac:dyDescent="0.25">
      <c r="A72" s="635"/>
      <c r="C72" s="637"/>
      <c r="D72" s="643"/>
      <c r="E72" s="644"/>
    </row>
    <row r="73" spans="1:6" s="9" customFormat="1" ht="13" thickBot="1" x14ac:dyDescent="0.3">
      <c r="A73" s="635">
        <f>+A71+1</f>
        <v>11</v>
      </c>
      <c r="B73" s="9" t="s">
        <v>502</v>
      </c>
      <c r="C73" s="637">
        <f>+C71</f>
        <v>27.3</v>
      </c>
      <c r="D73" s="24"/>
      <c r="E73" s="645">
        <f>SUM(E62:E71)</f>
        <v>267.66359999999997</v>
      </c>
    </row>
    <row r="74" spans="1:6" s="9" customFormat="1" ht="13" thickTop="1" x14ac:dyDescent="0.25">
      <c r="D74" s="24"/>
      <c r="E74" s="636"/>
    </row>
    <row r="75" spans="1:6" s="9" customFormat="1" ht="13" x14ac:dyDescent="0.3">
      <c r="A75" s="635">
        <f>A73+1</f>
        <v>12</v>
      </c>
      <c r="B75" s="22" t="s">
        <v>134</v>
      </c>
      <c r="C75" s="716"/>
      <c r="D75" s="647"/>
      <c r="E75" s="648"/>
    </row>
    <row r="76" spans="1:6" s="9" customFormat="1" x14ac:dyDescent="0.25">
      <c r="D76" s="24"/>
      <c r="E76" s="636"/>
    </row>
    <row r="77" spans="1:6" s="9" customFormat="1" x14ac:dyDescent="0.25">
      <c r="A77" s="635">
        <f>A75+1</f>
        <v>13</v>
      </c>
      <c r="B77" s="9" t="str">
        <f>+B62</f>
        <v>Customer Charge per billing period</v>
      </c>
      <c r="D77" s="638"/>
      <c r="E77" s="639">
        <f>Input!V27</f>
        <v>87.149999999999991</v>
      </c>
      <c r="F77" s="636"/>
    </row>
    <row r="78" spans="1:6" s="9" customFormat="1" x14ac:dyDescent="0.25">
      <c r="A78" s="635">
        <f>A77+1</f>
        <v>14</v>
      </c>
      <c r="B78" s="9" t="str">
        <f>+B63</f>
        <v>SMRP Rider per billing period</v>
      </c>
      <c r="D78" s="641"/>
      <c r="E78" s="639">
        <f>Input!X27</f>
        <v>0</v>
      </c>
      <c r="F78" s="636"/>
    </row>
    <row r="79" spans="1:6" s="9" customFormat="1" x14ac:dyDescent="0.25">
      <c r="A79" s="635">
        <f>A78+1</f>
        <v>15</v>
      </c>
      <c r="B79" s="9" t="str">
        <f>+B64</f>
        <v>Tax Act Adjustment Factor per Mcf</v>
      </c>
      <c r="C79" s="637">
        <f>+C81</f>
        <v>27.3</v>
      </c>
      <c r="D79" s="641">
        <v>0</v>
      </c>
      <c r="E79" s="639">
        <v>0</v>
      </c>
      <c r="F79" s="636"/>
    </row>
    <row r="80" spans="1:6" s="9" customFormat="1" x14ac:dyDescent="0.25">
      <c r="A80" s="635"/>
      <c r="D80" s="642"/>
      <c r="E80" s="639"/>
    </row>
    <row r="81" spans="1:7" s="9" customFormat="1" x14ac:dyDescent="0.25">
      <c r="A81" s="635">
        <f>+A79+1</f>
        <v>16</v>
      </c>
      <c r="B81" s="9" t="str">
        <f t="shared" ref="B81:B86" si="9">+B66</f>
        <v>First 50 Mcf or less per billing period</v>
      </c>
      <c r="C81" s="637">
        <f>C73</f>
        <v>27.3</v>
      </c>
      <c r="D81" s="643">
        <f>Input!Q27</f>
        <v>3.5621999999999998</v>
      </c>
      <c r="E81" s="639">
        <f t="shared" ref="E81:E86" si="10">ROUND(C81*D81,2)</f>
        <v>97.25</v>
      </c>
      <c r="F81" s="636"/>
    </row>
    <row r="82" spans="1:7" s="9" customFormat="1" x14ac:dyDescent="0.25">
      <c r="A82" s="635">
        <f>A81+1</f>
        <v>17</v>
      </c>
      <c r="B82" s="9" t="str">
        <f t="shared" si="9"/>
        <v>Next 350 Mcf per billing period</v>
      </c>
      <c r="C82" s="655">
        <v>0</v>
      </c>
      <c r="D82" s="643">
        <f>Input!R27</f>
        <v>2.7494000000000001</v>
      </c>
      <c r="E82" s="639">
        <f t="shared" si="10"/>
        <v>0</v>
      </c>
      <c r="F82" s="636"/>
    </row>
    <row r="83" spans="1:7" s="9" customFormat="1" x14ac:dyDescent="0.25">
      <c r="A83" s="635">
        <f t="shared" ref="A83:A85" si="11">A82+1</f>
        <v>18</v>
      </c>
      <c r="B83" s="9" t="str">
        <f t="shared" si="9"/>
        <v>Next 600 Mcf per billing period</v>
      </c>
      <c r="C83" s="655">
        <v>0</v>
      </c>
      <c r="D83" s="643">
        <f>Input!S27</f>
        <v>2.6135000000000002</v>
      </c>
      <c r="E83" s="639">
        <f t="shared" si="10"/>
        <v>0</v>
      </c>
      <c r="F83" s="636"/>
    </row>
    <row r="84" spans="1:7" s="9" customFormat="1" x14ac:dyDescent="0.25">
      <c r="A84" s="635">
        <f t="shared" si="11"/>
        <v>19</v>
      </c>
      <c r="B84" s="9" t="str">
        <f t="shared" si="9"/>
        <v>Over 1,000 Mcf per billing period</v>
      </c>
      <c r="C84" s="655">
        <v>0</v>
      </c>
      <c r="D84" s="643">
        <f>Input!T27</f>
        <v>2.3782000000000001</v>
      </c>
      <c r="E84" s="639">
        <f t="shared" si="10"/>
        <v>0</v>
      </c>
      <c r="F84" s="636"/>
    </row>
    <row r="85" spans="1:7" s="9" customFormat="1" x14ac:dyDescent="0.25">
      <c r="A85" s="635">
        <f t="shared" si="11"/>
        <v>20</v>
      </c>
      <c r="B85" s="9" t="str">
        <f t="shared" si="9"/>
        <v>NGR&amp;D Rider per Mcf</v>
      </c>
      <c r="C85" s="637">
        <f>C81</f>
        <v>27.3</v>
      </c>
      <c r="D85" s="643">
        <f>Input!AA27</f>
        <v>1.44E-2</v>
      </c>
      <c r="E85" s="639">
        <f t="shared" si="10"/>
        <v>0.39</v>
      </c>
      <c r="F85" s="636"/>
    </row>
    <row r="86" spans="1:7" s="9" customFormat="1" x14ac:dyDescent="0.25">
      <c r="A86" s="635">
        <f>+A85+1</f>
        <v>21</v>
      </c>
      <c r="B86" s="9" t="str">
        <f t="shared" si="9"/>
        <v>Gas Cost Adjustment (GCA)</v>
      </c>
      <c r="C86" s="637">
        <f>+C85</f>
        <v>27.3</v>
      </c>
      <c r="D86" s="643">
        <f>+D37</f>
        <v>4.3988999999999994</v>
      </c>
      <c r="E86" s="639">
        <f t="shared" si="10"/>
        <v>120.09</v>
      </c>
      <c r="F86" s="636"/>
    </row>
    <row r="87" spans="1:7" s="9" customFormat="1" x14ac:dyDescent="0.25">
      <c r="A87" s="635"/>
      <c r="C87" s="637"/>
      <c r="D87" s="643"/>
      <c r="E87" s="649"/>
      <c r="F87" s="636"/>
    </row>
    <row r="88" spans="1:7" s="9" customFormat="1" ht="13" thickBot="1" x14ac:dyDescent="0.3">
      <c r="A88" s="635">
        <f>+A86+1</f>
        <v>22</v>
      </c>
      <c r="B88" s="9" t="s">
        <v>502</v>
      </c>
      <c r="C88" s="637">
        <f>+C86</f>
        <v>27.3</v>
      </c>
      <c r="D88" s="24"/>
      <c r="E88" s="650">
        <f>SUM(E77:E86)</f>
        <v>304.88</v>
      </c>
      <c r="F88" s="636"/>
    </row>
    <row r="89" spans="1:7" s="9" customFormat="1" ht="14" thickTop="1" thickBot="1" x14ac:dyDescent="0.35">
      <c r="F89" s="636"/>
      <c r="G89" s="22" t="s">
        <v>573</v>
      </c>
    </row>
    <row r="90" spans="1:7" s="9" customFormat="1" ht="13.5" thickBot="1" x14ac:dyDescent="0.35">
      <c r="A90" s="635">
        <f>A88+1</f>
        <v>23</v>
      </c>
      <c r="B90" s="651" t="s">
        <v>503</v>
      </c>
      <c r="C90" s="652"/>
      <c r="D90" s="652"/>
      <c r="E90" s="653">
        <f>ROUND((E88-E73)/E73,4)</f>
        <v>0.13900000000000001</v>
      </c>
      <c r="F90" s="636"/>
      <c r="G90" s="696">
        <v>0.2341</v>
      </c>
    </row>
    <row r="91" spans="1:7" s="9" customFormat="1" ht="13" x14ac:dyDescent="0.3">
      <c r="A91" s="635"/>
      <c r="B91" s="22"/>
      <c r="C91" s="22"/>
      <c r="D91" s="22"/>
      <c r="E91" s="22"/>
      <c r="F91" s="636"/>
      <c r="G91" s="22"/>
    </row>
    <row r="92" spans="1:7" s="9" customFormat="1" ht="13" x14ac:dyDescent="0.3">
      <c r="A92" s="635">
        <f>A90+1</f>
        <v>24</v>
      </c>
      <c r="B92" s="22" t="s">
        <v>504</v>
      </c>
      <c r="C92" s="22"/>
      <c r="D92" s="22"/>
      <c r="E92" s="654">
        <f>ROUND((E77+E78+E81+E82+E83+E84-E62-E63-E66-E67-E68-E69-E64)/(E62+E63+E66+E67+E68+E69+E64),4)</f>
        <v>0.25609999999999999</v>
      </c>
      <c r="F92" s="654"/>
      <c r="G92" s="654">
        <v>0.37419999999999998</v>
      </c>
    </row>
    <row r="93" spans="1:7" s="9" customFormat="1" ht="13" x14ac:dyDescent="0.3">
      <c r="A93" s="635"/>
      <c r="B93" s="22"/>
      <c r="C93" s="22"/>
      <c r="D93" s="22"/>
      <c r="E93" s="654"/>
    </row>
    <row r="94" spans="1:7" s="9" customFormat="1" x14ac:dyDescent="0.25">
      <c r="A94" s="692" t="s">
        <v>601</v>
      </c>
    </row>
    <row r="95" spans="1:7" s="9" customFormat="1" x14ac:dyDescent="0.25">
      <c r="F95" s="631" t="s">
        <v>495</v>
      </c>
    </row>
    <row r="96" spans="1:7" s="9" customFormat="1" x14ac:dyDescent="0.25">
      <c r="F96" s="631" t="str">
        <f>+F49</f>
        <v>Witness: K. L. Johnson</v>
      </c>
    </row>
    <row r="97" spans="1:6" s="9" customFormat="1" x14ac:dyDescent="0.25">
      <c r="F97" s="631" t="str">
        <f>+F50</f>
        <v>Attachment KLJ-RDES-4</v>
      </c>
    </row>
    <row r="98" spans="1:6" s="9" customFormat="1" x14ac:dyDescent="0.25">
      <c r="F98" s="631" t="s">
        <v>604</v>
      </c>
    </row>
    <row r="99" spans="1:6" s="9" customFormat="1" ht="13" x14ac:dyDescent="0.3">
      <c r="A99" s="824" t="s">
        <v>36</v>
      </c>
      <c r="B99" s="824"/>
      <c r="C99" s="824"/>
      <c r="D99" s="824"/>
      <c r="E99" s="824"/>
      <c r="F99" s="824"/>
    </row>
    <row r="100" spans="1:6" s="9" customFormat="1" ht="13" x14ac:dyDescent="0.3">
      <c r="A100" s="824" t="s">
        <v>576</v>
      </c>
      <c r="B100" s="824"/>
      <c r="C100" s="824"/>
      <c r="D100" s="824"/>
      <c r="E100" s="824"/>
      <c r="F100" s="824"/>
    </row>
    <row r="101" spans="1:6" s="9" customFormat="1" ht="13" x14ac:dyDescent="0.3">
      <c r="A101" s="828" t="str">
        <f>+A54</f>
        <v>March 2021</v>
      </c>
      <c r="B101" s="828"/>
      <c r="C101" s="828"/>
      <c r="D101" s="828"/>
      <c r="E101" s="828"/>
      <c r="F101" s="828"/>
    </row>
    <row r="102" spans="1:6" s="9" customFormat="1" x14ac:dyDescent="0.25">
      <c r="C102" s="635"/>
      <c r="D102" s="635"/>
      <c r="E102" s="635"/>
      <c r="F102" s="635"/>
    </row>
    <row r="103" spans="1:6" s="9" customFormat="1" ht="13" x14ac:dyDescent="0.3">
      <c r="A103" s="716" t="s">
        <v>1</v>
      </c>
      <c r="B103" s="22"/>
      <c r="C103" s="716"/>
      <c r="D103" s="716" t="s">
        <v>0</v>
      </c>
      <c r="E103" s="716" t="s">
        <v>92</v>
      </c>
      <c r="F103" s="716"/>
    </row>
    <row r="104" spans="1:6" s="9" customFormat="1" ht="13" x14ac:dyDescent="0.3">
      <c r="A104" s="3" t="s">
        <v>3</v>
      </c>
      <c r="B104" s="10" t="s">
        <v>498</v>
      </c>
      <c r="C104" s="3" t="s">
        <v>499</v>
      </c>
      <c r="D104" s="3" t="s">
        <v>515</v>
      </c>
      <c r="E104" s="3" t="s">
        <v>180</v>
      </c>
      <c r="F104" s="716"/>
    </row>
    <row r="105" spans="1:6" s="9" customFormat="1" ht="13" x14ac:dyDescent="0.3">
      <c r="C105" s="716" t="s">
        <v>22</v>
      </c>
      <c r="D105" s="716" t="s">
        <v>24</v>
      </c>
      <c r="E105" s="716" t="s">
        <v>24</v>
      </c>
      <c r="F105" s="716"/>
    </row>
    <row r="106" spans="1:6" s="9" customFormat="1" ht="13" x14ac:dyDescent="0.3">
      <c r="C106" s="716"/>
      <c r="D106" s="716"/>
      <c r="E106" s="716"/>
      <c r="F106" s="716"/>
    </row>
    <row r="107" spans="1:6" s="9" customFormat="1" ht="13" x14ac:dyDescent="0.3">
      <c r="A107" s="635">
        <v>1</v>
      </c>
      <c r="B107" s="22" t="s">
        <v>500</v>
      </c>
      <c r="C107" s="716"/>
      <c r="D107" s="716"/>
      <c r="E107" s="716"/>
      <c r="F107" s="716"/>
    </row>
    <row r="108" spans="1:6" s="9" customFormat="1" x14ac:dyDescent="0.25"/>
    <row r="109" spans="1:6" s="9" customFormat="1" x14ac:dyDescent="0.25">
      <c r="A109" s="635">
        <f>A107+1</f>
        <v>2</v>
      </c>
      <c r="B109" s="9" t="s">
        <v>585</v>
      </c>
      <c r="D109" s="638"/>
      <c r="E109" s="639">
        <f>+Input!H34</f>
        <v>567.4</v>
      </c>
      <c r="F109" s="640"/>
    </row>
    <row r="110" spans="1:6" s="9" customFormat="1" x14ac:dyDescent="0.25">
      <c r="A110" s="635">
        <f>A109+1</f>
        <v>3</v>
      </c>
      <c r="B110" s="9" t="s">
        <v>586</v>
      </c>
      <c r="D110" s="641"/>
      <c r="E110" s="639">
        <f>+Input!K34</f>
        <v>207.8</v>
      </c>
      <c r="F110" s="640"/>
    </row>
    <row r="111" spans="1:6" s="9" customFormat="1" x14ac:dyDescent="0.25">
      <c r="A111" s="635">
        <f>A110+1</f>
        <v>4</v>
      </c>
      <c r="B111" s="9" t="s">
        <v>588</v>
      </c>
      <c r="C111" s="637">
        <f>+C113</f>
        <v>468.8</v>
      </c>
      <c r="D111" s="641">
        <f>+Input!J34</f>
        <v>-0.11600000000000001</v>
      </c>
      <c r="E111" s="714">
        <f>+C111*D111</f>
        <v>-54.380800000000001</v>
      </c>
      <c r="F111" s="640"/>
    </row>
    <row r="112" spans="1:6" s="9" customFormat="1" x14ac:dyDescent="0.25">
      <c r="A112" s="635"/>
      <c r="D112" s="642"/>
      <c r="E112" s="639"/>
      <c r="F112" s="640"/>
    </row>
    <row r="113" spans="1:6" s="9" customFormat="1" x14ac:dyDescent="0.25">
      <c r="A113" s="635">
        <f>+A111+1</f>
        <v>5</v>
      </c>
      <c r="B113" s="9" t="s">
        <v>589</v>
      </c>
      <c r="C113" s="637">
        <f>ROUND(('C'!P139+'C'!P140)/(B!P96+B!P97),1)</f>
        <v>468.8</v>
      </c>
      <c r="D113" s="643">
        <f>+Input!C34</f>
        <v>1.1544000000000001</v>
      </c>
      <c r="E113" s="639">
        <f>ROUND(C113*D113,2)</f>
        <v>541.17999999999995</v>
      </c>
    </row>
    <row r="114" spans="1:6" s="9" customFormat="1" x14ac:dyDescent="0.25">
      <c r="A114" s="635">
        <f>+A113+1</f>
        <v>6</v>
      </c>
      <c r="B114" s="9" t="s">
        <v>590</v>
      </c>
      <c r="C114" s="637">
        <f>C113</f>
        <v>468.8</v>
      </c>
      <c r="D114" s="643">
        <f>+Input!N34</f>
        <v>1.44E-2</v>
      </c>
      <c r="E114" s="639">
        <f t="shared" ref="E114:E115" si="12">ROUND(C114*D114,2)</f>
        <v>6.75</v>
      </c>
    </row>
    <row r="115" spans="1:6" s="9" customFormat="1" x14ac:dyDescent="0.25">
      <c r="A115" s="635">
        <f>+A114+1</f>
        <v>7</v>
      </c>
      <c r="B115" s="9" t="s">
        <v>514</v>
      </c>
      <c r="C115" s="637">
        <f>+C114</f>
        <v>468.8</v>
      </c>
      <c r="D115" s="643">
        <f>+D71</f>
        <v>4.4127999999999998</v>
      </c>
      <c r="E115" s="639">
        <f t="shared" si="12"/>
        <v>2068.7199999999998</v>
      </c>
    </row>
    <row r="116" spans="1:6" s="9" customFormat="1" x14ac:dyDescent="0.25">
      <c r="A116" s="635"/>
      <c r="C116" s="637"/>
      <c r="D116" s="643"/>
      <c r="E116" s="644"/>
    </row>
    <row r="117" spans="1:6" s="9" customFormat="1" ht="13" thickBot="1" x14ac:dyDescent="0.3">
      <c r="A117" s="635">
        <f>+A115+1</f>
        <v>8</v>
      </c>
      <c r="B117" s="9" t="s">
        <v>502</v>
      </c>
      <c r="C117" s="637">
        <f>+C115</f>
        <v>468.8</v>
      </c>
      <c r="D117" s="24"/>
      <c r="E117" s="645">
        <f>SUM(E109:E115)</f>
        <v>3337.4691999999995</v>
      </c>
      <c r="F117" s="646"/>
    </row>
    <row r="118" spans="1:6" s="9" customFormat="1" ht="13" thickTop="1" x14ac:dyDescent="0.25">
      <c r="D118" s="24"/>
      <c r="E118" s="636"/>
    </row>
    <row r="119" spans="1:6" s="9" customFormat="1" ht="13" x14ac:dyDescent="0.3">
      <c r="A119" s="635">
        <f>A117+1</f>
        <v>9</v>
      </c>
      <c r="B119" s="22" t="s">
        <v>134</v>
      </c>
      <c r="C119" s="716"/>
      <c r="D119" s="647"/>
      <c r="E119" s="648"/>
    </row>
    <row r="120" spans="1:6" s="9" customFormat="1" x14ac:dyDescent="0.25">
      <c r="D120" s="24"/>
      <c r="E120" s="636"/>
    </row>
    <row r="121" spans="1:6" s="9" customFormat="1" x14ac:dyDescent="0.25">
      <c r="A121" s="635">
        <f>A119+1</f>
        <v>10</v>
      </c>
      <c r="B121" s="9" t="s">
        <v>585</v>
      </c>
      <c r="D121" s="638"/>
      <c r="E121" s="639">
        <f>+Input!V34</f>
        <v>991.2</v>
      </c>
    </row>
    <row r="122" spans="1:6" s="9" customFormat="1" x14ac:dyDescent="0.25">
      <c r="A122" s="635">
        <f>A121+1</f>
        <v>11</v>
      </c>
      <c r="B122" s="9" t="s">
        <v>586</v>
      </c>
      <c r="D122" s="641"/>
      <c r="E122" s="639">
        <v>0</v>
      </c>
    </row>
    <row r="123" spans="1:6" s="9" customFormat="1" x14ac:dyDescent="0.25">
      <c r="A123" s="635">
        <f t="shared" ref="A123" si="13">A122+1</f>
        <v>12</v>
      </c>
      <c r="B123" s="9" t="s">
        <v>588</v>
      </c>
      <c r="C123" s="637">
        <f>+C125</f>
        <v>468.8</v>
      </c>
      <c r="D123" s="641">
        <v>0</v>
      </c>
      <c r="E123" s="639">
        <v>0</v>
      </c>
    </row>
    <row r="124" spans="1:6" s="9" customFormat="1" x14ac:dyDescent="0.25">
      <c r="A124" s="635"/>
      <c r="D124" s="642"/>
      <c r="E124" s="639"/>
    </row>
    <row r="125" spans="1:6" s="9" customFormat="1" x14ac:dyDescent="0.25">
      <c r="A125" s="635">
        <f>+A123+1</f>
        <v>13</v>
      </c>
      <c r="B125" s="9" t="s">
        <v>589</v>
      </c>
      <c r="C125" s="637">
        <f>C117</f>
        <v>468.8</v>
      </c>
      <c r="D125" s="643">
        <f>+Input!Q34</f>
        <v>1.3261000000000001</v>
      </c>
      <c r="E125" s="639">
        <f t="shared" ref="E125:E127" si="14">ROUND(C125*D125,2)</f>
        <v>621.67999999999995</v>
      </c>
    </row>
    <row r="126" spans="1:6" s="9" customFormat="1" x14ac:dyDescent="0.25">
      <c r="A126" s="635">
        <f>+A125+1</f>
        <v>14</v>
      </c>
      <c r="B126" s="9" t="s">
        <v>590</v>
      </c>
      <c r="C126" s="637">
        <f>C125</f>
        <v>468.8</v>
      </c>
      <c r="D126" s="643">
        <f>+Input!AA34</f>
        <v>1.44E-2</v>
      </c>
      <c r="E126" s="639">
        <f t="shared" si="14"/>
        <v>6.75</v>
      </c>
    </row>
    <row r="127" spans="1:6" s="9" customFormat="1" x14ac:dyDescent="0.25">
      <c r="A127" s="635">
        <f>+A126+1</f>
        <v>15</v>
      </c>
      <c r="B127" s="9" t="s">
        <v>514</v>
      </c>
      <c r="C127" s="637">
        <f>+C126</f>
        <v>468.8</v>
      </c>
      <c r="D127" s="643">
        <f>+D86</f>
        <v>4.3988999999999994</v>
      </c>
      <c r="E127" s="639">
        <f t="shared" si="14"/>
        <v>2062.1999999999998</v>
      </c>
    </row>
    <row r="128" spans="1:6" s="9" customFormat="1" x14ac:dyDescent="0.25">
      <c r="A128" s="635"/>
      <c r="C128" s="637"/>
      <c r="D128" s="643"/>
      <c r="E128" s="649"/>
    </row>
    <row r="129" spans="1:7" s="9" customFormat="1" ht="13" thickBot="1" x14ac:dyDescent="0.3">
      <c r="A129" s="635">
        <f>+A127+1</f>
        <v>16</v>
      </c>
      <c r="B129" s="9" t="s">
        <v>502</v>
      </c>
      <c r="C129" s="637">
        <f>+C127</f>
        <v>468.8</v>
      </c>
      <c r="D129" s="24"/>
      <c r="E129" s="650">
        <f>SUM(E121:E127)</f>
        <v>3681.83</v>
      </c>
    </row>
    <row r="130" spans="1:7" s="9" customFormat="1" ht="14" thickTop="1" thickBot="1" x14ac:dyDescent="0.35">
      <c r="G130" s="22" t="s">
        <v>573</v>
      </c>
    </row>
    <row r="131" spans="1:7" s="9" customFormat="1" ht="13.5" thickBot="1" x14ac:dyDescent="0.35">
      <c r="A131" s="635">
        <f>A129+1</f>
        <v>17</v>
      </c>
      <c r="B131" s="651" t="s">
        <v>503</v>
      </c>
      <c r="C131" s="652"/>
      <c r="D131" s="652"/>
      <c r="E131" s="653">
        <f>ROUND((E129-E117)/E117,4)</f>
        <v>0.1032</v>
      </c>
      <c r="G131" s="696">
        <v>9.7900000000000001E-2</v>
      </c>
    </row>
    <row r="132" spans="1:7" s="9" customFormat="1" ht="13" x14ac:dyDescent="0.3">
      <c r="A132" s="635"/>
      <c r="B132" s="22"/>
      <c r="C132" s="22"/>
      <c r="D132" s="22"/>
      <c r="E132" s="22"/>
      <c r="G132" s="22"/>
    </row>
    <row r="133" spans="1:7" s="9" customFormat="1" ht="13" x14ac:dyDescent="0.3">
      <c r="A133" s="635">
        <f>A131+1</f>
        <v>18</v>
      </c>
      <c r="B133" s="22" t="s">
        <v>504</v>
      </c>
      <c r="C133" s="22"/>
      <c r="D133" s="22"/>
      <c r="E133" s="654">
        <f>ROUND((E121+E122+E123+E125-E109-E110-E111-E113)/(E109+E110+E111+E113),4)</f>
        <v>0.27800000000000002</v>
      </c>
      <c r="G133" s="654">
        <v>0.47320000000000001</v>
      </c>
    </row>
    <row r="134" spans="1:7" s="9" customFormat="1" ht="13" x14ac:dyDescent="0.3">
      <c r="A134" s="635"/>
      <c r="B134" s="22"/>
      <c r="C134" s="22"/>
      <c r="D134" s="22"/>
      <c r="E134" s="654"/>
    </row>
    <row r="135" spans="1:7" s="9" customFormat="1" ht="13" x14ac:dyDescent="0.3">
      <c r="A135" s="635"/>
      <c r="B135" s="22"/>
      <c r="C135" s="22"/>
      <c r="D135" s="22"/>
      <c r="E135" s="654"/>
    </row>
    <row r="136" spans="1:7" s="9" customFormat="1" x14ac:dyDescent="0.25"/>
    <row r="137" spans="1:7" s="9" customFormat="1" x14ac:dyDescent="0.25">
      <c r="A137" s="692" t="s">
        <v>600</v>
      </c>
    </row>
    <row r="138" spans="1:7" s="9" customFormat="1" x14ac:dyDescent="0.25">
      <c r="F138" s="631" t="s">
        <v>495</v>
      </c>
    </row>
    <row r="139" spans="1:7" s="9" customFormat="1" x14ac:dyDescent="0.25">
      <c r="F139" s="631" t="str">
        <f>+F96</f>
        <v>Witness: K. L. Johnson</v>
      </c>
    </row>
    <row r="140" spans="1:7" s="9" customFormat="1" x14ac:dyDescent="0.25">
      <c r="F140" s="631" t="str">
        <f>+F97</f>
        <v>Attachment KLJ-RDES-4</v>
      </c>
    </row>
    <row r="141" spans="1:7" s="9" customFormat="1" x14ac:dyDescent="0.25">
      <c r="F141" s="631" t="s">
        <v>605</v>
      </c>
    </row>
    <row r="142" spans="1:7" s="9" customFormat="1" ht="13" x14ac:dyDescent="0.3">
      <c r="A142" s="824" t="s">
        <v>36</v>
      </c>
      <c r="B142" s="824"/>
      <c r="C142" s="824"/>
      <c r="D142" s="824"/>
      <c r="E142" s="824"/>
      <c r="F142" s="824"/>
    </row>
    <row r="143" spans="1:7" s="9" customFormat="1" ht="13" x14ac:dyDescent="0.3">
      <c r="A143" s="824" t="s">
        <v>574</v>
      </c>
      <c r="B143" s="824"/>
      <c r="C143" s="824"/>
      <c r="D143" s="824"/>
      <c r="E143" s="824"/>
      <c r="F143" s="824"/>
    </row>
    <row r="144" spans="1:7" s="9" customFormat="1" ht="13" x14ac:dyDescent="0.3">
      <c r="A144" s="828" t="str">
        <f>+A101</f>
        <v>March 2021</v>
      </c>
      <c r="B144" s="829"/>
      <c r="C144" s="829"/>
      <c r="D144" s="829"/>
      <c r="E144" s="829"/>
      <c r="F144" s="829"/>
    </row>
    <row r="145" spans="1:6" s="9" customFormat="1" x14ac:dyDescent="0.25">
      <c r="C145" s="635"/>
      <c r="D145" s="635"/>
      <c r="E145" s="635"/>
      <c r="F145" s="635"/>
    </row>
    <row r="146" spans="1:6" s="9" customFormat="1" ht="13" x14ac:dyDescent="0.3">
      <c r="A146" s="716" t="s">
        <v>1</v>
      </c>
      <c r="B146" s="22"/>
      <c r="C146" s="716"/>
      <c r="D146" s="716" t="s">
        <v>0</v>
      </c>
      <c r="E146" s="716" t="s">
        <v>437</v>
      </c>
      <c r="F146" s="716"/>
    </row>
    <row r="147" spans="1:6" s="9" customFormat="1" ht="13" x14ac:dyDescent="0.3">
      <c r="A147" s="3" t="s">
        <v>3</v>
      </c>
      <c r="B147" s="10" t="s">
        <v>498</v>
      </c>
      <c r="C147" s="3" t="s">
        <v>499</v>
      </c>
      <c r="D147" s="3" t="s">
        <v>515</v>
      </c>
      <c r="E147" s="3" t="s">
        <v>180</v>
      </c>
      <c r="F147" s="716"/>
    </row>
    <row r="148" spans="1:6" s="9" customFormat="1" ht="13" x14ac:dyDescent="0.3">
      <c r="C148" s="716" t="s">
        <v>22</v>
      </c>
      <c r="D148" s="716" t="s">
        <v>24</v>
      </c>
      <c r="E148" s="716" t="s">
        <v>24</v>
      </c>
      <c r="F148" s="716"/>
    </row>
    <row r="149" spans="1:6" s="9" customFormat="1" ht="13" x14ac:dyDescent="0.3">
      <c r="C149" s="716"/>
      <c r="D149" s="716"/>
      <c r="E149" s="716"/>
      <c r="F149" s="716"/>
    </row>
    <row r="150" spans="1:6" s="9" customFormat="1" ht="13" x14ac:dyDescent="0.3">
      <c r="A150" s="635">
        <v>1</v>
      </c>
      <c r="B150" s="22" t="s">
        <v>500</v>
      </c>
      <c r="C150" s="716"/>
      <c r="D150" s="716"/>
      <c r="E150" s="716"/>
      <c r="F150" s="716"/>
    </row>
    <row r="151" spans="1:6" s="9" customFormat="1" x14ac:dyDescent="0.25"/>
    <row r="152" spans="1:6" s="9" customFormat="1" x14ac:dyDescent="0.25">
      <c r="A152" s="635">
        <f>A150+1</f>
        <v>2</v>
      </c>
      <c r="B152" s="9" t="str">
        <f>+B121</f>
        <v>Customer Charge per billing period</v>
      </c>
      <c r="D152" s="638"/>
      <c r="E152" s="639">
        <f>Input!H41</f>
        <v>2007</v>
      </c>
      <c r="F152" s="640"/>
    </row>
    <row r="153" spans="1:6" s="9" customFormat="1" x14ac:dyDescent="0.25">
      <c r="A153" s="635">
        <f>A152+1</f>
        <v>3</v>
      </c>
      <c r="B153" s="9" t="str">
        <f>+B122</f>
        <v>SMRP Rider per billing period</v>
      </c>
      <c r="D153" s="641"/>
      <c r="E153" s="639">
        <f>Input!K41</f>
        <v>1221.21</v>
      </c>
      <c r="F153" s="640"/>
    </row>
    <row r="154" spans="1:6" s="9" customFormat="1" x14ac:dyDescent="0.25">
      <c r="A154" s="635">
        <f>A153+1</f>
        <v>4</v>
      </c>
      <c r="B154" s="9" t="str">
        <f>+B123</f>
        <v>Tax Act Adjustment Factor per Mcf</v>
      </c>
      <c r="C154" s="637">
        <f>+C156+C157+C158</f>
        <v>11870</v>
      </c>
      <c r="D154" s="641">
        <f>+Input!J33</f>
        <v>-2.5999999999999999E-2</v>
      </c>
      <c r="E154" s="639">
        <f>+C154*D154</f>
        <v>-308.62</v>
      </c>
      <c r="F154" s="640"/>
    </row>
    <row r="155" spans="1:6" s="9" customFormat="1" x14ac:dyDescent="0.25">
      <c r="A155" s="635"/>
      <c r="C155" s="637"/>
      <c r="D155" s="642"/>
      <c r="E155" s="639"/>
      <c r="F155" s="640"/>
    </row>
    <row r="156" spans="1:6" s="9" customFormat="1" x14ac:dyDescent="0.25">
      <c r="A156" s="635">
        <f>+A154+1</f>
        <v>5</v>
      </c>
      <c r="B156" s="9" t="s">
        <v>596</v>
      </c>
      <c r="C156" s="637">
        <v>11870</v>
      </c>
      <c r="D156" s="643">
        <f>Input!C41</f>
        <v>0.62849999999999995</v>
      </c>
      <c r="E156" s="639">
        <f>ROUND(C156*D156,2)</f>
        <v>7460.3</v>
      </c>
    </row>
    <row r="157" spans="1:6" s="9" customFormat="1" x14ac:dyDescent="0.25">
      <c r="A157" s="635">
        <f>A156+1</f>
        <v>6</v>
      </c>
      <c r="B157" s="9" t="s">
        <v>597</v>
      </c>
      <c r="C157" s="637"/>
      <c r="D157" s="643">
        <f>Input!D41</f>
        <v>0.37369999999999998</v>
      </c>
      <c r="E157" s="639">
        <f>ROUND(C157*D157,2)</f>
        <v>0</v>
      </c>
    </row>
    <row r="158" spans="1:6" s="9" customFormat="1" x14ac:dyDescent="0.25">
      <c r="A158" s="635">
        <f>+A157+1</f>
        <v>7</v>
      </c>
      <c r="B158" s="9" t="s">
        <v>598</v>
      </c>
      <c r="C158" s="637"/>
      <c r="D158" s="643">
        <f>Input!E41</f>
        <v>0.32469999999999999</v>
      </c>
      <c r="E158" s="639">
        <f>ROUND(C158*D158,2)</f>
        <v>0</v>
      </c>
    </row>
    <row r="159" spans="1:6" s="9" customFormat="1" x14ac:dyDescent="0.25">
      <c r="A159" s="635">
        <f>A158+1</f>
        <v>8</v>
      </c>
      <c r="B159" s="9" t="str">
        <f>+B126</f>
        <v>NGR&amp;D Rider per Mcf</v>
      </c>
      <c r="C159" s="637">
        <f>+C156+C157+C158</f>
        <v>11870</v>
      </c>
      <c r="D159" s="643">
        <f>Input!N41</f>
        <v>1.44E-2</v>
      </c>
      <c r="E159" s="639">
        <f t="shared" ref="E159:E160" si="15">ROUND(C159*D159,2)</f>
        <v>170.93</v>
      </c>
    </row>
    <row r="160" spans="1:6" s="9" customFormat="1" x14ac:dyDescent="0.25">
      <c r="A160" s="635">
        <f>+A159+1</f>
        <v>9</v>
      </c>
      <c r="B160" s="9" t="str">
        <f>+B127</f>
        <v>Gas Cost Adjustment (GCA)</v>
      </c>
      <c r="C160" s="637">
        <f>+C159</f>
        <v>11870</v>
      </c>
      <c r="D160" s="643">
        <f>+D71</f>
        <v>4.4127999999999998</v>
      </c>
      <c r="E160" s="639">
        <f t="shared" si="15"/>
        <v>52379.94</v>
      </c>
    </row>
    <row r="161" spans="1:6" s="9" customFormat="1" x14ac:dyDescent="0.25">
      <c r="A161" s="635"/>
      <c r="C161" s="637"/>
      <c r="D161" s="643"/>
      <c r="E161" s="644"/>
    </row>
    <row r="162" spans="1:6" s="9" customFormat="1" ht="13" thickBot="1" x14ac:dyDescent="0.3">
      <c r="A162" s="635">
        <f>+A160+1</f>
        <v>10</v>
      </c>
      <c r="B162" s="9" t="s">
        <v>502</v>
      </c>
      <c r="C162" s="637">
        <f>+C160</f>
        <v>11870</v>
      </c>
      <c r="D162" s="24"/>
      <c r="E162" s="645">
        <f>SUM(E152:E160)</f>
        <v>62930.76</v>
      </c>
      <c r="F162" s="646"/>
    </row>
    <row r="163" spans="1:6" s="9" customFormat="1" ht="13" thickTop="1" x14ac:dyDescent="0.25">
      <c r="D163" s="24"/>
      <c r="E163" s="636"/>
    </row>
    <row r="164" spans="1:6" s="9" customFormat="1" ht="13" x14ac:dyDescent="0.3">
      <c r="A164" s="635">
        <f>A162+1</f>
        <v>11</v>
      </c>
      <c r="B164" s="22" t="s">
        <v>134</v>
      </c>
      <c r="C164" s="716"/>
      <c r="D164" s="647"/>
      <c r="E164" s="648"/>
    </row>
    <row r="165" spans="1:6" s="9" customFormat="1" x14ac:dyDescent="0.25">
      <c r="D165" s="24"/>
      <c r="E165" s="636"/>
    </row>
    <row r="166" spans="1:6" s="9" customFormat="1" x14ac:dyDescent="0.25">
      <c r="A166" s="635">
        <f>A164+1</f>
        <v>12</v>
      </c>
      <c r="B166" s="9" t="str">
        <f>+B152</f>
        <v>Customer Charge per billing period</v>
      </c>
      <c r="D166" s="638"/>
      <c r="E166" s="639">
        <f>Input!V41</f>
        <v>4151</v>
      </c>
    </row>
    <row r="167" spans="1:6" s="9" customFormat="1" x14ac:dyDescent="0.25">
      <c r="A167" s="635">
        <f>A166+1</f>
        <v>13</v>
      </c>
      <c r="B167" s="9" t="str">
        <f>+B153</f>
        <v>SMRP Rider per billing period</v>
      </c>
      <c r="D167" s="641"/>
      <c r="E167" s="639">
        <f>Input!X41</f>
        <v>0</v>
      </c>
    </row>
    <row r="168" spans="1:6" s="9" customFormat="1" x14ac:dyDescent="0.25">
      <c r="A168" s="635">
        <f t="shared" ref="A168:A173" si="16">A167+1</f>
        <v>14</v>
      </c>
      <c r="B168" s="9" t="str">
        <f>+B154</f>
        <v>Tax Act Adjustment Factor per Mcf</v>
      </c>
      <c r="C168" s="637">
        <f>+C154</f>
        <v>11870</v>
      </c>
      <c r="D168" s="641">
        <v>0</v>
      </c>
      <c r="E168" s="639">
        <f>Input!W41</f>
        <v>0</v>
      </c>
    </row>
    <row r="169" spans="1:6" s="9" customFormat="1" x14ac:dyDescent="0.25">
      <c r="A169" s="635">
        <f t="shared" si="16"/>
        <v>15</v>
      </c>
      <c r="C169" s="637"/>
      <c r="D169" s="642"/>
      <c r="E169" s="639"/>
    </row>
    <row r="170" spans="1:6" s="9" customFormat="1" x14ac:dyDescent="0.25">
      <c r="A170" s="635">
        <f t="shared" si="16"/>
        <v>16</v>
      </c>
      <c r="B170" s="9" t="str">
        <f>+B156</f>
        <v>First 30,000 Mcf per billing period</v>
      </c>
      <c r="C170" s="637">
        <f>+C156</f>
        <v>11870</v>
      </c>
      <c r="D170" s="643">
        <f>Input!Q41</f>
        <v>0.77010000000000001</v>
      </c>
      <c r="E170" s="639">
        <f t="shared" ref="E170:E172" si="17">ROUND(C170*D170,2)</f>
        <v>9141.09</v>
      </c>
    </row>
    <row r="171" spans="1:6" s="9" customFormat="1" x14ac:dyDescent="0.25">
      <c r="A171" s="635">
        <f t="shared" si="16"/>
        <v>17</v>
      </c>
      <c r="B171" s="9" t="str">
        <f>+B157</f>
        <v>Next 70,000 Mcf per billing period</v>
      </c>
      <c r="C171" s="637">
        <f>C157</f>
        <v>0</v>
      </c>
      <c r="D171" s="643">
        <f>Input!R41</f>
        <v>0.45789999999999997</v>
      </c>
      <c r="E171" s="639">
        <f t="shared" si="17"/>
        <v>0</v>
      </c>
    </row>
    <row r="172" spans="1:6" s="9" customFormat="1" x14ac:dyDescent="0.25">
      <c r="A172" s="635">
        <f t="shared" si="16"/>
        <v>18</v>
      </c>
      <c r="B172" s="9" t="str">
        <f>+B158</f>
        <v>Over 100,000 Mcf per billing period</v>
      </c>
      <c r="C172" s="637">
        <f>C158</f>
        <v>0</v>
      </c>
      <c r="D172" s="643">
        <f>Input!S41</f>
        <v>0.39749999999999996</v>
      </c>
      <c r="E172" s="639">
        <f t="shared" si="17"/>
        <v>0</v>
      </c>
    </row>
    <row r="173" spans="1:6" s="9" customFormat="1" x14ac:dyDescent="0.25">
      <c r="A173" s="635">
        <f t="shared" si="16"/>
        <v>19</v>
      </c>
      <c r="B173" s="9" t="str">
        <f>+B159</f>
        <v>NGR&amp;D Rider per Mcf</v>
      </c>
      <c r="C173" s="637">
        <f>+C170+C171+C172</f>
        <v>11870</v>
      </c>
      <c r="D173" s="643">
        <f>Input!AA41</f>
        <v>1.44E-2</v>
      </c>
      <c r="E173" s="639">
        <f>ROUND(C173*D173,2)</f>
        <v>170.93</v>
      </c>
    </row>
    <row r="174" spans="1:6" s="9" customFormat="1" x14ac:dyDescent="0.25">
      <c r="A174" s="635">
        <f>+A173+1</f>
        <v>20</v>
      </c>
      <c r="B174" s="9" t="str">
        <f>+B160</f>
        <v>Gas Cost Adjustment (GCA)</v>
      </c>
      <c r="C174" s="637">
        <f>+C173</f>
        <v>11870</v>
      </c>
      <c r="D174" s="643">
        <f>+D86</f>
        <v>4.3988999999999994</v>
      </c>
      <c r="E174" s="639">
        <f>ROUND(C174*D174,2)</f>
        <v>52214.94</v>
      </c>
    </row>
    <row r="175" spans="1:6" s="9" customFormat="1" x14ac:dyDescent="0.25">
      <c r="A175" s="635"/>
      <c r="C175" s="637"/>
      <c r="D175" s="643"/>
      <c r="E175" s="649"/>
    </row>
    <row r="176" spans="1:6" s="9" customFormat="1" ht="13" thickBot="1" x14ac:dyDescent="0.3">
      <c r="A176" s="635">
        <f>+A174+1</f>
        <v>21</v>
      </c>
      <c r="B176" s="9" t="s">
        <v>502</v>
      </c>
      <c r="C176" s="637">
        <f>+C174</f>
        <v>11870</v>
      </c>
      <c r="D176" s="24"/>
      <c r="E176" s="650">
        <f>SUM(E166:E174)</f>
        <v>65677.960000000006</v>
      </c>
    </row>
    <row r="177" spans="1:7" s="9" customFormat="1" ht="14" thickTop="1" thickBot="1" x14ac:dyDescent="0.35">
      <c r="G177" s="22" t="s">
        <v>573</v>
      </c>
    </row>
    <row r="178" spans="1:7" s="9" customFormat="1" ht="13.5" thickBot="1" x14ac:dyDescent="0.35">
      <c r="A178" s="635">
        <f>A176+1</f>
        <v>22</v>
      </c>
      <c r="B178" s="651" t="s">
        <v>503</v>
      </c>
      <c r="C178" s="652"/>
      <c r="D178" s="652"/>
      <c r="E178" s="653">
        <f>ROUND((E176-E162)/E162,4)</f>
        <v>4.3700000000000003E-2</v>
      </c>
      <c r="G178" s="696">
        <v>9.7900000000000001E-2</v>
      </c>
    </row>
    <row r="179" spans="1:7" s="9" customFormat="1" ht="13" x14ac:dyDescent="0.3">
      <c r="A179" s="635"/>
      <c r="B179" s="22"/>
      <c r="C179" s="22"/>
      <c r="D179" s="22"/>
      <c r="E179" s="22"/>
      <c r="G179" s="22"/>
    </row>
    <row r="180" spans="1:7" s="9" customFormat="1" ht="13" x14ac:dyDescent="0.3">
      <c r="A180" s="635">
        <f>A178+1</f>
        <v>23</v>
      </c>
      <c r="B180" s="22" t="s">
        <v>504</v>
      </c>
      <c r="C180" s="22"/>
      <c r="D180" s="22"/>
      <c r="E180" s="654">
        <f>ROUND((E166+E167+E168+E170+E171-E152-E153-E154-E156-E157)/(E152+E153+E154+E156+E157),4)</f>
        <v>0.28060000000000002</v>
      </c>
      <c r="G180" s="654">
        <v>0.47320000000000001</v>
      </c>
    </row>
    <row r="181" spans="1:7" s="9" customFormat="1" ht="13" x14ac:dyDescent="0.3">
      <c r="A181" s="635"/>
      <c r="B181" s="22"/>
      <c r="C181" s="22"/>
      <c r="D181" s="22"/>
      <c r="E181" s="654"/>
    </row>
    <row r="182" spans="1:7" s="9" customFormat="1" ht="13" x14ac:dyDescent="0.3">
      <c r="A182" s="635"/>
      <c r="B182" s="22"/>
      <c r="C182" s="22"/>
      <c r="D182" s="22"/>
      <c r="E182" s="654"/>
    </row>
    <row r="183" spans="1:7" s="9" customFormat="1" x14ac:dyDescent="0.25"/>
    <row r="184" spans="1:7" s="9" customFormat="1" x14ac:dyDescent="0.25">
      <c r="A184" s="692" t="s">
        <v>571</v>
      </c>
    </row>
    <row r="185" spans="1:7" s="9" customFormat="1" x14ac:dyDescent="0.25">
      <c r="F185" s="631" t="s">
        <v>495</v>
      </c>
    </row>
    <row r="186" spans="1:7" s="9" customFormat="1" x14ac:dyDescent="0.25">
      <c r="F186" s="631" t="str">
        <f>+F139</f>
        <v>Witness: K. L. Johnson</v>
      </c>
    </row>
    <row r="187" spans="1:7" s="9" customFormat="1" x14ac:dyDescent="0.25">
      <c r="F187" s="631" t="str">
        <f>+F140</f>
        <v>Attachment KLJ-RDES-4</v>
      </c>
    </row>
    <row r="188" spans="1:7" s="9" customFormat="1" x14ac:dyDescent="0.25">
      <c r="F188" s="631" t="s">
        <v>606</v>
      </c>
    </row>
    <row r="189" spans="1:7" s="9" customFormat="1" ht="13" x14ac:dyDescent="0.3">
      <c r="A189" s="824" t="s">
        <v>36</v>
      </c>
      <c r="B189" s="824"/>
      <c r="C189" s="824"/>
      <c r="D189" s="824"/>
      <c r="E189" s="824"/>
      <c r="F189" s="824"/>
    </row>
    <row r="190" spans="1:7" s="9" customFormat="1" ht="13" x14ac:dyDescent="0.3">
      <c r="A190" s="824" t="s">
        <v>516</v>
      </c>
      <c r="B190" s="824"/>
      <c r="C190" s="824"/>
      <c r="D190" s="824"/>
      <c r="E190" s="824"/>
      <c r="F190" s="824"/>
    </row>
    <row r="191" spans="1:7" s="9" customFormat="1" ht="13" x14ac:dyDescent="0.3">
      <c r="A191" s="828" t="str">
        <f>+A144</f>
        <v>March 2021</v>
      </c>
      <c r="B191" s="829"/>
      <c r="C191" s="829"/>
      <c r="D191" s="829"/>
      <c r="E191" s="829"/>
      <c r="F191" s="829"/>
    </row>
    <row r="192" spans="1:7" s="9" customFormat="1" x14ac:dyDescent="0.25">
      <c r="C192" s="635"/>
      <c r="D192" s="635"/>
      <c r="E192" s="635"/>
      <c r="F192" s="635"/>
    </row>
    <row r="193" spans="1:6" s="9" customFormat="1" ht="13" x14ac:dyDescent="0.3">
      <c r="A193" s="716" t="s">
        <v>1</v>
      </c>
      <c r="B193" s="22"/>
      <c r="C193" s="716"/>
      <c r="D193" s="716" t="s">
        <v>0</v>
      </c>
      <c r="E193" s="716" t="s">
        <v>450</v>
      </c>
      <c r="F193" s="716"/>
    </row>
    <row r="194" spans="1:6" s="9" customFormat="1" ht="13" x14ac:dyDescent="0.3">
      <c r="A194" s="3" t="s">
        <v>3</v>
      </c>
      <c r="B194" s="10" t="s">
        <v>498</v>
      </c>
      <c r="C194" s="3" t="s">
        <v>499</v>
      </c>
      <c r="D194" s="3" t="s">
        <v>515</v>
      </c>
      <c r="E194" s="3" t="s">
        <v>180</v>
      </c>
      <c r="F194" s="716"/>
    </row>
    <row r="195" spans="1:6" s="9" customFormat="1" ht="13" x14ac:dyDescent="0.3">
      <c r="C195" s="716" t="s">
        <v>22</v>
      </c>
      <c r="D195" s="716" t="s">
        <v>24</v>
      </c>
      <c r="E195" s="716" t="s">
        <v>24</v>
      </c>
      <c r="F195" s="716"/>
    </row>
    <row r="196" spans="1:6" s="9" customFormat="1" ht="13" x14ac:dyDescent="0.3">
      <c r="C196" s="716"/>
      <c r="D196" s="716"/>
      <c r="E196" s="716"/>
      <c r="F196" s="716"/>
    </row>
    <row r="197" spans="1:6" s="9" customFormat="1" ht="13" x14ac:dyDescent="0.3">
      <c r="A197" s="635">
        <v>1</v>
      </c>
      <c r="B197" s="22" t="s">
        <v>500</v>
      </c>
      <c r="C197" s="716"/>
      <c r="D197" s="716"/>
      <c r="E197" s="716"/>
      <c r="F197" s="716"/>
    </row>
    <row r="198" spans="1:6" s="9" customFormat="1" x14ac:dyDescent="0.25"/>
    <row r="199" spans="1:6" s="9" customFormat="1" x14ac:dyDescent="0.25">
      <c r="A199" s="635">
        <f>A197+1</f>
        <v>2</v>
      </c>
      <c r="B199" s="9" t="s">
        <v>501</v>
      </c>
      <c r="D199" s="638"/>
      <c r="E199" s="639">
        <f>Input!H45</f>
        <v>255.9</v>
      </c>
      <c r="F199" s="640"/>
    </row>
    <row r="200" spans="1:6" s="9" customFormat="1" x14ac:dyDescent="0.25">
      <c r="A200" s="635">
        <f>A199+1</f>
        <v>3</v>
      </c>
      <c r="B200" s="9" t="s">
        <v>512</v>
      </c>
      <c r="D200" s="641"/>
      <c r="E200" s="639">
        <f>Input!K45</f>
        <v>0</v>
      </c>
      <c r="F200" s="640"/>
    </row>
    <row r="201" spans="1:6" s="9" customFormat="1" x14ac:dyDescent="0.25">
      <c r="A201" s="635"/>
      <c r="D201" s="642"/>
      <c r="E201" s="639"/>
      <c r="F201" s="640"/>
    </row>
    <row r="202" spans="1:6" s="9" customFormat="1" x14ac:dyDescent="0.25">
      <c r="A202" s="635">
        <f>+A200+1</f>
        <v>4</v>
      </c>
      <c r="B202" s="9" t="s">
        <v>110</v>
      </c>
      <c r="C202" s="637">
        <f>ROUND(('C'!P332)/(B!P219+B!P220),1)</f>
        <v>16725</v>
      </c>
      <c r="D202" s="643">
        <f>Input!C45</f>
        <v>8.5800000000000001E-2</v>
      </c>
      <c r="E202" s="639">
        <f>ROUND(C202*D202,2)</f>
        <v>1435.01</v>
      </c>
    </row>
    <row r="203" spans="1:6" s="9" customFormat="1" x14ac:dyDescent="0.25">
      <c r="A203" s="635">
        <f>A202+1</f>
        <v>5</v>
      </c>
      <c r="B203" s="9" t="s">
        <v>513</v>
      </c>
      <c r="C203" s="637">
        <f>C202</f>
        <v>16725</v>
      </c>
      <c r="D203" s="643">
        <f>Input!N45</f>
        <v>1.44E-2</v>
      </c>
      <c r="E203" s="639">
        <f t="shared" ref="E203" si="18">ROUND(C203*D203,2)</f>
        <v>240.84</v>
      </c>
    </row>
    <row r="204" spans="1:6" s="9" customFormat="1" x14ac:dyDescent="0.25">
      <c r="A204" s="635">
        <f>+A203+1</f>
        <v>6</v>
      </c>
      <c r="B204" s="9" t="s">
        <v>514</v>
      </c>
      <c r="C204" s="637">
        <f>+C203</f>
        <v>16725</v>
      </c>
      <c r="D204" s="643">
        <f>+D160</f>
        <v>4.4127999999999998</v>
      </c>
      <c r="E204" s="639">
        <f>ROUND(C204*D204,2)</f>
        <v>73804.08</v>
      </c>
    </row>
    <row r="205" spans="1:6" s="9" customFormat="1" x14ac:dyDescent="0.25">
      <c r="A205" s="635"/>
      <c r="C205" s="637"/>
      <c r="D205" s="643"/>
      <c r="E205" s="644"/>
    </row>
    <row r="206" spans="1:6" s="9" customFormat="1" ht="13" thickBot="1" x14ac:dyDescent="0.3">
      <c r="A206" s="635">
        <f>+A204+1</f>
        <v>7</v>
      </c>
      <c r="B206" s="9" t="s">
        <v>502</v>
      </c>
      <c r="C206" s="637">
        <f>+C204</f>
        <v>16725</v>
      </c>
      <c r="D206" s="24"/>
      <c r="E206" s="645">
        <f>SUM(E199:E204)</f>
        <v>75735.83</v>
      </c>
      <c r="F206" s="646"/>
    </row>
    <row r="207" spans="1:6" s="9" customFormat="1" ht="13" thickTop="1" x14ac:dyDescent="0.25">
      <c r="D207" s="24"/>
      <c r="E207" s="636"/>
    </row>
    <row r="208" spans="1:6" s="9" customFormat="1" ht="13" x14ac:dyDescent="0.3">
      <c r="A208" s="635">
        <f>A206+1</f>
        <v>8</v>
      </c>
      <c r="B208" s="22" t="s">
        <v>134</v>
      </c>
      <c r="C208" s="716"/>
      <c r="D208" s="647"/>
      <c r="E208" s="648"/>
    </row>
    <row r="209" spans="1:7" s="9" customFormat="1" x14ac:dyDescent="0.25">
      <c r="D209" s="24"/>
      <c r="E209" s="636"/>
    </row>
    <row r="210" spans="1:7" s="9" customFormat="1" x14ac:dyDescent="0.25">
      <c r="A210" s="635">
        <f>A208+1</f>
        <v>9</v>
      </c>
      <c r="B210" s="9" t="s">
        <v>501</v>
      </c>
      <c r="D210" s="638"/>
      <c r="E210" s="639">
        <f>Input!V45</f>
        <v>282.2</v>
      </c>
    </row>
    <row r="211" spans="1:7" s="9" customFormat="1" x14ac:dyDescent="0.25">
      <c r="A211" s="635">
        <f>A210+1</f>
        <v>10</v>
      </c>
      <c r="B211" s="9" t="s">
        <v>512</v>
      </c>
      <c r="D211" s="641"/>
      <c r="E211" s="639">
        <f>Input!X45</f>
        <v>0</v>
      </c>
    </row>
    <row r="212" spans="1:7" s="9" customFormat="1" x14ac:dyDescent="0.25">
      <c r="A212" s="635"/>
      <c r="D212" s="642"/>
      <c r="E212" s="639"/>
    </row>
    <row r="213" spans="1:7" s="9" customFormat="1" x14ac:dyDescent="0.25">
      <c r="A213" s="635">
        <f>+A211+1</f>
        <v>11</v>
      </c>
      <c r="B213" s="9" t="s">
        <v>110</v>
      </c>
      <c r="C213" s="637">
        <f>C206</f>
        <v>16725</v>
      </c>
      <c r="D213" s="643">
        <f>Input!Q45</f>
        <v>9.4600000000000004E-2</v>
      </c>
      <c r="E213" s="639">
        <f t="shared" ref="E213:E214" si="19">ROUND(C213*D213,2)</f>
        <v>1582.19</v>
      </c>
    </row>
    <row r="214" spans="1:7" s="9" customFormat="1" x14ac:dyDescent="0.25">
      <c r="A214" s="635">
        <f>A213+1</f>
        <v>12</v>
      </c>
      <c r="B214" s="9" t="s">
        <v>513</v>
      </c>
      <c r="C214" s="637">
        <f>C213</f>
        <v>16725</v>
      </c>
      <c r="D214" s="643">
        <f>Input!AA45</f>
        <v>1.44E-2</v>
      </c>
      <c r="E214" s="639">
        <f t="shared" si="19"/>
        <v>240.84</v>
      </c>
    </row>
    <row r="215" spans="1:7" s="9" customFormat="1" x14ac:dyDescent="0.25">
      <c r="A215" s="635">
        <f>+A214+1</f>
        <v>13</v>
      </c>
      <c r="B215" s="9" t="s">
        <v>514</v>
      </c>
      <c r="C215" s="637">
        <f>+C214</f>
        <v>16725</v>
      </c>
      <c r="D215" s="643">
        <f>+D174</f>
        <v>4.3988999999999994</v>
      </c>
      <c r="E215" s="639">
        <f>ROUND(C215*D215,2)</f>
        <v>73571.600000000006</v>
      </c>
    </row>
    <row r="216" spans="1:7" s="9" customFormat="1" x14ac:dyDescent="0.25">
      <c r="A216" s="635"/>
      <c r="C216" s="637"/>
      <c r="D216" s="643"/>
      <c r="E216" s="649"/>
    </row>
    <row r="217" spans="1:7" s="9" customFormat="1" ht="13" thickBot="1" x14ac:dyDescent="0.3">
      <c r="A217" s="635">
        <f>+A215+1</f>
        <v>14</v>
      </c>
      <c r="B217" s="9" t="s">
        <v>502</v>
      </c>
      <c r="C217" s="637">
        <f>+C215</f>
        <v>16725</v>
      </c>
      <c r="D217" s="24"/>
      <c r="E217" s="650">
        <f>SUM(E210:E215)</f>
        <v>75676.83</v>
      </c>
    </row>
    <row r="218" spans="1:7" s="9" customFormat="1" ht="14" thickTop="1" thickBot="1" x14ac:dyDescent="0.35">
      <c r="E218" s="636"/>
      <c r="G218" s="22" t="s">
        <v>573</v>
      </c>
    </row>
    <row r="219" spans="1:7" s="9" customFormat="1" ht="13.5" thickBot="1" x14ac:dyDescent="0.35">
      <c r="A219" s="635">
        <f>A217+1</f>
        <v>15</v>
      </c>
      <c r="B219" s="651" t="s">
        <v>503</v>
      </c>
      <c r="C219" s="652"/>
      <c r="D219" s="652"/>
      <c r="E219" s="653">
        <f>ROUND((E217-E206)/E206,4)</f>
        <v>-8.0000000000000004E-4</v>
      </c>
      <c r="G219" s="696">
        <v>0</v>
      </c>
    </row>
    <row r="220" spans="1:7" s="9" customFormat="1" ht="13" x14ac:dyDescent="0.3">
      <c r="A220" s="635"/>
      <c r="B220" s="22"/>
      <c r="C220" s="22"/>
      <c r="D220" s="22"/>
      <c r="E220" s="22"/>
      <c r="G220" s="22"/>
    </row>
    <row r="221" spans="1:7" s="9" customFormat="1" ht="13" x14ac:dyDescent="0.3">
      <c r="A221" s="635">
        <f>A219+1</f>
        <v>16</v>
      </c>
      <c r="B221" s="22" t="s">
        <v>504</v>
      </c>
      <c r="C221" s="22"/>
      <c r="D221" s="22"/>
      <c r="E221" s="654">
        <f>ROUND((E210+E211+E213-E199-E200-E202)/(E199+E200+E202),4)</f>
        <v>0.1026</v>
      </c>
      <c r="G221" s="654">
        <v>0</v>
      </c>
    </row>
    <row r="222" spans="1:7" s="9" customFormat="1" ht="13" x14ac:dyDescent="0.3">
      <c r="A222" s="635"/>
      <c r="B222" s="22"/>
      <c r="C222" s="22"/>
      <c r="D222" s="22"/>
      <c r="E222" s="654"/>
    </row>
    <row r="223" spans="1:7" s="9" customFormat="1" ht="13" x14ac:dyDescent="0.3">
      <c r="A223" s="635"/>
      <c r="B223" s="22"/>
      <c r="C223" s="22"/>
      <c r="D223" s="22"/>
      <c r="E223" s="654"/>
    </row>
    <row r="224" spans="1:7" s="9" customFormat="1" x14ac:dyDescent="0.25"/>
    <row r="225" spans="1:1" s="9" customFormat="1" x14ac:dyDescent="0.25">
      <c r="A225" s="692" t="s">
        <v>572</v>
      </c>
    </row>
    <row r="226" spans="1:1" s="9" customFormat="1" x14ac:dyDescent="0.25"/>
    <row r="227" spans="1:1" s="9" customFormat="1" x14ac:dyDescent="0.25"/>
    <row r="228" spans="1:1" s="9" customFormat="1" x14ac:dyDescent="0.25"/>
    <row r="229" spans="1:1" s="9" customFormat="1" x14ac:dyDescent="0.25"/>
    <row r="230" spans="1:1" s="9" customFormat="1" x14ac:dyDescent="0.25"/>
    <row r="231" spans="1:1" s="9" customFormat="1" x14ac:dyDescent="0.25"/>
    <row r="232" spans="1:1" s="9" customFormat="1" x14ac:dyDescent="0.25"/>
    <row r="233" spans="1:1" s="9" customFormat="1" x14ac:dyDescent="0.25"/>
    <row r="234" spans="1:1" s="9" customFormat="1" x14ac:dyDescent="0.25"/>
    <row r="235" spans="1:1" s="9" customFormat="1" x14ac:dyDescent="0.25"/>
    <row r="236" spans="1:1" s="9" customFormat="1" x14ac:dyDescent="0.25"/>
    <row r="237" spans="1:1" s="9" customFormat="1" x14ac:dyDescent="0.25"/>
    <row r="238" spans="1:1" s="9" customFormat="1" x14ac:dyDescent="0.25"/>
    <row r="239" spans="1:1" s="9" customFormat="1" x14ac:dyDescent="0.25"/>
    <row r="240" spans="1:1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</sheetData>
  <mergeCells count="15">
    <mergeCell ref="A191:F191"/>
    <mergeCell ref="A190:F190"/>
    <mergeCell ref="A5:F5"/>
    <mergeCell ref="A6:F6"/>
    <mergeCell ref="A7:F7"/>
    <mergeCell ref="A52:F52"/>
    <mergeCell ref="A53:F53"/>
    <mergeCell ref="A54:F54"/>
    <mergeCell ref="A142:F142"/>
    <mergeCell ref="A143:F143"/>
    <mergeCell ref="A144:F144"/>
    <mergeCell ref="A189:F189"/>
    <mergeCell ref="A99:F99"/>
    <mergeCell ref="A100:F100"/>
    <mergeCell ref="A101:F101"/>
  </mergeCells>
  <pageMargins left="0.7" right="0.7" top="0.75" bottom="0.75" header="0.3" footer="0.3"/>
  <pageSetup scale="96" orientation="portrait" r:id="rId1"/>
  <rowBreaks count="4" manualBreakCount="4">
    <brk id="47" max="5" man="1"/>
    <brk id="94" max="5" man="1"/>
    <brk id="137" max="5" man="1"/>
    <brk id="184" max="5" man="1"/>
  </rowBreaks>
  <ignoredErrors>
    <ignoredError sqref="A15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AE327"/>
  <sheetViews>
    <sheetView workbookViewId="0">
      <selection activeCell="E8" sqref="E8"/>
    </sheetView>
  </sheetViews>
  <sheetFormatPr defaultColWidth="10" defaultRowHeight="12.5" x14ac:dyDescent="0.25"/>
  <cols>
    <col min="1" max="1" width="30.625" style="1" customWidth="1"/>
    <col min="2" max="2" width="59.125" style="1" customWidth="1"/>
    <col min="3" max="3" width="14.625" style="1" customWidth="1"/>
    <col min="4" max="4" width="17.625" style="14" customWidth="1"/>
    <col min="5" max="5" width="17.125" style="1" customWidth="1"/>
    <col min="6" max="6" width="18.375" style="1" customWidth="1"/>
    <col min="7" max="7" width="15.625" style="1" customWidth="1"/>
    <col min="8" max="15" width="14.125" style="1" customWidth="1"/>
    <col min="16" max="16" width="2" style="1" customWidth="1"/>
    <col min="17" max="17" width="15.625" style="1" bestFit="1" customWidth="1"/>
    <col min="18" max="18" width="19.625" style="1" bestFit="1" customWidth="1"/>
    <col min="19" max="19" width="17.375" style="1" bestFit="1" customWidth="1"/>
    <col min="20" max="20" width="18.625" style="1" bestFit="1" customWidth="1"/>
    <col min="21" max="21" width="15.625" style="1" bestFit="1" customWidth="1"/>
    <col min="22" max="22" width="14.375" style="1" bestFit="1" customWidth="1"/>
    <col min="23" max="23" width="16.375" style="1" bestFit="1" customWidth="1"/>
    <col min="24" max="24" width="10.125" style="1" bestFit="1" customWidth="1"/>
    <col min="25" max="25" width="10.625" style="1" bestFit="1" customWidth="1"/>
    <col min="26" max="27" width="10.125" style="1" bestFit="1" customWidth="1"/>
    <col min="28" max="28" width="13" style="1" customWidth="1"/>
    <col min="29" max="30" width="10" style="1"/>
    <col min="31" max="31" width="10.125" style="1" bestFit="1" customWidth="1"/>
    <col min="32" max="16384" width="10" style="1"/>
  </cols>
  <sheetData>
    <row r="1" spans="1:31" x14ac:dyDescent="0.25">
      <c r="A1" s="9" t="s">
        <v>36</v>
      </c>
      <c r="B1" s="9"/>
      <c r="C1" s="9"/>
      <c r="D1" s="24"/>
    </row>
    <row r="2" spans="1:31" x14ac:dyDescent="0.25">
      <c r="A2" s="9"/>
      <c r="B2" s="9"/>
      <c r="C2" s="9"/>
      <c r="D2" s="24"/>
    </row>
    <row r="3" spans="1:31" ht="13" x14ac:dyDescent="0.3">
      <c r="A3" s="22" t="s">
        <v>38</v>
      </c>
      <c r="B3" s="618" t="s">
        <v>561</v>
      </c>
    </row>
    <row r="4" spans="1:31" x14ac:dyDescent="0.25">
      <c r="A4" s="9"/>
      <c r="B4" s="9"/>
      <c r="C4" s="9"/>
    </row>
    <row r="5" spans="1:31" ht="13" x14ac:dyDescent="0.3">
      <c r="A5" s="22" t="s">
        <v>62</v>
      </c>
      <c r="B5" s="23" t="s">
        <v>554</v>
      </c>
    </row>
    <row r="6" spans="1:31" ht="13" x14ac:dyDescent="0.3">
      <c r="A6" s="22" t="s">
        <v>562</v>
      </c>
      <c r="B6" s="23"/>
    </row>
    <row r="7" spans="1:31" ht="13" x14ac:dyDescent="0.3">
      <c r="A7" s="22" t="s">
        <v>114</v>
      </c>
      <c r="B7" s="9"/>
      <c r="C7" s="686">
        <v>4.4127999999999998</v>
      </c>
    </row>
    <row r="8" spans="1:31" ht="13" x14ac:dyDescent="0.3">
      <c r="A8" s="22" t="s">
        <v>171</v>
      </c>
      <c r="B8" s="9"/>
      <c r="C8" s="687">
        <v>4.3869999999999996</v>
      </c>
      <c r="Q8" s="16"/>
    </row>
    <row r="9" spans="1:31" ht="13" x14ac:dyDescent="0.3">
      <c r="A9" s="22" t="s">
        <v>172</v>
      </c>
      <c r="B9" s="9"/>
      <c r="C9" s="688">
        <f>2.7919</f>
        <v>2.7919</v>
      </c>
      <c r="Q9" s="16"/>
    </row>
    <row r="10" spans="1:31" ht="13" x14ac:dyDescent="0.3">
      <c r="A10" s="22" t="s">
        <v>173</v>
      </c>
      <c r="B10" s="9"/>
      <c r="C10" s="686">
        <v>2.1524999999999999</v>
      </c>
      <c r="Q10" s="16"/>
    </row>
    <row r="11" spans="1:31" ht="13" x14ac:dyDescent="0.3">
      <c r="A11" s="22" t="s">
        <v>174</v>
      </c>
      <c r="B11" s="9"/>
      <c r="C11" s="23" t="s">
        <v>544</v>
      </c>
      <c r="Q11" s="16"/>
    </row>
    <row r="12" spans="1:31" x14ac:dyDescent="0.25">
      <c r="A12" s="9"/>
      <c r="B12" s="9"/>
      <c r="C12" s="9"/>
      <c r="D12" s="24"/>
      <c r="E12" s="9"/>
      <c r="F12" s="9"/>
      <c r="G12" s="9"/>
    </row>
    <row r="13" spans="1:31" ht="13" x14ac:dyDescent="0.3">
      <c r="A13" s="22" t="s">
        <v>123</v>
      </c>
      <c r="B13" s="9"/>
      <c r="C13" s="9"/>
      <c r="D13" s="24"/>
      <c r="E13" s="9"/>
      <c r="F13" s="9"/>
      <c r="G13" s="9"/>
      <c r="P13" s="25"/>
    </row>
    <row r="14" spans="1:31" ht="13" x14ac:dyDescent="0.3">
      <c r="A14" s="9"/>
      <c r="B14" s="9"/>
      <c r="C14" s="662" t="s">
        <v>133</v>
      </c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62"/>
      <c r="P14" s="25"/>
      <c r="Q14" s="668" t="s">
        <v>134</v>
      </c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</row>
    <row r="15" spans="1:31" ht="13" x14ac:dyDescent="0.3">
      <c r="A15" s="3" t="s">
        <v>125</v>
      </c>
      <c r="B15" s="3" t="s">
        <v>126</v>
      </c>
      <c r="C15" s="3" t="s">
        <v>127</v>
      </c>
      <c r="D15" s="4" t="s">
        <v>128</v>
      </c>
      <c r="E15" s="3" t="s">
        <v>129</v>
      </c>
      <c r="F15" s="3" t="s">
        <v>130</v>
      </c>
      <c r="G15" s="3" t="s">
        <v>131</v>
      </c>
      <c r="H15" s="5" t="s">
        <v>132</v>
      </c>
      <c r="I15" s="5" t="s">
        <v>155</v>
      </c>
      <c r="J15" s="5" t="s">
        <v>528</v>
      </c>
      <c r="K15" s="3" t="s">
        <v>190</v>
      </c>
      <c r="L15" s="3" t="s">
        <v>189</v>
      </c>
      <c r="M15" s="5" t="s">
        <v>139</v>
      </c>
      <c r="N15" s="5" t="s">
        <v>140</v>
      </c>
      <c r="O15" s="5" t="s">
        <v>175</v>
      </c>
      <c r="P15" s="6"/>
      <c r="Q15" s="3" t="s">
        <v>127</v>
      </c>
      <c r="R15" s="3" t="s">
        <v>128</v>
      </c>
      <c r="S15" s="3" t="s">
        <v>129</v>
      </c>
      <c r="T15" s="3" t="s">
        <v>130</v>
      </c>
      <c r="U15" s="3" t="s">
        <v>131</v>
      </c>
      <c r="V15" s="5" t="s">
        <v>132</v>
      </c>
      <c r="W15" s="5" t="s">
        <v>154</v>
      </c>
      <c r="X15" s="3" t="s">
        <v>190</v>
      </c>
      <c r="Y15" s="3" t="s">
        <v>189</v>
      </c>
      <c r="Z15" s="5" t="s">
        <v>139</v>
      </c>
      <c r="AA15" s="5" t="s">
        <v>140</v>
      </c>
      <c r="AB15" s="5" t="s">
        <v>175</v>
      </c>
    </row>
    <row r="16" spans="1:31" x14ac:dyDescent="0.25">
      <c r="A16" s="7" t="s">
        <v>75</v>
      </c>
      <c r="B16" s="7" t="s">
        <v>76</v>
      </c>
      <c r="C16" s="706">
        <v>3.5665</v>
      </c>
      <c r="D16" s="18"/>
      <c r="E16" s="18"/>
      <c r="F16" s="18"/>
      <c r="G16" s="18"/>
      <c r="H16" s="708">
        <v>16</v>
      </c>
      <c r="I16" s="28"/>
      <c r="J16" s="707">
        <v>-0.28249999999999997</v>
      </c>
      <c r="K16" s="708">
        <v>6.63</v>
      </c>
      <c r="L16" s="708">
        <v>0.28999999999999998</v>
      </c>
      <c r="M16" s="707">
        <v>0.3</v>
      </c>
      <c r="N16" s="707">
        <v>1.44E-2</v>
      </c>
      <c r="O16" s="707">
        <v>2.58E-2</v>
      </c>
      <c r="P16" s="21"/>
      <c r="Q16" s="710">
        <f>'Rate Design KLJ-RDES-1'!F190</f>
        <v>4.2263000000000002</v>
      </c>
      <c r="R16" s="30"/>
      <c r="S16" s="8"/>
      <c r="T16" s="8"/>
      <c r="U16" s="8"/>
      <c r="V16" s="709">
        <f>'Rate Design KLJ-RDES-1'!F185</f>
        <v>29.2</v>
      </c>
      <c r="W16" s="15"/>
      <c r="X16" s="27">
        <v>0</v>
      </c>
      <c r="Y16" s="30">
        <f>L16</f>
        <v>0.28999999999999998</v>
      </c>
      <c r="Z16" s="30">
        <f>M16</f>
        <v>0.3</v>
      </c>
      <c r="AA16" s="30">
        <f>N16</f>
        <v>1.44E-2</v>
      </c>
      <c r="AB16" s="713">
        <v>1.1900000000000001E-2</v>
      </c>
      <c r="AC16" s="16"/>
      <c r="AD16" s="16"/>
      <c r="AE16" s="16"/>
    </row>
    <row r="17" spans="1:31" x14ac:dyDescent="0.25">
      <c r="A17" s="7" t="s">
        <v>77</v>
      </c>
      <c r="B17" s="7" t="s">
        <v>78</v>
      </c>
      <c r="C17" s="26">
        <v>3.2636000000000003</v>
      </c>
      <c r="D17" s="26"/>
      <c r="E17" s="31"/>
      <c r="F17" s="31"/>
      <c r="G17" s="31"/>
      <c r="H17" s="27">
        <v>70.34</v>
      </c>
      <c r="I17" s="28"/>
      <c r="J17" s="28"/>
      <c r="K17" s="27"/>
      <c r="L17" s="27"/>
      <c r="M17" s="27"/>
      <c r="N17" s="28"/>
      <c r="O17" s="27"/>
      <c r="P17" s="21"/>
      <c r="Q17" s="30">
        <f t="shared" ref="Q17:Q26" si="0">C17</f>
        <v>3.2636000000000003</v>
      </c>
      <c r="R17" s="8"/>
      <c r="S17" s="8"/>
      <c r="T17" s="8"/>
      <c r="U17" s="8"/>
      <c r="V17" s="15">
        <f t="shared" ref="V17:V26" si="1">H17</f>
        <v>70.34</v>
      </c>
      <c r="W17" s="15"/>
      <c r="X17" s="28"/>
      <c r="Z17" s="28"/>
      <c r="AA17" s="28"/>
      <c r="AB17" s="156"/>
      <c r="AC17" s="16"/>
      <c r="AD17" s="16"/>
      <c r="AE17" s="16"/>
    </row>
    <row r="18" spans="1:31" x14ac:dyDescent="0.25">
      <c r="A18" s="7" t="s">
        <v>79</v>
      </c>
      <c r="B18" s="7" t="s">
        <v>80</v>
      </c>
      <c r="C18" s="26">
        <v>3.9009999999999998</v>
      </c>
      <c r="D18" s="26"/>
      <c r="E18" s="26"/>
      <c r="F18" s="26"/>
      <c r="G18" s="26"/>
      <c r="H18" s="27">
        <v>22.32</v>
      </c>
      <c r="I18" s="28"/>
      <c r="J18" s="28"/>
      <c r="K18" s="27"/>
      <c r="L18" s="27"/>
      <c r="M18" s="27"/>
      <c r="N18" s="28"/>
      <c r="O18" s="27"/>
      <c r="P18" s="21"/>
      <c r="Q18" s="30">
        <f t="shared" si="0"/>
        <v>3.9009999999999998</v>
      </c>
      <c r="R18" s="8"/>
      <c r="S18" s="8"/>
      <c r="T18" s="8"/>
      <c r="U18" s="8"/>
      <c r="V18" s="15">
        <f t="shared" si="1"/>
        <v>22.32</v>
      </c>
      <c r="W18" s="15"/>
      <c r="X18" s="28"/>
      <c r="Z18" s="28"/>
      <c r="AA18" s="28"/>
      <c r="AB18" s="156"/>
      <c r="AC18" s="16"/>
      <c r="AD18" s="16"/>
      <c r="AE18" s="16"/>
    </row>
    <row r="19" spans="1:31" x14ac:dyDescent="0.25">
      <c r="A19" s="7" t="s">
        <v>81</v>
      </c>
      <c r="B19" s="7" t="s">
        <v>82</v>
      </c>
      <c r="C19" s="26">
        <v>0.4</v>
      </c>
      <c r="D19" s="26"/>
      <c r="E19" s="26"/>
      <c r="F19" s="26"/>
      <c r="G19" s="26"/>
      <c r="H19" s="27">
        <v>0</v>
      </c>
      <c r="I19" s="27"/>
      <c r="J19" s="27"/>
      <c r="K19" s="27"/>
      <c r="L19" s="29"/>
      <c r="M19" s="27"/>
      <c r="N19" s="33">
        <v>1.44E-2</v>
      </c>
      <c r="O19" s="29"/>
      <c r="P19" s="21"/>
      <c r="Q19" s="30">
        <f t="shared" si="0"/>
        <v>0.4</v>
      </c>
      <c r="R19" s="8"/>
      <c r="S19" s="8"/>
      <c r="T19" s="8"/>
      <c r="U19" s="8"/>
      <c r="V19" s="15">
        <f t="shared" si="1"/>
        <v>0</v>
      </c>
      <c r="W19" s="15"/>
      <c r="X19" s="28"/>
      <c r="Z19" s="28"/>
      <c r="AA19" s="30">
        <f>N19</f>
        <v>1.44E-2</v>
      </c>
      <c r="AB19" s="156"/>
      <c r="AC19" s="16"/>
      <c r="AD19" s="16"/>
      <c r="AE19" s="16"/>
    </row>
    <row r="20" spans="1:31" x14ac:dyDescent="0.25">
      <c r="A20" s="7" t="s">
        <v>81</v>
      </c>
      <c r="B20" s="7" t="s">
        <v>83</v>
      </c>
      <c r="C20" s="26">
        <v>0.4</v>
      </c>
      <c r="D20" s="26"/>
      <c r="E20" s="26"/>
      <c r="F20" s="26"/>
      <c r="G20" s="26"/>
      <c r="H20" s="27">
        <v>0</v>
      </c>
      <c r="I20" s="27"/>
      <c r="J20" s="27"/>
      <c r="K20" s="27"/>
      <c r="L20" s="29"/>
      <c r="M20" s="27"/>
      <c r="N20" s="33">
        <v>1.44E-2</v>
      </c>
      <c r="O20" s="29"/>
      <c r="P20" s="21"/>
      <c r="Q20" s="30">
        <f t="shared" si="0"/>
        <v>0.4</v>
      </c>
      <c r="R20" s="8"/>
      <c r="S20" s="8"/>
      <c r="T20" s="8"/>
      <c r="U20" s="8"/>
      <c r="V20" s="15">
        <f t="shared" si="1"/>
        <v>0</v>
      </c>
      <c r="W20" s="15"/>
      <c r="X20" s="28"/>
      <c r="Z20" s="28"/>
      <c r="AA20" s="30">
        <f>N20</f>
        <v>1.44E-2</v>
      </c>
      <c r="AB20" s="156"/>
      <c r="AC20" s="16"/>
      <c r="AD20" s="16"/>
      <c r="AE20" s="16"/>
    </row>
    <row r="21" spans="1:31" x14ac:dyDescent="0.25">
      <c r="A21" s="7" t="s">
        <v>84</v>
      </c>
      <c r="B21" s="7" t="s">
        <v>82</v>
      </c>
      <c r="C21" s="26">
        <v>0</v>
      </c>
      <c r="D21" s="26"/>
      <c r="E21" s="26"/>
      <c r="F21" s="26"/>
      <c r="G21" s="26"/>
      <c r="H21" s="27">
        <v>0</v>
      </c>
      <c r="I21" s="27"/>
      <c r="J21" s="27"/>
      <c r="K21" s="27"/>
      <c r="L21" s="29"/>
      <c r="M21" s="27"/>
      <c r="N21" s="33">
        <v>1.44E-2</v>
      </c>
      <c r="O21" s="29"/>
      <c r="P21" s="21"/>
      <c r="Q21" s="30">
        <f t="shared" si="0"/>
        <v>0</v>
      </c>
      <c r="R21" s="8"/>
      <c r="S21" s="8"/>
      <c r="T21" s="8"/>
      <c r="U21" s="8"/>
      <c r="V21" s="15">
        <f t="shared" si="1"/>
        <v>0</v>
      </c>
      <c r="W21" s="15"/>
      <c r="X21" s="28"/>
      <c r="Z21" s="28"/>
      <c r="AA21" s="30">
        <f>N21</f>
        <v>1.44E-2</v>
      </c>
      <c r="AB21" s="156"/>
      <c r="AD21" s="16"/>
      <c r="AE21" s="16"/>
    </row>
    <row r="22" spans="1:31" x14ac:dyDescent="0.25">
      <c r="A22" s="7" t="s">
        <v>85</v>
      </c>
      <c r="B22" s="7" t="s">
        <v>82</v>
      </c>
      <c r="C22" s="26">
        <v>0.6</v>
      </c>
      <c r="D22" s="26"/>
      <c r="E22" s="26"/>
      <c r="F22" s="26"/>
      <c r="G22" s="26"/>
      <c r="H22" s="27">
        <v>0</v>
      </c>
      <c r="I22" s="27"/>
      <c r="J22" s="27"/>
      <c r="K22" s="27"/>
      <c r="L22" s="29"/>
      <c r="M22" s="27"/>
      <c r="N22" s="33">
        <v>1.44E-2</v>
      </c>
      <c r="O22" s="29"/>
      <c r="P22" s="21"/>
      <c r="Q22" s="30">
        <f t="shared" si="0"/>
        <v>0.6</v>
      </c>
      <c r="R22" s="8"/>
      <c r="S22" s="8"/>
      <c r="T22" s="8"/>
      <c r="U22" s="8"/>
      <c r="V22" s="15">
        <f t="shared" si="1"/>
        <v>0</v>
      </c>
      <c r="W22" s="15"/>
      <c r="X22" s="28"/>
      <c r="Z22" s="28"/>
      <c r="AA22" s="30">
        <f>N22</f>
        <v>1.44E-2</v>
      </c>
      <c r="AB22" s="156"/>
      <c r="AD22" s="16"/>
      <c r="AE22" s="16"/>
    </row>
    <row r="23" spans="1:31" x14ac:dyDescent="0.25">
      <c r="A23" s="7" t="s">
        <v>86</v>
      </c>
      <c r="B23" s="7" t="s">
        <v>87</v>
      </c>
      <c r="C23" s="26">
        <v>0.35</v>
      </c>
      <c r="D23" s="26"/>
      <c r="E23" s="26"/>
      <c r="F23" s="26"/>
      <c r="G23" s="26"/>
      <c r="H23" s="27">
        <v>0</v>
      </c>
      <c r="I23" s="27"/>
      <c r="J23" s="27"/>
      <c r="K23" s="27"/>
      <c r="L23" s="27"/>
      <c r="M23" s="27"/>
      <c r="N23" s="27"/>
      <c r="O23" s="27"/>
      <c r="P23" s="21"/>
      <c r="Q23" s="30">
        <f t="shared" si="0"/>
        <v>0.35</v>
      </c>
      <c r="R23" s="8"/>
      <c r="S23" s="8"/>
      <c r="T23" s="8"/>
      <c r="U23" s="8"/>
      <c r="V23" s="15">
        <f t="shared" si="1"/>
        <v>0</v>
      </c>
      <c r="W23" s="15"/>
      <c r="X23" s="27"/>
      <c r="Z23" s="28"/>
      <c r="AA23" s="28"/>
      <c r="AB23" s="156"/>
      <c r="AD23" s="16"/>
      <c r="AE23" s="16"/>
    </row>
    <row r="24" spans="1:31" x14ac:dyDescent="0.25">
      <c r="A24" s="7" t="s">
        <v>86</v>
      </c>
      <c r="B24" s="7" t="s">
        <v>78</v>
      </c>
      <c r="C24" s="26">
        <v>0.35</v>
      </c>
      <c r="D24" s="26"/>
      <c r="E24" s="26"/>
      <c r="F24" s="26"/>
      <c r="G24" s="26"/>
      <c r="H24" s="27">
        <v>0</v>
      </c>
      <c r="I24" s="27"/>
      <c r="J24" s="27"/>
      <c r="K24" s="27"/>
      <c r="L24" s="27"/>
      <c r="M24" s="27"/>
      <c r="N24" s="27"/>
      <c r="O24" s="27"/>
      <c r="P24" s="21"/>
      <c r="Q24" s="30">
        <f t="shared" si="0"/>
        <v>0.35</v>
      </c>
      <c r="R24" s="8"/>
      <c r="S24" s="8"/>
      <c r="T24" s="8"/>
      <c r="U24" s="8"/>
      <c r="V24" s="15">
        <f t="shared" si="1"/>
        <v>0</v>
      </c>
      <c r="W24" s="15"/>
      <c r="X24" s="27"/>
      <c r="Z24" s="28"/>
      <c r="AA24" s="28"/>
      <c r="AB24" s="156"/>
      <c r="AD24" s="16"/>
      <c r="AE24" s="16"/>
    </row>
    <row r="25" spans="1:31" x14ac:dyDescent="0.25">
      <c r="A25" s="7" t="s">
        <v>88</v>
      </c>
      <c r="B25" s="7" t="s">
        <v>80</v>
      </c>
      <c r="C25" s="26">
        <v>0</v>
      </c>
      <c r="D25" s="26">
        <v>0.35</v>
      </c>
      <c r="E25" s="31"/>
      <c r="F25" s="31"/>
      <c r="G25" s="31"/>
      <c r="H25" s="27">
        <v>1.2</v>
      </c>
      <c r="I25" s="27"/>
      <c r="J25" s="27"/>
      <c r="K25" s="27"/>
      <c r="L25" s="27"/>
      <c r="M25" s="27"/>
      <c r="N25" s="27"/>
      <c r="O25" s="27"/>
      <c r="P25" s="21"/>
      <c r="Q25" s="30">
        <f t="shared" si="0"/>
        <v>0</v>
      </c>
      <c r="R25" s="30">
        <f>D25</f>
        <v>0.35</v>
      </c>
      <c r="S25" s="8"/>
      <c r="T25" s="8"/>
      <c r="U25" s="8"/>
      <c r="V25" s="15">
        <f t="shared" si="1"/>
        <v>1.2</v>
      </c>
      <c r="W25" s="15"/>
      <c r="X25" s="27"/>
      <c r="Z25" s="28"/>
      <c r="AA25" s="28"/>
      <c r="AB25" s="156"/>
      <c r="AC25" s="16"/>
      <c r="AD25" s="16"/>
      <c r="AE25" s="16"/>
    </row>
    <row r="26" spans="1:31" x14ac:dyDescent="0.25">
      <c r="A26" s="7" t="s">
        <v>89</v>
      </c>
      <c r="B26" s="7" t="s">
        <v>80</v>
      </c>
      <c r="C26" s="26">
        <v>0.4</v>
      </c>
      <c r="D26" s="26"/>
      <c r="E26" s="26"/>
      <c r="F26" s="26"/>
      <c r="G26" s="26"/>
      <c r="H26" s="27">
        <v>0</v>
      </c>
      <c r="I26" s="27"/>
      <c r="J26" s="27"/>
      <c r="K26" s="27"/>
      <c r="L26" s="27"/>
      <c r="M26" s="27"/>
      <c r="N26" s="27"/>
      <c r="O26" s="27"/>
      <c r="P26" s="21"/>
      <c r="Q26" s="30">
        <f t="shared" si="0"/>
        <v>0.4</v>
      </c>
      <c r="R26" s="8"/>
      <c r="S26" s="8"/>
      <c r="T26" s="8"/>
      <c r="U26" s="8"/>
      <c r="V26" s="15">
        <f t="shared" si="1"/>
        <v>0</v>
      </c>
      <c r="W26" s="15"/>
      <c r="X26" s="27"/>
      <c r="Z26" s="28"/>
      <c r="AA26" s="28"/>
      <c r="AB26" s="156"/>
      <c r="AC26" s="16"/>
      <c r="AD26" s="16"/>
      <c r="AE26" s="16"/>
    </row>
    <row r="27" spans="1:31" x14ac:dyDescent="0.25">
      <c r="A27" s="7" t="s">
        <v>74</v>
      </c>
      <c r="B27" s="7" t="s">
        <v>90</v>
      </c>
      <c r="C27" s="706">
        <v>3.0181</v>
      </c>
      <c r="D27" s="706">
        <v>2.3294999999999999</v>
      </c>
      <c r="E27" s="706">
        <v>2.2143000000000002</v>
      </c>
      <c r="F27" s="706">
        <v>2.0143</v>
      </c>
      <c r="G27" s="26"/>
      <c r="H27" s="708">
        <v>44.69</v>
      </c>
      <c r="I27" s="27"/>
      <c r="J27" s="707">
        <v>-0.16800000000000001</v>
      </c>
      <c r="K27" s="708">
        <v>24.31</v>
      </c>
      <c r="L27" s="29"/>
      <c r="M27" s="9"/>
      <c r="N27" s="710">
        <v>1.44E-2</v>
      </c>
      <c r="O27" s="710">
        <v>2.58E-2</v>
      </c>
      <c r="P27" s="21"/>
      <c r="Q27" s="710">
        <f>'Rate Design KLJ-RDES-1'!F216</f>
        <v>3.5621999999999998</v>
      </c>
      <c r="R27" s="710">
        <f>'Rate Design KLJ-RDES-1'!F217</f>
        <v>2.7494000000000001</v>
      </c>
      <c r="S27" s="710">
        <f>'Rate Design KLJ-RDES-1'!F218</f>
        <v>2.6135000000000002</v>
      </c>
      <c r="T27" s="710">
        <f>'Rate Design KLJ-RDES-1'!F219</f>
        <v>2.3782000000000001</v>
      </c>
      <c r="U27" s="30"/>
      <c r="V27" s="709">
        <f>'Rate Design KLJ-RDES-1'!F210</f>
        <v>87.149999999999991</v>
      </c>
      <c r="W27" s="15"/>
      <c r="X27" s="27">
        <v>0</v>
      </c>
      <c r="Y27" s="30"/>
      <c r="AA27" s="30">
        <f>N27</f>
        <v>1.44E-2</v>
      </c>
      <c r="AB27" s="33">
        <f>AB16</f>
        <v>1.1900000000000001E-2</v>
      </c>
      <c r="AC27" s="16"/>
      <c r="AD27" s="16"/>
      <c r="AE27" s="16"/>
    </row>
    <row r="28" spans="1:31" x14ac:dyDescent="0.25">
      <c r="A28" s="7" t="s">
        <v>74</v>
      </c>
      <c r="B28" s="7" t="s">
        <v>91</v>
      </c>
      <c r="C28" s="24">
        <v>3.0181</v>
      </c>
      <c r="D28" s="24">
        <v>2.3294999999999999</v>
      </c>
      <c r="E28" s="24">
        <v>2.2143000000000002</v>
      </c>
      <c r="F28" s="24">
        <v>2.0143</v>
      </c>
      <c r="G28" s="26"/>
      <c r="H28" s="32">
        <v>44.69</v>
      </c>
      <c r="I28" s="27"/>
      <c r="J28" s="33">
        <v>-0.16800000000000001</v>
      </c>
      <c r="K28" s="27">
        <v>24.31</v>
      </c>
      <c r="L28" s="29"/>
      <c r="M28" s="9"/>
      <c r="N28" s="33">
        <v>1.44E-2</v>
      </c>
      <c r="O28" s="33">
        <v>2.58E-2</v>
      </c>
      <c r="P28" s="21"/>
      <c r="Q28" s="30">
        <f>'Rate Design KLJ-RDES-1'!F216</f>
        <v>3.5621999999999998</v>
      </c>
      <c r="R28" s="30">
        <f>'Rate Design KLJ-RDES-1'!F217</f>
        <v>2.7494000000000001</v>
      </c>
      <c r="S28" s="30">
        <f>'Rate Design KLJ-RDES-1'!F218</f>
        <v>2.6135000000000002</v>
      </c>
      <c r="T28" s="30">
        <f>'Rate Design KLJ-RDES-1'!F219</f>
        <v>2.3782000000000001</v>
      </c>
      <c r="U28" s="30"/>
      <c r="V28" s="152">
        <f>'Rate Design KLJ-RDES-1'!F210</f>
        <v>87.149999999999991</v>
      </c>
      <c r="W28" s="15"/>
      <c r="X28" s="27">
        <v>0</v>
      </c>
      <c r="Y28" s="30"/>
      <c r="AA28" s="30">
        <f>N28</f>
        <v>1.44E-2</v>
      </c>
      <c r="AB28" s="33">
        <f>AB16</f>
        <v>1.1900000000000001E-2</v>
      </c>
      <c r="AC28" s="16"/>
      <c r="AD28" s="16"/>
      <c r="AE28" s="16"/>
    </row>
    <row r="29" spans="1:31" x14ac:dyDescent="0.25">
      <c r="A29" s="7" t="s">
        <v>292</v>
      </c>
      <c r="B29" s="7" t="s">
        <v>293</v>
      </c>
      <c r="C29" s="26">
        <v>0</v>
      </c>
      <c r="D29" s="26"/>
      <c r="E29" s="26"/>
      <c r="F29" s="26"/>
      <c r="G29" s="26"/>
      <c r="H29" s="27">
        <v>0</v>
      </c>
      <c r="I29" s="27"/>
      <c r="J29" s="27"/>
      <c r="K29" s="27"/>
      <c r="L29" s="29"/>
      <c r="M29" s="9"/>
      <c r="N29" s="29"/>
      <c r="O29" s="29"/>
      <c r="P29" s="21"/>
      <c r="Q29" s="30">
        <v>0</v>
      </c>
      <c r="R29" s="30"/>
      <c r="S29" s="30"/>
      <c r="T29" s="30"/>
      <c r="U29" s="30"/>
      <c r="V29" s="32">
        <v>0</v>
      </c>
      <c r="W29" s="15"/>
      <c r="X29" s="27"/>
      <c r="Y29" s="30"/>
      <c r="AA29" s="30"/>
      <c r="AB29" s="155"/>
      <c r="AC29" s="16"/>
      <c r="AD29" s="16"/>
      <c r="AE29" s="16"/>
    </row>
    <row r="30" spans="1:31" x14ac:dyDescent="0.25">
      <c r="A30" s="7" t="s">
        <v>292</v>
      </c>
      <c r="B30" s="7" t="s">
        <v>294</v>
      </c>
      <c r="C30" s="26">
        <v>0</v>
      </c>
      <c r="D30" s="26"/>
      <c r="E30" s="26"/>
      <c r="F30" s="26"/>
      <c r="G30" s="26"/>
      <c r="H30" s="27">
        <v>0</v>
      </c>
      <c r="I30" s="27"/>
      <c r="J30" s="27"/>
      <c r="K30" s="27"/>
      <c r="L30" s="29"/>
      <c r="M30" s="9"/>
      <c r="N30" s="29"/>
      <c r="O30" s="29"/>
      <c r="P30" s="21"/>
      <c r="Q30" s="30">
        <v>0</v>
      </c>
      <c r="R30" s="30"/>
      <c r="S30" s="30"/>
      <c r="T30" s="30"/>
      <c r="U30" s="30"/>
      <c r="V30" s="32">
        <v>0</v>
      </c>
      <c r="W30" s="15"/>
      <c r="X30" s="27"/>
      <c r="Y30" s="30"/>
      <c r="AA30" s="30"/>
      <c r="AB30" s="155"/>
      <c r="AC30" s="16"/>
      <c r="AD30" s="16"/>
      <c r="AE30" s="16"/>
    </row>
    <row r="31" spans="1:31" x14ac:dyDescent="0.25">
      <c r="A31" s="7" t="s">
        <v>295</v>
      </c>
      <c r="B31" s="7" t="s">
        <v>296</v>
      </c>
      <c r="C31" s="26">
        <v>0</v>
      </c>
      <c r="D31" s="26"/>
      <c r="E31" s="26"/>
      <c r="F31" s="26"/>
      <c r="G31" s="26"/>
      <c r="H31" s="27">
        <v>0</v>
      </c>
      <c r="I31" s="27"/>
      <c r="J31" s="27"/>
      <c r="K31" s="27"/>
      <c r="L31" s="29"/>
      <c r="M31" s="9"/>
      <c r="N31" s="29"/>
      <c r="O31" s="29"/>
      <c r="P31" s="21"/>
      <c r="Q31" s="30">
        <v>0</v>
      </c>
      <c r="R31" s="30"/>
      <c r="S31" s="30"/>
      <c r="T31" s="30"/>
      <c r="U31" s="30"/>
      <c r="V31" s="32">
        <v>0</v>
      </c>
      <c r="W31" s="15"/>
      <c r="X31" s="27"/>
      <c r="Y31" s="30"/>
      <c r="AA31" s="30"/>
      <c r="AB31" s="155"/>
      <c r="AC31" s="16"/>
      <c r="AD31" s="16"/>
      <c r="AE31" s="16"/>
    </row>
    <row r="32" spans="1:31" x14ac:dyDescent="0.25">
      <c r="A32" s="7" t="s">
        <v>295</v>
      </c>
      <c r="B32" s="7" t="s">
        <v>297</v>
      </c>
      <c r="C32" s="26">
        <v>0</v>
      </c>
      <c r="D32" s="26"/>
      <c r="E32" s="26"/>
      <c r="F32" s="26"/>
      <c r="G32" s="26"/>
      <c r="H32" s="27">
        <v>0</v>
      </c>
      <c r="I32" s="27"/>
      <c r="J32" s="27"/>
      <c r="K32" s="27"/>
      <c r="L32" s="29"/>
      <c r="M32" s="9"/>
      <c r="N32" s="29"/>
      <c r="O32" s="29"/>
      <c r="P32" s="21"/>
      <c r="Q32" s="30">
        <v>0</v>
      </c>
      <c r="R32" s="30"/>
      <c r="S32" s="30"/>
      <c r="T32" s="30"/>
      <c r="U32" s="30"/>
      <c r="V32" s="32">
        <v>0</v>
      </c>
      <c r="W32" s="15"/>
      <c r="X32" s="27"/>
      <c r="Y32" s="30"/>
      <c r="AA32" s="30"/>
      <c r="AB32" s="155"/>
      <c r="AC32" s="16"/>
      <c r="AD32" s="16"/>
      <c r="AE32" s="16"/>
    </row>
    <row r="33" spans="1:31" x14ac:dyDescent="0.25">
      <c r="A33" s="7" t="s">
        <v>280</v>
      </c>
      <c r="B33" s="7" t="s">
        <v>289</v>
      </c>
      <c r="C33" s="26">
        <v>0.62849999999999995</v>
      </c>
      <c r="D33" s="26">
        <v>0.37369999999999998</v>
      </c>
      <c r="E33" s="26">
        <v>0.32469999999999999</v>
      </c>
      <c r="F33" s="26"/>
      <c r="G33" s="26"/>
      <c r="H33" s="27">
        <v>2007</v>
      </c>
      <c r="I33" s="27"/>
      <c r="J33" s="29">
        <v>-2.5999999999999999E-2</v>
      </c>
      <c r="K33" s="27">
        <v>1221.21</v>
      </c>
      <c r="L33" s="29"/>
      <c r="M33" s="9"/>
      <c r="N33" s="33">
        <v>1.44E-2</v>
      </c>
      <c r="O33" s="33">
        <v>2.58E-2</v>
      </c>
      <c r="P33" s="21"/>
      <c r="Q33" s="30">
        <f>'Rate Design KLJ-RDES-1'!F247</f>
        <v>0.77010000000000001</v>
      </c>
      <c r="R33" s="30">
        <f>'Rate Design KLJ-RDES-1'!F248</f>
        <v>0.45789999999999997</v>
      </c>
      <c r="S33" s="30"/>
      <c r="T33" s="30"/>
      <c r="U33" s="30"/>
      <c r="V33" s="152">
        <f>'Rate Design KLJ-RDES-1'!F241</f>
        <v>4151</v>
      </c>
      <c r="W33" s="32"/>
      <c r="X33" s="27">
        <v>0</v>
      </c>
      <c r="Y33" s="30"/>
      <c r="Z33" s="9"/>
      <c r="AA33" s="33"/>
      <c r="AB33" s="33">
        <f>AB16</f>
        <v>1.1900000000000001E-2</v>
      </c>
      <c r="AC33" s="16"/>
      <c r="AD33" s="16"/>
      <c r="AE33" s="16"/>
    </row>
    <row r="34" spans="1:31" x14ac:dyDescent="0.25">
      <c r="A34" s="7" t="s">
        <v>92</v>
      </c>
      <c r="B34" s="7" t="s">
        <v>93</v>
      </c>
      <c r="C34" s="706">
        <v>1.1544000000000001</v>
      </c>
      <c r="D34" s="26"/>
      <c r="E34" s="26"/>
      <c r="F34" s="26"/>
      <c r="G34" s="26"/>
      <c r="H34" s="708">
        <v>567.4</v>
      </c>
      <c r="I34" s="27"/>
      <c r="J34" s="707">
        <v>-0.11600000000000001</v>
      </c>
      <c r="K34" s="708">
        <v>207.8</v>
      </c>
      <c r="L34" s="27"/>
      <c r="M34" s="27"/>
      <c r="N34" s="710">
        <v>1.44E-2</v>
      </c>
      <c r="O34" s="710">
        <v>2.58E-2</v>
      </c>
      <c r="P34" s="21"/>
      <c r="Q34" s="710">
        <f>'Rate Design KLJ-RDES-1'!F276</f>
        <v>1.3261000000000001</v>
      </c>
      <c r="R34" s="8"/>
      <c r="S34" s="8"/>
      <c r="T34" s="8"/>
      <c r="U34" s="8"/>
      <c r="V34" s="709">
        <f>'Rate Design KLJ-RDES-1'!F271</f>
        <v>991.2</v>
      </c>
      <c r="W34" s="15"/>
      <c r="X34" s="27">
        <v>0</v>
      </c>
      <c r="Y34" s="30"/>
      <c r="Z34" s="28"/>
      <c r="AA34" s="30">
        <f>N34</f>
        <v>1.44E-2</v>
      </c>
      <c r="AB34" s="33">
        <f>AB16</f>
        <v>1.1900000000000001E-2</v>
      </c>
      <c r="AC34" s="16"/>
      <c r="AD34" s="16"/>
      <c r="AE34" s="16"/>
    </row>
    <row r="35" spans="1:31" x14ac:dyDescent="0.25">
      <c r="A35" s="9"/>
      <c r="B35" s="9"/>
      <c r="C35" s="9"/>
      <c r="D35" s="31"/>
      <c r="E35" s="31"/>
      <c r="F35" s="31"/>
      <c r="G35" s="31"/>
      <c r="H35" s="9"/>
      <c r="I35" s="9"/>
      <c r="J35" s="9"/>
      <c r="K35" s="32"/>
      <c r="L35" s="32"/>
      <c r="M35" s="9"/>
      <c r="N35" s="9"/>
      <c r="O35" s="9"/>
      <c r="P35" s="21"/>
      <c r="Q35" s="8"/>
      <c r="R35" s="8"/>
      <c r="S35" s="8"/>
      <c r="T35" s="8"/>
      <c r="U35" s="8"/>
      <c r="V35" s="8"/>
      <c r="W35" s="8"/>
      <c r="X35" s="32"/>
      <c r="AB35" s="156"/>
      <c r="AC35" s="16"/>
      <c r="AD35" s="16"/>
      <c r="AE35" s="16"/>
    </row>
    <row r="36" spans="1:31" ht="13" x14ac:dyDescent="0.3">
      <c r="A36" s="9"/>
      <c r="B36" s="10" t="s">
        <v>95</v>
      </c>
      <c r="C36" s="9"/>
      <c r="D36" s="24"/>
      <c r="E36" s="9"/>
      <c r="F36" s="9"/>
      <c r="G36" s="9"/>
      <c r="H36" s="9"/>
      <c r="I36" s="9"/>
      <c r="J36" s="9"/>
      <c r="K36" s="32"/>
      <c r="L36" s="32"/>
      <c r="M36" s="9"/>
      <c r="N36" s="9"/>
      <c r="O36" s="9"/>
      <c r="P36" s="21"/>
      <c r="Q36" s="8"/>
      <c r="R36" s="8"/>
      <c r="S36" s="8"/>
      <c r="T36" s="8"/>
      <c r="U36" s="8"/>
      <c r="V36" s="8"/>
      <c r="W36" s="8"/>
      <c r="X36" s="32"/>
      <c r="AB36" s="156"/>
      <c r="AC36" s="16"/>
      <c r="AD36" s="16"/>
      <c r="AE36" s="16"/>
    </row>
    <row r="37" spans="1:31" x14ac:dyDescent="0.25">
      <c r="A37" s="9"/>
      <c r="B37" s="9"/>
      <c r="C37" s="9"/>
      <c r="D37" s="24"/>
      <c r="E37" s="9"/>
      <c r="F37" s="9"/>
      <c r="G37" s="9"/>
      <c r="H37" s="9"/>
      <c r="I37" s="9"/>
      <c r="J37" s="9"/>
      <c r="K37" s="32"/>
      <c r="L37" s="32"/>
      <c r="M37" s="9"/>
      <c r="N37" s="9"/>
      <c r="O37" s="9"/>
      <c r="P37" s="21"/>
      <c r="Q37" s="8"/>
      <c r="R37" s="8"/>
      <c r="S37" s="8"/>
      <c r="T37" s="8"/>
      <c r="U37" s="8"/>
      <c r="V37" s="8"/>
      <c r="W37" s="8"/>
      <c r="X37" s="32"/>
      <c r="AB37" s="156"/>
      <c r="AC37" s="16"/>
      <c r="AD37" s="16"/>
      <c r="AE37" s="16"/>
    </row>
    <row r="38" spans="1:31" x14ac:dyDescent="0.25">
      <c r="A38" s="7" t="s">
        <v>96</v>
      </c>
      <c r="B38" s="7" t="s">
        <v>116</v>
      </c>
      <c r="C38" s="33">
        <v>3.5665</v>
      </c>
      <c r="D38" s="26"/>
      <c r="E38" s="7"/>
      <c r="F38" s="7"/>
      <c r="G38" s="7"/>
      <c r="H38" s="32">
        <v>16</v>
      </c>
      <c r="I38" s="9"/>
      <c r="J38" s="33">
        <v>-0.28249999999999997</v>
      </c>
      <c r="K38" s="32">
        <v>6.63</v>
      </c>
      <c r="L38" s="32">
        <v>0.28999999999999998</v>
      </c>
      <c r="M38" s="33">
        <v>0.3</v>
      </c>
      <c r="N38" s="33">
        <v>1.44E-2</v>
      </c>
      <c r="O38" s="29"/>
      <c r="P38" s="21"/>
      <c r="Q38" s="30">
        <f>'Rate Design KLJ-RDES-1'!F190</f>
        <v>4.2263000000000002</v>
      </c>
      <c r="R38" s="30"/>
      <c r="S38" s="8"/>
      <c r="T38" s="8"/>
      <c r="U38" s="8"/>
      <c r="V38" s="152">
        <f>'Rate Design KLJ-RDES-1'!F185</f>
        <v>29.2</v>
      </c>
      <c r="W38" s="15"/>
      <c r="X38" s="27">
        <v>0</v>
      </c>
      <c r="Y38" s="15">
        <f>L38</f>
        <v>0.28999999999999998</v>
      </c>
      <c r="Z38" s="30">
        <f>M38</f>
        <v>0.3</v>
      </c>
      <c r="AA38" s="30">
        <f>N38</f>
        <v>1.44E-2</v>
      </c>
      <c r="AB38" s="156"/>
      <c r="AC38" s="16"/>
      <c r="AD38" s="16"/>
      <c r="AE38" s="16"/>
    </row>
    <row r="39" spans="1:31" x14ac:dyDescent="0.25">
      <c r="A39" s="7" t="s">
        <v>97</v>
      </c>
      <c r="B39" s="7" t="s">
        <v>117</v>
      </c>
      <c r="C39" s="33">
        <v>3.0181</v>
      </c>
      <c r="D39" s="33">
        <v>2.3294999999999999</v>
      </c>
      <c r="E39" s="33">
        <v>2.2143000000000002</v>
      </c>
      <c r="F39" s="33">
        <v>2.0143</v>
      </c>
      <c r="G39" s="29"/>
      <c r="H39" s="32">
        <v>44.69</v>
      </c>
      <c r="I39" s="27"/>
      <c r="J39" s="33">
        <v>-0.16800000000000001</v>
      </c>
      <c r="K39" s="32">
        <v>24.31</v>
      </c>
      <c r="L39" s="27"/>
      <c r="M39" s="7"/>
      <c r="N39" s="33">
        <v>1.44E-2</v>
      </c>
      <c r="O39" s="29"/>
      <c r="P39" s="21"/>
      <c r="Q39" s="30">
        <f>'Rate Design KLJ-RDES-1'!F216</f>
        <v>3.5621999999999998</v>
      </c>
      <c r="R39" s="30">
        <f>'Rate Design KLJ-RDES-1'!F217</f>
        <v>2.7494000000000001</v>
      </c>
      <c r="S39" s="30">
        <f>'Rate Design KLJ-RDES-1'!F218</f>
        <v>2.6135000000000002</v>
      </c>
      <c r="T39" s="30">
        <f>'Rate Design KLJ-RDES-1'!F219</f>
        <v>2.3782000000000001</v>
      </c>
      <c r="U39" s="30"/>
      <c r="V39" s="152">
        <f>'Rate Design KLJ-RDES-1'!F210</f>
        <v>87.149999999999991</v>
      </c>
      <c r="W39" s="15"/>
      <c r="X39" s="27">
        <v>0</v>
      </c>
      <c r="Z39" s="8"/>
      <c r="AA39" s="30">
        <f t="shared" ref="AA39:AA45" si="2">N39</f>
        <v>1.44E-2</v>
      </c>
      <c r="AB39" s="156"/>
      <c r="AC39" s="16"/>
      <c r="AD39" s="16"/>
      <c r="AE39" s="16"/>
    </row>
    <row r="40" spans="1:31" ht="13.5" customHeight="1" x14ac:dyDescent="0.25">
      <c r="A40" s="7" t="s">
        <v>97</v>
      </c>
      <c r="B40" s="7" t="s">
        <v>118</v>
      </c>
      <c r="C40" s="33">
        <v>3.0181</v>
      </c>
      <c r="D40" s="33">
        <v>2.3294999999999999</v>
      </c>
      <c r="E40" s="33">
        <v>2.2143000000000002</v>
      </c>
      <c r="F40" s="33">
        <v>2.0143</v>
      </c>
      <c r="G40" s="29"/>
      <c r="H40" s="32">
        <v>44.69</v>
      </c>
      <c r="I40" s="27"/>
      <c r="J40" s="33">
        <v>-0.16800000000000001</v>
      </c>
      <c r="K40" s="32">
        <v>24.31</v>
      </c>
      <c r="L40" s="29"/>
      <c r="M40" s="7"/>
      <c r="N40" s="33">
        <v>1.44E-2</v>
      </c>
      <c r="O40" s="29"/>
      <c r="P40" s="21"/>
      <c r="Q40" s="30">
        <f>'Rate Design KLJ-RDES-1'!F216</f>
        <v>3.5621999999999998</v>
      </c>
      <c r="R40" s="30">
        <f>'Rate Design KLJ-RDES-1'!F217</f>
        <v>2.7494000000000001</v>
      </c>
      <c r="S40" s="30">
        <f>'Rate Design KLJ-RDES-1'!F218</f>
        <v>2.6135000000000002</v>
      </c>
      <c r="T40" s="30">
        <f>'Rate Design KLJ-RDES-1'!F219</f>
        <v>2.3782000000000001</v>
      </c>
      <c r="U40" s="30"/>
      <c r="V40" s="152">
        <f>'Rate Design KLJ-RDES-1'!F210</f>
        <v>87.149999999999991</v>
      </c>
      <c r="W40" s="15"/>
      <c r="X40" s="27">
        <v>0</v>
      </c>
      <c r="Z40" s="8"/>
      <c r="AA40" s="30">
        <f t="shared" si="2"/>
        <v>1.44E-2</v>
      </c>
      <c r="AB40" s="156"/>
      <c r="AC40" s="16"/>
      <c r="AD40" s="16"/>
      <c r="AE40" s="16"/>
    </row>
    <row r="41" spans="1:31" x14ac:dyDescent="0.25">
      <c r="A41" s="7" t="s">
        <v>158</v>
      </c>
      <c r="B41" s="7" t="s">
        <v>159</v>
      </c>
      <c r="C41" s="707">
        <v>0.62849999999999995</v>
      </c>
      <c r="D41" s="711">
        <v>0.37369999999999998</v>
      </c>
      <c r="E41" s="712">
        <v>0.32469999999999999</v>
      </c>
      <c r="F41" s="7"/>
      <c r="G41" s="7"/>
      <c r="H41" s="708">
        <v>2007</v>
      </c>
      <c r="I41" s="708">
        <v>0</v>
      </c>
      <c r="J41" s="710">
        <v>-2.5999999999999999E-2</v>
      </c>
      <c r="K41" s="709">
        <v>1221.21</v>
      </c>
      <c r="L41" s="707"/>
      <c r="M41" s="708"/>
      <c r="N41" s="710">
        <v>1.44E-2</v>
      </c>
      <c r="O41" s="29"/>
      <c r="P41" s="21"/>
      <c r="Q41" s="710">
        <f>'Rate Design KLJ-RDES-1'!F247</f>
        <v>0.77010000000000001</v>
      </c>
      <c r="R41" s="710">
        <f>'Rate Design KLJ-RDES-1'!F248</f>
        <v>0.45789999999999997</v>
      </c>
      <c r="S41" s="710">
        <f>'Rate Design KLJ-RDES-1'!F249</f>
        <v>0.39749999999999996</v>
      </c>
      <c r="T41" s="8"/>
      <c r="U41" s="8"/>
      <c r="V41" s="709">
        <f>'Rate Design KLJ-RDES-1'!F241</f>
        <v>4151</v>
      </c>
      <c r="W41" s="32">
        <f>'Rate Design KLJ-RDES-1'!F242</f>
        <v>0</v>
      </c>
      <c r="X41" s="27">
        <v>0</v>
      </c>
      <c r="Y41" s="30"/>
      <c r="Z41" s="27"/>
      <c r="AA41" s="710">
        <f t="shared" si="2"/>
        <v>1.44E-2</v>
      </c>
      <c r="AB41" s="155"/>
      <c r="AD41" s="16"/>
      <c r="AE41" s="16"/>
    </row>
    <row r="42" spans="1:31" x14ac:dyDescent="0.25">
      <c r="A42" s="7" t="s">
        <v>158</v>
      </c>
      <c r="B42" s="7" t="s">
        <v>160</v>
      </c>
      <c r="C42" s="33">
        <v>0.62849999999999995</v>
      </c>
      <c r="D42" s="33">
        <v>0.37369999999999998</v>
      </c>
      <c r="E42" s="7">
        <v>0.32469999999999999</v>
      </c>
      <c r="F42" s="7"/>
      <c r="G42" s="7"/>
      <c r="H42" s="32">
        <v>2007</v>
      </c>
      <c r="I42" s="27">
        <v>0</v>
      </c>
      <c r="J42" s="33">
        <v>-2.5999999999999999E-2</v>
      </c>
      <c r="K42" s="32">
        <v>1221.21</v>
      </c>
      <c r="L42" s="29"/>
      <c r="M42" s="27"/>
      <c r="N42" s="33">
        <v>1.44E-2</v>
      </c>
      <c r="O42" s="29"/>
      <c r="P42" s="21"/>
      <c r="Q42" s="30">
        <f>'Rate Design KLJ-RDES-1'!F247</f>
        <v>0.77010000000000001</v>
      </c>
      <c r="R42" s="30">
        <f>'Rate Design KLJ-RDES-1'!F248</f>
        <v>0.45789999999999997</v>
      </c>
      <c r="S42" s="663">
        <f>S41</f>
        <v>0.39749999999999996</v>
      </c>
      <c r="T42" s="8"/>
      <c r="U42" s="8"/>
      <c r="V42" s="152">
        <f>'Rate Design KLJ-RDES-1'!F241</f>
        <v>4151</v>
      </c>
      <c r="W42" s="32">
        <f>'Rate Design KLJ-RDES-1'!F242</f>
        <v>0</v>
      </c>
      <c r="X42" s="27">
        <v>0</v>
      </c>
      <c r="Z42" s="27"/>
      <c r="AA42" s="30">
        <f t="shared" si="2"/>
        <v>1.44E-2</v>
      </c>
      <c r="AB42" s="156"/>
      <c r="AD42" s="16"/>
      <c r="AE42" s="16"/>
    </row>
    <row r="43" spans="1:31" x14ac:dyDescent="0.25">
      <c r="A43" s="7" t="s">
        <v>161</v>
      </c>
      <c r="B43" s="7" t="s">
        <v>162</v>
      </c>
      <c r="C43" s="29">
        <v>3.0181</v>
      </c>
      <c r="D43" s="155">
        <v>2.3294999999999999</v>
      </c>
      <c r="E43" s="7">
        <v>2.2143000000000002</v>
      </c>
      <c r="F43" s="7">
        <v>2.0143</v>
      </c>
      <c r="G43" s="7"/>
      <c r="H43" s="27">
        <v>44.69</v>
      </c>
      <c r="I43" s="27">
        <v>0</v>
      </c>
      <c r="J43" s="33">
        <v>-0.16800000000000001</v>
      </c>
      <c r="K43" s="32">
        <v>24.31</v>
      </c>
      <c r="L43" s="29"/>
      <c r="M43" s="27"/>
      <c r="N43" s="33">
        <v>1.44E-2</v>
      </c>
      <c r="O43" s="29"/>
      <c r="P43" s="21"/>
      <c r="Q43" s="30">
        <f>'Rate Design KLJ-RDES-1'!F216</f>
        <v>3.5621999999999998</v>
      </c>
      <c r="R43" s="30">
        <f>'Rate Design KLJ-RDES-1'!F217</f>
        <v>2.7494000000000001</v>
      </c>
      <c r="S43" s="30">
        <f>'Rate Design KLJ-RDES-1'!F218</f>
        <v>2.6135000000000002</v>
      </c>
      <c r="T43" s="30">
        <f>'Rate Design KLJ-RDES-1'!F219</f>
        <v>2.3782000000000001</v>
      </c>
      <c r="U43" s="8"/>
      <c r="V43" s="152">
        <f>'Rate Design KLJ-RDES-1'!F210</f>
        <v>87.149999999999991</v>
      </c>
      <c r="W43" s="32">
        <f>'Rate Design KLJ-RDES-1'!F211</f>
        <v>0</v>
      </c>
      <c r="X43" s="27">
        <v>0</v>
      </c>
      <c r="Z43" s="28"/>
      <c r="AA43" s="30">
        <f t="shared" si="2"/>
        <v>1.44E-2</v>
      </c>
      <c r="AB43" s="9"/>
      <c r="AD43" s="16"/>
      <c r="AE43" s="16"/>
    </row>
    <row r="44" spans="1:31" x14ac:dyDescent="0.25">
      <c r="A44" s="7" t="s">
        <v>161</v>
      </c>
      <c r="B44" s="7" t="s">
        <v>163</v>
      </c>
      <c r="C44" s="33">
        <v>3.0181</v>
      </c>
      <c r="D44" s="33">
        <v>2.3294999999999999</v>
      </c>
      <c r="E44" s="33">
        <v>2.2143000000000002</v>
      </c>
      <c r="F44" s="33">
        <v>2.0143</v>
      </c>
      <c r="G44" s="29"/>
      <c r="H44" s="32">
        <v>44.69</v>
      </c>
      <c r="I44" s="27">
        <v>0</v>
      </c>
      <c r="J44" s="33">
        <v>-0.16800000000000001</v>
      </c>
      <c r="K44" s="32">
        <v>24.31</v>
      </c>
      <c r="L44" s="29"/>
      <c r="M44" s="27"/>
      <c r="N44" s="33">
        <v>1.44E-2</v>
      </c>
      <c r="O44" s="29"/>
      <c r="P44" s="21"/>
      <c r="Q44" s="30">
        <f>'Rate Design KLJ-RDES-1'!F216</f>
        <v>3.5621999999999998</v>
      </c>
      <c r="R44" s="30">
        <f>'Rate Design KLJ-RDES-1'!F217</f>
        <v>2.7494000000000001</v>
      </c>
      <c r="S44" s="30">
        <f>'Rate Design KLJ-RDES-1'!F218</f>
        <v>2.6135000000000002</v>
      </c>
      <c r="T44" s="30">
        <f>'Rate Design KLJ-RDES-1'!F219</f>
        <v>2.3782000000000001</v>
      </c>
      <c r="U44" s="30"/>
      <c r="V44" s="152">
        <f>'Rate Design KLJ-RDES-1'!F210</f>
        <v>87.149999999999991</v>
      </c>
      <c r="W44" s="32">
        <f>'Rate Design KLJ-RDES-1'!F211</f>
        <v>0</v>
      </c>
      <c r="X44" s="27">
        <v>0</v>
      </c>
      <c r="Z44" s="27"/>
      <c r="AA44" s="30">
        <f t="shared" si="2"/>
        <v>1.44E-2</v>
      </c>
      <c r="AC44" s="16"/>
      <c r="AD44" s="16"/>
      <c r="AE44" s="16"/>
    </row>
    <row r="45" spans="1:31" x14ac:dyDescent="0.25">
      <c r="A45" s="7" t="s">
        <v>73</v>
      </c>
      <c r="B45" s="7" t="s">
        <v>120</v>
      </c>
      <c r="C45" s="707">
        <v>8.5800000000000001E-2</v>
      </c>
      <c r="D45" s="26"/>
      <c r="E45" s="7"/>
      <c r="F45" s="7"/>
      <c r="G45" s="7"/>
      <c r="H45" s="708">
        <v>255.9</v>
      </c>
      <c r="I45" s="27">
        <v>0</v>
      </c>
      <c r="J45" s="27"/>
      <c r="K45" s="27"/>
      <c r="L45" s="29"/>
      <c r="M45" s="27"/>
      <c r="N45" s="710">
        <v>1.44E-2</v>
      </c>
      <c r="O45" s="29"/>
      <c r="P45" s="21"/>
      <c r="Q45" s="710">
        <f>'Rate Design KLJ-RDES-1'!F292</f>
        <v>9.4600000000000004E-2</v>
      </c>
      <c r="R45" s="8"/>
      <c r="S45" s="8"/>
      <c r="T45" s="8"/>
      <c r="U45" s="8"/>
      <c r="V45" s="709">
        <f>'Rate Design KLJ-RDES-1'!F288</f>
        <v>282.2</v>
      </c>
      <c r="W45" s="32">
        <f>'Rate Design KLJ-RDES-1'!F289</f>
        <v>0</v>
      </c>
      <c r="X45" s="27"/>
      <c r="Z45" s="27"/>
      <c r="AA45" s="710">
        <f t="shared" si="2"/>
        <v>1.44E-2</v>
      </c>
      <c r="AC45" s="16"/>
      <c r="AD45" s="16"/>
      <c r="AE45" s="16"/>
    </row>
    <row r="46" spans="1:31" x14ac:dyDescent="0.25">
      <c r="A46" s="7" t="s">
        <v>98</v>
      </c>
      <c r="B46" s="7" t="s">
        <v>122</v>
      </c>
      <c r="C46" s="29">
        <v>0</v>
      </c>
      <c r="D46" s="26"/>
      <c r="E46" s="7"/>
      <c r="F46" s="7"/>
      <c r="G46" s="9"/>
      <c r="H46" s="27">
        <v>0</v>
      </c>
      <c r="I46" s="27">
        <v>0</v>
      </c>
      <c r="J46" s="27"/>
      <c r="K46" s="27"/>
      <c r="L46" s="27"/>
      <c r="M46" s="27"/>
      <c r="N46" s="27"/>
      <c r="O46" s="27"/>
      <c r="P46" s="21"/>
      <c r="Q46" s="30">
        <f t="shared" ref="Q46:Q51" si="3">C46</f>
        <v>0</v>
      </c>
      <c r="R46" s="30"/>
      <c r="S46" s="8"/>
      <c r="T46" s="8"/>
      <c r="U46" s="8"/>
      <c r="V46" s="15">
        <f>H46+I46</f>
        <v>0</v>
      </c>
      <c r="W46" s="27">
        <v>0</v>
      </c>
      <c r="X46" s="27"/>
      <c r="Z46" s="28"/>
      <c r="AA46" s="28"/>
      <c r="AC46" s="16"/>
      <c r="AD46" s="16"/>
      <c r="AE46" s="16"/>
    </row>
    <row r="47" spans="1:31" x14ac:dyDescent="0.25">
      <c r="A47" s="7" t="s">
        <v>99</v>
      </c>
      <c r="B47" s="7" t="s">
        <v>122</v>
      </c>
      <c r="C47" s="29">
        <v>0</v>
      </c>
      <c r="D47" s="26"/>
      <c r="E47" s="7"/>
      <c r="F47" s="7"/>
      <c r="G47" s="7"/>
      <c r="H47" s="27">
        <v>0</v>
      </c>
      <c r="I47" s="27">
        <v>0</v>
      </c>
      <c r="J47" s="27"/>
      <c r="K47" s="27"/>
      <c r="L47" s="27"/>
      <c r="M47" s="27"/>
      <c r="N47" s="27"/>
      <c r="O47" s="27"/>
      <c r="P47" s="21"/>
      <c r="Q47" s="30">
        <f t="shared" si="3"/>
        <v>0</v>
      </c>
      <c r="R47" s="8"/>
      <c r="S47" s="8"/>
      <c r="T47" s="8"/>
      <c r="U47" s="8"/>
      <c r="V47" s="15">
        <f>H47+I46</f>
        <v>0</v>
      </c>
      <c r="W47" s="27">
        <v>0</v>
      </c>
      <c r="X47" s="27"/>
      <c r="Z47" s="28"/>
      <c r="AA47" s="28"/>
      <c r="AC47" s="16"/>
      <c r="AD47" s="16"/>
      <c r="AE47" s="16"/>
    </row>
    <row r="48" spans="1:31" x14ac:dyDescent="0.25">
      <c r="A48" s="7" t="s">
        <v>100</v>
      </c>
      <c r="B48" s="7" t="s">
        <v>121</v>
      </c>
      <c r="C48" s="29">
        <v>8.5800000000000001E-2</v>
      </c>
      <c r="D48" s="26"/>
      <c r="E48" s="7"/>
      <c r="F48" s="7"/>
      <c r="G48" s="7"/>
      <c r="H48" s="27">
        <v>255.9</v>
      </c>
      <c r="I48" s="27">
        <v>0</v>
      </c>
      <c r="J48" s="27"/>
      <c r="K48" s="27"/>
      <c r="L48" s="27"/>
      <c r="M48" s="27"/>
      <c r="N48" s="27"/>
      <c r="O48" s="27"/>
      <c r="P48" s="21"/>
      <c r="Q48" s="30">
        <f t="shared" si="3"/>
        <v>8.5800000000000001E-2</v>
      </c>
      <c r="R48" s="8"/>
      <c r="S48" s="8"/>
      <c r="T48" s="8"/>
      <c r="U48" s="8"/>
      <c r="V48" s="15">
        <f>H48+I48</f>
        <v>255.9</v>
      </c>
      <c r="W48" s="27">
        <v>0</v>
      </c>
      <c r="X48" s="27"/>
      <c r="Z48" s="28"/>
      <c r="AA48" s="28"/>
      <c r="AC48" s="16"/>
      <c r="AD48" s="16"/>
      <c r="AE48" s="16"/>
    </row>
    <row r="49" spans="1:31" x14ac:dyDescent="0.25">
      <c r="A49" s="7" t="s">
        <v>136</v>
      </c>
      <c r="B49" s="7" t="s">
        <v>121</v>
      </c>
      <c r="C49" s="29">
        <v>0</v>
      </c>
      <c r="D49" s="26">
        <v>0</v>
      </c>
      <c r="E49" s="7"/>
      <c r="F49" s="7"/>
      <c r="G49" s="7"/>
      <c r="H49" s="27">
        <v>0</v>
      </c>
      <c r="I49" s="27">
        <v>0</v>
      </c>
      <c r="J49" s="27"/>
      <c r="K49" s="32"/>
      <c r="L49" s="9"/>
      <c r="M49" s="27"/>
      <c r="N49" s="9"/>
      <c r="O49" s="9"/>
      <c r="P49" s="21"/>
      <c r="Q49" s="30">
        <f t="shared" si="3"/>
        <v>0</v>
      </c>
      <c r="R49" s="30">
        <f>D49</f>
        <v>0</v>
      </c>
      <c r="S49" s="8"/>
      <c r="T49" s="8"/>
      <c r="U49" s="8"/>
      <c r="V49" s="15">
        <f>H49+I49</f>
        <v>0</v>
      </c>
      <c r="W49" s="27">
        <v>0</v>
      </c>
      <c r="X49" s="32"/>
      <c r="Z49" s="27"/>
      <c r="AC49" s="16"/>
      <c r="AD49" s="16"/>
      <c r="AE49" s="16"/>
    </row>
    <row r="50" spans="1:31" x14ac:dyDescent="0.25">
      <c r="A50" s="7" t="s">
        <v>137</v>
      </c>
      <c r="B50" s="7" t="s">
        <v>138</v>
      </c>
      <c r="C50" s="29">
        <v>0.62849999999999995</v>
      </c>
      <c r="D50" s="26">
        <v>0.37369999999999998</v>
      </c>
      <c r="E50" s="7">
        <v>0.32469999999999999</v>
      </c>
      <c r="F50" s="7"/>
      <c r="G50" s="7"/>
      <c r="H50" s="27">
        <v>2007</v>
      </c>
      <c r="I50" s="27">
        <v>0</v>
      </c>
      <c r="J50" s="33">
        <v>-2.5999999999999999E-2</v>
      </c>
      <c r="K50" s="32">
        <v>1221.21</v>
      </c>
      <c r="L50" s="29"/>
      <c r="M50" s="27"/>
      <c r="N50" s="33">
        <v>1.44E-2</v>
      </c>
      <c r="O50" s="29"/>
      <c r="P50" s="21"/>
      <c r="Q50" s="30">
        <f>'Rate Design KLJ-RDES-1'!F247</f>
        <v>0.77010000000000001</v>
      </c>
      <c r="R50" s="30">
        <f>'Rate Design KLJ-RDES-1'!F248</f>
        <v>0.45789999999999997</v>
      </c>
      <c r="S50" s="7"/>
      <c r="T50" s="7"/>
      <c r="U50" s="7"/>
      <c r="V50" s="152">
        <f>'Rate Design KLJ-RDES-1'!F241</f>
        <v>4151</v>
      </c>
      <c r="W50" s="32">
        <f>'Rate Design KLJ-RDES-1'!F242</f>
        <v>0</v>
      </c>
      <c r="X50" s="27">
        <v>0</v>
      </c>
      <c r="Z50" s="27"/>
      <c r="AA50" s="30">
        <f>N50</f>
        <v>1.44E-2</v>
      </c>
      <c r="AC50" s="16"/>
      <c r="AD50" s="16"/>
      <c r="AE50" s="16"/>
    </row>
    <row r="51" spans="1:31" x14ac:dyDescent="0.25">
      <c r="A51" s="7" t="s">
        <v>101</v>
      </c>
      <c r="B51" s="7" t="s">
        <v>119</v>
      </c>
      <c r="C51" s="29">
        <v>0</v>
      </c>
      <c r="D51" s="26">
        <v>0</v>
      </c>
      <c r="E51" s="7"/>
      <c r="F51" s="7"/>
      <c r="G51" s="7"/>
      <c r="H51" s="27">
        <v>0</v>
      </c>
      <c r="I51" s="27">
        <v>0</v>
      </c>
      <c r="J51" s="27"/>
      <c r="K51" s="27"/>
      <c r="L51" s="27"/>
      <c r="M51" s="27"/>
      <c r="N51" s="27"/>
      <c r="O51" s="27"/>
      <c r="P51" s="21"/>
      <c r="Q51" s="30">
        <f t="shared" si="3"/>
        <v>0</v>
      </c>
      <c r="R51" s="30">
        <f>D51</f>
        <v>0</v>
      </c>
      <c r="S51" s="8"/>
      <c r="T51" s="8"/>
      <c r="U51" s="8"/>
      <c r="V51" s="15">
        <f>H51+I51</f>
        <v>0</v>
      </c>
      <c r="W51" s="27">
        <v>0</v>
      </c>
      <c r="X51" s="28"/>
      <c r="Z51" s="28"/>
      <c r="AA51" s="28"/>
      <c r="AC51" s="16"/>
      <c r="AD51" s="16"/>
      <c r="AE51" s="16"/>
    </row>
    <row r="52" spans="1:31" ht="13" thickBot="1" x14ac:dyDescent="0.3">
      <c r="A52" s="11"/>
      <c r="B52" s="11"/>
      <c r="C52" s="11"/>
      <c r="D52" s="12"/>
      <c r="E52" s="11"/>
      <c r="F52" s="11"/>
      <c r="G52" s="11"/>
      <c r="H52" s="11"/>
      <c r="I52" s="11"/>
      <c r="J52" s="11"/>
      <c r="K52" s="13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6"/>
      <c r="AD52" s="16"/>
      <c r="AE52" s="16"/>
    </row>
    <row r="53" spans="1:31" x14ac:dyDescent="0.25">
      <c r="A53" s="9"/>
      <c r="B53" s="9"/>
      <c r="K53" s="15"/>
      <c r="AB53" s="16"/>
      <c r="AC53" s="16"/>
      <c r="AD53" s="16"/>
    </row>
    <row r="54" spans="1:31" x14ac:dyDescent="0.25">
      <c r="A54" s="7"/>
      <c r="B54" s="7"/>
      <c r="C54" s="17"/>
      <c r="D54" s="18"/>
      <c r="E54" s="17"/>
      <c r="F54" s="17"/>
      <c r="G54" s="17"/>
      <c r="H54" s="19"/>
      <c r="I54" s="19"/>
      <c r="J54" s="19"/>
      <c r="K54" s="15"/>
      <c r="AB54" s="16"/>
      <c r="AC54" s="16"/>
      <c r="AD54" s="16"/>
    </row>
    <row r="55" spans="1:31" x14ac:dyDescent="0.25">
      <c r="A55" s="7"/>
      <c r="B55" s="7"/>
      <c r="C55" s="17"/>
      <c r="D55" s="18"/>
      <c r="E55" s="17"/>
      <c r="F55" s="17"/>
      <c r="G55" s="17"/>
      <c r="H55" s="19"/>
      <c r="I55" s="19"/>
      <c r="J55" s="19"/>
      <c r="K55" s="15"/>
      <c r="AB55" s="16"/>
      <c r="AC55" s="16"/>
      <c r="AD55" s="16"/>
    </row>
    <row r="56" spans="1:31" x14ac:dyDescent="0.25">
      <c r="A56" s="7"/>
      <c r="B56" s="7"/>
      <c r="C56" s="17"/>
      <c r="D56" s="18"/>
      <c r="E56" s="17"/>
      <c r="F56" s="17"/>
      <c r="G56" s="17"/>
      <c r="H56" s="19"/>
      <c r="I56" s="19"/>
      <c r="J56" s="19"/>
      <c r="K56" s="15"/>
      <c r="AB56" s="16"/>
      <c r="AC56" s="16"/>
      <c r="AD56" s="16"/>
    </row>
    <row r="57" spans="1:31" x14ac:dyDescent="0.25">
      <c r="A57" s="9"/>
      <c r="B57" s="9"/>
      <c r="K57" s="15"/>
      <c r="AB57" s="16"/>
      <c r="AC57" s="16"/>
      <c r="AD57" s="16"/>
    </row>
    <row r="58" spans="1:31" x14ac:dyDescent="0.25">
      <c r="A58" s="9"/>
      <c r="B58" s="9"/>
      <c r="K58" s="15"/>
      <c r="AB58" s="16"/>
      <c r="AC58" s="16"/>
      <c r="AD58" s="16"/>
    </row>
    <row r="59" spans="1:31" x14ac:dyDescent="0.25">
      <c r="A59" s="9"/>
      <c r="B59" s="9"/>
      <c r="K59" s="15"/>
      <c r="AB59" s="16"/>
      <c r="AC59" s="16"/>
      <c r="AD59" s="16"/>
    </row>
    <row r="60" spans="1:31" x14ac:dyDescent="0.25">
      <c r="A60" s="9"/>
      <c r="B60" s="9"/>
      <c r="K60" s="15"/>
      <c r="AB60" s="16"/>
      <c r="AC60" s="16"/>
      <c r="AD60" s="16"/>
    </row>
    <row r="61" spans="1:31" x14ac:dyDescent="0.25">
      <c r="A61" s="9"/>
      <c r="B61" s="9"/>
      <c r="K61" s="15"/>
      <c r="AB61" s="16"/>
      <c r="AC61" s="16"/>
      <c r="AD61" s="16"/>
    </row>
    <row r="62" spans="1:31" x14ac:dyDescent="0.25">
      <c r="A62" s="9"/>
      <c r="B62" s="9"/>
      <c r="K62" s="15"/>
      <c r="AC62" s="16"/>
      <c r="AD62" s="16"/>
    </row>
    <row r="63" spans="1:31" x14ac:dyDescent="0.25">
      <c r="A63" s="9"/>
      <c r="B63" s="9"/>
      <c r="K63" s="15"/>
      <c r="AC63" s="16"/>
      <c r="AD63" s="16"/>
    </row>
    <row r="64" spans="1:31" x14ac:dyDescent="0.25">
      <c r="A64" s="9"/>
      <c r="B64" s="9"/>
      <c r="K64" s="15"/>
      <c r="AC64" s="16"/>
      <c r="AD64" s="16"/>
    </row>
    <row r="65" spans="1:30" x14ac:dyDescent="0.25">
      <c r="A65" s="9"/>
      <c r="B65" s="9"/>
      <c r="K65" s="15"/>
      <c r="AC65" s="16"/>
      <c r="AD65" s="16"/>
    </row>
    <row r="66" spans="1:30" x14ac:dyDescent="0.25">
      <c r="A66" s="9"/>
      <c r="B66" s="9"/>
      <c r="K66" s="15"/>
      <c r="AC66" s="16"/>
      <c r="AD66" s="16"/>
    </row>
    <row r="67" spans="1:30" x14ac:dyDescent="0.25">
      <c r="A67" s="9"/>
      <c r="B67" s="9"/>
      <c r="K67" s="15"/>
      <c r="AB67" s="16"/>
      <c r="AC67" s="16"/>
      <c r="AD67" s="16"/>
    </row>
    <row r="68" spans="1:30" x14ac:dyDescent="0.25">
      <c r="A68" s="9"/>
      <c r="B68" s="9"/>
      <c r="K68" s="15"/>
      <c r="AB68" s="16"/>
      <c r="AC68" s="16"/>
      <c r="AD68" s="16"/>
    </row>
    <row r="69" spans="1:30" x14ac:dyDescent="0.25">
      <c r="A69" s="9"/>
      <c r="B69" s="9"/>
      <c r="K69" s="15"/>
      <c r="AB69" s="16"/>
      <c r="AC69" s="16"/>
      <c r="AD69" s="16"/>
    </row>
    <row r="70" spans="1:30" x14ac:dyDescent="0.25">
      <c r="A70" s="9"/>
      <c r="B70" s="9"/>
      <c r="K70" s="15"/>
      <c r="AB70" s="16"/>
      <c r="AC70" s="16"/>
      <c r="AD70" s="16"/>
    </row>
    <row r="71" spans="1:30" x14ac:dyDescent="0.25">
      <c r="A71" s="9"/>
      <c r="B71" s="9"/>
      <c r="K71" s="15"/>
      <c r="AB71" s="16"/>
      <c r="AC71" s="16"/>
      <c r="AD71" s="16"/>
    </row>
    <row r="72" spans="1:30" x14ac:dyDescent="0.25">
      <c r="A72" s="9"/>
      <c r="B72" s="9"/>
      <c r="K72" s="15"/>
      <c r="AB72" s="16"/>
      <c r="AC72" s="16"/>
      <c r="AD72" s="16"/>
    </row>
    <row r="73" spans="1:30" x14ac:dyDescent="0.25">
      <c r="A73" s="9"/>
      <c r="B73" s="9"/>
      <c r="K73" s="15"/>
      <c r="AB73" s="16"/>
      <c r="AC73" s="16"/>
      <c r="AD73" s="16"/>
    </row>
    <row r="74" spans="1:30" x14ac:dyDescent="0.25">
      <c r="A74" s="9"/>
      <c r="B74" s="9"/>
      <c r="K74" s="15"/>
      <c r="AB74" s="16"/>
      <c r="AC74" s="16"/>
      <c r="AD74" s="16"/>
    </row>
    <row r="75" spans="1:30" x14ac:dyDescent="0.25">
      <c r="A75" s="9"/>
      <c r="B75" s="9"/>
      <c r="K75" s="15"/>
      <c r="AB75" s="16"/>
      <c r="AC75" s="16"/>
      <c r="AD75" s="16"/>
    </row>
    <row r="76" spans="1:30" x14ac:dyDescent="0.25">
      <c r="A76" s="9"/>
      <c r="B76" s="9"/>
      <c r="K76" s="15"/>
    </row>
    <row r="77" spans="1:30" x14ac:dyDescent="0.25">
      <c r="A77" s="9"/>
      <c r="B77" s="9"/>
      <c r="K77" s="15"/>
      <c r="AB77" s="16"/>
      <c r="AC77" s="16"/>
      <c r="AD77" s="16"/>
    </row>
    <row r="78" spans="1:30" x14ac:dyDescent="0.25">
      <c r="A78" s="9"/>
      <c r="B78" s="9"/>
      <c r="K78" s="15"/>
      <c r="AB78" s="16"/>
      <c r="AC78" s="16"/>
      <c r="AD78" s="16"/>
    </row>
    <row r="79" spans="1:30" x14ac:dyDescent="0.25">
      <c r="A79" s="9"/>
      <c r="B79" s="9"/>
      <c r="K79" s="15"/>
      <c r="AB79" s="16"/>
      <c r="AC79" s="16"/>
      <c r="AD79" s="16"/>
    </row>
    <row r="80" spans="1:30" x14ac:dyDescent="0.25">
      <c r="A80" s="9"/>
      <c r="B80" s="9"/>
      <c r="K80" s="15"/>
      <c r="AB80" s="16"/>
      <c r="AC80" s="16"/>
      <c r="AD80" s="16"/>
    </row>
    <row r="81" spans="1:31" x14ac:dyDescent="0.25">
      <c r="A81" s="9"/>
      <c r="B81" s="9"/>
      <c r="K81" s="15"/>
      <c r="AB81" s="16"/>
      <c r="AC81" s="16"/>
      <c r="AD81" s="16"/>
    </row>
    <row r="82" spans="1:31" x14ac:dyDescent="0.25">
      <c r="A82" s="9"/>
      <c r="B82" s="9"/>
      <c r="K82" s="15"/>
    </row>
    <row r="83" spans="1:31" x14ac:dyDescent="0.25">
      <c r="A83" s="9"/>
      <c r="B83" s="9"/>
      <c r="K83" s="15"/>
      <c r="AB83" s="16"/>
      <c r="AC83" s="16"/>
      <c r="AE83" s="16">
        <f>SUM(AE78:AE81)</f>
        <v>0</v>
      </c>
    </row>
    <row r="84" spans="1:31" x14ac:dyDescent="0.25">
      <c r="A84" s="9"/>
      <c r="B84" s="9"/>
      <c r="K84" s="15"/>
    </row>
    <row r="85" spans="1:31" x14ac:dyDescent="0.25">
      <c r="A85" s="9"/>
      <c r="B85" s="9"/>
      <c r="K85" s="15"/>
    </row>
    <row r="86" spans="1:31" x14ac:dyDescent="0.25">
      <c r="A86" s="9"/>
      <c r="B86" s="9"/>
      <c r="K86" s="15"/>
      <c r="AB86" s="16"/>
      <c r="AC86" s="16"/>
      <c r="AD86" s="16"/>
    </row>
    <row r="87" spans="1:31" x14ac:dyDescent="0.25">
      <c r="A87" s="9"/>
      <c r="B87" s="9"/>
      <c r="K87" s="15"/>
      <c r="AB87" s="16"/>
      <c r="AC87" s="16"/>
      <c r="AD87" s="16"/>
    </row>
    <row r="88" spans="1:31" x14ac:dyDescent="0.25">
      <c r="A88" s="9"/>
      <c r="B88" s="9"/>
      <c r="K88" s="15"/>
      <c r="AB88" s="16"/>
      <c r="AC88" s="16"/>
      <c r="AD88" s="16"/>
    </row>
    <row r="89" spans="1:31" x14ac:dyDescent="0.25">
      <c r="A89" s="9"/>
      <c r="B89" s="9"/>
      <c r="K89" s="15"/>
      <c r="AB89" s="16"/>
      <c r="AC89" s="16"/>
      <c r="AD89" s="16"/>
    </row>
    <row r="90" spans="1:31" x14ac:dyDescent="0.25">
      <c r="A90" s="9"/>
      <c r="B90" s="9"/>
      <c r="K90" s="15"/>
      <c r="AB90" s="16"/>
      <c r="AC90" s="16"/>
      <c r="AD90" s="16"/>
    </row>
    <row r="91" spans="1:31" x14ac:dyDescent="0.25">
      <c r="A91" s="9"/>
      <c r="B91" s="9"/>
      <c r="K91" s="15"/>
      <c r="AB91" s="16"/>
      <c r="AC91" s="16"/>
      <c r="AD91" s="16"/>
    </row>
    <row r="92" spans="1:31" x14ac:dyDescent="0.25">
      <c r="A92" s="9"/>
      <c r="B92" s="9"/>
      <c r="K92" s="15"/>
      <c r="AC92" s="16"/>
      <c r="AD92" s="16"/>
    </row>
    <row r="93" spans="1:31" x14ac:dyDescent="0.25">
      <c r="A93" s="9"/>
      <c r="B93" s="9"/>
      <c r="K93" s="15"/>
      <c r="AC93" s="16"/>
      <c r="AD93" s="16"/>
    </row>
    <row r="94" spans="1:31" x14ac:dyDescent="0.25">
      <c r="K94" s="15"/>
      <c r="AC94" s="16"/>
      <c r="AD94" s="16"/>
    </row>
    <row r="95" spans="1:31" x14ac:dyDescent="0.25">
      <c r="K95" s="15"/>
      <c r="AC95" s="16"/>
      <c r="AD95" s="16"/>
    </row>
    <row r="96" spans="1:31" x14ac:dyDescent="0.25">
      <c r="K96" s="15"/>
      <c r="AC96" s="16"/>
      <c r="AD96" s="16"/>
    </row>
    <row r="97" spans="11:30" x14ac:dyDescent="0.25">
      <c r="K97" s="15"/>
    </row>
    <row r="98" spans="11:30" x14ac:dyDescent="0.25">
      <c r="K98" s="15"/>
    </row>
    <row r="99" spans="11:30" x14ac:dyDescent="0.25">
      <c r="K99" s="15"/>
    </row>
    <row r="100" spans="11:30" x14ac:dyDescent="0.25">
      <c r="K100" s="15"/>
      <c r="AB100" s="16"/>
      <c r="AC100" s="16"/>
      <c r="AD100" s="16"/>
    </row>
    <row r="101" spans="11:30" x14ac:dyDescent="0.25">
      <c r="K101" s="15"/>
      <c r="AB101" s="16"/>
      <c r="AC101" s="16"/>
      <c r="AD101" s="16"/>
    </row>
    <row r="102" spans="11:30" x14ac:dyDescent="0.25">
      <c r="K102" s="15"/>
      <c r="AB102" s="16"/>
      <c r="AC102" s="16"/>
      <c r="AD102" s="16"/>
    </row>
    <row r="103" spans="11:30" x14ac:dyDescent="0.25">
      <c r="K103" s="15"/>
      <c r="AB103" s="16"/>
      <c r="AC103" s="16"/>
      <c r="AD103" s="16"/>
    </row>
    <row r="104" spans="11:30" x14ac:dyDescent="0.25">
      <c r="K104" s="15"/>
      <c r="AB104" s="16"/>
      <c r="AC104" s="16"/>
      <c r="AD104" s="16"/>
    </row>
    <row r="105" spans="11:30" x14ac:dyDescent="0.25">
      <c r="AB105" s="16"/>
      <c r="AC105" s="16"/>
      <c r="AD105" s="16"/>
    </row>
    <row r="106" spans="11:30" x14ac:dyDescent="0.25">
      <c r="AB106" s="16"/>
      <c r="AC106" s="16"/>
      <c r="AD106" s="16"/>
    </row>
    <row r="107" spans="11:30" x14ac:dyDescent="0.25">
      <c r="AB107" s="16"/>
      <c r="AC107" s="16"/>
      <c r="AD107" s="16"/>
    </row>
    <row r="108" spans="11:30" x14ac:dyDescent="0.25">
      <c r="AB108" s="16"/>
      <c r="AC108" s="16"/>
      <c r="AD108" s="16"/>
    </row>
    <row r="109" spans="11:30" x14ac:dyDescent="0.25">
      <c r="AB109" s="16"/>
      <c r="AC109" s="16"/>
      <c r="AD109" s="16"/>
    </row>
    <row r="110" spans="11:30" x14ac:dyDescent="0.25">
      <c r="AB110" s="16"/>
      <c r="AC110" s="16"/>
      <c r="AD110" s="16"/>
    </row>
    <row r="112" spans="11:30" x14ac:dyDescent="0.25">
      <c r="AB112" s="16"/>
    </row>
    <row r="114" spans="28:31" x14ac:dyDescent="0.25">
      <c r="AB114" s="16"/>
      <c r="AC114" s="16"/>
      <c r="AD114" s="16"/>
    </row>
    <row r="115" spans="28:31" x14ac:dyDescent="0.25">
      <c r="AB115" s="16"/>
      <c r="AC115" s="16"/>
      <c r="AD115" s="16"/>
    </row>
    <row r="116" spans="28:31" x14ac:dyDescent="0.25">
      <c r="AB116" s="16"/>
      <c r="AC116" s="16"/>
      <c r="AD116" s="16"/>
    </row>
    <row r="117" spans="28:31" ht="5.15" customHeight="1" x14ac:dyDescent="0.25">
      <c r="AB117" s="16"/>
      <c r="AC117" s="16"/>
      <c r="AD117" s="16"/>
    </row>
    <row r="118" spans="28:31" x14ac:dyDescent="0.25">
      <c r="AC118" s="16"/>
      <c r="AD118" s="16"/>
    </row>
    <row r="119" spans="28:31" ht="5.15" customHeight="1" x14ac:dyDescent="0.25">
      <c r="AC119" s="16"/>
      <c r="AD119" s="16"/>
    </row>
    <row r="120" spans="28:31" x14ac:dyDescent="0.25">
      <c r="AC120" s="16"/>
      <c r="AE120" s="16"/>
    </row>
    <row r="121" spans="28:31" ht="5.15" customHeight="1" x14ac:dyDescent="0.25">
      <c r="AC121" s="16"/>
      <c r="AD121" s="16"/>
    </row>
    <row r="122" spans="28:31" x14ac:dyDescent="0.25">
      <c r="AC122" s="16"/>
      <c r="AE122" s="16"/>
    </row>
    <row r="123" spans="28:31" ht="5.15" customHeight="1" x14ac:dyDescent="0.25">
      <c r="AC123" s="16"/>
      <c r="AD123" s="16"/>
    </row>
    <row r="124" spans="28:31" x14ac:dyDescent="0.25">
      <c r="AC124" s="16"/>
      <c r="AD124" s="16"/>
    </row>
    <row r="125" spans="28:31" x14ac:dyDescent="0.25">
      <c r="AB125" s="16"/>
      <c r="AC125" s="16"/>
      <c r="AD125" s="16"/>
    </row>
    <row r="126" spans="28:31" ht="1" customHeight="1" x14ac:dyDescent="0.25">
      <c r="AB126" s="16"/>
      <c r="AC126" s="16"/>
      <c r="AD126" s="16"/>
    </row>
    <row r="127" spans="28:31" x14ac:dyDescent="0.25">
      <c r="AB127" s="16"/>
      <c r="AC127" s="16"/>
      <c r="AD127" s="16"/>
    </row>
    <row r="128" spans="28:31" x14ac:dyDescent="0.25">
      <c r="AB128" s="16"/>
      <c r="AC128" s="16"/>
    </row>
    <row r="129" spans="28:29" x14ac:dyDescent="0.25">
      <c r="AB129" s="16"/>
      <c r="AC129" s="16"/>
    </row>
    <row r="130" spans="28:29" x14ac:dyDescent="0.25">
      <c r="AB130" s="16"/>
      <c r="AC130" s="16"/>
    </row>
    <row r="131" spans="28:29" x14ac:dyDescent="0.25">
      <c r="AB131" s="16"/>
      <c r="AC131" s="16"/>
    </row>
    <row r="132" spans="28:29" x14ac:dyDescent="0.25">
      <c r="AB132" s="16"/>
      <c r="AC132" s="16"/>
    </row>
    <row r="133" spans="28:29" x14ac:dyDescent="0.25">
      <c r="AB133" s="16"/>
      <c r="AC133" s="16"/>
    </row>
    <row r="134" spans="28:29" x14ac:dyDescent="0.25">
      <c r="AC134" s="16"/>
    </row>
    <row r="135" spans="28:29" x14ac:dyDescent="0.25">
      <c r="AC135" s="16"/>
    </row>
    <row r="136" spans="28:29" x14ac:dyDescent="0.25">
      <c r="AC136" s="16"/>
    </row>
    <row r="137" spans="28:29" x14ac:dyDescent="0.25">
      <c r="AC137" s="16"/>
    </row>
    <row r="138" spans="28:29" x14ac:dyDescent="0.25">
      <c r="AC138" s="16"/>
    </row>
    <row r="139" spans="28:29" ht="5.15" customHeight="1" x14ac:dyDescent="0.25">
      <c r="AB139" s="16"/>
      <c r="AC139" s="16"/>
    </row>
    <row r="140" spans="28:29" ht="1" customHeight="1" x14ac:dyDescent="0.25">
      <c r="AB140" s="16"/>
      <c r="AC140" s="16"/>
    </row>
    <row r="141" spans="28:29" x14ac:dyDescent="0.25">
      <c r="AB141" s="16"/>
      <c r="AC141" s="16"/>
    </row>
    <row r="142" spans="28:29" x14ac:dyDescent="0.25">
      <c r="AB142" s="16"/>
      <c r="AC142" s="16"/>
    </row>
    <row r="143" spans="28:29" x14ac:dyDescent="0.25">
      <c r="AB143" s="16"/>
      <c r="AC143" s="16"/>
    </row>
    <row r="144" spans="28:29" x14ac:dyDescent="0.25">
      <c r="AB144" s="16"/>
      <c r="AC144" s="16"/>
    </row>
    <row r="145" spans="28:29" x14ac:dyDescent="0.25">
      <c r="AB145" s="16"/>
      <c r="AC145" s="16"/>
    </row>
    <row r="146" spans="28:29" x14ac:dyDescent="0.25">
      <c r="AB146" s="16"/>
      <c r="AC146" s="16"/>
    </row>
    <row r="147" spans="28:29" x14ac:dyDescent="0.25">
      <c r="AB147" s="16"/>
      <c r="AC147" s="16"/>
    </row>
    <row r="148" spans="28:29" x14ac:dyDescent="0.25">
      <c r="AB148" s="16"/>
      <c r="AC148" s="16"/>
    </row>
    <row r="149" spans="28:29" x14ac:dyDescent="0.25">
      <c r="AB149" s="16"/>
      <c r="AC149" s="16"/>
    </row>
    <row r="150" spans="28:29" x14ac:dyDescent="0.25">
      <c r="AB150" s="16"/>
      <c r="AC150" s="16"/>
    </row>
    <row r="151" spans="28:29" x14ac:dyDescent="0.25">
      <c r="AB151" s="16"/>
      <c r="AC151" s="16"/>
    </row>
    <row r="152" spans="28:29" x14ac:dyDescent="0.25">
      <c r="AB152" s="16"/>
      <c r="AC152" s="16"/>
    </row>
    <row r="153" spans="28:29" x14ac:dyDescent="0.25">
      <c r="AB153" s="16"/>
      <c r="AC153" s="16"/>
    </row>
    <row r="154" spans="28:29" x14ac:dyDescent="0.25">
      <c r="AB154" s="16"/>
      <c r="AC154" s="16"/>
    </row>
    <row r="155" spans="28:29" x14ac:dyDescent="0.25">
      <c r="AB155" s="16"/>
      <c r="AC155" s="16"/>
    </row>
    <row r="156" spans="28:29" x14ac:dyDescent="0.25">
      <c r="AB156" s="16"/>
      <c r="AC156" s="16"/>
    </row>
    <row r="157" spans="28:29" x14ac:dyDescent="0.25">
      <c r="AB157" s="16"/>
      <c r="AC157" s="16"/>
    </row>
    <row r="158" spans="28:29" x14ac:dyDescent="0.25">
      <c r="AB158" s="16"/>
      <c r="AC158" s="16"/>
    </row>
    <row r="159" spans="28:29" x14ac:dyDescent="0.25">
      <c r="AB159" s="16"/>
      <c r="AC159" s="16"/>
    </row>
    <row r="160" spans="28:29" x14ac:dyDescent="0.25">
      <c r="AB160" s="16"/>
      <c r="AC160" s="16"/>
    </row>
    <row r="161" spans="28:31" x14ac:dyDescent="0.25">
      <c r="AB161" s="16"/>
      <c r="AC161" s="16"/>
    </row>
    <row r="162" spans="28:31" x14ac:dyDescent="0.25">
      <c r="AB162" s="16"/>
      <c r="AC162" s="16"/>
    </row>
    <row r="163" spans="28:31" x14ac:dyDescent="0.25">
      <c r="AB163" s="16"/>
      <c r="AC163" s="16"/>
    </row>
    <row r="164" spans="28:31" x14ac:dyDescent="0.25">
      <c r="AB164" s="16"/>
      <c r="AC164" s="16"/>
    </row>
    <row r="165" spans="28:31" x14ac:dyDescent="0.25">
      <c r="AB165" s="16"/>
      <c r="AC165" s="16"/>
    </row>
    <row r="166" spans="28:31" x14ac:dyDescent="0.25">
      <c r="AB166" s="16"/>
      <c r="AC166" s="16"/>
    </row>
    <row r="167" spans="28:31" x14ac:dyDescent="0.25">
      <c r="AB167" s="16"/>
      <c r="AC167" s="16"/>
    </row>
    <row r="169" spans="28:31" x14ac:dyDescent="0.25">
      <c r="AB169" s="16"/>
    </row>
    <row r="171" spans="28:31" x14ac:dyDescent="0.25">
      <c r="AB171" s="16"/>
    </row>
    <row r="173" spans="28:31" x14ac:dyDescent="0.25">
      <c r="AC173" s="16"/>
      <c r="AE173" s="16"/>
    </row>
    <row r="175" spans="28:31" x14ac:dyDescent="0.25">
      <c r="AB175" s="16"/>
    </row>
    <row r="189" spans="28:30" x14ac:dyDescent="0.25">
      <c r="AB189" s="16"/>
      <c r="AC189" s="16"/>
      <c r="AD189" s="16"/>
    </row>
    <row r="190" spans="28:30" x14ac:dyDescent="0.25">
      <c r="AB190" s="16"/>
      <c r="AC190" s="16"/>
      <c r="AD190" s="16"/>
    </row>
    <row r="191" spans="28:30" x14ac:dyDescent="0.25">
      <c r="AB191" s="16"/>
      <c r="AC191" s="16"/>
      <c r="AD191" s="16"/>
    </row>
    <row r="192" spans="28:30" x14ac:dyDescent="0.25">
      <c r="AB192" s="16"/>
      <c r="AC192" s="16"/>
      <c r="AD192" s="16"/>
    </row>
    <row r="193" spans="28:30" x14ac:dyDescent="0.25">
      <c r="AB193" s="16"/>
      <c r="AC193" s="16"/>
      <c r="AD193" s="16"/>
    </row>
    <row r="194" spans="28:30" x14ac:dyDescent="0.25">
      <c r="AB194" s="16"/>
      <c r="AC194" s="16"/>
      <c r="AD194" s="16"/>
    </row>
    <row r="195" spans="28:30" x14ac:dyDescent="0.25">
      <c r="AC195" s="16"/>
      <c r="AD195" s="16"/>
    </row>
    <row r="196" spans="28:30" x14ac:dyDescent="0.25">
      <c r="AC196" s="16"/>
      <c r="AD196" s="16"/>
    </row>
    <row r="197" spans="28:30" x14ac:dyDescent="0.25">
      <c r="AC197" s="16"/>
      <c r="AD197" s="16"/>
    </row>
    <row r="198" spans="28:30" x14ac:dyDescent="0.25">
      <c r="AC198" s="16"/>
      <c r="AD198" s="16"/>
    </row>
    <row r="199" spans="28:30" x14ac:dyDescent="0.25">
      <c r="AC199" s="16"/>
      <c r="AD199" s="16"/>
    </row>
    <row r="200" spans="28:30" x14ac:dyDescent="0.25">
      <c r="AB200" s="16"/>
      <c r="AC200" s="16"/>
      <c r="AD200" s="16"/>
    </row>
    <row r="201" spans="28:30" x14ac:dyDescent="0.25">
      <c r="AB201" s="16"/>
      <c r="AC201" s="16"/>
      <c r="AD201" s="16"/>
    </row>
    <row r="202" spans="28:30" x14ac:dyDescent="0.25">
      <c r="AB202" s="16"/>
      <c r="AC202" s="16"/>
      <c r="AD202" s="16"/>
    </row>
    <row r="203" spans="28:30" x14ac:dyDescent="0.25">
      <c r="AB203" s="16"/>
      <c r="AC203" s="16"/>
      <c r="AD203" s="16"/>
    </row>
    <row r="204" spans="28:30" x14ac:dyDescent="0.25">
      <c r="AB204" s="16"/>
      <c r="AC204" s="16"/>
      <c r="AD204" s="16"/>
    </row>
    <row r="205" spans="28:30" x14ac:dyDescent="0.25">
      <c r="AB205" s="16"/>
      <c r="AC205" s="16"/>
      <c r="AD205" s="16"/>
    </row>
    <row r="206" spans="28:30" x14ac:dyDescent="0.25">
      <c r="AB206" s="16"/>
      <c r="AC206" s="16"/>
      <c r="AD206" s="16"/>
    </row>
    <row r="207" spans="28:30" x14ac:dyDescent="0.25">
      <c r="AB207" s="16"/>
      <c r="AC207" s="16"/>
      <c r="AD207" s="16"/>
    </row>
    <row r="208" spans="28:30" x14ac:dyDescent="0.25">
      <c r="AB208" s="16"/>
      <c r="AC208" s="16"/>
      <c r="AD208" s="16"/>
    </row>
    <row r="209" spans="28:30" x14ac:dyDescent="0.25">
      <c r="AB209" s="16"/>
      <c r="AC209" s="16"/>
      <c r="AD209" s="16"/>
    </row>
    <row r="210" spans="28:30" x14ac:dyDescent="0.25">
      <c r="AB210" s="16"/>
      <c r="AC210" s="16"/>
      <c r="AD210" s="16"/>
    </row>
    <row r="211" spans="28:30" x14ac:dyDescent="0.25">
      <c r="AB211" s="16"/>
      <c r="AC211" s="16"/>
      <c r="AD211" s="16"/>
    </row>
    <row r="212" spans="28:30" x14ac:dyDescent="0.25">
      <c r="AB212" s="16"/>
      <c r="AC212" s="16"/>
      <c r="AD212" s="16"/>
    </row>
    <row r="213" spans="28:30" x14ac:dyDescent="0.25">
      <c r="AB213" s="16"/>
      <c r="AC213" s="16"/>
      <c r="AD213" s="16"/>
    </row>
    <row r="214" spans="28:30" x14ac:dyDescent="0.25">
      <c r="AB214" s="16"/>
      <c r="AC214" s="16"/>
      <c r="AD214" s="16"/>
    </row>
    <row r="215" spans="28:30" x14ac:dyDescent="0.25">
      <c r="AB215" s="16"/>
      <c r="AC215" s="16"/>
      <c r="AD215" s="16"/>
    </row>
    <row r="216" spans="28:30" x14ac:dyDescent="0.25">
      <c r="AB216" s="16"/>
      <c r="AC216" s="16"/>
      <c r="AD216" s="16"/>
    </row>
    <row r="217" spans="28:30" x14ac:dyDescent="0.25">
      <c r="AB217" s="16"/>
      <c r="AC217" s="16"/>
      <c r="AD217" s="16"/>
    </row>
    <row r="218" spans="28:30" x14ac:dyDescent="0.25">
      <c r="AB218" s="16"/>
      <c r="AC218" s="16"/>
      <c r="AD218" s="16"/>
    </row>
    <row r="219" spans="28:30" x14ac:dyDescent="0.25">
      <c r="AB219" s="16"/>
      <c r="AC219" s="16"/>
      <c r="AD219" s="16"/>
    </row>
    <row r="220" spans="28:30" x14ac:dyDescent="0.25">
      <c r="AB220" s="16"/>
      <c r="AC220" s="16"/>
      <c r="AD220" s="16"/>
    </row>
    <row r="221" spans="28:30" x14ac:dyDescent="0.25">
      <c r="AB221" s="16"/>
      <c r="AC221" s="16"/>
      <c r="AD221" s="16"/>
    </row>
    <row r="222" spans="28:30" x14ac:dyDescent="0.25">
      <c r="AB222" s="16"/>
      <c r="AC222" s="16"/>
      <c r="AD222" s="16"/>
    </row>
    <row r="223" spans="28:30" x14ac:dyDescent="0.25">
      <c r="AB223" s="16"/>
      <c r="AC223" s="16"/>
      <c r="AD223" s="16"/>
    </row>
    <row r="224" spans="28:30" x14ac:dyDescent="0.25">
      <c r="AB224" s="16"/>
      <c r="AC224" s="16"/>
      <c r="AD224" s="16"/>
    </row>
    <row r="225" spans="7:30" x14ac:dyDescent="0.25">
      <c r="AB225" s="16"/>
      <c r="AC225" s="16"/>
      <c r="AD225" s="16"/>
    </row>
    <row r="226" spans="7:30" x14ac:dyDescent="0.25">
      <c r="AB226" s="16"/>
      <c r="AC226" s="16"/>
      <c r="AD226" s="16"/>
    </row>
    <row r="227" spans="7:30" x14ac:dyDescent="0.25">
      <c r="AB227" s="16"/>
      <c r="AC227" s="16"/>
      <c r="AD227" s="16"/>
    </row>
    <row r="228" spans="7:30" x14ac:dyDescent="0.25">
      <c r="AB228" s="16"/>
      <c r="AC228" s="16"/>
      <c r="AD228" s="16"/>
    </row>
    <row r="229" spans="7:30" x14ac:dyDescent="0.25">
      <c r="AB229" s="16"/>
      <c r="AC229" s="16"/>
      <c r="AD229" s="16"/>
    </row>
    <row r="230" spans="7:30" x14ac:dyDescent="0.25">
      <c r="AB230" s="16"/>
      <c r="AC230" s="16"/>
      <c r="AD230" s="16"/>
    </row>
    <row r="231" spans="7:30" x14ac:dyDescent="0.25">
      <c r="AB231" s="16"/>
      <c r="AC231" s="16"/>
      <c r="AD231" s="16"/>
    </row>
    <row r="232" spans="7:30" x14ac:dyDescent="0.25">
      <c r="AB232" s="16"/>
      <c r="AC232" s="16"/>
      <c r="AD232" s="16"/>
    </row>
    <row r="233" spans="7:30" x14ac:dyDescent="0.25">
      <c r="AB233" s="16"/>
      <c r="AC233" s="16"/>
      <c r="AD233" s="16"/>
    </row>
    <row r="234" spans="7:30" x14ac:dyDescent="0.25">
      <c r="AB234" s="16"/>
      <c r="AC234" s="16"/>
      <c r="AD234" s="16"/>
    </row>
    <row r="235" spans="7:30" x14ac:dyDescent="0.25"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S235" s="16"/>
      <c r="U235" s="16"/>
      <c r="V235" s="16"/>
      <c r="W235" s="16"/>
      <c r="X235" s="16"/>
      <c r="Y235" s="16"/>
      <c r="AA235" s="16"/>
      <c r="AB235" s="16"/>
      <c r="AC235" s="16"/>
      <c r="AD235" s="16"/>
    </row>
    <row r="236" spans="7:30" x14ac:dyDescent="0.25"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S236" s="16"/>
      <c r="U236" s="16"/>
      <c r="V236" s="16"/>
      <c r="W236" s="16"/>
      <c r="X236" s="16"/>
      <c r="Y236" s="16"/>
      <c r="AA236" s="16"/>
      <c r="AB236" s="16"/>
      <c r="AC236" s="16"/>
      <c r="AD236" s="16"/>
    </row>
    <row r="237" spans="7:30" x14ac:dyDescent="0.25"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S237" s="16"/>
      <c r="U237" s="16"/>
      <c r="V237" s="16"/>
      <c r="W237" s="16"/>
      <c r="X237" s="16"/>
      <c r="Y237" s="16"/>
      <c r="AA237" s="16"/>
      <c r="AB237" s="16"/>
      <c r="AC237" s="16"/>
      <c r="AD237" s="16"/>
    </row>
    <row r="238" spans="7:30" x14ac:dyDescent="0.25"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S238" s="16"/>
      <c r="U238" s="16"/>
      <c r="V238" s="16"/>
      <c r="W238" s="16"/>
      <c r="X238" s="16"/>
      <c r="Y238" s="16"/>
      <c r="AA238" s="16"/>
      <c r="AB238" s="16"/>
      <c r="AC238" s="16"/>
      <c r="AD238" s="16"/>
    </row>
    <row r="239" spans="7:30" x14ac:dyDescent="0.25"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S239" s="16"/>
      <c r="U239" s="16"/>
      <c r="V239" s="16"/>
      <c r="W239" s="16"/>
      <c r="X239" s="16"/>
      <c r="Y239" s="16"/>
      <c r="AA239" s="16"/>
      <c r="AB239" s="16"/>
      <c r="AC239" s="16"/>
      <c r="AD239" s="16"/>
    </row>
    <row r="240" spans="7:30" x14ac:dyDescent="0.25"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S240" s="16"/>
      <c r="U240" s="16"/>
      <c r="V240" s="16"/>
      <c r="W240" s="16"/>
      <c r="X240" s="16"/>
      <c r="Y240" s="16"/>
      <c r="AA240" s="16"/>
      <c r="AB240" s="16"/>
      <c r="AC240" s="16"/>
      <c r="AD240" s="16"/>
    </row>
    <row r="241" spans="7:30" x14ac:dyDescent="0.25"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S241" s="16"/>
      <c r="U241" s="16"/>
      <c r="V241" s="16"/>
      <c r="W241" s="16"/>
      <c r="X241" s="16"/>
      <c r="Y241" s="16"/>
      <c r="AA241" s="16"/>
      <c r="AB241" s="16"/>
      <c r="AC241" s="16"/>
      <c r="AD241" s="16"/>
    </row>
    <row r="242" spans="7:30" x14ac:dyDescent="0.25"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S242" s="16"/>
      <c r="U242" s="16"/>
      <c r="V242" s="16"/>
      <c r="W242" s="16"/>
      <c r="X242" s="16"/>
      <c r="Y242" s="16"/>
      <c r="AA242" s="16"/>
      <c r="AB242" s="16"/>
      <c r="AC242" s="16"/>
      <c r="AD242" s="16"/>
    </row>
    <row r="243" spans="7:30" x14ac:dyDescent="0.25"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S243" s="16"/>
      <c r="U243" s="16"/>
      <c r="V243" s="16"/>
      <c r="W243" s="16"/>
      <c r="X243" s="16"/>
      <c r="Y243" s="16"/>
      <c r="AA243" s="16"/>
      <c r="AB243" s="16"/>
      <c r="AC243" s="16"/>
      <c r="AD243" s="16"/>
    </row>
    <row r="244" spans="7:30" x14ac:dyDescent="0.25"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S244" s="16"/>
      <c r="U244" s="16"/>
      <c r="V244" s="16"/>
      <c r="W244" s="16"/>
      <c r="X244" s="16"/>
      <c r="Y244" s="16"/>
      <c r="AA244" s="16"/>
      <c r="AB244" s="16"/>
      <c r="AC244" s="16"/>
      <c r="AD244" s="16"/>
    </row>
    <row r="245" spans="7:30" x14ac:dyDescent="0.25"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S245" s="16"/>
      <c r="U245" s="16"/>
      <c r="V245" s="16"/>
      <c r="W245" s="16"/>
      <c r="X245" s="16"/>
      <c r="Y245" s="16"/>
      <c r="AA245" s="16"/>
      <c r="AB245" s="16"/>
      <c r="AC245" s="16"/>
      <c r="AD245" s="16"/>
    </row>
    <row r="246" spans="7:30" x14ac:dyDescent="0.25"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S246" s="16"/>
      <c r="U246" s="16"/>
      <c r="V246" s="16"/>
      <c r="W246" s="16"/>
      <c r="X246" s="16"/>
      <c r="Y246" s="16"/>
      <c r="AA246" s="16"/>
      <c r="AB246" s="16"/>
      <c r="AC246" s="16"/>
      <c r="AD246" s="16"/>
    </row>
    <row r="247" spans="7:30" x14ac:dyDescent="0.25"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S247" s="16"/>
      <c r="U247" s="16"/>
      <c r="V247" s="16"/>
      <c r="W247" s="16"/>
      <c r="X247" s="16"/>
      <c r="Y247" s="16"/>
      <c r="AA247" s="16"/>
      <c r="AB247" s="16"/>
      <c r="AC247" s="16"/>
      <c r="AD247" s="16"/>
    </row>
    <row r="248" spans="7:30" x14ac:dyDescent="0.25"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S248" s="16"/>
      <c r="U248" s="16"/>
      <c r="V248" s="16"/>
      <c r="W248" s="16"/>
      <c r="X248" s="16"/>
      <c r="Y248" s="16"/>
      <c r="AA248" s="16"/>
      <c r="AB248" s="16"/>
      <c r="AC248" s="16"/>
      <c r="AD248" s="16"/>
    </row>
    <row r="249" spans="7:30" x14ac:dyDescent="0.25"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S249" s="16"/>
      <c r="U249" s="16"/>
      <c r="V249" s="16"/>
      <c r="W249" s="16"/>
      <c r="X249" s="16"/>
      <c r="Y249" s="16"/>
      <c r="AA249" s="16"/>
      <c r="AB249" s="16"/>
      <c r="AC249" s="16"/>
      <c r="AD249" s="16"/>
    </row>
    <row r="250" spans="7:30" x14ac:dyDescent="0.25"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S250" s="16"/>
      <c r="U250" s="16"/>
      <c r="V250" s="16"/>
      <c r="W250" s="16"/>
      <c r="X250" s="16"/>
      <c r="Y250" s="16"/>
      <c r="AA250" s="16"/>
      <c r="AB250" s="16"/>
      <c r="AC250" s="16"/>
      <c r="AD250" s="16"/>
    </row>
    <row r="251" spans="7:30" x14ac:dyDescent="0.25"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S251" s="16"/>
      <c r="U251" s="16"/>
      <c r="V251" s="16"/>
      <c r="W251" s="16"/>
      <c r="X251" s="16"/>
      <c r="Y251" s="16"/>
      <c r="AA251" s="16"/>
      <c r="AB251" s="16"/>
      <c r="AC251" s="16"/>
      <c r="AD251" s="16"/>
    </row>
    <row r="252" spans="7:30" x14ac:dyDescent="0.25"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S252" s="16"/>
      <c r="U252" s="16"/>
      <c r="V252" s="16"/>
      <c r="W252" s="16"/>
      <c r="X252" s="16"/>
      <c r="Y252" s="16"/>
      <c r="AA252" s="16"/>
      <c r="AB252" s="16"/>
      <c r="AC252" s="16"/>
      <c r="AD252" s="16"/>
    </row>
    <row r="253" spans="7:30" x14ac:dyDescent="0.25"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S253" s="16"/>
      <c r="U253" s="16"/>
      <c r="V253" s="16"/>
      <c r="W253" s="16"/>
      <c r="X253" s="16"/>
      <c r="Y253" s="16"/>
      <c r="AA253" s="16"/>
      <c r="AB253" s="16"/>
      <c r="AC253" s="16"/>
      <c r="AD253" s="16"/>
    </row>
    <row r="254" spans="7:30" x14ac:dyDescent="0.25"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S254" s="16"/>
      <c r="U254" s="16"/>
      <c r="V254" s="16"/>
      <c r="W254" s="16"/>
      <c r="X254" s="16"/>
      <c r="Y254" s="16"/>
      <c r="AA254" s="16"/>
      <c r="AB254" s="16"/>
      <c r="AC254" s="16"/>
      <c r="AD254" s="16"/>
    </row>
    <row r="255" spans="7:30" x14ac:dyDescent="0.25"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S255" s="16"/>
      <c r="U255" s="16"/>
      <c r="V255" s="16"/>
      <c r="W255" s="16"/>
      <c r="X255" s="16"/>
      <c r="Y255" s="16"/>
      <c r="AA255" s="16"/>
      <c r="AB255" s="16"/>
      <c r="AC255" s="16"/>
      <c r="AD255" s="16"/>
    </row>
    <row r="256" spans="7:30" x14ac:dyDescent="0.25"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S256" s="16"/>
      <c r="U256" s="16"/>
      <c r="V256" s="16"/>
      <c r="W256" s="16"/>
      <c r="X256" s="16"/>
      <c r="Y256" s="16"/>
      <c r="AA256" s="16"/>
      <c r="AB256" s="16"/>
      <c r="AC256" s="16"/>
      <c r="AD256" s="16"/>
    </row>
    <row r="257" spans="7:30" x14ac:dyDescent="0.25"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S257" s="16"/>
      <c r="U257" s="16"/>
      <c r="V257" s="16"/>
      <c r="W257" s="16"/>
      <c r="X257" s="16"/>
      <c r="Y257" s="16"/>
      <c r="AA257" s="16"/>
      <c r="AB257" s="16"/>
      <c r="AC257" s="16"/>
      <c r="AD257" s="16"/>
    </row>
    <row r="258" spans="7:30" x14ac:dyDescent="0.25"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S258" s="16"/>
      <c r="U258" s="16"/>
      <c r="V258" s="16"/>
      <c r="W258" s="16"/>
      <c r="X258" s="16"/>
      <c r="Y258" s="16"/>
      <c r="AA258" s="16"/>
      <c r="AB258" s="16"/>
      <c r="AC258" s="16"/>
      <c r="AD258" s="16"/>
    </row>
    <row r="259" spans="7:30" x14ac:dyDescent="0.25"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S259" s="16"/>
      <c r="U259" s="16"/>
      <c r="V259" s="16"/>
      <c r="W259" s="16"/>
      <c r="X259" s="16"/>
      <c r="Y259" s="16"/>
      <c r="AA259" s="16"/>
      <c r="AB259" s="16"/>
      <c r="AC259" s="16"/>
      <c r="AD259" s="16"/>
    </row>
    <row r="260" spans="7:30" x14ac:dyDescent="0.25"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S260" s="16"/>
      <c r="U260" s="16"/>
      <c r="V260" s="16"/>
      <c r="W260" s="16"/>
      <c r="X260" s="16"/>
      <c r="Y260" s="16"/>
      <c r="AA260" s="16"/>
      <c r="AB260" s="16"/>
      <c r="AC260" s="16"/>
      <c r="AD260" s="16"/>
    </row>
    <row r="261" spans="7:30" x14ac:dyDescent="0.25"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S261" s="16"/>
      <c r="U261" s="16"/>
      <c r="V261" s="16"/>
      <c r="W261" s="16"/>
      <c r="X261" s="16"/>
      <c r="Y261" s="16"/>
      <c r="AA261" s="16"/>
      <c r="AB261" s="16"/>
      <c r="AC261" s="16"/>
      <c r="AD261" s="16"/>
    </row>
    <row r="262" spans="7:30" x14ac:dyDescent="0.25"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S262" s="16"/>
      <c r="U262" s="16"/>
      <c r="V262" s="16"/>
      <c r="W262" s="16"/>
      <c r="X262" s="16"/>
      <c r="Y262" s="16"/>
      <c r="AA262" s="16"/>
      <c r="AB262" s="16"/>
      <c r="AC262" s="16"/>
      <c r="AD262" s="16"/>
    </row>
    <row r="263" spans="7:30" x14ac:dyDescent="0.25"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S263" s="16"/>
      <c r="U263" s="16"/>
      <c r="V263" s="16"/>
      <c r="W263" s="16"/>
      <c r="X263" s="16"/>
      <c r="Y263" s="16"/>
      <c r="AA263" s="16"/>
      <c r="AB263" s="16"/>
      <c r="AC263" s="16"/>
      <c r="AD263" s="16"/>
    </row>
    <row r="264" spans="7:30" x14ac:dyDescent="0.25"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S264" s="16"/>
      <c r="U264" s="16"/>
      <c r="V264" s="16"/>
      <c r="W264" s="16"/>
      <c r="X264" s="16"/>
      <c r="Y264" s="16"/>
      <c r="AA264" s="16"/>
      <c r="AB264" s="16"/>
      <c r="AC264" s="16"/>
      <c r="AD264" s="16"/>
    </row>
    <row r="265" spans="7:30" x14ac:dyDescent="0.25"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S265" s="16"/>
      <c r="U265" s="16"/>
      <c r="V265" s="16"/>
      <c r="W265" s="16"/>
      <c r="X265" s="16"/>
      <c r="Y265" s="16"/>
      <c r="AA265" s="16"/>
      <c r="AB265" s="16"/>
      <c r="AC265" s="16"/>
      <c r="AD265" s="16"/>
    </row>
    <row r="266" spans="7:30" x14ac:dyDescent="0.25"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S266" s="16"/>
      <c r="U266" s="16"/>
      <c r="V266" s="16"/>
      <c r="W266" s="16"/>
      <c r="X266" s="16"/>
      <c r="Y266" s="16"/>
      <c r="AA266" s="16"/>
      <c r="AB266" s="16"/>
      <c r="AC266" s="16"/>
      <c r="AD266" s="16"/>
    </row>
    <row r="267" spans="7:30" x14ac:dyDescent="0.25"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S267" s="16"/>
      <c r="U267" s="16"/>
      <c r="V267" s="16"/>
      <c r="W267" s="16"/>
      <c r="X267" s="16"/>
      <c r="Y267" s="16"/>
      <c r="AA267" s="16"/>
      <c r="AB267" s="16"/>
      <c r="AC267" s="16"/>
      <c r="AD267" s="16"/>
    </row>
    <row r="268" spans="7:30" x14ac:dyDescent="0.25"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S268" s="16"/>
      <c r="U268" s="16"/>
      <c r="V268" s="16"/>
      <c r="W268" s="16"/>
      <c r="X268" s="16"/>
      <c r="Y268" s="16"/>
      <c r="AA268" s="16"/>
      <c r="AB268" s="16"/>
      <c r="AC268" s="16"/>
      <c r="AD268" s="16"/>
    </row>
    <row r="269" spans="7:30" x14ac:dyDescent="0.25"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S269" s="16"/>
      <c r="U269" s="16"/>
      <c r="V269" s="16"/>
      <c r="W269" s="16"/>
      <c r="X269" s="16"/>
      <c r="Y269" s="16"/>
      <c r="AA269" s="16"/>
      <c r="AB269" s="16"/>
      <c r="AC269" s="16"/>
      <c r="AD269" s="16"/>
    </row>
    <row r="270" spans="7:30" x14ac:dyDescent="0.25"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S270" s="16"/>
      <c r="U270" s="16"/>
      <c r="V270" s="16"/>
      <c r="W270" s="16"/>
      <c r="X270" s="16"/>
      <c r="Y270" s="16"/>
      <c r="AA270" s="16"/>
      <c r="AB270" s="16"/>
      <c r="AC270" s="16"/>
      <c r="AD270" s="16"/>
    </row>
    <row r="271" spans="7:30" x14ac:dyDescent="0.25"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S271" s="16"/>
      <c r="U271" s="16"/>
      <c r="V271" s="16"/>
      <c r="W271" s="16"/>
      <c r="X271" s="16"/>
      <c r="Y271" s="16"/>
      <c r="AA271" s="16"/>
      <c r="AB271" s="16"/>
      <c r="AC271" s="16"/>
      <c r="AD271" s="16"/>
    </row>
    <row r="272" spans="7:30" x14ac:dyDescent="0.25"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U272" s="16"/>
      <c r="V272" s="16"/>
      <c r="W272" s="16"/>
      <c r="X272" s="16"/>
      <c r="Y272" s="16"/>
      <c r="AA272" s="16"/>
      <c r="AB272" s="16"/>
      <c r="AC272" s="16"/>
      <c r="AD272" s="16"/>
    </row>
    <row r="273" spans="7:30" x14ac:dyDescent="0.25"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U273" s="16"/>
      <c r="V273" s="16"/>
      <c r="W273" s="16"/>
      <c r="X273" s="16"/>
      <c r="Y273" s="16"/>
      <c r="AA273" s="16"/>
      <c r="AB273" s="16"/>
      <c r="AC273" s="16"/>
      <c r="AD273" s="16"/>
    </row>
    <row r="274" spans="7:30" x14ac:dyDescent="0.25"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U274" s="16"/>
      <c r="V274" s="16"/>
      <c r="W274" s="16"/>
      <c r="X274" s="16"/>
      <c r="Y274" s="16"/>
      <c r="AA274" s="16"/>
      <c r="AB274" s="16"/>
      <c r="AC274" s="16"/>
      <c r="AD274" s="16"/>
    </row>
    <row r="275" spans="7:30" x14ac:dyDescent="0.25"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U275" s="16"/>
      <c r="V275" s="16"/>
      <c r="W275" s="16"/>
      <c r="X275" s="16"/>
      <c r="Y275" s="16"/>
      <c r="AA275" s="16"/>
      <c r="AB275" s="16"/>
      <c r="AC275" s="16"/>
      <c r="AD275" s="16"/>
    </row>
    <row r="276" spans="7:30" x14ac:dyDescent="0.25"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U276" s="16"/>
      <c r="V276" s="16"/>
      <c r="W276" s="16"/>
      <c r="X276" s="16"/>
      <c r="Y276" s="16"/>
      <c r="AA276" s="16"/>
      <c r="AB276" s="16"/>
      <c r="AC276" s="16"/>
      <c r="AD276" s="16"/>
    </row>
    <row r="277" spans="7:30" x14ac:dyDescent="0.25"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U277" s="16"/>
      <c r="V277" s="16"/>
      <c r="W277" s="16"/>
      <c r="X277" s="16"/>
      <c r="Y277" s="16"/>
      <c r="AA277" s="16"/>
      <c r="AB277" s="16"/>
      <c r="AC277" s="16"/>
      <c r="AD277" s="16"/>
    </row>
    <row r="278" spans="7:30" x14ac:dyDescent="0.25"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U278" s="16"/>
      <c r="V278" s="16"/>
      <c r="W278" s="16"/>
      <c r="X278" s="16"/>
      <c r="Y278" s="16"/>
      <c r="AA278" s="16"/>
      <c r="AB278" s="16"/>
      <c r="AC278" s="16"/>
      <c r="AD278" s="16"/>
    </row>
    <row r="279" spans="7:30" x14ac:dyDescent="0.25"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U279" s="16"/>
      <c r="V279" s="16"/>
      <c r="W279" s="16"/>
      <c r="X279" s="16"/>
      <c r="Y279" s="16"/>
      <c r="AA279" s="16"/>
      <c r="AB279" s="16"/>
      <c r="AC279" s="16"/>
      <c r="AD279" s="16"/>
    </row>
    <row r="280" spans="7:30" x14ac:dyDescent="0.25"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U280" s="16"/>
      <c r="V280" s="16"/>
      <c r="W280" s="16"/>
      <c r="X280" s="16"/>
      <c r="Y280" s="16"/>
      <c r="AA280" s="16"/>
      <c r="AB280" s="16"/>
      <c r="AC280" s="16"/>
      <c r="AD280" s="16"/>
    </row>
    <row r="281" spans="7:30" x14ac:dyDescent="0.25"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U281" s="16"/>
      <c r="V281" s="16"/>
      <c r="W281" s="16"/>
      <c r="X281" s="16"/>
      <c r="Y281" s="16"/>
      <c r="AA281" s="16"/>
      <c r="AB281" s="16"/>
      <c r="AC281" s="16"/>
      <c r="AD281" s="16"/>
    </row>
    <row r="282" spans="7:30" x14ac:dyDescent="0.25"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U282" s="16"/>
      <c r="V282" s="16"/>
      <c r="W282" s="16"/>
      <c r="X282" s="16"/>
      <c r="Y282" s="16"/>
      <c r="AA282" s="16"/>
      <c r="AB282" s="16"/>
      <c r="AC282" s="16"/>
      <c r="AD282" s="16"/>
    </row>
    <row r="283" spans="7:30" x14ac:dyDescent="0.25"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U283" s="16"/>
      <c r="V283" s="16"/>
      <c r="W283" s="16"/>
      <c r="X283" s="16"/>
      <c r="Y283" s="16"/>
      <c r="AA283" s="16"/>
      <c r="AB283" s="16"/>
      <c r="AC283" s="16"/>
      <c r="AD283" s="16"/>
    </row>
    <row r="284" spans="7:30" x14ac:dyDescent="0.25"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U284" s="16"/>
      <c r="V284" s="16"/>
      <c r="W284" s="16"/>
      <c r="X284" s="16"/>
      <c r="Y284" s="16"/>
      <c r="AA284" s="16"/>
      <c r="AB284" s="16"/>
      <c r="AC284" s="16"/>
      <c r="AD284" s="16"/>
    </row>
    <row r="285" spans="7:30" x14ac:dyDescent="0.25"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U285" s="16"/>
      <c r="V285" s="16"/>
      <c r="W285" s="16"/>
      <c r="X285" s="16"/>
      <c r="Y285" s="16"/>
      <c r="AA285" s="16"/>
      <c r="AB285" s="16"/>
      <c r="AC285" s="16"/>
      <c r="AD285" s="16"/>
    </row>
    <row r="286" spans="7:30" x14ac:dyDescent="0.25"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U286" s="16"/>
      <c r="V286" s="16"/>
      <c r="W286" s="16"/>
      <c r="X286" s="16"/>
      <c r="Y286" s="16"/>
      <c r="AA286" s="16"/>
      <c r="AB286" s="16"/>
      <c r="AC286" s="16"/>
      <c r="AD286" s="16"/>
    </row>
    <row r="287" spans="7:30" x14ac:dyDescent="0.25"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U287" s="16"/>
      <c r="V287" s="16"/>
      <c r="W287" s="16"/>
      <c r="X287" s="16"/>
      <c r="Y287" s="16"/>
      <c r="AA287" s="16"/>
      <c r="AB287" s="16"/>
      <c r="AC287" s="16"/>
      <c r="AD287" s="16"/>
    </row>
    <row r="288" spans="7:30" x14ac:dyDescent="0.25"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U288" s="16"/>
      <c r="V288" s="16"/>
      <c r="W288" s="16"/>
      <c r="X288" s="16"/>
      <c r="Y288" s="16"/>
      <c r="AA288" s="16"/>
      <c r="AB288" s="16"/>
      <c r="AC288" s="16"/>
      <c r="AD288" s="16"/>
    </row>
    <row r="289" spans="7:30" x14ac:dyDescent="0.25"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U289" s="16"/>
      <c r="V289" s="16"/>
      <c r="W289" s="16"/>
      <c r="X289" s="16"/>
      <c r="Y289" s="16"/>
      <c r="AA289" s="16"/>
      <c r="AB289" s="16"/>
      <c r="AC289" s="16"/>
      <c r="AD289" s="16"/>
    </row>
    <row r="290" spans="7:30" x14ac:dyDescent="0.25"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U290" s="16"/>
      <c r="V290" s="16"/>
      <c r="W290" s="16"/>
      <c r="X290" s="16"/>
      <c r="Y290" s="16"/>
      <c r="AA290" s="16"/>
      <c r="AB290" s="16"/>
      <c r="AC290" s="16"/>
      <c r="AD290" s="16"/>
    </row>
    <row r="291" spans="7:30" x14ac:dyDescent="0.25"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U291" s="16"/>
      <c r="V291" s="16"/>
      <c r="W291" s="16"/>
      <c r="X291" s="16"/>
      <c r="Y291" s="16"/>
      <c r="AA291" s="16"/>
      <c r="AB291" s="16"/>
      <c r="AC291" s="16"/>
      <c r="AD291" s="16"/>
    </row>
    <row r="292" spans="7:30" x14ac:dyDescent="0.25"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U292" s="16"/>
      <c r="V292" s="16"/>
      <c r="W292" s="16"/>
      <c r="X292" s="16"/>
      <c r="Y292" s="16"/>
      <c r="AA292" s="16"/>
      <c r="AB292" s="16"/>
      <c r="AC292" s="16"/>
      <c r="AD292" s="16"/>
    </row>
    <row r="293" spans="7:30" x14ac:dyDescent="0.25"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U293" s="16"/>
      <c r="V293" s="16"/>
      <c r="W293" s="16"/>
      <c r="X293" s="16"/>
      <c r="Y293" s="16"/>
      <c r="AA293" s="16"/>
      <c r="AB293" s="16"/>
      <c r="AC293" s="16"/>
      <c r="AD293" s="16"/>
    </row>
    <row r="294" spans="7:30" x14ac:dyDescent="0.25"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U294" s="16"/>
      <c r="V294" s="16"/>
      <c r="W294" s="16"/>
      <c r="X294" s="16"/>
      <c r="Y294" s="16"/>
      <c r="AA294" s="16"/>
      <c r="AB294" s="16"/>
      <c r="AC294" s="16"/>
      <c r="AD294" s="16"/>
    </row>
    <row r="295" spans="7:30" x14ac:dyDescent="0.25"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U295" s="16"/>
      <c r="V295" s="16"/>
      <c r="W295" s="16"/>
      <c r="X295" s="16"/>
      <c r="Y295" s="16"/>
      <c r="AA295" s="16"/>
      <c r="AB295" s="16"/>
      <c r="AC295" s="16"/>
      <c r="AD295" s="16"/>
    </row>
    <row r="296" spans="7:30" x14ac:dyDescent="0.25"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U296" s="16"/>
      <c r="V296" s="16"/>
      <c r="W296" s="16"/>
      <c r="X296" s="16"/>
      <c r="Y296" s="16"/>
      <c r="AA296" s="16"/>
      <c r="AB296" s="16"/>
      <c r="AC296" s="16"/>
      <c r="AD296" s="16"/>
    </row>
    <row r="297" spans="7:30" x14ac:dyDescent="0.25"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U297" s="16"/>
      <c r="V297" s="16"/>
      <c r="W297" s="16"/>
      <c r="X297" s="16"/>
      <c r="Y297" s="16"/>
      <c r="AA297" s="16"/>
      <c r="AB297" s="16"/>
      <c r="AC297" s="16"/>
      <c r="AD297" s="16"/>
    </row>
    <row r="298" spans="7:30" x14ac:dyDescent="0.25"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U298" s="16"/>
      <c r="V298" s="16"/>
      <c r="W298" s="16"/>
      <c r="X298" s="16"/>
      <c r="Y298" s="16"/>
      <c r="AA298" s="16"/>
      <c r="AB298" s="16"/>
      <c r="AC298" s="16"/>
      <c r="AD298" s="16"/>
    </row>
    <row r="299" spans="7:30" x14ac:dyDescent="0.25"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U299" s="16"/>
      <c r="V299" s="16"/>
      <c r="W299" s="16"/>
      <c r="X299" s="16"/>
      <c r="Y299" s="16"/>
      <c r="AA299" s="16"/>
      <c r="AB299" s="16"/>
      <c r="AC299" s="16"/>
      <c r="AD299" s="16"/>
    </row>
    <row r="300" spans="7:30" x14ac:dyDescent="0.25"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U300" s="16"/>
      <c r="V300" s="16"/>
      <c r="W300" s="16"/>
      <c r="X300" s="16"/>
      <c r="Y300" s="16"/>
      <c r="AA300" s="16"/>
      <c r="AB300" s="16"/>
      <c r="AC300" s="16"/>
      <c r="AD300" s="16"/>
    </row>
    <row r="301" spans="7:30" x14ac:dyDescent="0.25"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U301" s="16"/>
      <c r="V301" s="16"/>
      <c r="W301" s="16"/>
      <c r="X301" s="16"/>
      <c r="Y301" s="16"/>
      <c r="AA301" s="16"/>
      <c r="AB301" s="16"/>
      <c r="AC301" s="16"/>
      <c r="AD301" s="16"/>
    </row>
    <row r="302" spans="7:30" x14ac:dyDescent="0.25"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U302" s="16"/>
      <c r="V302" s="16"/>
      <c r="W302" s="16"/>
      <c r="X302" s="16"/>
      <c r="Y302" s="16"/>
      <c r="AA302" s="16"/>
      <c r="AB302" s="16"/>
      <c r="AC302" s="16"/>
      <c r="AD302" s="16"/>
    </row>
    <row r="303" spans="7:30" x14ac:dyDescent="0.25"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U303" s="16"/>
      <c r="V303" s="16"/>
      <c r="W303" s="16"/>
      <c r="X303" s="16"/>
      <c r="Y303" s="16"/>
      <c r="AA303" s="16"/>
      <c r="AB303" s="16"/>
      <c r="AC303" s="16"/>
      <c r="AD303" s="16"/>
    </row>
    <row r="304" spans="7:30" x14ac:dyDescent="0.25"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U304" s="16"/>
      <c r="V304" s="16"/>
      <c r="W304" s="16"/>
      <c r="X304" s="16"/>
      <c r="Y304" s="16"/>
      <c r="AA304" s="16"/>
      <c r="AB304" s="16"/>
      <c r="AC304" s="16"/>
      <c r="AD304" s="16"/>
    </row>
    <row r="305" spans="7:30" x14ac:dyDescent="0.25"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U305" s="16"/>
      <c r="V305" s="16"/>
      <c r="W305" s="16"/>
      <c r="X305" s="16"/>
      <c r="Y305" s="16"/>
      <c r="AA305" s="16"/>
      <c r="AB305" s="16"/>
      <c r="AC305" s="16"/>
      <c r="AD305" s="16"/>
    </row>
    <row r="306" spans="7:30" x14ac:dyDescent="0.25"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U306" s="16"/>
      <c r="V306" s="16"/>
      <c r="W306" s="16"/>
      <c r="X306" s="16"/>
      <c r="Y306" s="16"/>
      <c r="AA306" s="16"/>
      <c r="AB306" s="16"/>
      <c r="AC306" s="16"/>
      <c r="AD306" s="16"/>
    </row>
    <row r="307" spans="7:30" x14ac:dyDescent="0.25"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U307" s="16"/>
      <c r="V307" s="16"/>
      <c r="W307" s="16"/>
      <c r="X307" s="16"/>
      <c r="Y307" s="16"/>
      <c r="AA307" s="16"/>
      <c r="AB307" s="16"/>
      <c r="AC307" s="16"/>
      <c r="AD307" s="16"/>
    </row>
    <row r="308" spans="7:30" x14ac:dyDescent="0.25"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U308" s="16"/>
      <c r="V308" s="16"/>
      <c r="W308" s="16"/>
      <c r="X308" s="16"/>
      <c r="Y308" s="16"/>
      <c r="AA308" s="16"/>
      <c r="AB308" s="16"/>
      <c r="AC308" s="16"/>
      <c r="AD308" s="16"/>
    </row>
    <row r="309" spans="7:30" x14ac:dyDescent="0.25"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U309" s="16"/>
      <c r="V309" s="16"/>
      <c r="W309" s="16"/>
      <c r="X309" s="16"/>
      <c r="Y309" s="16"/>
      <c r="AA309" s="16"/>
      <c r="AB309" s="16"/>
      <c r="AC309" s="16"/>
      <c r="AD309" s="16"/>
    </row>
    <row r="310" spans="7:30" x14ac:dyDescent="0.25"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U310" s="16"/>
      <c r="V310" s="16"/>
      <c r="W310" s="16"/>
      <c r="X310" s="16"/>
      <c r="Y310" s="16"/>
      <c r="AA310" s="16"/>
      <c r="AB310" s="16"/>
      <c r="AC310" s="16"/>
      <c r="AD310" s="16"/>
    </row>
    <row r="311" spans="7:30" x14ac:dyDescent="0.25"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U311" s="16"/>
      <c r="V311" s="16"/>
      <c r="W311" s="16"/>
      <c r="X311" s="16"/>
      <c r="Y311" s="16"/>
      <c r="AA311" s="16"/>
      <c r="AB311" s="16"/>
      <c r="AC311" s="16"/>
      <c r="AD311" s="16"/>
    </row>
    <row r="312" spans="7:30" x14ac:dyDescent="0.25"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U312" s="16"/>
      <c r="V312" s="16"/>
      <c r="W312" s="16"/>
      <c r="X312" s="16"/>
      <c r="Y312" s="16"/>
      <c r="AA312" s="16"/>
      <c r="AB312" s="16"/>
      <c r="AC312" s="16"/>
      <c r="AD312" s="16"/>
    </row>
    <row r="313" spans="7:30" x14ac:dyDescent="0.25"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U313" s="16"/>
      <c r="V313" s="16"/>
      <c r="W313" s="16"/>
      <c r="X313" s="16"/>
      <c r="Y313" s="16"/>
      <c r="AA313" s="16"/>
      <c r="AB313" s="16"/>
      <c r="AC313" s="16"/>
      <c r="AD313" s="16"/>
    </row>
    <row r="314" spans="7:30" x14ac:dyDescent="0.25"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U314" s="16"/>
      <c r="V314" s="16"/>
      <c r="W314" s="16"/>
      <c r="X314" s="16"/>
      <c r="Y314" s="16"/>
      <c r="AA314" s="16"/>
      <c r="AB314" s="16"/>
      <c r="AC314" s="16"/>
      <c r="AD314" s="16"/>
    </row>
    <row r="315" spans="7:30" x14ac:dyDescent="0.25"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U315" s="16"/>
      <c r="V315" s="16"/>
      <c r="W315" s="16"/>
      <c r="X315" s="16"/>
      <c r="Y315" s="16"/>
      <c r="AA315" s="16"/>
      <c r="AB315" s="16"/>
      <c r="AC315" s="16"/>
      <c r="AD315" s="16"/>
    </row>
    <row r="316" spans="7:30" x14ac:dyDescent="0.25"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U316" s="16"/>
      <c r="V316" s="16"/>
      <c r="W316" s="16"/>
      <c r="X316" s="16"/>
      <c r="Y316" s="16"/>
      <c r="AA316" s="16"/>
      <c r="AB316" s="16"/>
      <c r="AC316" s="16"/>
      <c r="AD316" s="16"/>
    </row>
    <row r="317" spans="7:30" x14ac:dyDescent="0.25"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U317" s="16"/>
      <c r="V317" s="16"/>
      <c r="W317" s="16"/>
      <c r="X317" s="16"/>
      <c r="Y317" s="16"/>
      <c r="AA317" s="16"/>
      <c r="AB317" s="16"/>
      <c r="AC317" s="16"/>
      <c r="AD317" s="16"/>
    </row>
    <row r="318" spans="7:30" x14ac:dyDescent="0.25"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U318" s="16"/>
      <c r="V318" s="16"/>
      <c r="W318" s="16"/>
      <c r="X318" s="16"/>
      <c r="Y318" s="16"/>
      <c r="AA318" s="16"/>
      <c r="AB318" s="16"/>
      <c r="AC318" s="16"/>
      <c r="AD318" s="16"/>
    </row>
    <row r="319" spans="7:30" x14ac:dyDescent="0.25"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U319" s="16"/>
      <c r="V319" s="16"/>
      <c r="W319" s="16"/>
      <c r="X319" s="16"/>
      <c r="Y319" s="16"/>
      <c r="AA319" s="16"/>
      <c r="AB319" s="16"/>
      <c r="AC319" s="16"/>
      <c r="AD319" s="16"/>
    </row>
    <row r="320" spans="7:30" x14ac:dyDescent="0.25"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U320" s="16"/>
      <c r="V320" s="16"/>
      <c r="W320" s="16"/>
      <c r="X320" s="16"/>
      <c r="Y320" s="16"/>
      <c r="AA320" s="16"/>
      <c r="AB320" s="16"/>
      <c r="AC320" s="16"/>
      <c r="AD320" s="16"/>
    </row>
    <row r="321" spans="7:30" x14ac:dyDescent="0.25"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U321" s="16"/>
      <c r="V321" s="16"/>
      <c r="W321" s="16"/>
      <c r="X321" s="16"/>
      <c r="Y321" s="16"/>
      <c r="AA321" s="16"/>
      <c r="AB321" s="16"/>
      <c r="AC321" s="16"/>
      <c r="AD321" s="16"/>
    </row>
    <row r="322" spans="7:30" x14ac:dyDescent="0.25"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U322" s="16"/>
      <c r="V322" s="16"/>
      <c r="W322" s="16"/>
      <c r="X322" s="16"/>
      <c r="Y322" s="16"/>
      <c r="AA322" s="16"/>
      <c r="AB322" s="16"/>
      <c r="AC322" s="16"/>
      <c r="AD322" s="16"/>
    </row>
    <row r="323" spans="7:30" x14ac:dyDescent="0.25"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U323" s="16"/>
      <c r="V323" s="16"/>
      <c r="W323" s="16"/>
      <c r="X323" s="16"/>
      <c r="Y323" s="16"/>
      <c r="AA323" s="16"/>
      <c r="AB323" s="16"/>
      <c r="AC323" s="16"/>
      <c r="AD323" s="16"/>
    </row>
    <row r="324" spans="7:30" x14ac:dyDescent="0.25"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U324" s="16"/>
      <c r="V324" s="16"/>
      <c r="W324" s="16"/>
      <c r="X324" s="16"/>
      <c r="Y324" s="16"/>
      <c r="AA324" s="16"/>
      <c r="AB324" s="16"/>
      <c r="AC324" s="16"/>
      <c r="AD324" s="16"/>
    </row>
    <row r="325" spans="7:30" x14ac:dyDescent="0.25"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U325" s="16"/>
      <c r="V325" s="16"/>
      <c r="W325" s="16"/>
      <c r="X325" s="16"/>
      <c r="Y325" s="16"/>
      <c r="AA325" s="16"/>
      <c r="AB325" s="16"/>
      <c r="AC325" s="16"/>
      <c r="AD325" s="16"/>
    </row>
    <row r="326" spans="7:30" x14ac:dyDescent="0.25"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U326" s="16"/>
      <c r="V326" s="16"/>
      <c r="W326" s="16"/>
      <c r="X326" s="16"/>
      <c r="Y326" s="16"/>
      <c r="AA326" s="16"/>
      <c r="AB326" s="16"/>
      <c r="AC326" s="16"/>
      <c r="AD326" s="16"/>
    </row>
    <row r="327" spans="7:30" x14ac:dyDescent="0.25"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U327" s="16"/>
      <c r="V327" s="16"/>
      <c r="W327" s="16"/>
      <c r="X327" s="16"/>
      <c r="Y327" s="16"/>
      <c r="AA327" s="16"/>
      <c r="AB327" s="16"/>
      <c r="AC327" s="16"/>
      <c r="AD327" s="16"/>
    </row>
  </sheetData>
  <phoneticPr fontId="0" type="noConversion"/>
  <pageMargins left="0" right="0" top="0.25" bottom="0.25" header="0.5" footer="0.5"/>
  <pageSetup scale="73" orientation="landscape" r:id="rId1"/>
  <headerFooter alignWithMargins="0"/>
  <rowBreaks count="3" manualBreakCount="3">
    <brk id="165" max="65535" man="1"/>
    <brk id="207" max="65535" man="1"/>
    <brk id="268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6"/>
  <dimension ref="A1:Y638"/>
  <sheetViews>
    <sheetView workbookViewId="0">
      <selection sqref="A1:P1"/>
    </sheetView>
  </sheetViews>
  <sheetFormatPr defaultColWidth="10" defaultRowHeight="10" x14ac:dyDescent="0.2"/>
  <cols>
    <col min="1" max="1" width="7" style="242" customWidth="1"/>
    <col min="2" max="2" width="27.625" style="216" customWidth="1"/>
    <col min="3" max="3" width="6.625" style="216" bestFit="1" customWidth="1"/>
    <col min="4" max="6" width="14.625" style="280" bestFit="1" customWidth="1"/>
    <col min="7" max="10" width="12.625" style="280" bestFit="1" customWidth="1"/>
    <col min="11" max="11" width="11.375" style="280" bestFit="1" customWidth="1"/>
    <col min="12" max="14" width="12.625" style="280" bestFit="1" customWidth="1"/>
    <col min="15" max="15" width="14.625" style="280" bestFit="1" customWidth="1"/>
    <col min="16" max="16" width="15.625" style="280" customWidth="1"/>
    <col min="17" max="17" width="2" style="216" customWidth="1"/>
    <col min="18" max="18" width="15.125" style="216" customWidth="1"/>
    <col min="19" max="19" width="15.625" style="216" bestFit="1" customWidth="1"/>
    <col min="20" max="21" width="11.125" style="216" bestFit="1" customWidth="1"/>
    <col min="22" max="22" width="11.375" style="216" bestFit="1" customWidth="1"/>
    <col min="23" max="23" width="11.125" style="216" bestFit="1" customWidth="1"/>
    <col min="24" max="24" width="11.625" style="216" bestFit="1" customWidth="1"/>
    <col min="25" max="25" width="10" style="216"/>
    <col min="26" max="26" width="11.125" style="216" bestFit="1" customWidth="1"/>
    <col min="27" max="30" width="10" style="216"/>
    <col min="31" max="31" width="11.125" style="216" bestFit="1" customWidth="1"/>
    <col min="32" max="16384" width="10" style="216"/>
  </cols>
  <sheetData>
    <row r="1" spans="1:25" ht="10.5" x14ac:dyDescent="0.25">
      <c r="A1" s="800" t="s">
        <v>36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</row>
    <row r="2" spans="1:25" ht="10.5" x14ac:dyDescent="0.2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</row>
    <row r="3" spans="1:25" ht="10.5" x14ac:dyDescent="0.25">
      <c r="A3" s="799" t="s">
        <v>530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</row>
    <row r="4" spans="1:25" ht="10.5" x14ac:dyDescent="0.25">
      <c r="B4" s="460"/>
      <c r="C4" s="460"/>
      <c r="D4" s="461"/>
      <c r="E4" s="461"/>
      <c r="F4" s="461"/>
      <c r="G4" s="461"/>
      <c r="H4" s="461"/>
      <c r="I4" s="461"/>
      <c r="J4" s="461"/>
      <c r="K4" s="461"/>
      <c r="L4" s="461"/>
      <c r="M4" s="461"/>
    </row>
    <row r="5" spans="1:25" s="213" customFormat="1" ht="10.5" x14ac:dyDescent="0.25">
      <c r="A5" s="462" t="s">
        <v>447</v>
      </c>
      <c r="B5" s="369"/>
      <c r="C5" s="369"/>
      <c r="D5" s="219"/>
      <c r="E5" s="219"/>
      <c r="F5" s="280"/>
      <c r="G5" s="279"/>
      <c r="H5" s="279"/>
      <c r="I5" s="279"/>
      <c r="J5" s="279"/>
      <c r="K5" s="279"/>
      <c r="L5" s="279"/>
      <c r="M5" s="279"/>
      <c r="N5" s="279"/>
      <c r="O5" s="279"/>
      <c r="P5" s="279"/>
    </row>
    <row r="6" spans="1:25" s="213" customFormat="1" ht="10.5" x14ac:dyDescent="0.25">
      <c r="A6" s="462" t="s">
        <v>446</v>
      </c>
      <c r="B6" s="369"/>
      <c r="C6" s="369"/>
      <c r="D6" s="219"/>
      <c r="E6" s="219"/>
      <c r="F6" s="280"/>
      <c r="G6" s="279"/>
      <c r="H6" s="279"/>
      <c r="I6" s="279"/>
      <c r="J6" s="279"/>
      <c r="K6" s="279"/>
      <c r="L6" s="279"/>
      <c r="M6" s="279"/>
      <c r="N6" s="279"/>
      <c r="O6" s="279"/>
      <c r="P6" s="279"/>
    </row>
    <row r="7" spans="1:25" s="213" customFormat="1" ht="10.5" x14ac:dyDescent="0.25">
      <c r="A7" s="463" t="s">
        <v>63</v>
      </c>
      <c r="B7" s="369"/>
      <c r="C7" s="369"/>
      <c r="D7" s="219"/>
      <c r="E7" s="219"/>
      <c r="F7" s="280"/>
      <c r="G7" s="279"/>
      <c r="H7" s="279"/>
      <c r="I7" s="279"/>
      <c r="J7" s="279"/>
      <c r="K7" s="279"/>
      <c r="L7" s="279"/>
      <c r="M7" s="279"/>
      <c r="N7" s="279"/>
      <c r="O7" s="279"/>
      <c r="P7" s="464" t="s">
        <v>330</v>
      </c>
    </row>
    <row r="8" spans="1:25" s="213" customFormat="1" ht="10.5" x14ac:dyDescent="0.25">
      <c r="A8" s="465" t="s">
        <v>299</v>
      </c>
      <c r="B8" s="369"/>
      <c r="C8" s="375"/>
      <c r="D8" s="466"/>
      <c r="E8" s="467"/>
      <c r="F8" s="468"/>
      <c r="G8" s="467"/>
      <c r="H8" s="469"/>
      <c r="I8" s="467"/>
      <c r="J8" s="467"/>
      <c r="K8" s="467"/>
      <c r="L8" s="467"/>
      <c r="M8" s="467"/>
      <c r="N8" s="467"/>
      <c r="O8" s="279"/>
      <c r="P8" s="470" t="s">
        <v>338</v>
      </c>
      <c r="Q8" s="218"/>
    </row>
    <row r="9" spans="1:25" ht="10.5" x14ac:dyDescent="0.25">
      <c r="A9" s="801" t="s">
        <v>403</v>
      </c>
      <c r="B9" s="801"/>
      <c r="C9" s="801"/>
      <c r="D9" s="801"/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</row>
    <row r="10" spans="1:25" ht="10.5" x14ac:dyDescent="0.25">
      <c r="A10" s="369" t="s">
        <v>1</v>
      </c>
      <c r="B10" s="245"/>
      <c r="C10" s="245"/>
      <c r="D10" s="392"/>
      <c r="E10" s="392"/>
      <c r="F10" s="392"/>
      <c r="G10" s="392"/>
      <c r="H10" s="392"/>
      <c r="I10" s="392"/>
      <c r="J10" s="219"/>
      <c r="K10" s="219"/>
      <c r="L10" s="219"/>
      <c r="M10" s="219"/>
      <c r="N10" s="219"/>
      <c r="O10" s="219"/>
      <c r="P10" s="219"/>
    </row>
    <row r="11" spans="1:25" ht="10.5" x14ac:dyDescent="0.25">
      <c r="A11" s="263" t="s">
        <v>3</v>
      </c>
      <c r="B11" s="263" t="s">
        <v>4</v>
      </c>
      <c r="C11" s="263"/>
      <c r="D11" s="471" t="s">
        <v>531</v>
      </c>
      <c r="E11" s="471" t="s">
        <v>532</v>
      </c>
      <c r="F11" s="471" t="s">
        <v>533</v>
      </c>
      <c r="G11" s="471" t="s">
        <v>534</v>
      </c>
      <c r="H11" s="471" t="s">
        <v>535</v>
      </c>
      <c r="I11" s="471" t="s">
        <v>536</v>
      </c>
      <c r="J11" s="471" t="s">
        <v>537</v>
      </c>
      <c r="K11" s="471" t="s">
        <v>538</v>
      </c>
      <c r="L11" s="471" t="s">
        <v>539</v>
      </c>
      <c r="M11" s="471" t="s">
        <v>540</v>
      </c>
      <c r="N11" s="471" t="s">
        <v>541</v>
      </c>
      <c r="O11" s="471" t="s">
        <v>542</v>
      </c>
      <c r="P11" s="241" t="s">
        <v>9</v>
      </c>
    </row>
    <row r="12" spans="1:25" ht="10.5" x14ac:dyDescent="0.25">
      <c r="A12" s="369"/>
      <c r="B12" s="223" t="s">
        <v>42</v>
      </c>
      <c r="C12" s="223"/>
      <c r="D12" s="472" t="s">
        <v>43</v>
      </c>
      <c r="E12" s="472" t="s">
        <v>45</v>
      </c>
      <c r="F12" s="473" t="s">
        <v>46</v>
      </c>
      <c r="G12" s="473" t="s">
        <v>49</v>
      </c>
      <c r="H12" s="473" t="s">
        <v>50</v>
      </c>
      <c r="I12" s="473" t="s">
        <v>51</v>
      </c>
      <c r="J12" s="473" t="s">
        <v>52</v>
      </c>
      <c r="K12" s="473" t="s">
        <v>53</v>
      </c>
      <c r="L12" s="474" t="s">
        <v>54</v>
      </c>
      <c r="M12" s="474" t="s">
        <v>55</v>
      </c>
      <c r="N12" s="474" t="s">
        <v>56</v>
      </c>
      <c r="O12" s="474" t="s">
        <v>57</v>
      </c>
      <c r="P12" s="474" t="s">
        <v>58</v>
      </c>
    </row>
    <row r="13" spans="1:25" ht="10.5" x14ac:dyDescent="0.25">
      <c r="A13" s="369"/>
      <c r="B13" s="245"/>
      <c r="C13" s="245"/>
      <c r="D13" s="392"/>
      <c r="E13" s="392"/>
      <c r="F13" s="392"/>
      <c r="G13" s="392"/>
      <c r="H13" s="392"/>
      <c r="I13" s="392"/>
      <c r="J13" s="219"/>
      <c r="K13" s="219"/>
      <c r="L13" s="219"/>
      <c r="M13" s="219"/>
      <c r="N13" s="219"/>
      <c r="O13" s="219"/>
      <c r="P13" s="219"/>
    </row>
    <row r="14" spans="1:25" ht="10.5" x14ac:dyDescent="0.25">
      <c r="A14" s="242">
        <v>1</v>
      </c>
      <c r="B14" s="217" t="s">
        <v>238</v>
      </c>
      <c r="J14" s="475"/>
      <c r="K14" s="475"/>
    </row>
    <row r="15" spans="1:25" x14ac:dyDescent="0.2">
      <c r="R15" s="476"/>
      <c r="S15" s="476"/>
      <c r="T15" s="476"/>
      <c r="U15" s="476"/>
      <c r="V15" s="476"/>
      <c r="Y15" s="476"/>
    </row>
    <row r="16" spans="1:25" x14ac:dyDescent="0.2">
      <c r="A16" s="242">
        <f>A14+1</f>
        <v>2</v>
      </c>
      <c r="B16" s="216" t="s">
        <v>336</v>
      </c>
      <c r="C16" s="411" t="s">
        <v>23</v>
      </c>
      <c r="D16" s="477">
        <f>EGC</f>
        <v>4.3869999999999996</v>
      </c>
      <c r="E16" s="478">
        <f>$D$16</f>
        <v>4.3869999999999996</v>
      </c>
      <c r="F16" s="478">
        <f t="shared" ref="F16:O16" si="0">$D$16</f>
        <v>4.3869999999999996</v>
      </c>
      <c r="G16" s="478">
        <f t="shared" si="0"/>
        <v>4.3869999999999996</v>
      </c>
      <c r="H16" s="478">
        <f t="shared" si="0"/>
        <v>4.3869999999999996</v>
      </c>
      <c r="I16" s="478">
        <f t="shared" si="0"/>
        <v>4.3869999999999996</v>
      </c>
      <c r="J16" s="478">
        <f t="shared" si="0"/>
        <v>4.3869999999999996</v>
      </c>
      <c r="K16" s="478">
        <f t="shared" si="0"/>
        <v>4.3869999999999996</v>
      </c>
      <c r="L16" s="478">
        <f t="shared" si="0"/>
        <v>4.3869999999999996</v>
      </c>
      <c r="M16" s="478">
        <f t="shared" si="0"/>
        <v>4.3869999999999996</v>
      </c>
      <c r="N16" s="478">
        <f t="shared" si="0"/>
        <v>4.3869999999999996</v>
      </c>
      <c r="O16" s="478">
        <f t="shared" si="0"/>
        <v>4.3869999999999996</v>
      </c>
      <c r="P16" s="479"/>
      <c r="R16" s="480"/>
      <c r="S16" s="480"/>
      <c r="T16" s="481"/>
      <c r="U16" s="482"/>
      <c r="V16" s="233"/>
      <c r="Y16" s="482"/>
    </row>
    <row r="17" spans="1:25" ht="11.5" x14ac:dyDescent="0.35">
      <c r="A17" s="242">
        <f>A16+1</f>
        <v>3</v>
      </c>
      <c r="B17" s="216" t="s">
        <v>26</v>
      </c>
      <c r="C17" s="216" t="s">
        <v>22</v>
      </c>
      <c r="D17" s="483">
        <f>'C'!D17</f>
        <v>1484059.2</v>
      </c>
      <c r="E17" s="483">
        <f>'C'!E17</f>
        <v>1502349.6</v>
      </c>
      <c r="F17" s="483">
        <f>'C'!F17</f>
        <v>1166162.7</v>
      </c>
      <c r="G17" s="483">
        <f>'C'!G17</f>
        <v>664959.6</v>
      </c>
      <c r="H17" s="483">
        <f>'C'!H17</f>
        <v>284958.40000000002</v>
      </c>
      <c r="I17" s="483">
        <f>'C'!I17</f>
        <v>148158.1</v>
      </c>
      <c r="J17" s="483">
        <f>'C'!J17</f>
        <v>83378.5</v>
      </c>
      <c r="K17" s="483">
        <f>'C'!K17</f>
        <v>87613.7</v>
      </c>
      <c r="L17" s="483">
        <f>'C'!L17</f>
        <v>102204</v>
      </c>
      <c r="M17" s="483">
        <f>'C'!M17</f>
        <v>177653.4</v>
      </c>
      <c r="N17" s="483">
        <f>'C'!N17</f>
        <v>461545.8</v>
      </c>
      <c r="O17" s="483">
        <f>'C'!O17</f>
        <v>1093564.7</v>
      </c>
      <c r="P17" s="479">
        <f>SUM(D17:O17)</f>
        <v>7256607.7000000002</v>
      </c>
      <c r="R17" s="480"/>
      <c r="S17" s="480"/>
      <c r="T17" s="481"/>
      <c r="U17" s="482"/>
      <c r="V17" s="233"/>
      <c r="Y17" s="482"/>
    </row>
    <row r="18" spans="1:25" x14ac:dyDescent="0.2">
      <c r="A18" s="242">
        <f>A17+1</f>
        <v>4</v>
      </c>
      <c r="B18" s="216" t="s">
        <v>314</v>
      </c>
      <c r="C18" s="216" t="s">
        <v>24</v>
      </c>
      <c r="D18" s="484">
        <f>ROUND(D16*D17,2)</f>
        <v>6510567.71</v>
      </c>
      <c r="E18" s="484">
        <f t="shared" ref="E18:O18" si="1">ROUND(E16*E17,2)</f>
        <v>6590807.7000000002</v>
      </c>
      <c r="F18" s="484">
        <f t="shared" si="1"/>
        <v>5115955.76</v>
      </c>
      <c r="G18" s="484">
        <f t="shared" si="1"/>
        <v>2917177.77</v>
      </c>
      <c r="H18" s="484">
        <f t="shared" si="1"/>
        <v>1250112.5</v>
      </c>
      <c r="I18" s="484">
        <f t="shared" si="1"/>
        <v>649969.57999999996</v>
      </c>
      <c r="J18" s="484">
        <f t="shared" si="1"/>
        <v>365781.48</v>
      </c>
      <c r="K18" s="484">
        <f t="shared" si="1"/>
        <v>384361.3</v>
      </c>
      <c r="L18" s="484">
        <f t="shared" si="1"/>
        <v>448368.95</v>
      </c>
      <c r="M18" s="484">
        <f t="shared" si="1"/>
        <v>779365.47</v>
      </c>
      <c r="N18" s="484">
        <f t="shared" si="1"/>
        <v>2024801.42</v>
      </c>
      <c r="O18" s="484">
        <f t="shared" si="1"/>
        <v>4797468.34</v>
      </c>
      <c r="P18" s="485">
        <f>SUM(D18:O18)</f>
        <v>31834737.98</v>
      </c>
      <c r="R18" s="480"/>
      <c r="S18" s="480"/>
      <c r="T18" s="481"/>
      <c r="U18" s="482"/>
      <c r="V18" s="233"/>
      <c r="Y18" s="482"/>
    </row>
    <row r="19" spans="1:25" x14ac:dyDescent="0.2">
      <c r="J19" s="475"/>
      <c r="K19" s="475"/>
      <c r="L19" s="475"/>
      <c r="M19" s="486"/>
      <c r="N19" s="487"/>
      <c r="O19" s="487"/>
      <c r="P19" s="486"/>
      <c r="R19" s="272"/>
      <c r="S19" s="272"/>
    </row>
    <row r="20" spans="1:25" ht="10.5" x14ac:dyDescent="0.25">
      <c r="A20" s="242">
        <f>A18+1</f>
        <v>5</v>
      </c>
      <c r="B20" s="217" t="s">
        <v>251</v>
      </c>
    </row>
    <row r="21" spans="1:25" x14ac:dyDescent="0.2">
      <c r="R21" s="476"/>
      <c r="S21" s="476"/>
      <c r="U21" s="476"/>
      <c r="V21" s="476"/>
    </row>
    <row r="22" spans="1:25" x14ac:dyDescent="0.2">
      <c r="A22" s="242">
        <f>A20+1</f>
        <v>6</v>
      </c>
      <c r="B22" s="216" t="s">
        <v>336</v>
      </c>
      <c r="C22" s="411" t="s">
        <v>23</v>
      </c>
      <c r="D22" s="488">
        <f>D16</f>
        <v>4.3869999999999996</v>
      </c>
      <c r="E22" s="488">
        <f t="shared" ref="E22:O22" si="2">E16</f>
        <v>4.3869999999999996</v>
      </c>
      <c r="F22" s="488">
        <f t="shared" si="2"/>
        <v>4.3869999999999996</v>
      </c>
      <c r="G22" s="488">
        <f t="shared" si="2"/>
        <v>4.3869999999999996</v>
      </c>
      <c r="H22" s="488">
        <f t="shared" si="2"/>
        <v>4.3869999999999996</v>
      </c>
      <c r="I22" s="488">
        <f t="shared" si="2"/>
        <v>4.3869999999999996</v>
      </c>
      <c r="J22" s="488">
        <f t="shared" si="2"/>
        <v>4.3869999999999996</v>
      </c>
      <c r="K22" s="488">
        <f t="shared" si="2"/>
        <v>4.3869999999999996</v>
      </c>
      <c r="L22" s="488">
        <f t="shared" si="2"/>
        <v>4.3869999999999996</v>
      </c>
      <c r="M22" s="488">
        <f t="shared" si="2"/>
        <v>4.3869999999999996</v>
      </c>
      <c r="N22" s="488">
        <f t="shared" si="2"/>
        <v>4.3869999999999996</v>
      </c>
      <c r="O22" s="488">
        <f t="shared" si="2"/>
        <v>4.3869999999999996</v>
      </c>
      <c r="P22" s="479"/>
      <c r="R22" s="480"/>
      <c r="S22" s="480"/>
      <c r="T22" s="481"/>
      <c r="U22" s="482"/>
      <c r="V22" s="233"/>
      <c r="Y22" s="482"/>
    </row>
    <row r="23" spans="1:25" ht="11.5" x14ac:dyDescent="0.35">
      <c r="A23" s="242">
        <f>A22+1</f>
        <v>7</v>
      </c>
      <c r="B23" s="216" t="s">
        <v>26</v>
      </c>
      <c r="C23" s="216" t="s">
        <v>22</v>
      </c>
      <c r="D23" s="483">
        <f>'C'!D96</f>
        <v>733043</v>
      </c>
      <c r="E23" s="483">
        <f>'C'!E96</f>
        <v>700984.00000000012</v>
      </c>
      <c r="F23" s="483">
        <f>'C'!F96</f>
        <v>582736.80000000005</v>
      </c>
      <c r="G23" s="483">
        <f>'C'!G96</f>
        <v>294143</v>
      </c>
      <c r="H23" s="483">
        <f>'C'!H96</f>
        <v>174296.9</v>
      </c>
      <c r="I23" s="483">
        <f>'C'!I96</f>
        <v>121730.50000000001</v>
      </c>
      <c r="J23" s="483">
        <f>'C'!J96</f>
        <v>100026.30000000002</v>
      </c>
      <c r="K23" s="483">
        <f>'C'!K96</f>
        <v>90381.5</v>
      </c>
      <c r="L23" s="483">
        <f>'C'!L96</f>
        <v>95393.799999999988</v>
      </c>
      <c r="M23" s="483">
        <f>'C'!M96</f>
        <v>118125.7</v>
      </c>
      <c r="N23" s="483">
        <f>'C'!N96</f>
        <v>236468.69999999995</v>
      </c>
      <c r="O23" s="483">
        <f>'C'!O96</f>
        <v>516678.9</v>
      </c>
      <c r="P23" s="479">
        <f>SUM(D23:O23)</f>
        <v>3764009.0999999992</v>
      </c>
      <c r="R23" s="480"/>
      <c r="S23" s="480"/>
      <c r="T23" s="481"/>
      <c r="U23" s="482"/>
      <c r="V23" s="233"/>
      <c r="Y23" s="482"/>
    </row>
    <row r="24" spans="1:25" x14ac:dyDescent="0.2">
      <c r="A24" s="242">
        <f>A23+1</f>
        <v>8</v>
      </c>
      <c r="B24" s="216" t="s">
        <v>314</v>
      </c>
      <c r="C24" s="216" t="s">
        <v>24</v>
      </c>
      <c r="D24" s="484">
        <f>ROUND(D22*D23,2)</f>
        <v>3215859.64</v>
      </c>
      <c r="E24" s="484">
        <f t="shared" ref="E24:O24" si="3">ROUND(E22*E23,2)</f>
        <v>3075216.81</v>
      </c>
      <c r="F24" s="484">
        <f t="shared" si="3"/>
        <v>2556466.34</v>
      </c>
      <c r="G24" s="484">
        <f t="shared" si="3"/>
        <v>1290405.3400000001</v>
      </c>
      <c r="H24" s="484">
        <f t="shared" si="3"/>
        <v>764640.5</v>
      </c>
      <c r="I24" s="484">
        <f t="shared" si="3"/>
        <v>534031.69999999995</v>
      </c>
      <c r="J24" s="484">
        <f t="shared" si="3"/>
        <v>438815.38</v>
      </c>
      <c r="K24" s="484">
        <f t="shared" si="3"/>
        <v>396503.64</v>
      </c>
      <c r="L24" s="484">
        <f t="shared" si="3"/>
        <v>418492.6</v>
      </c>
      <c r="M24" s="484">
        <f t="shared" si="3"/>
        <v>518217.45</v>
      </c>
      <c r="N24" s="484">
        <f t="shared" si="3"/>
        <v>1037388.19</v>
      </c>
      <c r="O24" s="484">
        <f t="shared" si="3"/>
        <v>2266670.33</v>
      </c>
      <c r="P24" s="485">
        <f>SUM(D24:O24)</f>
        <v>16512707.919999998</v>
      </c>
      <c r="R24" s="480"/>
      <c r="S24" s="480"/>
      <c r="T24" s="481"/>
      <c r="U24" s="482"/>
      <c r="V24" s="233"/>
      <c r="Y24" s="482"/>
    </row>
    <row r="25" spans="1:25" x14ac:dyDescent="0.2">
      <c r="B25" s="409"/>
      <c r="C25" s="409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90"/>
      <c r="R25" s="482"/>
      <c r="S25" s="482"/>
      <c r="U25" s="482"/>
      <c r="V25" s="482"/>
    </row>
    <row r="26" spans="1:25" ht="10.5" x14ac:dyDescent="0.25">
      <c r="A26" s="242">
        <f>A24+1</f>
        <v>9</v>
      </c>
      <c r="B26" s="217" t="s">
        <v>261</v>
      </c>
    </row>
    <row r="27" spans="1:25" x14ac:dyDescent="0.2">
      <c r="R27" s="476"/>
      <c r="S27" s="476"/>
      <c r="T27" s="476"/>
    </row>
    <row r="28" spans="1:25" x14ac:dyDescent="0.2">
      <c r="A28" s="242">
        <f>A26+1</f>
        <v>10</v>
      </c>
      <c r="B28" s="216" t="s">
        <v>336</v>
      </c>
      <c r="C28" s="411" t="s">
        <v>23</v>
      </c>
      <c r="D28" s="488">
        <f>D22</f>
        <v>4.3869999999999996</v>
      </c>
      <c r="E28" s="488">
        <f t="shared" ref="E28:O28" si="4">E22</f>
        <v>4.3869999999999996</v>
      </c>
      <c r="F28" s="488">
        <f t="shared" si="4"/>
        <v>4.3869999999999996</v>
      </c>
      <c r="G28" s="488">
        <f t="shared" si="4"/>
        <v>4.3869999999999996</v>
      </c>
      <c r="H28" s="488">
        <f t="shared" si="4"/>
        <v>4.3869999999999996</v>
      </c>
      <c r="I28" s="488">
        <f t="shared" si="4"/>
        <v>4.3869999999999996</v>
      </c>
      <c r="J28" s="488">
        <f t="shared" si="4"/>
        <v>4.3869999999999996</v>
      </c>
      <c r="K28" s="488">
        <f t="shared" si="4"/>
        <v>4.3869999999999996</v>
      </c>
      <c r="L28" s="488">
        <f t="shared" si="4"/>
        <v>4.3869999999999996</v>
      </c>
      <c r="M28" s="488">
        <f t="shared" si="4"/>
        <v>4.3869999999999996</v>
      </c>
      <c r="N28" s="488">
        <f t="shared" si="4"/>
        <v>4.3869999999999996</v>
      </c>
      <c r="O28" s="488">
        <f t="shared" si="4"/>
        <v>4.3869999999999996</v>
      </c>
      <c r="P28" s="479"/>
      <c r="R28" s="480"/>
      <c r="S28" s="480"/>
      <c r="T28" s="481"/>
      <c r="U28" s="482"/>
      <c r="V28" s="233"/>
      <c r="Y28" s="482"/>
    </row>
    <row r="29" spans="1:25" ht="11.5" x14ac:dyDescent="0.35">
      <c r="A29" s="242">
        <f>A28+1</f>
        <v>11</v>
      </c>
      <c r="B29" s="216" t="s">
        <v>26</v>
      </c>
      <c r="C29" s="216" t="s">
        <v>22</v>
      </c>
      <c r="D29" s="483">
        <f>'C'!D129</f>
        <v>48458.8</v>
      </c>
      <c r="E29" s="483">
        <f>'C'!E129</f>
        <v>46186.400000000001</v>
      </c>
      <c r="F29" s="483">
        <f>'C'!F129</f>
        <v>30488.199999999997</v>
      </c>
      <c r="G29" s="483">
        <f>'C'!G129</f>
        <v>9871.6</v>
      </c>
      <c r="H29" s="483">
        <f>'C'!H129</f>
        <v>9771.9</v>
      </c>
      <c r="I29" s="483">
        <f>'C'!I129</f>
        <v>6949.4</v>
      </c>
      <c r="J29" s="483">
        <f>'C'!J129</f>
        <v>6025.1</v>
      </c>
      <c r="K29" s="483">
        <f>'C'!K129</f>
        <v>7880.1</v>
      </c>
      <c r="L29" s="483">
        <f>'C'!L129</f>
        <v>8890.2999999999993</v>
      </c>
      <c r="M29" s="483">
        <f>'C'!M129</f>
        <v>13143.4</v>
      </c>
      <c r="N29" s="483">
        <f>'C'!N129</f>
        <v>27525.699999999997</v>
      </c>
      <c r="O29" s="483">
        <f>'C'!O129</f>
        <v>40778.5</v>
      </c>
      <c r="P29" s="479">
        <f>SUM(D29:O29)</f>
        <v>255969.39999999997</v>
      </c>
      <c r="R29" s="480"/>
      <c r="S29" s="480"/>
      <c r="T29" s="481"/>
      <c r="U29" s="482"/>
      <c r="V29" s="233"/>
      <c r="Y29" s="482"/>
    </row>
    <row r="30" spans="1:25" x14ac:dyDescent="0.2">
      <c r="A30" s="242">
        <f>A29+1</f>
        <v>12</v>
      </c>
      <c r="B30" s="216" t="s">
        <v>314</v>
      </c>
      <c r="C30" s="216" t="s">
        <v>24</v>
      </c>
      <c r="D30" s="484">
        <f>ROUND(D28*D29,2)</f>
        <v>212588.76</v>
      </c>
      <c r="E30" s="484">
        <f t="shared" ref="E30:O30" si="5">ROUND(E28*E29,2)</f>
        <v>202619.74</v>
      </c>
      <c r="F30" s="484">
        <f t="shared" si="5"/>
        <v>133751.73000000001</v>
      </c>
      <c r="G30" s="484">
        <f t="shared" si="5"/>
        <v>43306.71</v>
      </c>
      <c r="H30" s="484">
        <f t="shared" si="5"/>
        <v>42869.33</v>
      </c>
      <c r="I30" s="484">
        <f t="shared" si="5"/>
        <v>30487.02</v>
      </c>
      <c r="J30" s="484">
        <f t="shared" si="5"/>
        <v>26432.11</v>
      </c>
      <c r="K30" s="484">
        <f t="shared" si="5"/>
        <v>34570</v>
      </c>
      <c r="L30" s="484">
        <f t="shared" si="5"/>
        <v>39001.75</v>
      </c>
      <c r="M30" s="484">
        <f t="shared" si="5"/>
        <v>57660.1</v>
      </c>
      <c r="N30" s="484">
        <f t="shared" si="5"/>
        <v>120755.25</v>
      </c>
      <c r="O30" s="484">
        <f t="shared" si="5"/>
        <v>178895.28</v>
      </c>
      <c r="P30" s="485">
        <f>SUM(D30:O30)</f>
        <v>1122937.7799999998</v>
      </c>
      <c r="R30" s="480"/>
      <c r="S30" s="480"/>
      <c r="T30" s="481"/>
      <c r="U30" s="482"/>
      <c r="V30" s="233"/>
      <c r="Y30" s="482"/>
    </row>
    <row r="31" spans="1:25" x14ac:dyDescent="0.2">
      <c r="B31" s="409"/>
      <c r="C31" s="409"/>
      <c r="D31" s="491"/>
      <c r="E31" s="491"/>
      <c r="F31" s="491"/>
      <c r="G31" s="491"/>
      <c r="H31" s="491"/>
      <c r="I31" s="491"/>
      <c r="J31" s="492"/>
      <c r="K31" s="492"/>
      <c r="L31" s="493"/>
      <c r="M31" s="440"/>
      <c r="N31" s="487"/>
      <c r="O31" s="487"/>
      <c r="P31" s="479"/>
      <c r="R31" s="482"/>
      <c r="S31" s="482"/>
      <c r="T31" s="482"/>
    </row>
    <row r="32" spans="1:25" ht="10.5" x14ac:dyDescent="0.25">
      <c r="A32" s="242">
        <f>A30+1</f>
        <v>13</v>
      </c>
      <c r="B32" s="217" t="s">
        <v>281</v>
      </c>
    </row>
    <row r="33" spans="1:25" x14ac:dyDescent="0.2">
      <c r="B33" s="409"/>
      <c r="C33" s="409"/>
      <c r="D33" s="491"/>
      <c r="E33" s="491"/>
      <c r="F33" s="491"/>
      <c r="G33" s="491"/>
      <c r="H33" s="491"/>
      <c r="I33" s="491"/>
      <c r="J33" s="492"/>
      <c r="K33" s="492"/>
      <c r="L33" s="493"/>
      <c r="M33" s="440"/>
      <c r="N33" s="487"/>
      <c r="O33" s="487"/>
      <c r="P33" s="479"/>
      <c r="R33" s="482"/>
      <c r="S33" s="482"/>
      <c r="T33" s="482"/>
    </row>
    <row r="34" spans="1:25" x14ac:dyDescent="0.2">
      <c r="A34" s="242">
        <f>A32+1</f>
        <v>14</v>
      </c>
      <c r="B34" s="216" t="s">
        <v>336</v>
      </c>
      <c r="C34" s="411" t="s">
        <v>23</v>
      </c>
      <c r="D34" s="488">
        <f>D28</f>
        <v>4.3869999999999996</v>
      </c>
      <c r="E34" s="488">
        <f t="shared" ref="E34:O34" si="6">E28</f>
        <v>4.3869999999999996</v>
      </c>
      <c r="F34" s="488">
        <f t="shared" si="6"/>
        <v>4.3869999999999996</v>
      </c>
      <c r="G34" s="488">
        <f t="shared" si="6"/>
        <v>4.3869999999999996</v>
      </c>
      <c r="H34" s="488">
        <f t="shared" si="6"/>
        <v>4.3869999999999996</v>
      </c>
      <c r="I34" s="488">
        <f t="shared" si="6"/>
        <v>4.3869999999999996</v>
      </c>
      <c r="J34" s="488">
        <f t="shared" si="6"/>
        <v>4.3869999999999996</v>
      </c>
      <c r="K34" s="488">
        <f t="shared" si="6"/>
        <v>4.3869999999999996</v>
      </c>
      <c r="L34" s="488">
        <f t="shared" si="6"/>
        <v>4.3869999999999996</v>
      </c>
      <c r="M34" s="488">
        <f t="shared" si="6"/>
        <v>4.3869999999999996</v>
      </c>
      <c r="N34" s="488">
        <f t="shared" si="6"/>
        <v>4.3869999999999996</v>
      </c>
      <c r="O34" s="488">
        <f t="shared" si="6"/>
        <v>4.3869999999999996</v>
      </c>
      <c r="P34" s="479"/>
      <c r="R34" s="480"/>
      <c r="S34" s="480"/>
      <c r="T34" s="481"/>
      <c r="U34" s="482"/>
      <c r="V34" s="233"/>
      <c r="Y34" s="482"/>
    </row>
    <row r="35" spans="1:25" ht="11.5" x14ac:dyDescent="0.35">
      <c r="A35" s="242">
        <f>A34+1</f>
        <v>15</v>
      </c>
      <c r="B35" s="216" t="s">
        <v>26</v>
      </c>
      <c r="C35" s="216" t="s">
        <v>22</v>
      </c>
      <c r="D35" s="483">
        <f>'C'!D136</f>
        <v>0</v>
      </c>
      <c r="E35" s="483">
        <f>'C'!E136</f>
        <v>0</v>
      </c>
      <c r="F35" s="483">
        <f>'C'!F136</f>
        <v>0</v>
      </c>
      <c r="G35" s="483">
        <f>'C'!G136</f>
        <v>0</v>
      </c>
      <c r="H35" s="483">
        <f>'C'!H136</f>
        <v>0</v>
      </c>
      <c r="I35" s="483">
        <f>'C'!I136</f>
        <v>0</v>
      </c>
      <c r="J35" s="483">
        <f>'C'!J136</f>
        <v>0</v>
      </c>
      <c r="K35" s="483">
        <f>'C'!K136</f>
        <v>0</v>
      </c>
      <c r="L35" s="483">
        <f>'C'!L136</f>
        <v>0</v>
      </c>
      <c r="M35" s="483">
        <f>'C'!M136</f>
        <v>0</v>
      </c>
      <c r="N35" s="483">
        <f>'C'!N136</f>
        <v>0</v>
      </c>
      <c r="O35" s="483">
        <f>'C'!O136</f>
        <v>0</v>
      </c>
      <c r="P35" s="479">
        <f>SUM(D35:O35)</f>
        <v>0</v>
      </c>
      <c r="R35" s="480"/>
      <c r="S35" s="480"/>
      <c r="T35" s="481"/>
      <c r="U35" s="482"/>
      <c r="V35" s="233"/>
      <c r="Y35" s="482"/>
    </row>
    <row r="36" spans="1:25" x14ac:dyDescent="0.2">
      <c r="A36" s="242">
        <f>A35+1</f>
        <v>16</v>
      </c>
      <c r="B36" s="216" t="s">
        <v>314</v>
      </c>
      <c r="C36" s="216" t="s">
        <v>24</v>
      </c>
      <c r="D36" s="484">
        <f>ROUND(D34*D35,2)</f>
        <v>0</v>
      </c>
      <c r="E36" s="484">
        <f t="shared" ref="E36:O36" si="7">ROUND(E34*E35,2)</f>
        <v>0</v>
      </c>
      <c r="F36" s="484">
        <f t="shared" si="7"/>
        <v>0</v>
      </c>
      <c r="G36" s="484">
        <f t="shared" si="7"/>
        <v>0</v>
      </c>
      <c r="H36" s="484">
        <f t="shared" si="7"/>
        <v>0</v>
      </c>
      <c r="I36" s="484">
        <f t="shared" si="7"/>
        <v>0</v>
      </c>
      <c r="J36" s="484">
        <f t="shared" si="7"/>
        <v>0</v>
      </c>
      <c r="K36" s="484">
        <f t="shared" si="7"/>
        <v>0</v>
      </c>
      <c r="L36" s="484">
        <f t="shared" si="7"/>
        <v>0</v>
      </c>
      <c r="M36" s="484">
        <f t="shared" si="7"/>
        <v>0</v>
      </c>
      <c r="N36" s="484">
        <f t="shared" si="7"/>
        <v>0</v>
      </c>
      <c r="O36" s="484">
        <f t="shared" si="7"/>
        <v>0</v>
      </c>
      <c r="P36" s="485">
        <f>SUM(D36:O36)</f>
        <v>0</v>
      </c>
      <c r="R36" s="480"/>
      <c r="S36" s="480"/>
      <c r="T36" s="481"/>
      <c r="U36" s="482"/>
      <c r="V36" s="233"/>
      <c r="Y36" s="482"/>
    </row>
    <row r="37" spans="1:25" x14ac:dyDescent="0.2">
      <c r="J37" s="475"/>
      <c r="K37" s="475"/>
      <c r="L37" s="475"/>
      <c r="M37" s="486"/>
      <c r="N37" s="487"/>
      <c r="O37" s="487"/>
      <c r="P37" s="486"/>
      <c r="R37" s="272"/>
      <c r="S37" s="272"/>
    </row>
    <row r="38" spans="1:25" ht="10.5" x14ac:dyDescent="0.25">
      <c r="A38" s="242">
        <f>A36+1</f>
        <v>17</v>
      </c>
      <c r="B38" s="217" t="s">
        <v>262</v>
      </c>
    </row>
    <row r="39" spans="1:25" x14ac:dyDescent="0.2">
      <c r="R39" s="476"/>
      <c r="S39" s="476"/>
      <c r="T39" s="476"/>
      <c r="U39" s="476"/>
      <c r="V39" s="476"/>
    </row>
    <row r="40" spans="1:25" x14ac:dyDescent="0.2">
      <c r="A40" s="242">
        <f>A38+1</f>
        <v>18</v>
      </c>
      <c r="B40" s="216" t="s">
        <v>336</v>
      </c>
      <c r="C40" s="411" t="s">
        <v>23</v>
      </c>
      <c r="D40" s="488">
        <f>D34</f>
        <v>4.3869999999999996</v>
      </c>
      <c r="E40" s="488">
        <f t="shared" ref="E40:O40" si="8">E34</f>
        <v>4.3869999999999996</v>
      </c>
      <c r="F40" s="488">
        <f t="shared" si="8"/>
        <v>4.3869999999999996</v>
      </c>
      <c r="G40" s="488">
        <f t="shared" si="8"/>
        <v>4.3869999999999996</v>
      </c>
      <c r="H40" s="488">
        <f t="shared" si="8"/>
        <v>4.3869999999999996</v>
      </c>
      <c r="I40" s="488">
        <f t="shared" si="8"/>
        <v>4.3869999999999996</v>
      </c>
      <c r="J40" s="488">
        <f t="shared" si="8"/>
        <v>4.3869999999999996</v>
      </c>
      <c r="K40" s="488">
        <f t="shared" si="8"/>
        <v>4.3869999999999996</v>
      </c>
      <c r="L40" s="488">
        <f t="shared" si="8"/>
        <v>4.3869999999999996</v>
      </c>
      <c r="M40" s="488">
        <f t="shared" si="8"/>
        <v>4.3869999999999996</v>
      </c>
      <c r="N40" s="488">
        <f t="shared" si="8"/>
        <v>4.3869999999999996</v>
      </c>
      <c r="O40" s="488">
        <f t="shared" si="8"/>
        <v>4.3869999999999996</v>
      </c>
      <c r="P40" s="479"/>
      <c r="R40" s="480"/>
      <c r="S40" s="480"/>
      <c r="T40" s="481"/>
      <c r="U40" s="482"/>
      <c r="V40" s="233"/>
      <c r="Y40" s="482"/>
    </row>
    <row r="41" spans="1:25" ht="11.5" x14ac:dyDescent="0.35">
      <c r="A41" s="242">
        <f>A40+1</f>
        <v>19</v>
      </c>
      <c r="B41" s="216" t="s">
        <v>26</v>
      </c>
      <c r="C41" s="216" t="s">
        <v>22</v>
      </c>
      <c r="D41" s="483">
        <f>'C'!D141</f>
        <v>1938.9</v>
      </c>
      <c r="E41" s="483">
        <f>'C'!E141</f>
        <v>1673.4</v>
      </c>
      <c r="F41" s="483">
        <f>'C'!F141</f>
        <v>1850.8</v>
      </c>
      <c r="G41" s="483">
        <f>'C'!G141</f>
        <v>714.5</v>
      </c>
      <c r="H41" s="483">
        <f>'C'!H141</f>
        <v>576.5</v>
      </c>
      <c r="I41" s="483">
        <f>'C'!I141</f>
        <v>489.9</v>
      </c>
      <c r="J41" s="483">
        <f>'C'!J141</f>
        <v>341.7</v>
      </c>
      <c r="K41" s="483">
        <f>'C'!K141</f>
        <v>376.6</v>
      </c>
      <c r="L41" s="483">
        <f>'C'!L141</f>
        <v>306.3</v>
      </c>
      <c r="M41" s="483">
        <f>'C'!M141</f>
        <v>562.5</v>
      </c>
      <c r="N41" s="483">
        <f>'C'!N141</f>
        <v>936.2</v>
      </c>
      <c r="O41" s="483">
        <f>'C'!O141</f>
        <v>1483.9</v>
      </c>
      <c r="P41" s="479">
        <f>SUM(D41:O41)</f>
        <v>11251.2</v>
      </c>
      <c r="R41" s="480"/>
      <c r="S41" s="480"/>
      <c r="T41" s="481"/>
      <c r="U41" s="482"/>
      <c r="V41" s="233"/>
      <c r="Y41" s="482"/>
    </row>
    <row r="42" spans="1:25" x14ac:dyDescent="0.2">
      <c r="A42" s="242">
        <f>A41+1</f>
        <v>20</v>
      </c>
      <c r="B42" s="216" t="s">
        <v>314</v>
      </c>
      <c r="C42" s="216" t="s">
        <v>24</v>
      </c>
      <c r="D42" s="484">
        <f>ROUND(D40*D41,2)</f>
        <v>8505.9500000000007</v>
      </c>
      <c r="E42" s="484">
        <f t="shared" ref="E42:O42" si="9">ROUND(E40*E41,2)</f>
        <v>7341.21</v>
      </c>
      <c r="F42" s="484">
        <f t="shared" si="9"/>
        <v>8119.46</v>
      </c>
      <c r="G42" s="484">
        <f t="shared" si="9"/>
        <v>3134.51</v>
      </c>
      <c r="H42" s="484">
        <f t="shared" si="9"/>
        <v>2529.11</v>
      </c>
      <c r="I42" s="484">
        <f t="shared" si="9"/>
        <v>2149.19</v>
      </c>
      <c r="J42" s="484">
        <f t="shared" si="9"/>
        <v>1499.04</v>
      </c>
      <c r="K42" s="484">
        <f t="shared" si="9"/>
        <v>1652.14</v>
      </c>
      <c r="L42" s="484">
        <f t="shared" si="9"/>
        <v>1343.74</v>
      </c>
      <c r="M42" s="484">
        <f t="shared" si="9"/>
        <v>2467.69</v>
      </c>
      <c r="N42" s="484">
        <f t="shared" si="9"/>
        <v>4107.1099999999997</v>
      </c>
      <c r="O42" s="484">
        <f t="shared" si="9"/>
        <v>6509.87</v>
      </c>
      <c r="P42" s="485">
        <f>SUM(D42:O42)</f>
        <v>49359.02</v>
      </c>
      <c r="R42" s="480"/>
      <c r="S42" s="480"/>
      <c r="T42" s="481"/>
      <c r="U42" s="482"/>
      <c r="V42" s="233"/>
      <c r="Y42" s="482"/>
    </row>
    <row r="43" spans="1:25" x14ac:dyDescent="0.2">
      <c r="B43" s="409"/>
      <c r="C43" s="409"/>
      <c r="D43" s="491"/>
      <c r="E43" s="491"/>
      <c r="F43" s="491"/>
      <c r="G43" s="491"/>
      <c r="H43" s="491"/>
      <c r="I43" s="491"/>
      <c r="J43" s="492"/>
      <c r="K43" s="492"/>
      <c r="L43" s="493"/>
      <c r="M43" s="494"/>
      <c r="N43" s="487"/>
      <c r="O43" s="487"/>
      <c r="P43" s="479"/>
      <c r="R43" s="482"/>
      <c r="S43" s="482"/>
      <c r="T43" s="482"/>
      <c r="U43" s="482"/>
      <c r="V43" s="482"/>
    </row>
    <row r="44" spans="1:25" ht="10.5" x14ac:dyDescent="0.25">
      <c r="A44" s="242">
        <f>A42+1</f>
        <v>21</v>
      </c>
      <c r="B44" s="217" t="s">
        <v>240</v>
      </c>
    </row>
    <row r="46" spans="1:25" x14ac:dyDescent="0.2">
      <c r="A46" s="242">
        <f>A44+1</f>
        <v>22</v>
      </c>
      <c r="B46" s="216" t="s">
        <v>336</v>
      </c>
      <c r="C46" s="411" t="s">
        <v>23</v>
      </c>
      <c r="D46" s="488">
        <f>D40</f>
        <v>4.3869999999999996</v>
      </c>
      <c r="E46" s="488">
        <f t="shared" ref="E46:O46" si="10">E40</f>
        <v>4.3869999999999996</v>
      </c>
      <c r="F46" s="488">
        <f t="shared" si="10"/>
        <v>4.3869999999999996</v>
      </c>
      <c r="G46" s="488">
        <f t="shared" si="10"/>
        <v>4.3869999999999996</v>
      </c>
      <c r="H46" s="488">
        <f t="shared" si="10"/>
        <v>4.3869999999999996</v>
      </c>
      <c r="I46" s="488">
        <f t="shared" si="10"/>
        <v>4.3869999999999996</v>
      </c>
      <c r="J46" s="488">
        <f t="shared" si="10"/>
        <v>4.3869999999999996</v>
      </c>
      <c r="K46" s="488">
        <f t="shared" si="10"/>
        <v>4.3869999999999996</v>
      </c>
      <c r="L46" s="488">
        <f t="shared" si="10"/>
        <v>4.3869999999999996</v>
      </c>
      <c r="M46" s="488">
        <f t="shared" si="10"/>
        <v>4.3869999999999996</v>
      </c>
      <c r="N46" s="488">
        <f t="shared" si="10"/>
        <v>4.3869999999999996</v>
      </c>
      <c r="O46" s="488">
        <f t="shared" si="10"/>
        <v>4.3869999999999996</v>
      </c>
      <c r="P46" s="479"/>
      <c r="R46" s="480"/>
      <c r="S46" s="480"/>
      <c r="T46" s="481"/>
      <c r="U46" s="482"/>
      <c r="V46" s="233"/>
      <c r="Y46" s="482"/>
    </row>
    <row r="47" spans="1:25" ht="11.5" x14ac:dyDescent="0.35">
      <c r="A47" s="242">
        <f>A46+1</f>
        <v>23</v>
      </c>
      <c r="B47" s="216" t="s">
        <v>26</v>
      </c>
      <c r="C47" s="216" t="s">
        <v>22</v>
      </c>
      <c r="D47" s="483">
        <f>'C'!D27</f>
        <v>90.7</v>
      </c>
      <c r="E47" s="483">
        <f>'C'!E27</f>
        <v>99.9</v>
      </c>
      <c r="F47" s="483">
        <f>'C'!F27</f>
        <v>67.7</v>
      </c>
      <c r="G47" s="483">
        <f>'C'!G27</f>
        <v>41.7</v>
      </c>
      <c r="H47" s="483">
        <f>'C'!H27</f>
        <v>15.5</v>
      </c>
      <c r="I47" s="483">
        <f>'C'!I27</f>
        <v>6.8</v>
      </c>
      <c r="J47" s="483">
        <f>'C'!J27</f>
        <v>2</v>
      </c>
      <c r="K47" s="483">
        <f>'C'!K27</f>
        <v>2.2000000000000002</v>
      </c>
      <c r="L47" s="483">
        <f>'C'!L27</f>
        <v>3.5</v>
      </c>
      <c r="M47" s="483">
        <f>'C'!M27</f>
        <v>14.4</v>
      </c>
      <c r="N47" s="483">
        <f>'C'!N27</f>
        <v>39.299999999999997</v>
      </c>
      <c r="O47" s="483">
        <f>'C'!O27</f>
        <v>68.7</v>
      </c>
      <c r="P47" s="479">
        <f>SUM(D47:O47)</f>
        <v>452.4</v>
      </c>
      <c r="R47" s="480"/>
      <c r="S47" s="480"/>
      <c r="T47" s="481"/>
      <c r="U47" s="482"/>
      <c r="V47" s="233"/>
      <c r="Y47" s="482"/>
    </row>
    <row r="48" spans="1:25" x14ac:dyDescent="0.2">
      <c r="A48" s="242">
        <f>A47+1</f>
        <v>24</v>
      </c>
      <c r="B48" s="216" t="s">
        <v>314</v>
      </c>
      <c r="C48" s="216" t="s">
        <v>24</v>
      </c>
      <c r="D48" s="484">
        <f>ROUND(D46*D47,2)</f>
        <v>397.9</v>
      </c>
      <c r="E48" s="484">
        <f t="shared" ref="E48:O48" si="11">ROUND(E46*E47,2)</f>
        <v>438.26</v>
      </c>
      <c r="F48" s="484">
        <f t="shared" si="11"/>
        <v>297</v>
      </c>
      <c r="G48" s="484">
        <f t="shared" si="11"/>
        <v>182.94</v>
      </c>
      <c r="H48" s="484">
        <f t="shared" si="11"/>
        <v>68</v>
      </c>
      <c r="I48" s="484">
        <f t="shared" si="11"/>
        <v>29.83</v>
      </c>
      <c r="J48" s="484">
        <f t="shared" si="11"/>
        <v>8.77</v>
      </c>
      <c r="K48" s="484">
        <f t="shared" si="11"/>
        <v>9.65</v>
      </c>
      <c r="L48" s="484">
        <f t="shared" si="11"/>
        <v>15.35</v>
      </c>
      <c r="M48" s="484">
        <f t="shared" si="11"/>
        <v>63.17</v>
      </c>
      <c r="N48" s="484">
        <f t="shared" si="11"/>
        <v>172.41</v>
      </c>
      <c r="O48" s="484">
        <f t="shared" si="11"/>
        <v>301.39</v>
      </c>
      <c r="P48" s="485">
        <f>SUM(D48:O48)</f>
        <v>1984.67</v>
      </c>
      <c r="R48" s="480"/>
      <c r="S48" s="480"/>
      <c r="T48" s="481"/>
      <c r="U48" s="482"/>
      <c r="V48" s="233"/>
      <c r="Y48" s="482"/>
    </row>
    <row r="49" spans="1:25" x14ac:dyDescent="0.2">
      <c r="B49" s="409"/>
      <c r="C49" s="409"/>
      <c r="D49" s="491"/>
      <c r="E49" s="491"/>
      <c r="F49" s="491"/>
      <c r="G49" s="491"/>
      <c r="H49" s="491"/>
      <c r="I49" s="491"/>
      <c r="J49" s="492"/>
      <c r="K49" s="492"/>
      <c r="L49" s="493"/>
      <c r="M49" s="494"/>
      <c r="N49" s="487"/>
      <c r="O49" s="487"/>
      <c r="P49" s="479"/>
      <c r="R49" s="482"/>
      <c r="S49" s="482"/>
      <c r="U49" s="482"/>
    </row>
    <row r="50" spans="1:25" ht="10.5" x14ac:dyDescent="0.25">
      <c r="A50" s="242">
        <f>A48+1</f>
        <v>25</v>
      </c>
      <c r="B50" s="217" t="s">
        <v>239</v>
      </c>
    </row>
    <row r="52" spans="1:25" x14ac:dyDescent="0.2">
      <c r="A52" s="242">
        <f>A50+1</f>
        <v>26</v>
      </c>
      <c r="B52" s="216" t="s">
        <v>336</v>
      </c>
      <c r="C52" s="411" t="s">
        <v>23</v>
      </c>
      <c r="D52" s="488">
        <f>D46</f>
        <v>4.3869999999999996</v>
      </c>
      <c r="E52" s="488">
        <f t="shared" ref="E52:O52" si="12">E46</f>
        <v>4.3869999999999996</v>
      </c>
      <c r="F52" s="488">
        <f t="shared" si="12"/>
        <v>4.3869999999999996</v>
      </c>
      <c r="G52" s="488">
        <f t="shared" si="12"/>
        <v>4.3869999999999996</v>
      </c>
      <c r="H52" s="488">
        <f t="shared" si="12"/>
        <v>4.3869999999999996</v>
      </c>
      <c r="I52" s="488">
        <f t="shared" si="12"/>
        <v>4.3869999999999996</v>
      </c>
      <c r="J52" s="488">
        <f t="shared" si="12"/>
        <v>4.3869999999999996</v>
      </c>
      <c r="K52" s="488">
        <f t="shared" si="12"/>
        <v>4.3869999999999996</v>
      </c>
      <c r="L52" s="488">
        <f t="shared" si="12"/>
        <v>4.3869999999999996</v>
      </c>
      <c r="M52" s="488">
        <f t="shared" si="12"/>
        <v>4.3869999999999996</v>
      </c>
      <c r="N52" s="488">
        <f t="shared" si="12"/>
        <v>4.3869999999999996</v>
      </c>
      <c r="O52" s="488">
        <f t="shared" si="12"/>
        <v>4.3869999999999996</v>
      </c>
      <c r="P52" s="479"/>
      <c r="R52" s="480"/>
      <c r="S52" s="480"/>
      <c r="T52" s="481"/>
      <c r="U52" s="482"/>
      <c r="V52" s="233"/>
      <c r="Y52" s="482"/>
    </row>
    <row r="53" spans="1:25" ht="11.5" x14ac:dyDescent="0.35">
      <c r="A53" s="242">
        <f>A52+1</f>
        <v>27</v>
      </c>
      <c r="B53" s="216" t="s">
        <v>26</v>
      </c>
      <c r="C53" s="216" t="s">
        <v>22</v>
      </c>
      <c r="D53" s="483">
        <f>'C'!D22</f>
        <v>0</v>
      </c>
      <c r="E53" s="483">
        <f>'C'!E22</f>
        <v>0</v>
      </c>
      <c r="F53" s="483">
        <f>'C'!F22</f>
        <v>0</v>
      </c>
      <c r="G53" s="483">
        <f>'C'!G22</f>
        <v>0</v>
      </c>
      <c r="H53" s="483">
        <f>'C'!H22</f>
        <v>0</v>
      </c>
      <c r="I53" s="483">
        <f>'C'!I22</f>
        <v>0</v>
      </c>
      <c r="J53" s="483">
        <f>'C'!J22</f>
        <v>0</v>
      </c>
      <c r="K53" s="483">
        <f>'C'!K22</f>
        <v>0</v>
      </c>
      <c r="L53" s="483">
        <f>'C'!L22</f>
        <v>0</v>
      </c>
      <c r="M53" s="483">
        <f>'C'!M22</f>
        <v>0</v>
      </c>
      <c r="N53" s="483">
        <f>'C'!N22</f>
        <v>0</v>
      </c>
      <c r="O53" s="483">
        <f>'C'!O22</f>
        <v>0</v>
      </c>
      <c r="P53" s="479">
        <f>SUM(D53:O53)</f>
        <v>0</v>
      </c>
      <c r="R53" s="480"/>
      <c r="S53" s="480"/>
      <c r="T53" s="481"/>
      <c r="U53" s="482"/>
      <c r="V53" s="233"/>
      <c r="Y53" s="482"/>
    </row>
    <row r="54" spans="1:25" x14ac:dyDescent="0.2">
      <c r="A54" s="242">
        <f>A53+1</f>
        <v>28</v>
      </c>
      <c r="B54" s="216" t="s">
        <v>314</v>
      </c>
      <c r="C54" s="216" t="s">
        <v>24</v>
      </c>
      <c r="D54" s="484">
        <f>ROUND(D52*D53,2)</f>
        <v>0</v>
      </c>
      <c r="E54" s="484">
        <f t="shared" ref="E54:O54" si="13">ROUND(E52*E53,2)</f>
        <v>0</v>
      </c>
      <c r="F54" s="484">
        <f t="shared" si="13"/>
        <v>0</v>
      </c>
      <c r="G54" s="484">
        <f t="shared" si="13"/>
        <v>0</v>
      </c>
      <c r="H54" s="484">
        <f t="shared" si="13"/>
        <v>0</v>
      </c>
      <c r="I54" s="484">
        <f t="shared" si="13"/>
        <v>0</v>
      </c>
      <c r="J54" s="484">
        <f t="shared" si="13"/>
        <v>0</v>
      </c>
      <c r="K54" s="484">
        <f t="shared" si="13"/>
        <v>0</v>
      </c>
      <c r="L54" s="484">
        <f t="shared" si="13"/>
        <v>0</v>
      </c>
      <c r="M54" s="484">
        <f t="shared" si="13"/>
        <v>0</v>
      </c>
      <c r="N54" s="484">
        <f t="shared" si="13"/>
        <v>0</v>
      </c>
      <c r="O54" s="484">
        <f t="shared" si="13"/>
        <v>0</v>
      </c>
      <c r="P54" s="485">
        <f>SUM(D54:O54)</f>
        <v>0</v>
      </c>
      <c r="R54" s="480"/>
      <c r="S54" s="480"/>
      <c r="T54" s="481"/>
      <c r="U54" s="482"/>
      <c r="V54" s="233"/>
      <c r="Y54" s="482"/>
    </row>
    <row r="55" spans="1:25" x14ac:dyDescent="0.2">
      <c r="K55" s="495"/>
      <c r="M55" s="486"/>
      <c r="N55" s="487"/>
      <c r="O55" s="487"/>
      <c r="P55" s="496"/>
      <c r="R55" s="272"/>
      <c r="S55" s="272"/>
      <c r="T55" s="272"/>
      <c r="U55" s="272"/>
    </row>
    <row r="56" spans="1:25" ht="10.5" x14ac:dyDescent="0.25">
      <c r="A56" s="497">
        <f>A54+1</f>
        <v>29</v>
      </c>
      <c r="B56" s="392"/>
      <c r="C56" s="280"/>
      <c r="D56" s="498">
        <f t="shared" ref="D56:P56" si="14">D18+D24+D30+D36+D42+D48+D54</f>
        <v>9947919.959999999</v>
      </c>
      <c r="E56" s="498">
        <f t="shared" si="14"/>
        <v>9876423.7200000007</v>
      </c>
      <c r="F56" s="498">
        <f t="shared" si="14"/>
        <v>7814590.29</v>
      </c>
      <c r="G56" s="498">
        <f t="shared" si="14"/>
        <v>4254207.2700000005</v>
      </c>
      <c r="H56" s="498">
        <f t="shared" si="14"/>
        <v>2060219.4400000002</v>
      </c>
      <c r="I56" s="498">
        <f t="shared" si="14"/>
        <v>1216667.3199999998</v>
      </c>
      <c r="J56" s="498">
        <f t="shared" si="14"/>
        <v>832536.78</v>
      </c>
      <c r="K56" s="498">
        <f t="shared" si="14"/>
        <v>817096.73</v>
      </c>
      <c r="L56" s="498">
        <f t="shared" si="14"/>
        <v>907222.39</v>
      </c>
      <c r="M56" s="498">
        <f t="shared" si="14"/>
        <v>1357773.88</v>
      </c>
      <c r="N56" s="498">
        <f t="shared" si="14"/>
        <v>3187224.38</v>
      </c>
      <c r="O56" s="498">
        <f t="shared" si="14"/>
        <v>7249845.21</v>
      </c>
      <c r="P56" s="498">
        <f t="shared" si="14"/>
        <v>49521727.370000005</v>
      </c>
      <c r="R56" s="482"/>
      <c r="S56" s="482"/>
      <c r="T56" s="482"/>
      <c r="U56" s="499"/>
    </row>
    <row r="57" spans="1:25" x14ac:dyDescent="0.2">
      <c r="A57" s="216"/>
      <c r="J57" s="496"/>
      <c r="K57" s="496"/>
      <c r="L57" s="496"/>
      <c r="M57" s="500"/>
      <c r="N57" s="501"/>
      <c r="O57" s="501"/>
      <c r="P57" s="500"/>
      <c r="R57" s="502"/>
      <c r="S57" s="502"/>
      <c r="T57" s="502"/>
      <c r="U57" s="503"/>
    </row>
    <row r="58" spans="1:25" x14ac:dyDescent="0.2">
      <c r="A58" s="504" t="s">
        <v>545</v>
      </c>
      <c r="J58" s="505"/>
      <c r="K58" s="505"/>
      <c r="L58" s="505"/>
      <c r="M58" s="486"/>
      <c r="N58" s="487"/>
      <c r="O58" s="487"/>
      <c r="P58" s="486"/>
      <c r="R58" s="272"/>
      <c r="S58" s="272"/>
      <c r="T58" s="272"/>
      <c r="U58" s="506"/>
    </row>
    <row r="59" spans="1:25" x14ac:dyDescent="0.2">
      <c r="M59" s="486"/>
      <c r="P59" s="486"/>
      <c r="R59" s="272"/>
      <c r="S59" s="272"/>
      <c r="T59" s="272"/>
    </row>
    <row r="60" spans="1:25" x14ac:dyDescent="0.2">
      <c r="M60" s="486"/>
      <c r="P60" s="486"/>
      <c r="R60" s="272"/>
      <c r="S60" s="272"/>
      <c r="T60" s="272"/>
    </row>
    <row r="61" spans="1:25" x14ac:dyDescent="0.2">
      <c r="M61" s="486"/>
      <c r="P61" s="486"/>
      <c r="R61" s="272"/>
      <c r="S61" s="272"/>
      <c r="T61" s="272"/>
    </row>
    <row r="62" spans="1:25" x14ac:dyDescent="0.2">
      <c r="M62" s="486"/>
      <c r="P62" s="486"/>
      <c r="R62" s="272"/>
      <c r="S62" s="272"/>
      <c r="T62" s="272"/>
    </row>
    <row r="63" spans="1:25" x14ac:dyDescent="0.2">
      <c r="M63" s="486"/>
      <c r="P63" s="486"/>
      <c r="R63" s="272"/>
      <c r="S63" s="272"/>
      <c r="T63" s="272"/>
    </row>
    <row r="64" spans="1:25" x14ac:dyDescent="0.2">
      <c r="M64" s="486"/>
      <c r="P64" s="486"/>
      <c r="R64" s="272"/>
      <c r="S64" s="272"/>
      <c r="T64" s="272"/>
    </row>
    <row r="65" spans="1:20" x14ac:dyDescent="0.2">
      <c r="M65" s="486"/>
      <c r="P65" s="486"/>
      <c r="R65" s="272"/>
      <c r="S65" s="272"/>
      <c r="T65" s="272"/>
    </row>
    <row r="66" spans="1:20" x14ac:dyDescent="0.2">
      <c r="M66" s="486"/>
      <c r="P66" s="486"/>
      <c r="R66" s="272"/>
      <c r="S66" s="272"/>
      <c r="T66" s="272"/>
    </row>
    <row r="67" spans="1:20" x14ac:dyDescent="0.2">
      <c r="M67" s="486"/>
      <c r="P67" s="486"/>
      <c r="R67" s="272"/>
      <c r="S67" s="272"/>
      <c r="T67" s="272"/>
    </row>
    <row r="68" spans="1:20" ht="10.5" x14ac:dyDescent="0.25">
      <c r="K68" s="392"/>
      <c r="M68" s="486"/>
      <c r="P68" s="486"/>
      <c r="R68" s="272"/>
      <c r="S68" s="272"/>
      <c r="T68" s="272"/>
    </row>
    <row r="69" spans="1:20" ht="10.5" x14ac:dyDescent="0.25">
      <c r="K69" s="392"/>
      <c r="M69" s="486"/>
      <c r="P69" s="486"/>
      <c r="R69" s="272"/>
      <c r="S69" s="272"/>
      <c r="T69" s="272"/>
    </row>
    <row r="70" spans="1:20" ht="10.5" x14ac:dyDescent="0.25">
      <c r="K70" s="392"/>
      <c r="M70" s="486"/>
      <c r="P70" s="479"/>
      <c r="R70" s="272"/>
      <c r="S70" s="272"/>
      <c r="T70" s="272"/>
    </row>
    <row r="71" spans="1:20" x14ac:dyDescent="0.2">
      <c r="M71" s="486"/>
      <c r="P71" s="486"/>
      <c r="R71" s="272"/>
      <c r="S71" s="272"/>
      <c r="T71" s="272"/>
    </row>
    <row r="72" spans="1:20" ht="10.5" x14ac:dyDescent="0.25">
      <c r="J72" s="219"/>
      <c r="K72" s="219"/>
      <c r="L72" s="219"/>
      <c r="M72" s="507"/>
      <c r="N72" s="219"/>
      <c r="O72" s="219"/>
      <c r="P72" s="508"/>
      <c r="R72" s="272"/>
      <c r="S72" s="272"/>
      <c r="T72" s="272"/>
    </row>
    <row r="73" spans="1:20" ht="10.5" x14ac:dyDescent="0.25">
      <c r="A73" s="369"/>
      <c r="B73" s="245"/>
      <c r="C73" s="245"/>
      <c r="D73" s="392"/>
      <c r="E73" s="392"/>
      <c r="F73" s="392"/>
      <c r="G73" s="392"/>
      <c r="H73" s="392"/>
      <c r="I73" s="392"/>
      <c r="J73" s="219"/>
      <c r="K73" s="219"/>
      <c r="L73" s="219"/>
      <c r="M73" s="508"/>
      <c r="N73" s="219"/>
      <c r="O73" s="219"/>
      <c r="P73" s="508"/>
      <c r="R73" s="272"/>
      <c r="S73" s="272"/>
      <c r="T73" s="272"/>
    </row>
    <row r="74" spans="1:20" ht="10.5" x14ac:dyDescent="0.25">
      <c r="A74" s="263"/>
      <c r="B74" s="263"/>
      <c r="C74" s="263"/>
      <c r="D74" s="241"/>
      <c r="E74" s="241"/>
      <c r="F74" s="241"/>
      <c r="G74" s="241"/>
      <c r="H74" s="241"/>
      <c r="I74" s="241"/>
      <c r="J74" s="241"/>
      <c r="K74" s="241"/>
      <c r="L74" s="241"/>
      <c r="M74" s="509"/>
      <c r="N74" s="241"/>
      <c r="O74" s="241"/>
      <c r="P74" s="509"/>
      <c r="R74" s="272"/>
      <c r="S74" s="272"/>
      <c r="T74" s="272"/>
    </row>
    <row r="75" spans="1:20" ht="10.5" x14ac:dyDescent="0.25">
      <c r="A75" s="369"/>
      <c r="B75" s="245"/>
      <c r="C75" s="245"/>
      <c r="D75" s="392"/>
      <c r="E75" s="392"/>
      <c r="F75" s="392"/>
      <c r="G75" s="392"/>
      <c r="H75" s="392"/>
      <c r="I75" s="392"/>
      <c r="J75" s="219"/>
      <c r="K75" s="219"/>
      <c r="L75" s="219"/>
      <c r="M75" s="508"/>
      <c r="N75" s="219"/>
      <c r="O75" s="219"/>
      <c r="P75" s="508"/>
      <c r="R75" s="272"/>
      <c r="S75" s="272"/>
      <c r="T75" s="272"/>
    </row>
    <row r="76" spans="1:20" ht="10.5" x14ac:dyDescent="0.25">
      <c r="A76" s="369"/>
      <c r="B76" s="245"/>
      <c r="C76" s="245"/>
      <c r="D76" s="392"/>
      <c r="E76" s="392"/>
      <c r="F76" s="392"/>
      <c r="G76" s="392"/>
      <c r="H76" s="392"/>
      <c r="I76" s="392"/>
      <c r="J76" s="219"/>
      <c r="K76" s="219"/>
      <c r="L76" s="219"/>
      <c r="M76" s="508"/>
      <c r="N76" s="219"/>
      <c r="O76" s="219"/>
      <c r="P76" s="508"/>
      <c r="R76" s="272"/>
      <c r="S76" s="272"/>
      <c r="T76" s="272"/>
    </row>
    <row r="77" spans="1:20" ht="10.5" x14ac:dyDescent="0.25">
      <c r="B77" s="245"/>
      <c r="C77" s="245"/>
      <c r="D77" s="392"/>
      <c r="E77" s="392"/>
      <c r="F77" s="392"/>
      <c r="G77" s="392"/>
      <c r="H77" s="392"/>
      <c r="I77" s="392"/>
      <c r="M77" s="486"/>
      <c r="P77" s="486"/>
      <c r="R77" s="272"/>
      <c r="S77" s="272"/>
      <c r="T77" s="272"/>
    </row>
    <row r="78" spans="1:20" x14ac:dyDescent="0.2">
      <c r="M78" s="486"/>
      <c r="P78" s="486"/>
      <c r="R78" s="272"/>
      <c r="S78" s="272"/>
      <c r="T78" s="272"/>
    </row>
    <row r="79" spans="1:20" x14ac:dyDescent="0.2">
      <c r="M79" s="486"/>
      <c r="P79" s="486"/>
      <c r="R79" s="272"/>
      <c r="S79" s="272"/>
      <c r="T79" s="272"/>
    </row>
    <row r="80" spans="1:20" x14ac:dyDescent="0.2">
      <c r="M80" s="486"/>
      <c r="P80" s="486"/>
      <c r="R80" s="272"/>
      <c r="S80" s="272"/>
      <c r="T80" s="272"/>
    </row>
    <row r="81" spans="10:22" x14ac:dyDescent="0.2">
      <c r="M81" s="486"/>
      <c r="P81" s="486"/>
      <c r="R81" s="272"/>
      <c r="S81" s="272"/>
      <c r="T81" s="272"/>
    </row>
    <row r="82" spans="10:22" x14ac:dyDescent="0.2">
      <c r="M82" s="486"/>
      <c r="P82" s="486"/>
      <c r="R82" s="272"/>
      <c r="S82" s="272"/>
      <c r="T82" s="272"/>
    </row>
    <row r="83" spans="10:22" x14ac:dyDescent="0.2">
      <c r="M83" s="486"/>
      <c r="P83" s="486"/>
      <c r="R83" s="272"/>
      <c r="S83" s="272"/>
    </row>
    <row r="84" spans="10:22" x14ac:dyDescent="0.2">
      <c r="J84" s="510"/>
      <c r="K84" s="510"/>
      <c r="L84" s="496"/>
      <c r="M84" s="479"/>
      <c r="N84" s="487"/>
      <c r="O84" s="487"/>
      <c r="P84" s="479"/>
      <c r="R84" s="499"/>
      <c r="S84" s="499"/>
      <c r="T84" s="499"/>
      <c r="U84" s="499"/>
      <c r="V84" s="499"/>
    </row>
    <row r="85" spans="10:22" x14ac:dyDescent="0.2">
      <c r="J85" s="510"/>
      <c r="K85" s="510"/>
      <c r="L85" s="496"/>
      <c r="M85" s="479"/>
      <c r="N85" s="487"/>
      <c r="O85" s="487"/>
      <c r="P85" s="479"/>
      <c r="R85" s="499"/>
      <c r="S85" s="499"/>
      <c r="T85" s="499"/>
      <c r="U85" s="499"/>
      <c r="V85" s="499"/>
    </row>
    <row r="86" spans="10:22" x14ac:dyDescent="0.2">
      <c r="J86" s="510"/>
      <c r="K86" s="510"/>
      <c r="L86" s="496"/>
      <c r="M86" s="479"/>
      <c r="N86" s="487"/>
      <c r="O86" s="487"/>
      <c r="P86" s="479"/>
      <c r="R86" s="499"/>
      <c r="S86" s="499"/>
      <c r="T86" s="499"/>
      <c r="U86" s="499"/>
      <c r="V86" s="499"/>
    </row>
    <row r="87" spans="10:22" x14ac:dyDescent="0.2">
      <c r="J87" s="510"/>
      <c r="K87" s="510"/>
      <c r="L87" s="496"/>
      <c r="M87" s="479"/>
      <c r="N87" s="487"/>
      <c r="O87" s="487"/>
      <c r="P87" s="479"/>
      <c r="R87" s="499"/>
      <c r="S87" s="499"/>
      <c r="T87" s="499"/>
      <c r="U87" s="499"/>
      <c r="V87" s="499"/>
    </row>
    <row r="88" spans="10:22" x14ac:dyDescent="0.2">
      <c r="J88" s="510"/>
      <c r="K88" s="510"/>
      <c r="L88" s="496"/>
      <c r="M88" s="479"/>
      <c r="N88" s="487"/>
      <c r="O88" s="487"/>
      <c r="P88" s="479"/>
      <c r="R88" s="499"/>
      <c r="S88" s="499"/>
      <c r="T88" s="499"/>
      <c r="U88" s="499"/>
      <c r="V88" s="499"/>
    </row>
    <row r="89" spans="10:22" x14ac:dyDescent="0.2">
      <c r="J89" s="510"/>
      <c r="K89" s="510"/>
      <c r="L89" s="496"/>
      <c r="M89" s="479"/>
      <c r="N89" s="487"/>
      <c r="O89" s="487"/>
      <c r="P89" s="479"/>
      <c r="R89" s="499"/>
      <c r="S89" s="499"/>
      <c r="T89" s="499"/>
      <c r="U89" s="499"/>
      <c r="V89" s="499"/>
    </row>
    <row r="90" spans="10:22" x14ac:dyDescent="0.2">
      <c r="J90" s="510"/>
      <c r="K90" s="510"/>
      <c r="L90" s="496"/>
      <c r="M90" s="479"/>
      <c r="N90" s="487"/>
      <c r="O90" s="487"/>
      <c r="P90" s="479"/>
      <c r="R90" s="499"/>
      <c r="S90" s="499"/>
      <c r="T90" s="499"/>
      <c r="U90" s="499"/>
      <c r="V90" s="499"/>
    </row>
    <row r="91" spans="10:22" x14ac:dyDescent="0.2">
      <c r="J91" s="510"/>
      <c r="K91" s="510"/>
      <c r="L91" s="496"/>
      <c r="M91" s="479"/>
      <c r="N91" s="487"/>
      <c r="O91" s="487"/>
      <c r="P91" s="479"/>
      <c r="R91" s="499"/>
      <c r="S91" s="499"/>
      <c r="T91" s="499"/>
      <c r="U91" s="499"/>
      <c r="V91" s="499"/>
    </row>
    <row r="92" spans="10:22" x14ac:dyDescent="0.2">
      <c r="J92" s="510"/>
      <c r="K92" s="510"/>
      <c r="L92" s="496"/>
      <c r="M92" s="479"/>
      <c r="N92" s="487"/>
      <c r="O92" s="487"/>
      <c r="P92" s="479"/>
      <c r="R92" s="499"/>
      <c r="S92" s="499"/>
      <c r="T92" s="499"/>
      <c r="U92" s="499"/>
      <c r="V92" s="499"/>
    </row>
    <row r="93" spans="10:22" x14ac:dyDescent="0.2">
      <c r="J93" s="510"/>
      <c r="K93" s="510"/>
      <c r="L93" s="496"/>
      <c r="M93" s="479"/>
      <c r="N93" s="487"/>
      <c r="O93" s="487"/>
      <c r="P93" s="479"/>
      <c r="R93" s="499"/>
      <c r="S93" s="499"/>
      <c r="T93" s="499"/>
      <c r="U93" s="499"/>
      <c r="V93" s="499"/>
    </row>
    <row r="94" spans="10:22" x14ac:dyDescent="0.2">
      <c r="J94" s="510"/>
      <c r="K94" s="510"/>
      <c r="L94" s="496"/>
      <c r="M94" s="479"/>
      <c r="N94" s="487"/>
      <c r="O94" s="487"/>
      <c r="P94" s="479"/>
      <c r="R94" s="499"/>
      <c r="S94" s="499"/>
      <c r="T94" s="499"/>
      <c r="U94" s="499"/>
      <c r="V94" s="499"/>
    </row>
    <row r="95" spans="10:22" x14ac:dyDescent="0.2">
      <c r="J95" s="510"/>
      <c r="K95" s="510"/>
      <c r="L95" s="496"/>
      <c r="M95" s="500"/>
      <c r="N95" s="501"/>
      <c r="O95" s="501"/>
      <c r="P95" s="500"/>
      <c r="R95" s="503"/>
      <c r="S95" s="503"/>
      <c r="T95" s="503"/>
      <c r="U95" s="503"/>
      <c r="V95" s="503"/>
    </row>
    <row r="96" spans="10:22" x14ac:dyDescent="0.2">
      <c r="J96" s="496"/>
      <c r="K96" s="496"/>
      <c r="L96" s="496"/>
      <c r="M96" s="486"/>
      <c r="N96" s="487"/>
      <c r="O96" s="487"/>
      <c r="P96" s="486"/>
      <c r="R96" s="506"/>
      <c r="S96" s="506"/>
      <c r="T96" s="506"/>
      <c r="U96" s="506"/>
      <c r="V96" s="506"/>
    </row>
    <row r="97" spans="10:22" x14ac:dyDescent="0.2">
      <c r="J97" s="496"/>
      <c r="K97" s="496"/>
      <c r="L97" s="496"/>
      <c r="M97" s="486"/>
      <c r="P97" s="486"/>
      <c r="R97" s="506"/>
      <c r="S97" s="506"/>
      <c r="T97" s="506"/>
      <c r="U97" s="506"/>
      <c r="V97" s="506"/>
    </row>
    <row r="98" spans="10:22" x14ac:dyDescent="0.2">
      <c r="J98" s="496"/>
      <c r="K98" s="496"/>
      <c r="L98" s="496"/>
      <c r="M98" s="486"/>
      <c r="P98" s="486"/>
      <c r="R98" s="506"/>
      <c r="S98" s="506"/>
      <c r="T98" s="506"/>
      <c r="U98" s="506"/>
      <c r="V98" s="506"/>
    </row>
    <row r="99" spans="10:22" x14ac:dyDescent="0.2">
      <c r="J99" s="496"/>
      <c r="K99" s="496"/>
      <c r="L99" s="496"/>
      <c r="M99" s="486"/>
      <c r="P99" s="486"/>
      <c r="R99" s="506"/>
      <c r="S99" s="506"/>
      <c r="T99" s="506"/>
      <c r="U99" s="506"/>
      <c r="V99" s="506"/>
    </row>
    <row r="100" spans="10:22" x14ac:dyDescent="0.2">
      <c r="J100" s="496"/>
      <c r="K100" s="496"/>
      <c r="L100" s="496"/>
      <c r="M100" s="479"/>
      <c r="N100" s="487"/>
      <c r="O100" s="487"/>
      <c r="P100" s="479"/>
      <c r="R100" s="499"/>
      <c r="S100" s="499"/>
      <c r="T100" s="499"/>
      <c r="U100" s="499"/>
      <c r="V100" s="499"/>
    </row>
    <row r="101" spans="10:22" x14ac:dyDescent="0.2">
      <c r="J101" s="496"/>
      <c r="K101" s="496"/>
      <c r="L101" s="496"/>
      <c r="M101" s="479"/>
      <c r="N101" s="487"/>
      <c r="O101" s="487"/>
      <c r="P101" s="479"/>
      <c r="R101" s="499"/>
      <c r="S101" s="499"/>
      <c r="T101" s="499"/>
      <c r="U101" s="499"/>
      <c r="V101" s="499"/>
    </row>
    <row r="102" spans="10:22" x14ac:dyDescent="0.2">
      <c r="J102" s="496"/>
      <c r="K102" s="496"/>
      <c r="L102" s="496"/>
      <c r="M102" s="479"/>
      <c r="N102" s="487"/>
      <c r="O102" s="487"/>
      <c r="P102" s="479"/>
      <c r="R102" s="499"/>
      <c r="S102" s="499"/>
      <c r="T102" s="499"/>
      <c r="U102" s="499"/>
      <c r="V102" s="499"/>
    </row>
    <row r="103" spans="10:22" x14ac:dyDescent="0.2">
      <c r="J103" s="496"/>
      <c r="K103" s="496"/>
      <c r="L103" s="496"/>
      <c r="M103" s="479"/>
      <c r="N103" s="487"/>
      <c r="O103" s="487"/>
      <c r="P103" s="479"/>
      <c r="R103" s="499"/>
      <c r="S103" s="499"/>
      <c r="T103" s="499"/>
      <c r="U103" s="499"/>
      <c r="V103" s="499"/>
    </row>
    <row r="104" spans="10:22" x14ac:dyDescent="0.2">
      <c r="J104" s="496"/>
      <c r="K104" s="496"/>
      <c r="L104" s="496"/>
      <c r="M104" s="479"/>
      <c r="N104" s="487"/>
      <c r="O104" s="487"/>
      <c r="P104" s="479"/>
      <c r="R104" s="499"/>
      <c r="S104" s="499"/>
      <c r="T104" s="499"/>
      <c r="U104" s="499"/>
      <c r="V104" s="499"/>
    </row>
    <row r="105" spans="10:22" x14ac:dyDescent="0.2">
      <c r="J105" s="496"/>
      <c r="K105" s="496"/>
      <c r="L105" s="496"/>
      <c r="M105" s="479"/>
      <c r="N105" s="487"/>
      <c r="O105" s="487"/>
      <c r="P105" s="479"/>
      <c r="R105" s="499"/>
      <c r="S105" s="499"/>
      <c r="T105" s="499"/>
      <c r="U105" s="499"/>
      <c r="V105" s="499"/>
    </row>
    <row r="106" spans="10:22" x14ac:dyDescent="0.2">
      <c r="J106" s="496"/>
      <c r="K106" s="496"/>
      <c r="L106" s="496"/>
      <c r="M106" s="479"/>
      <c r="N106" s="487"/>
      <c r="O106" s="487"/>
      <c r="P106" s="479"/>
      <c r="R106" s="499"/>
      <c r="S106" s="499"/>
      <c r="T106" s="499"/>
      <c r="U106" s="499"/>
      <c r="V106" s="499"/>
    </row>
    <row r="107" spans="10:22" x14ac:dyDescent="0.2">
      <c r="J107" s="496"/>
      <c r="K107" s="496"/>
      <c r="L107" s="496"/>
      <c r="M107" s="479"/>
      <c r="N107" s="487"/>
      <c r="O107" s="487"/>
      <c r="P107" s="479"/>
      <c r="R107" s="499"/>
      <c r="S107" s="499"/>
      <c r="T107" s="499"/>
      <c r="U107" s="499"/>
      <c r="V107" s="499"/>
    </row>
    <row r="108" spans="10:22" x14ac:dyDescent="0.2">
      <c r="J108" s="496"/>
      <c r="K108" s="496"/>
      <c r="L108" s="496"/>
      <c r="M108" s="479"/>
      <c r="N108" s="487"/>
      <c r="O108" s="487"/>
      <c r="P108" s="479"/>
      <c r="R108" s="499"/>
      <c r="S108" s="499"/>
      <c r="T108" s="499"/>
      <c r="U108" s="499"/>
      <c r="V108" s="499"/>
    </row>
    <row r="109" spans="10:22" x14ac:dyDescent="0.2">
      <c r="J109" s="496"/>
      <c r="K109" s="496"/>
      <c r="L109" s="496"/>
      <c r="M109" s="479"/>
      <c r="N109" s="487"/>
      <c r="O109" s="487"/>
      <c r="P109" s="479"/>
      <c r="R109" s="499"/>
      <c r="S109" s="499"/>
      <c r="T109" s="499"/>
      <c r="U109" s="499"/>
      <c r="V109" s="499"/>
    </row>
    <row r="110" spans="10:22" x14ac:dyDescent="0.2">
      <c r="J110" s="496"/>
      <c r="K110" s="496"/>
      <c r="L110" s="496"/>
      <c r="M110" s="479"/>
      <c r="N110" s="487"/>
      <c r="O110" s="487"/>
      <c r="P110" s="479"/>
      <c r="R110" s="499"/>
      <c r="S110" s="499"/>
      <c r="T110" s="499"/>
      <c r="U110" s="499"/>
      <c r="V110" s="499"/>
    </row>
    <row r="111" spans="10:22" x14ac:dyDescent="0.2">
      <c r="J111" s="496"/>
      <c r="K111" s="496"/>
      <c r="L111" s="496"/>
      <c r="M111" s="500"/>
      <c r="N111" s="501"/>
      <c r="O111" s="501"/>
      <c r="P111" s="500"/>
      <c r="R111" s="503"/>
      <c r="S111" s="503"/>
      <c r="T111" s="503"/>
      <c r="U111" s="503"/>
      <c r="V111" s="503"/>
    </row>
    <row r="112" spans="10:22" x14ac:dyDescent="0.2">
      <c r="J112" s="505"/>
      <c r="K112" s="505"/>
      <c r="L112" s="505"/>
      <c r="M112" s="486"/>
      <c r="N112" s="487"/>
      <c r="O112" s="487"/>
      <c r="P112" s="486"/>
      <c r="R112" s="506"/>
      <c r="S112" s="506"/>
      <c r="T112" s="506"/>
      <c r="U112" s="506"/>
      <c r="V112" s="506"/>
    </row>
    <row r="113" spans="1:20" x14ac:dyDescent="0.2">
      <c r="M113" s="486"/>
      <c r="P113" s="486"/>
      <c r="R113" s="272"/>
      <c r="S113" s="272"/>
      <c r="T113" s="272"/>
    </row>
    <row r="114" spans="1:20" x14ac:dyDescent="0.2">
      <c r="M114" s="486"/>
      <c r="P114" s="486"/>
      <c r="R114" s="272"/>
      <c r="S114" s="272"/>
      <c r="T114" s="272"/>
    </row>
    <row r="115" spans="1:20" x14ac:dyDescent="0.2">
      <c r="M115" s="486"/>
      <c r="P115" s="486"/>
      <c r="R115" s="272"/>
      <c r="S115" s="272"/>
      <c r="T115" s="272"/>
    </row>
    <row r="116" spans="1:20" x14ac:dyDescent="0.2">
      <c r="M116" s="486"/>
      <c r="P116" s="486"/>
      <c r="R116" s="272"/>
      <c r="S116" s="272"/>
      <c r="T116" s="272"/>
    </row>
    <row r="117" spans="1:20" x14ac:dyDescent="0.2">
      <c r="M117" s="486"/>
      <c r="P117" s="486"/>
      <c r="R117" s="272"/>
      <c r="S117" s="272"/>
      <c r="T117" s="272"/>
    </row>
    <row r="118" spans="1:20" x14ac:dyDescent="0.2">
      <c r="M118" s="486"/>
      <c r="P118" s="486"/>
      <c r="R118" s="272"/>
      <c r="S118" s="272"/>
      <c r="T118" s="272"/>
    </row>
    <row r="119" spans="1:20" x14ac:dyDescent="0.2">
      <c r="M119" s="486"/>
      <c r="P119" s="486"/>
      <c r="R119" s="272"/>
      <c r="S119" s="272"/>
      <c r="T119" s="272"/>
    </row>
    <row r="120" spans="1:20" x14ac:dyDescent="0.2">
      <c r="M120" s="486"/>
      <c r="P120" s="486"/>
      <c r="R120" s="272"/>
      <c r="S120" s="272"/>
      <c r="T120" s="272"/>
    </row>
    <row r="121" spans="1:20" x14ac:dyDescent="0.2">
      <c r="M121" s="486"/>
      <c r="P121" s="486"/>
      <c r="R121" s="272"/>
      <c r="S121" s="272"/>
      <c r="T121" s="272"/>
    </row>
    <row r="122" spans="1:20" x14ac:dyDescent="0.2">
      <c r="M122" s="486"/>
      <c r="P122" s="486"/>
      <c r="R122" s="272"/>
      <c r="S122" s="272"/>
      <c r="T122" s="272"/>
    </row>
    <row r="123" spans="1:20" ht="10.5" x14ac:dyDescent="0.25">
      <c r="K123" s="392"/>
      <c r="M123" s="486"/>
      <c r="P123" s="486"/>
      <c r="R123" s="272"/>
      <c r="S123" s="272"/>
      <c r="T123" s="272"/>
    </row>
    <row r="124" spans="1:20" ht="10.5" x14ac:dyDescent="0.25">
      <c r="K124" s="392"/>
      <c r="M124" s="486"/>
      <c r="P124" s="486"/>
      <c r="R124" s="272"/>
      <c r="S124" s="272"/>
      <c r="T124" s="272"/>
    </row>
    <row r="125" spans="1:20" ht="10.5" x14ac:dyDescent="0.25">
      <c r="K125" s="392"/>
      <c r="M125" s="486"/>
      <c r="P125" s="479"/>
      <c r="R125" s="272"/>
      <c r="S125" s="272"/>
      <c r="T125" s="272"/>
    </row>
    <row r="126" spans="1:20" x14ac:dyDescent="0.2">
      <c r="M126" s="486"/>
      <c r="P126" s="486"/>
      <c r="R126" s="272"/>
      <c r="S126" s="272"/>
      <c r="T126" s="272"/>
    </row>
    <row r="127" spans="1:20" ht="10.5" x14ac:dyDescent="0.25">
      <c r="J127" s="219"/>
      <c r="K127" s="219"/>
      <c r="L127" s="219"/>
      <c r="M127" s="507"/>
      <c r="N127" s="219"/>
      <c r="O127" s="219"/>
      <c r="P127" s="508"/>
      <c r="R127" s="272"/>
      <c r="S127" s="272"/>
      <c r="T127" s="272"/>
    </row>
    <row r="128" spans="1:20" ht="10.5" x14ac:dyDescent="0.25">
      <c r="A128" s="369"/>
      <c r="B128" s="245"/>
      <c r="C128" s="245"/>
      <c r="D128" s="392"/>
      <c r="E128" s="392"/>
      <c r="F128" s="392"/>
      <c r="G128" s="392"/>
      <c r="H128" s="392"/>
      <c r="I128" s="392"/>
      <c r="J128" s="219"/>
      <c r="K128" s="219"/>
      <c r="L128" s="219"/>
      <c r="M128" s="508"/>
      <c r="N128" s="219"/>
      <c r="O128" s="219"/>
      <c r="P128" s="508"/>
      <c r="R128" s="272"/>
      <c r="S128" s="272"/>
      <c r="T128" s="272"/>
    </row>
    <row r="129" spans="1:20" ht="10.5" x14ac:dyDescent="0.25">
      <c r="A129" s="263"/>
      <c r="B129" s="263"/>
      <c r="C129" s="263"/>
      <c r="D129" s="241"/>
      <c r="E129" s="241"/>
      <c r="F129" s="241"/>
      <c r="G129" s="241"/>
      <c r="H129" s="241"/>
      <c r="I129" s="241"/>
      <c r="J129" s="241"/>
      <c r="K129" s="241"/>
      <c r="L129" s="241"/>
      <c r="M129" s="509"/>
      <c r="N129" s="241"/>
      <c r="O129" s="241"/>
      <c r="P129" s="509"/>
      <c r="R129" s="272"/>
      <c r="S129" s="272"/>
      <c r="T129" s="272"/>
    </row>
    <row r="130" spans="1:20" ht="10.5" x14ac:dyDescent="0.25">
      <c r="A130" s="369"/>
      <c r="B130" s="245"/>
      <c r="C130" s="245"/>
      <c r="D130" s="392"/>
      <c r="E130" s="392"/>
      <c r="F130" s="392"/>
      <c r="G130" s="392"/>
      <c r="H130" s="392"/>
      <c r="I130" s="392"/>
      <c r="J130" s="219"/>
      <c r="K130" s="219"/>
      <c r="L130" s="219"/>
      <c r="M130" s="508"/>
      <c r="N130" s="219"/>
      <c r="O130" s="219"/>
      <c r="P130" s="508"/>
      <c r="R130" s="272"/>
      <c r="S130" s="272"/>
      <c r="T130" s="272"/>
    </row>
    <row r="131" spans="1:20" ht="10.5" x14ac:dyDescent="0.25">
      <c r="A131" s="369"/>
      <c r="B131" s="245"/>
      <c r="C131" s="245"/>
      <c r="D131" s="392"/>
      <c r="E131" s="392"/>
      <c r="F131" s="392"/>
      <c r="G131" s="392"/>
      <c r="H131" s="392"/>
      <c r="I131" s="392"/>
      <c r="J131" s="219"/>
      <c r="K131" s="219"/>
      <c r="L131" s="219"/>
      <c r="M131" s="508"/>
      <c r="N131" s="219"/>
      <c r="O131" s="219"/>
      <c r="P131" s="508"/>
      <c r="R131" s="272"/>
      <c r="S131" s="272"/>
      <c r="T131" s="272"/>
    </row>
    <row r="132" spans="1:20" ht="10.5" x14ac:dyDescent="0.25">
      <c r="B132" s="245"/>
      <c r="C132" s="245"/>
      <c r="D132" s="392"/>
      <c r="E132" s="392"/>
      <c r="F132" s="392"/>
      <c r="G132" s="392"/>
      <c r="H132" s="392"/>
      <c r="I132" s="392"/>
      <c r="M132" s="486"/>
      <c r="P132" s="486"/>
      <c r="R132" s="272"/>
      <c r="S132" s="272"/>
      <c r="T132" s="272"/>
    </row>
    <row r="133" spans="1:20" x14ac:dyDescent="0.2">
      <c r="M133" s="486"/>
      <c r="P133" s="486"/>
      <c r="R133" s="272"/>
      <c r="S133" s="272"/>
      <c r="T133" s="272"/>
    </row>
    <row r="134" spans="1:20" x14ac:dyDescent="0.2">
      <c r="M134" s="486"/>
      <c r="P134" s="486"/>
      <c r="R134" s="272"/>
      <c r="S134" s="272"/>
      <c r="T134" s="272"/>
    </row>
    <row r="135" spans="1:20" x14ac:dyDescent="0.2">
      <c r="M135" s="486"/>
      <c r="P135" s="486"/>
      <c r="R135" s="272"/>
      <c r="S135" s="272"/>
      <c r="T135" s="272"/>
    </row>
    <row r="136" spans="1:20" x14ac:dyDescent="0.2">
      <c r="M136" s="486"/>
      <c r="P136" s="486"/>
      <c r="R136" s="272"/>
      <c r="S136" s="272"/>
      <c r="T136" s="272"/>
    </row>
    <row r="137" spans="1:20" x14ac:dyDescent="0.2">
      <c r="M137" s="486"/>
      <c r="P137" s="486"/>
      <c r="R137" s="272"/>
      <c r="S137" s="272"/>
      <c r="T137" s="272"/>
    </row>
    <row r="138" spans="1:20" x14ac:dyDescent="0.2">
      <c r="M138" s="486"/>
      <c r="P138" s="486"/>
      <c r="R138" s="272"/>
      <c r="S138" s="272"/>
      <c r="T138" s="272"/>
    </row>
    <row r="139" spans="1:20" x14ac:dyDescent="0.2">
      <c r="J139" s="510"/>
      <c r="K139" s="510"/>
      <c r="L139" s="496"/>
      <c r="M139" s="511"/>
      <c r="N139" s="487"/>
      <c r="O139" s="487"/>
      <c r="P139" s="511"/>
      <c r="R139" s="272"/>
      <c r="S139" s="272"/>
      <c r="T139" s="272"/>
    </row>
    <row r="140" spans="1:20" x14ac:dyDescent="0.2">
      <c r="J140" s="510"/>
      <c r="K140" s="510"/>
      <c r="L140" s="496"/>
      <c r="M140" s="511"/>
      <c r="N140" s="487"/>
      <c r="O140" s="487"/>
      <c r="P140" s="511"/>
      <c r="R140" s="272"/>
      <c r="S140" s="272"/>
      <c r="T140" s="272"/>
    </row>
    <row r="141" spans="1:20" x14ac:dyDescent="0.2">
      <c r="J141" s="510"/>
      <c r="K141" s="510"/>
      <c r="L141" s="496"/>
      <c r="M141" s="511"/>
      <c r="N141" s="487"/>
      <c r="O141" s="487"/>
      <c r="P141" s="511"/>
      <c r="R141" s="272"/>
      <c r="S141" s="272"/>
      <c r="T141" s="272"/>
    </row>
    <row r="142" spans="1:20" x14ac:dyDescent="0.2">
      <c r="J142" s="510"/>
      <c r="K142" s="510"/>
      <c r="L142" s="496"/>
      <c r="M142" s="511"/>
      <c r="N142" s="487"/>
      <c r="O142" s="487"/>
      <c r="P142" s="511"/>
      <c r="R142" s="272"/>
      <c r="S142" s="272"/>
      <c r="T142" s="272"/>
    </row>
    <row r="143" spans="1:20" x14ac:dyDescent="0.2">
      <c r="J143" s="510"/>
      <c r="K143" s="510"/>
      <c r="L143" s="496"/>
      <c r="M143" s="511"/>
      <c r="N143" s="487"/>
      <c r="O143" s="487"/>
      <c r="P143" s="511"/>
      <c r="R143" s="272"/>
      <c r="S143" s="272"/>
      <c r="T143" s="272"/>
    </row>
    <row r="144" spans="1:20" x14ac:dyDescent="0.2">
      <c r="J144" s="510"/>
      <c r="K144" s="510"/>
      <c r="L144" s="496"/>
      <c r="M144" s="511"/>
      <c r="N144" s="487"/>
      <c r="O144" s="487"/>
      <c r="P144" s="511"/>
      <c r="R144" s="272"/>
      <c r="S144" s="272"/>
      <c r="T144" s="272"/>
    </row>
    <row r="145" spans="10:20" x14ac:dyDescent="0.2">
      <c r="J145" s="510"/>
      <c r="K145" s="510"/>
      <c r="L145" s="496"/>
      <c r="M145" s="511"/>
      <c r="N145" s="487"/>
      <c r="O145" s="487"/>
      <c r="P145" s="511"/>
      <c r="R145" s="272"/>
      <c r="S145" s="272"/>
      <c r="T145" s="272"/>
    </row>
    <row r="146" spans="10:20" x14ac:dyDescent="0.2">
      <c r="J146" s="510"/>
      <c r="K146" s="510"/>
      <c r="L146" s="496"/>
      <c r="M146" s="511"/>
      <c r="N146" s="487"/>
      <c r="O146" s="487"/>
      <c r="P146" s="511"/>
      <c r="R146" s="272"/>
      <c r="S146" s="272"/>
      <c r="T146" s="272"/>
    </row>
    <row r="147" spans="10:20" x14ac:dyDescent="0.2">
      <c r="J147" s="510"/>
      <c r="K147" s="510"/>
      <c r="L147" s="496"/>
      <c r="M147" s="511"/>
      <c r="N147" s="487"/>
      <c r="O147" s="487"/>
      <c r="P147" s="511"/>
      <c r="R147" s="272"/>
      <c r="S147" s="272"/>
      <c r="T147" s="272"/>
    </row>
    <row r="148" spans="10:20" x14ac:dyDescent="0.2">
      <c r="J148" s="510"/>
      <c r="K148" s="510"/>
      <c r="L148" s="496"/>
      <c r="M148" s="511"/>
      <c r="N148" s="487"/>
      <c r="O148" s="487"/>
      <c r="P148" s="511"/>
      <c r="R148" s="272"/>
      <c r="S148" s="272"/>
      <c r="T148" s="272"/>
    </row>
    <row r="149" spans="10:20" x14ac:dyDescent="0.2">
      <c r="J149" s="510"/>
      <c r="K149" s="510"/>
      <c r="L149" s="496"/>
      <c r="M149" s="511"/>
      <c r="N149" s="487"/>
      <c r="O149" s="487"/>
      <c r="P149" s="511"/>
      <c r="R149" s="272"/>
      <c r="S149" s="272"/>
      <c r="T149" s="272"/>
    </row>
    <row r="150" spans="10:20" x14ac:dyDescent="0.2">
      <c r="J150" s="510"/>
      <c r="K150" s="510"/>
      <c r="L150" s="496"/>
      <c r="M150" s="512"/>
      <c r="N150" s="501"/>
      <c r="O150" s="501"/>
      <c r="P150" s="512"/>
      <c r="R150" s="272"/>
      <c r="S150" s="272"/>
      <c r="T150" s="272"/>
    </row>
    <row r="151" spans="10:20" x14ac:dyDescent="0.2">
      <c r="J151" s="496"/>
      <c r="K151" s="496"/>
      <c r="L151" s="496"/>
      <c r="M151" s="486"/>
      <c r="N151" s="487"/>
      <c r="O151" s="487"/>
      <c r="P151" s="486"/>
      <c r="R151" s="272"/>
      <c r="S151" s="272"/>
      <c r="T151" s="272"/>
    </row>
    <row r="152" spans="10:20" x14ac:dyDescent="0.2">
      <c r="J152" s="496"/>
      <c r="K152" s="496"/>
      <c r="L152" s="496"/>
      <c r="M152" s="486"/>
      <c r="P152" s="486"/>
      <c r="R152" s="272"/>
      <c r="S152" s="272"/>
      <c r="T152" s="272"/>
    </row>
    <row r="153" spans="10:20" x14ac:dyDescent="0.2">
      <c r="J153" s="496"/>
      <c r="K153" s="496"/>
      <c r="L153" s="496"/>
      <c r="M153" s="486"/>
      <c r="P153" s="486"/>
      <c r="R153" s="272"/>
      <c r="S153" s="272"/>
      <c r="T153" s="272"/>
    </row>
    <row r="154" spans="10:20" x14ac:dyDescent="0.2">
      <c r="J154" s="496"/>
      <c r="K154" s="496"/>
      <c r="L154" s="496"/>
      <c r="M154" s="486"/>
      <c r="P154" s="486"/>
      <c r="R154" s="272"/>
      <c r="S154" s="272"/>
      <c r="T154" s="272"/>
    </row>
    <row r="155" spans="10:20" x14ac:dyDescent="0.2">
      <c r="J155" s="496"/>
      <c r="K155" s="496"/>
      <c r="L155" s="496"/>
      <c r="M155" s="511"/>
      <c r="N155" s="487"/>
      <c r="O155" s="487"/>
      <c r="P155" s="511"/>
      <c r="R155" s="272"/>
      <c r="S155" s="272"/>
      <c r="T155" s="272"/>
    </row>
    <row r="156" spans="10:20" x14ac:dyDescent="0.2">
      <c r="J156" s="496"/>
      <c r="K156" s="496"/>
      <c r="L156" s="496"/>
      <c r="M156" s="511"/>
      <c r="N156" s="487"/>
      <c r="O156" s="487"/>
      <c r="P156" s="511"/>
      <c r="R156" s="272"/>
      <c r="S156" s="272"/>
      <c r="T156" s="272"/>
    </row>
    <row r="157" spans="10:20" x14ac:dyDescent="0.2">
      <c r="J157" s="496"/>
      <c r="K157" s="496"/>
      <c r="L157" s="496"/>
      <c r="M157" s="511"/>
      <c r="N157" s="487"/>
      <c r="O157" s="487"/>
      <c r="P157" s="511"/>
      <c r="R157" s="272"/>
      <c r="S157" s="272"/>
      <c r="T157" s="272"/>
    </row>
    <row r="158" spans="10:20" x14ac:dyDescent="0.2">
      <c r="J158" s="496"/>
      <c r="K158" s="496"/>
      <c r="L158" s="496"/>
      <c r="M158" s="511"/>
      <c r="N158" s="487"/>
      <c r="O158" s="487"/>
      <c r="P158" s="511"/>
      <c r="R158" s="272"/>
      <c r="S158" s="272"/>
      <c r="T158" s="272"/>
    </row>
    <row r="159" spans="10:20" x14ac:dyDescent="0.2">
      <c r="J159" s="496"/>
      <c r="K159" s="496"/>
      <c r="L159" s="496"/>
      <c r="M159" s="511"/>
      <c r="N159" s="487"/>
      <c r="O159" s="487"/>
      <c r="P159" s="511"/>
      <c r="R159" s="272"/>
      <c r="S159" s="272"/>
      <c r="T159" s="272"/>
    </row>
    <row r="160" spans="10:20" x14ac:dyDescent="0.2">
      <c r="J160" s="496"/>
      <c r="K160" s="496"/>
      <c r="L160" s="496"/>
      <c r="M160" s="511"/>
      <c r="N160" s="487"/>
      <c r="O160" s="487"/>
      <c r="P160" s="511"/>
      <c r="R160" s="272"/>
      <c r="S160" s="272"/>
      <c r="T160" s="272"/>
    </row>
    <row r="161" spans="10:20" x14ac:dyDescent="0.2">
      <c r="J161" s="496"/>
      <c r="K161" s="496"/>
      <c r="L161" s="496"/>
      <c r="M161" s="511"/>
      <c r="N161" s="487"/>
      <c r="O161" s="487"/>
      <c r="P161" s="511"/>
      <c r="R161" s="272"/>
      <c r="S161" s="272"/>
      <c r="T161" s="272"/>
    </row>
    <row r="162" spans="10:20" x14ac:dyDescent="0.2">
      <c r="J162" s="496"/>
      <c r="K162" s="496"/>
      <c r="L162" s="496"/>
      <c r="M162" s="511"/>
      <c r="N162" s="487"/>
      <c r="O162" s="487"/>
      <c r="P162" s="511"/>
      <c r="R162" s="272"/>
      <c r="S162" s="272"/>
      <c r="T162" s="272"/>
    </row>
    <row r="163" spans="10:20" x14ac:dyDescent="0.2">
      <c r="J163" s="496"/>
      <c r="K163" s="496"/>
      <c r="L163" s="496"/>
      <c r="M163" s="511"/>
      <c r="N163" s="487"/>
      <c r="O163" s="487"/>
      <c r="P163" s="511"/>
      <c r="R163" s="272"/>
      <c r="S163" s="272"/>
      <c r="T163" s="272"/>
    </row>
    <row r="164" spans="10:20" x14ac:dyDescent="0.2">
      <c r="J164" s="496"/>
      <c r="K164" s="496"/>
      <c r="L164" s="496"/>
      <c r="M164" s="511"/>
      <c r="N164" s="487"/>
      <c r="O164" s="487"/>
      <c r="P164" s="511"/>
      <c r="R164" s="272"/>
      <c r="S164" s="272"/>
      <c r="T164" s="272"/>
    </row>
    <row r="165" spans="10:20" x14ac:dyDescent="0.2">
      <c r="J165" s="496"/>
      <c r="K165" s="496"/>
      <c r="L165" s="496"/>
      <c r="M165" s="511"/>
      <c r="N165" s="487"/>
      <c r="O165" s="487"/>
      <c r="P165" s="511"/>
      <c r="R165" s="272"/>
      <c r="S165" s="272"/>
      <c r="T165" s="272"/>
    </row>
    <row r="166" spans="10:20" x14ac:dyDescent="0.2">
      <c r="J166" s="496"/>
      <c r="K166" s="496"/>
      <c r="L166" s="496"/>
      <c r="M166" s="512"/>
      <c r="N166" s="501"/>
      <c r="O166" s="501"/>
      <c r="P166" s="512"/>
      <c r="R166" s="272"/>
      <c r="S166" s="272"/>
      <c r="T166" s="272"/>
    </row>
    <row r="167" spans="10:20" x14ac:dyDescent="0.2">
      <c r="J167" s="505"/>
      <c r="K167" s="505"/>
      <c r="L167" s="505"/>
      <c r="M167" s="486"/>
      <c r="N167" s="487"/>
      <c r="O167" s="487"/>
      <c r="P167" s="486"/>
      <c r="R167" s="272"/>
      <c r="S167" s="272"/>
      <c r="T167" s="272"/>
    </row>
    <row r="168" spans="10:20" x14ac:dyDescent="0.2">
      <c r="M168" s="486"/>
      <c r="P168" s="486"/>
      <c r="R168" s="272"/>
      <c r="S168" s="272"/>
      <c r="T168" s="272"/>
    </row>
    <row r="169" spans="10:20" x14ac:dyDescent="0.2">
      <c r="M169" s="486"/>
      <c r="P169" s="486"/>
      <c r="R169" s="272"/>
      <c r="S169" s="272"/>
      <c r="T169" s="272"/>
    </row>
    <row r="170" spans="10:20" x14ac:dyDescent="0.2">
      <c r="M170" s="486"/>
      <c r="P170" s="486"/>
      <c r="R170" s="272"/>
      <c r="S170" s="272"/>
      <c r="T170" s="272"/>
    </row>
    <row r="171" spans="10:20" x14ac:dyDescent="0.2">
      <c r="M171" s="486"/>
      <c r="P171" s="486"/>
      <c r="R171" s="272"/>
      <c r="S171" s="272"/>
      <c r="T171" s="272"/>
    </row>
    <row r="172" spans="10:20" x14ac:dyDescent="0.2">
      <c r="M172" s="486"/>
      <c r="P172" s="486"/>
      <c r="R172" s="272"/>
      <c r="S172" s="272"/>
      <c r="T172" s="272"/>
    </row>
    <row r="173" spans="10:20" x14ac:dyDescent="0.2">
      <c r="M173" s="486"/>
      <c r="P173" s="486"/>
      <c r="R173" s="272"/>
      <c r="S173" s="272"/>
      <c r="T173" s="272"/>
    </row>
    <row r="174" spans="10:20" x14ac:dyDescent="0.2">
      <c r="M174" s="486"/>
      <c r="P174" s="486"/>
      <c r="R174" s="272"/>
      <c r="S174" s="272"/>
      <c r="T174" s="272"/>
    </row>
    <row r="175" spans="10:20" x14ac:dyDescent="0.2">
      <c r="M175" s="486"/>
      <c r="P175" s="486"/>
      <c r="R175" s="272"/>
      <c r="S175" s="272"/>
      <c r="T175" s="272"/>
    </row>
    <row r="176" spans="10:20" x14ac:dyDescent="0.2">
      <c r="M176" s="486"/>
      <c r="P176" s="486"/>
      <c r="R176" s="272"/>
      <c r="S176" s="272"/>
      <c r="T176" s="272"/>
    </row>
    <row r="177" spans="1:20" x14ac:dyDescent="0.2">
      <c r="M177" s="486"/>
      <c r="P177" s="486"/>
      <c r="R177" s="272"/>
      <c r="S177" s="272"/>
      <c r="T177" s="272"/>
    </row>
    <row r="178" spans="1:20" ht="10.5" x14ac:dyDescent="0.25">
      <c r="K178" s="392"/>
      <c r="M178" s="486"/>
      <c r="P178" s="486"/>
      <c r="R178" s="272"/>
      <c r="S178" s="272"/>
      <c r="T178" s="272"/>
    </row>
    <row r="179" spans="1:20" ht="10.5" x14ac:dyDescent="0.25">
      <c r="K179" s="392"/>
      <c r="M179" s="486"/>
      <c r="P179" s="486"/>
      <c r="R179" s="272"/>
      <c r="S179" s="272"/>
      <c r="T179" s="272"/>
    </row>
    <row r="180" spans="1:20" ht="10.5" x14ac:dyDescent="0.25">
      <c r="K180" s="392"/>
      <c r="M180" s="486"/>
      <c r="P180" s="479"/>
      <c r="R180" s="272"/>
      <c r="S180" s="272"/>
      <c r="T180" s="272"/>
    </row>
    <row r="181" spans="1:20" x14ac:dyDescent="0.2">
      <c r="M181" s="486"/>
      <c r="P181" s="486"/>
      <c r="R181" s="272"/>
      <c r="S181" s="272"/>
      <c r="T181" s="272"/>
    </row>
    <row r="182" spans="1:20" ht="10.5" x14ac:dyDescent="0.25">
      <c r="J182" s="219"/>
      <c r="K182" s="219"/>
      <c r="L182" s="219"/>
      <c r="M182" s="507"/>
      <c r="N182" s="219"/>
      <c r="O182" s="219"/>
      <c r="P182" s="508"/>
      <c r="R182" s="272"/>
      <c r="S182" s="272"/>
      <c r="T182" s="272"/>
    </row>
    <row r="183" spans="1:20" ht="10.5" x14ac:dyDescent="0.25">
      <c r="A183" s="369"/>
      <c r="B183" s="245"/>
      <c r="C183" s="245"/>
      <c r="D183" s="392"/>
      <c r="E183" s="392"/>
      <c r="F183" s="392"/>
      <c r="G183" s="392"/>
      <c r="H183" s="392"/>
      <c r="I183" s="392"/>
      <c r="J183" s="219"/>
      <c r="K183" s="219"/>
      <c r="L183" s="219"/>
      <c r="M183" s="508"/>
      <c r="N183" s="219"/>
      <c r="O183" s="219"/>
      <c r="P183" s="508"/>
      <c r="R183" s="272"/>
      <c r="S183" s="272"/>
      <c r="T183" s="272"/>
    </row>
    <row r="184" spans="1:20" ht="10.5" x14ac:dyDescent="0.25">
      <c r="A184" s="263"/>
      <c r="B184" s="263"/>
      <c r="C184" s="263"/>
      <c r="D184" s="241"/>
      <c r="E184" s="241"/>
      <c r="F184" s="241"/>
      <c r="G184" s="241"/>
      <c r="H184" s="241"/>
      <c r="I184" s="241"/>
      <c r="J184" s="241"/>
      <c r="K184" s="241"/>
      <c r="L184" s="241"/>
      <c r="M184" s="509"/>
      <c r="N184" s="241"/>
      <c r="O184" s="241"/>
      <c r="P184" s="509"/>
      <c r="R184" s="272"/>
      <c r="S184" s="272"/>
      <c r="T184" s="272"/>
    </row>
    <row r="185" spans="1:20" ht="10.5" x14ac:dyDescent="0.25">
      <c r="A185" s="369"/>
      <c r="B185" s="245"/>
      <c r="C185" s="245"/>
      <c r="D185" s="392"/>
      <c r="E185" s="392"/>
      <c r="F185" s="392"/>
      <c r="G185" s="392"/>
      <c r="H185" s="392"/>
      <c r="I185" s="392"/>
      <c r="J185" s="219"/>
      <c r="K185" s="219"/>
      <c r="L185" s="219"/>
      <c r="M185" s="508"/>
      <c r="N185" s="219"/>
      <c r="O185" s="219"/>
      <c r="P185" s="508"/>
      <c r="R185" s="272"/>
      <c r="S185" s="272"/>
      <c r="T185" s="272"/>
    </row>
    <row r="186" spans="1:20" ht="10.5" x14ac:dyDescent="0.25">
      <c r="A186" s="369"/>
      <c r="B186" s="245"/>
      <c r="C186" s="245"/>
      <c r="D186" s="392"/>
      <c r="E186" s="392"/>
      <c r="F186" s="392"/>
      <c r="G186" s="392"/>
      <c r="H186" s="392"/>
      <c r="I186" s="392"/>
      <c r="J186" s="219"/>
      <c r="K186" s="219"/>
      <c r="L186" s="219"/>
      <c r="M186" s="508"/>
      <c r="N186" s="219"/>
      <c r="O186" s="219"/>
      <c r="P186" s="508"/>
      <c r="R186" s="272"/>
      <c r="S186" s="272"/>
      <c r="T186" s="272"/>
    </row>
    <row r="187" spans="1:20" ht="10.5" x14ac:dyDescent="0.25">
      <c r="B187" s="245"/>
      <c r="C187" s="245"/>
      <c r="D187" s="392"/>
      <c r="E187" s="392"/>
      <c r="F187" s="392"/>
      <c r="G187" s="392"/>
      <c r="H187" s="392"/>
      <c r="I187" s="392"/>
      <c r="M187" s="486"/>
      <c r="P187" s="486"/>
      <c r="R187" s="272"/>
      <c r="S187" s="272"/>
      <c r="T187" s="272"/>
    </row>
    <row r="188" spans="1:20" x14ac:dyDescent="0.2">
      <c r="M188" s="486"/>
      <c r="P188" s="486"/>
      <c r="R188" s="272"/>
      <c r="S188" s="272"/>
      <c r="T188" s="272"/>
    </row>
    <row r="189" spans="1:20" x14ac:dyDescent="0.2">
      <c r="M189" s="486"/>
      <c r="P189" s="486"/>
      <c r="R189" s="272"/>
      <c r="S189" s="272"/>
      <c r="T189" s="272"/>
    </row>
    <row r="190" spans="1:20" x14ac:dyDescent="0.2">
      <c r="M190" s="486"/>
      <c r="P190" s="486"/>
      <c r="R190" s="272"/>
      <c r="S190" s="272"/>
      <c r="T190" s="272"/>
    </row>
    <row r="191" spans="1:20" x14ac:dyDescent="0.2">
      <c r="M191" s="486"/>
      <c r="P191" s="486"/>
      <c r="R191" s="272"/>
      <c r="S191" s="272"/>
      <c r="T191" s="272"/>
    </row>
    <row r="192" spans="1:20" x14ac:dyDescent="0.2">
      <c r="M192" s="486"/>
      <c r="P192" s="486"/>
      <c r="R192" s="272"/>
      <c r="S192" s="272"/>
      <c r="T192" s="272"/>
    </row>
    <row r="193" spans="10:20" x14ac:dyDescent="0.2">
      <c r="M193" s="486"/>
      <c r="P193" s="486"/>
      <c r="R193" s="272"/>
      <c r="S193" s="272"/>
      <c r="T193" s="272"/>
    </row>
    <row r="194" spans="10:20" x14ac:dyDescent="0.2">
      <c r="J194" s="510"/>
      <c r="K194" s="510"/>
      <c r="L194" s="496"/>
      <c r="M194" s="511"/>
      <c r="N194" s="487"/>
      <c r="O194" s="487"/>
      <c r="P194" s="511"/>
      <c r="R194" s="272"/>
      <c r="S194" s="272"/>
      <c r="T194" s="272"/>
    </row>
    <row r="195" spans="10:20" x14ac:dyDescent="0.2">
      <c r="J195" s="510"/>
      <c r="K195" s="510"/>
      <c r="L195" s="496"/>
      <c r="M195" s="511"/>
      <c r="N195" s="487"/>
      <c r="O195" s="487"/>
      <c r="P195" s="511"/>
      <c r="R195" s="272"/>
      <c r="S195" s="272"/>
      <c r="T195" s="272"/>
    </row>
    <row r="196" spans="10:20" x14ac:dyDescent="0.2">
      <c r="J196" s="510"/>
      <c r="K196" s="510"/>
      <c r="L196" s="496"/>
      <c r="M196" s="511"/>
      <c r="N196" s="487"/>
      <c r="O196" s="487"/>
      <c r="P196" s="511"/>
      <c r="R196" s="272"/>
      <c r="S196" s="272"/>
      <c r="T196" s="272"/>
    </row>
    <row r="197" spans="10:20" x14ac:dyDescent="0.2">
      <c r="J197" s="510"/>
      <c r="K197" s="510"/>
      <c r="L197" s="496"/>
      <c r="M197" s="511"/>
      <c r="N197" s="487"/>
      <c r="O197" s="487"/>
      <c r="P197" s="511"/>
      <c r="R197" s="272"/>
      <c r="S197" s="272"/>
      <c r="T197" s="272"/>
    </row>
    <row r="198" spans="10:20" x14ac:dyDescent="0.2">
      <c r="J198" s="510"/>
      <c r="K198" s="510"/>
      <c r="L198" s="496"/>
      <c r="M198" s="511"/>
      <c r="N198" s="487"/>
      <c r="O198" s="487"/>
      <c r="P198" s="511"/>
      <c r="R198" s="272"/>
      <c r="S198" s="272"/>
      <c r="T198" s="272"/>
    </row>
    <row r="199" spans="10:20" x14ac:dyDescent="0.2">
      <c r="J199" s="510"/>
      <c r="K199" s="510"/>
      <c r="L199" s="496"/>
      <c r="M199" s="511"/>
      <c r="N199" s="487"/>
      <c r="O199" s="487"/>
      <c r="P199" s="511"/>
      <c r="R199" s="272"/>
      <c r="S199" s="272"/>
      <c r="T199" s="272"/>
    </row>
    <row r="200" spans="10:20" x14ac:dyDescent="0.2">
      <c r="J200" s="510"/>
      <c r="K200" s="510"/>
      <c r="L200" s="496"/>
      <c r="M200" s="511"/>
      <c r="N200" s="487"/>
      <c r="O200" s="487"/>
      <c r="P200" s="511"/>
      <c r="R200" s="272"/>
      <c r="S200" s="272"/>
      <c r="T200" s="272"/>
    </row>
    <row r="201" spans="10:20" x14ac:dyDescent="0.2">
      <c r="J201" s="510"/>
      <c r="K201" s="510"/>
      <c r="L201" s="496"/>
      <c r="M201" s="511"/>
      <c r="N201" s="487"/>
      <c r="O201" s="487"/>
      <c r="P201" s="511"/>
      <c r="R201" s="272"/>
      <c r="S201" s="272"/>
      <c r="T201" s="272"/>
    </row>
    <row r="202" spans="10:20" x14ac:dyDescent="0.2">
      <c r="J202" s="510"/>
      <c r="K202" s="510"/>
      <c r="L202" s="496"/>
      <c r="M202" s="511"/>
      <c r="N202" s="487"/>
      <c r="O202" s="487"/>
      <c r="P202" s="511"/>
      <c r="R202" s="272"/>
      <c r="S202" s="272"/>
      <c r="T202" s="272"/>
    </row>
    <row r="203" spans="10:20" x14ac:dyDescent="0.2">
      <c r="J203" s="510"/>
      <c r="K203" s="510"/>
      <c r="L203" s="496"/>
      <c r="M203" s="511"/>
      <c r="N203" s="487"/>
      <c r="O203" s="487"/>
      <c r="P203" s="511"/>
      <c r="R203" s="272"/>
      <c r="S203" s="272"/>
      <c r="T203" s="272"/>
    </row>
    <row r="204" spans="10:20" x14ac:dyDescent="0.2">
      <c r="J204" s="510"/>
      <c r="K204" s="510"/>
      <c r="L204" s="496"/>
      <c r="M204" s="511"/>
      <c r="N204" s="487"/>
      <c r="O204" s="487"/>
      <c r="P204" s="511"/>
      <c r="R204" s="272"/>
      <c r="S204" s="272"/>
      <c r="T204" s="272"/>
    </row>
    <row r="205" spans="10:20" x14ac:dyDescent="0.2">
      <c r="J205" s="510"/>
      <c r="K205" s="510"/>
      <c r="L205" s="496"/>
      <c r="M205" s="512"/>
      <c r="N205" s="501"/>
      <c r="O205" s="501"/>
      <c r="P205" s="512"/>
      <c r="R205" s="272"/>
      <c r="S205" s="272"/>
      <c r="T205" s="272"/>
    </row>
    <row r="206" spans="10:20" x14ac:dyDescent="0.2">
      <c r="J206" s="496"/>
      <c r="K206" s="496"/>
      <c r="L206" s="496"/>
      <c r="M206" s="486"/>
      <c r="N206" s="487"/>
      <c r="O206" s="487"/>
      <c r="P206" s="486"/>
      <c r="R206" s="272"/>
      <c r="S206" s="272"/>
      <c r="T206" s="272"/>
    </row>
    <row r="207" spans="10:20" x14ac:dyDescent="0.2">
      <c r="J207" s="496"/>
      <c r="K207" s="496"/>
      <c r="L207" s="496"/>
      <c r="M207" s="486"/>
      <c r="P207" s="486"/>
      <c r="R207" s="272"/>
      <c r="S207" s="272"/>
      <c r="T207" s="272"/>
    </row>
    <row r="208" spans="10:20" x14ac:dyDescent="0.2">
      <c r="J208" s="496"/>
      <c r="K208" s="496"/>
      <c r="L208" s="496"/>
      <c r="M208" s="486"/>
      <c r="P208" s="486"/>
      <c r="R208" s="272"/>
      <c r="S208" s="272"/>
      <c r="T208" s="272"/>
    </row>
    <row r="209" spans="10:20" x14ac:dyDescent="0.2">
      <c r="J209" s="496"/>
      <c r="K209" s="496"/>
      <c r="L209" s="496"/>
      <c r="M209" s="486"/>
      <c r="P209" s="486"/>
      <c r="R209" s="272"/>
      <c r="S209" s="272"/>
      <c r="T209" s="272"/>
    </row>
    <row r="210" spans="10:20" x14ac:dyDescent="0.2">
      <c r="J210" s="496"/>
      <c r="K210" s="496"/>
      <c r="L210" s="496"/>
      <c r="M210" s="479"/>
      <c r="N210" s="487"/>
      <c r="O210" s="487"/>
      <c r="P210" s="511"/>
      <c r="R210" s="499"/>
      <c r="S210" s="499"/>
      <c r="T210" s="272"/>
    </row>
    <row r="211" spans="10:20" x14ac:dyDescent="0.2">
      <c r="J211" s="496"/>
      <c r="K211" s="496"/>
      <c r="L211" s="496"/>
      <c r="M211" s="479"/>
      <c r="N211" s="487"/>
      <c r="O211" s="487"/>
      <c r="P211" s="511"/>
      <c r="R211" s="499"/>
      <c r="S211" s="499"/>
      <c r="T211" s="272"/>
    </row>
    <row r="212" spans="10:20" x14ac:dyDescent="0.2">
      <c r="J212" s="496"/>
      <c r="K212" s="496"/>
      <c r="L212" s="496"/>
      <c r="M212" s="479"/>
      <c r="N212" s="487"/>
      <c r="O212" s="487"/>
      <c r="P212" s="511"/>
      <c r="R212" s="499"/>
      <c r="S212" s="499"/>
      <c r="T212" s="272"/>
    </row>
    <row r="213" spans="10:20" x14ac:dyDescent="0.2">
      <c r="J213" s="496"/>
      <c r="K213" s="496"/>
      <c r="L213" s="496"/>
      <c r="M213" s="479"/>
      <c r="N213" s="487"/>
      <c r="O213" s="487"/>
      <c r="P213" s="511"/>
      <c r="R213" s="499"/>
      <c r="S213" s="499"/>
      <c r="T213" s="272"/>
    </row>
    <row r="214" spans="10:20" x14ac:dyDescent="0.2">
      <c r="J214" s="496"/>
      <c r="K214" s="496"/>
      <c r="L214" s="496"/>
      <c r="M214" s="479"/>
      <c r="N214" s="487"/>
      <c r="O214" s="487"/>
      <c r="P214" s="511"/>
      <c r="R214" s="499"/>
      <c r="S214" s="499"/>
      <c r="T214" s="272"/>
    </row>
    <row r="215" spans="10:20" x14ac:dyDescent="0.2">
      <c r="J215" s="496"/>
      <c r="K215" s="496"/>
      <c r="L215" s="496"/>
      <c r="M215" s="479"/>
      <c r="N215" s="487"/>
      <c r="O215" s="487"/>
      <c r="P215" s="511"/>
      <c r="R215" s="499"/>
      <c r="S215" s="499"/>
      <c r="T215" s="272"/>
    </row>
    <row r="216" spans="10:20" x14ac:dyDescent="0.2">
      <c r="J216" s="496"/>
      <c r="K216" s="496"/>
      <c r="L216" s="496"/>
      <c r="M216" s="479"/>
      <c r="N216" s="487"/>
      <c r="O216" s="487"/>
      <c r="P216" s="511"/>
      <c r="R216" s="499"/>
      <c r="S216" s="499"/>
      <c r="T216" s="272"/>
    </row>
    <row r="217" spans="10:20" x14ac:dyDescent="0.2">
      <c r="J217" s="496"/>
      <c r="K217" s="496"/>
      <c r="L217" s="496"/>
      <c r="M217" s="479"/>
      <c r="N217" s="487"/>
      <c r="O217" s="487"/>
      <c r="P217" s="511"/>
      <c r="R217" s="499"/>
      <c r="S217" s="499"/>
      <c r="T217" s="272"/>
    </row>
    <row r="218" spans="10:20" x14ac:dyDescent="0.2">
      <c r="J218" s="496"/>
      <c r="K218" s="496"/>
      <c r="L218" s="496"/>
      <c r="M218" s="479"/>
      <c r="N218" s="487"/>
      <c r="O218" s="487"/>
      <c r="P218" s="511"/>
      <c r="R218" s="499"/>
      <c r="S218" s="499"/>
      <c r="T218" s="272"/>
    </row>
    <row r="219" spans="10:20" x14ac:dyDescent="0.2">
      <c r="J219" s="496"/>
      <c r="K219" s="496"/>
      <c r="L219" s="496"/>
      <c r="M219" s="479"/>
      <c r="N219" s="487"/>
      <c r="O219" s="487"/>
      <c r="P219" s="511"/>
      <c r="R219" s="499"/>
      <c r="S219" s="499"/>
      <c r="T219" s="272"/>
    </row>
    <row r="220" spans="10:20" x14ac:dyDescent="0.2">
      <c r="J220" s="496"/>
      <c r="K220" s="496"/>
      <c r="L220" s="496"/>
      <c r="M220" s="479"/>
      <c r="N220" s="487"/>
      <c r="O220" s="487"/>
      <c r="P220" s="511"/>
      <c r="R220" s="499"/>
      <c r="S220" s="499"/>
      <c r="T220" s="272"/>
    </row>
    <row r="221" spans="10:20" x14ac:dyDescent="0.2">
      <c r="J221" s="496"/>
      <c r="K221" s="496"/>
      <c r="L221" s="496"/>
      <c r="M221" s="500"/>
      <c r="N221" s="501"/>
      <c r="O221" s="501"/>
      <c r="P221" s="512"/>
      <c r="R221" s="503"/>
      <c r="S221" s="503"/>
      <c r="T221" s="272"/>
    </row>
    <row r="222" spans="10:20" x14ac:dyDescent="0.2">
      <c r="J222" s="505"/>
      <c r="K222" s="505"/>
      <c r="L222" s="505"/>
      <c r="M222" s="486"/>
      <c r="N222" s="487"/>
      <c r="O222" s="487"/>
      <c r="P222" s="486"/>
      <c r="R222" s="506"/>
      <c r="S222" s="506"/>
      <c r="T222" s="272"/>
    </row>
    <row r="223" spans="10:20" x14ac:dyDescent="0.2">
      <c r="M223" s="486"/>
      <c r="P223" s="486"/>
      <c r="R223" s="272"/>
      <c r="S223" s="272"/>
      <c r="T223" s="272"/>
    </row>
    <row r="224" spans="10:20" x14ac:dyDescent="0.2">
      <c r="M224" s="486"/>
      <c r="P224" s="486"/>
      <c r="R224" s="272"/>
      <c r="S224" s="272"/>
      <c r="T224" s="272"/>
    </row>
    <row r="225" spans="1:20" x14ac:dyDescent="0.2">
      <c r="M225" s="486"/>
      <c r="P225" s="486"/>
      <c r="R225" s="272"/>
      <c r="S225" s="272"/>
      <c r="T225" s="272"/>
    </row>
    <row r="226" spans="1:20" x14ac:dyDescent="0.2">
      <c r="M226" s="486"/>
      <c r="P226" s="486"/>
      <c r="R226" s="272"/>
      <c r="S226" s="272"/>
      <c r="T226" s="272"/>
    </row>
    <row r="227" spans="1:20" x14ac:dyDescent="0.2">
      <c r="M227" s="486"/>
      <c r="P227" s="486"/>
      <c r="R227" s="272"/>
      <c r="S227" s="272"/>
      <c r="T227" s="272"/>
    </row>
    <row r="228" spans="1:20" x14ac:dyDescent="0.2">
      <c r="M228" s="486"/>
      <c r="P228" s="486"/>
      <c r="R228" s="272"/>
      <c r="S228" s="272"/>
      <c r="T228" s="272"/>
    </row>
    <row r="229" spans="1:20" x14ac:dyDescent="0.2">
      <c r="M229" s="486"/>
      <c r="P229" s="486"/>
      <c r="R229" s="272"/>
      <c r="S229" s="272"/>
      <c r="T229" s="272"/>
    </row>
    <row r="230" spans="1:20" x14ac:dyDescent="0.2">
      <c r="M230" s="486"/>
      <c r="P230" s="486"/>
      <c r="R230" s="272"/>
      <c r="S230" s="272"/>
      <c r="T230" s="272"/>
    </row>
    <row r="231" spans="1:20" x14ac:dyDescent="0.2">
      <c r="M231" s="486"/>
      <c r="P231" s="486"/>
      <c r="R231" s="272"/>
      <c r="S231" s="272"/>
      <c r="T231" s="272"/>
    </row>
    <row r="232" spans="1:20" x14ac:dyDescent="0.2">
      <c r="M232" s="486"/>
      <c r="P232" s="486"/>
      <c r="R232" s="272"/>
      <c r="S232" s="272"/>
      <c r="T232" s="272"/>
    </row>
    <row r="233" spans="1:20" ht="10.5" x14ac:dyDescent="0.25">
      <c r="K233" s="392"/>
      <c r="M233" s="486"/>
      <c r="P233" s="486"/>
      <c r="R233" s="272"/>
      <c r="S233" s="272"/>
      <c r="T233" s="272"/>
    </row>
    <row r="234" spans="1:20" ht="10.5" x14ac:dyDescent="0.25">
      <c r="K234" s="392"/>
      <c r="M234" s="486"/>
      <c r="P234" s="486"/>
      <c r="R234" s="272"/>
      <c r="S234" s="272"/>
      <c r="T234" s="272"/>
    </row>
    <row r="235" spans="1:20" ht="10.5" x14ac:dyDescent="0.25">
      <c r="K235" s="392"/>
      <c r="M235" s="486"/>
      <c r="P235" s="479"/>
      <c r="R235" s="272"/>
      <c r="S235" s="272"/>
      <c r="T235" s="272"/>
    </row>
    <row r="236" spans="1:20" x14ac:dyDescent="0.2">
      <c r="M236" s="486"/>
      <c r="P236" s="486"/>
      <c r="R236" s="272"/>
      <c r="S236" s="272"/>
      <c r="T236" s="272"/>
    </row>
    <row r="237" spans="1:20" ht="10.5" x14ac:dyDescent="0.25">
      <c r="J237" s="219"/>
      <c r="K237" s="219"/>
      <c r="L237" s="219"/>
      <c r="M237" s="507"/>
      <c r="N237" s="219"/>
      <c r="O237" s="219"/>
      <c r="P237" s="508"/>
      <c r="R237" s="272"/>
      <c r="S237" s="272"/>
      <c r="T237" s="272"/>
    </row>
    <row r="238" spans="1:20" ht="10.5" x14ac:dyDescent="0.25">
      <c r="A238" s="369"/>
      <c r="B238" s="245"/>
      <c r="C238" s="245"/>
      <c r="D238" s="392"/>
      <c r="E238" s="392"/>
      <c r="F238" s="392"/>
      <c r="G238" s="392"/>
      <c r="H238" s="392"/>
      <c r="I238" s="392"/>
      <c r="J238" s="219"/>
      <c r="K238" s="219"/>
      <c r="L238" s="219"/>
      <c r="M238" s="508"/>
      <c r="N238" s="219"/>
      <c r="O238" s="219"/>
      <c r="P238" s="508"/>
      <c r="R238" s="272"/>
      <c r="S238" s="272"/>
      <c r="T238" s="272"/>
    </row>
    <row r="239" spans="1:20" ht="10.5" x14ac:dyDescent="0.25">
      <c r="A239" s="263"/>
      <c r="B239" s="263"/>
      <c r="C239" s="263"/>
      <c r="D239" s="241"/>
      <c r="E239" s="241"/>
      <c r="F239" s="241"/>
      <c r="G239" s="241"/>
      <c r="H239" s="241"/>
      <c r="I239" s="241"/>
      <c r="J239" s="241"/>
      <c r="K239" s="241"/>
      <c r="L239" s="241"/>
      <c r="M239" s="509"/>
      <c r="N239" s="241"/>
      <c r="O239" s="241"/>
      <c r="P239" s="509"/>
      <c r="R239" s="272"/>
      <c r="S239" s="272"/>
      <c r="T239" s="272"/>
    </row>
    <row r="240" spans="1:20" ht="10.5" x14ac:dyDescent="0.25">
      <c r="A240" s="369"/>
      <c r="B240" s="245"/>
      <c r="C240" s="245"/>
      <c r="D240" s="392"/>
      <c r="E240" s="392"/>
      <c r="F240" s="392"/>
      <c r="G240" s="392"/>
      <c r="H240" s="392"/>
      <c r="I240" s="392"/>
      <c r="J240" s="219"/>
      <c r="K240" s="219"/>
      <c r="L240" s="219"/>
      <c r="M240" s="508"/>
      <c r="N240" s="219"/>
      <c r="O240" s="219"/>
      <c r="P240" s="508"/>
      <c r="R240" s="272"/>
      <c r="S240" s="272"/>
      <c r="T240" s="272"/>
    </row>
    <row r="241" spans="1:20" ht="10.5" x14ac:dyDescent="0.25">
      <c r="A241" s="369"/>
      <c r="B241" s="245"/>
      <c r="C241" s="245"/>
      <c r="D241" s="392"/>
      <c r="E241" s="392"/>
      <c r="F241" s="392"/>
      <c r="G241" s="392"/>
      <c r="H241" s="392"/>
      <c r="I241" s="392"/>
      <c r="J241" s="219"/>
      <c r="K241" s="219"/>
      <c r="L241" s="219"/>
      <c r="M241" s="508"/>
      <c r="N241" s="219"/>
      <c r="O241" s="219"/>
      <c r="P241" s="508"/>
      <c r="R241" s="272"/>
      <c r="S241" s="272"/>
      <c r="T241" s="272"/>
    </row>
    <row r="242" spans="1:20" ht="10.5" x14ac:dyDescent="0.25">
      <c r="B242" s="245"/>
      <c r="C242" s="245"/>
      <c r="D242" s="392"/>
      <c r="E242" s="392"/>
      <c r="F242" s="392"/>
      <c r="G242" s="392"/>
      <c r="H242" s="392"/>
      <c r="I242" s="392"/>
      <c r="M242" s="486"/>
      <c r="P242" s="486"/>
      <c r="R242" s="272"/>
      <c r="S242" s="272"/>
      <c r="T242" s="272"/>
    </row>
    <row r="243" spans="1:20" x14ac:dyDescent="0.2">
      <c r="M243" s="486"/>
      <c r="P243" s="486"/>
      <c r="R243" s="272"/>
      <c r="S243" s="272"/>
      <c r="T243" s="272"/>
    </row>
    <row r="244" spans="1:20" x14ac:dyDescent="0.2">
      <c r="M244" s="486"/>
      <c r="P244" s="486"/>
      <c r="R244" s="272"/>
      <c r="S244" s="272"/>
      <c r="T244" s="272"/>
    </row>
    <row r="245" spans="1:20" x14ac:dyDescent="0.2">
      <c r="M245" s="486"/>
      <c r="P245" s="486"/>
      <c r="R245" s="272"/>
      <c r="S245" s="272"/>
      <c r="T245" s="272"/>
    </row>
    <row r="246" spans="1:20" x14ac:dyDescent="0.2">
      <c r="M246" s="486"/>
      <c r="P246" s="486"/>
      <c r="R246" s="272"/>
      <c r="S246" s="272"/>
      <c r="T246" s="272"/>
    </row>
    <row r="247" spans="1:20" x14ac:dyDescent="0.2">
      <c r="M247" s="486"/>
      <c r="P247" s="486"/>
      <c r="R247" s="272"/>
      <c r="S247" s="272"/>
      <c r="T247" s="272"/>
    </row>
    <row r="248" spans="1:20" x14ac:dyDescent="0.2">
      <c r="M248" s="486"/>
      <c r="P248" s="486"/>
      <c r="R248" s="272"/>
      <c r="S248" s="272"/>
      <c r="T248" s="272"/>
    </row>
    <row r="249" spans="1:20" x14ac:dyDescent="0.2">
      <c r="J249" s="496"/>
      <c r="K249" s="496"/>
      <c r="L249" s="496"/>
      <c r="M249" s="511"/>
      <c r="N249" s="487"/>
      <c r="O249" s="487"/>
      <c r="P249" s="511"/>
      <c r="R249" s="272"/>
      <c r="S249" s="272"/>
      <c r="T249" s="272"/>
    </row>
    <row r="250" spans="1:20" x14ac:dyDescent="0.2">
      <c r="J250" s="496"/>
      <c r="K250" s="496"/>
      <c r="L250" s="496"/>
      <c r="M250" s="511"/>
      <c r="N250" s="487"/>
      <c r="O250" s="487"/>
      <c r="P250" s="511"/>
      <c r="R250" s="272"/>
      <c r="S250" s="272"/>
      <c r="T250" s="272"/>
    </row>
    <row r="251" spans="1:20" x14ac:dyDescent="0.2">
      <c r="J251" s="496"/>
      <c r="K251" s="496"/>
      <c r="L251" s="496"/>
      <c r="M251" s="511"/>
      <c r="N251" s="487"/>
      <c r="O251" s="487"/>
      <c r="P251" s="511"/>
      <c r="R251" s="272"/>
      <c r="S251" s="272"/>
      <c r="T251" s="272"/>
    </row>
    <row r="252" spans="1:20" x14ac:dyDescent="0.2">
      <c r="J252" s="496"/>
      <c r="K252" s="496"/>
      <c r="L252" s="496"/>
      <c r="M252" s="511"/>
      <c r="N252" s="487"/>
      <c r="O252" s="487"/>
      <c r="P252" s="511"/>
      <c r="R252" s="272"/>
      <c r="S252" s="272"/>
      <c r="T252" s="272"/>
    </row>
    <row r="253" spans="1:20" x14ac:dyDescent="0.2">
      <c r="J253" s="496"/>
      <c r="K253" s="496"/>
      <c r="L253" s="496"/>
      <c r="M253" s="511"/>
      <c r="N253" s="487"/>
      <c r="O253" s="487"/>
      <c r="P253" s="511"/>
      <c r="R253" s="272"/>
      <c r="S253" s="272"/>
      <c r="T253" s="272"/>
    </row>
    <row r="254" spans="1:20" x14ac:dyDescent="0.2">
      <c r="J254" s="496"/>
      <c r="K254" s="496"/>
      <c r="L254" s="496"/>
      <c r="M254" s="511"/>
      <c r="N254" s="487"/>
      <c r="O254" s="487"/>
      <c r="P254" s="511"/>
      <c r="R254" s="272"/>
      <c r="S254" s="272"/>
      <c r="T254" s="272"/>
    </row>
    <row r="255" spans="1:20" x14ac:dyDescent="0.2">
      <c r="J255" s="496"/>
      <c r="K255" s="496"/>
      <c r="L255" s="496"/>
      <c r="M255" s="511"/>
      <c r="N255" s="487"/>
      <c r="O255" s="487"/>
      <c r="P255" s="511"/>
      <c r="R255" s="272"/>
      <c r="S255" s="272"/>
      <c r="T255" s="272"/>
    </row>
    <row r="256" spans="1:20" x14ac:dyDescent="0.2">
      <c r="J256" s="496"/>
      <c r="K256" s="496"/>
      <c r="L256" s="496"/>
      <c r="M256" s="511"/>
      <c r="N256" s="487"/>
      <c r="O256" s="487"/>
      <c r="P256" s="511"/>
      <c r="R256" s="272"/>
      <c r="S256" s="272"/>
      <c r="T256" s="272"/>
    </row>
    <row r="257" spans="10:20" x14ac:dyDescent="0.2">
      <c r="J257" s="496"/>
      <c r="K257" s="496"/>
      <c r="L257" s="496"/>
      <c r="M257" s="511"/>
      <c r="N257" s="487"/>
      <c r="O257" s="487"/>
      <c r="P257" s="511"/>
      <c r="R257" s="272"/>
      <c r="S257" s="272"/>
      <c r="T257" s="272"/>
    </row>
    <row r="258" spans="10:20" x14ac:dyDescent="0.2">
      <c r="J258" s="496"/>
      <c r="K258" s="496"/>
      <c r="L258" s="496"/>
      <c r="M258" s="511"/>
      <c r="N258" s="487"/>
      <c r="O258" s="487"/>
      <c r="P258" s="511"/>
      <c r="R258" s="272"/>
      <c r="S258" s="272"/>
      <c r="T258" s="272"/>
    </row>
    <row r="259" spans="10:20" x14ac:dyDescent="0.2">
      <c r="J259" s="496"/>
      <c r="K259" s="496"/>
      <c r="L259" s="496"/>
      <c r="M259" s="511"/>
      <c r="N259" s="487"/>
      <c r="O259" s="487"/>
      <c r="P259" s="511"/>
      <c r="R259" s="272"/>
      <c r="S259" s="272"/>
      <c r="T259" s="272"/>
    </row>
    <row r="260" spans="10:20" x14ac:dyDescent="0.2">
      <c r="J260" s="496"/>
      <c r="K260" s="496"/>
      <c r="L260" s="496"/>
      <c r="M260" s="512"/>
      <c r="N260" s="501"/>
      <c r="O260" s="501"/>
      <c r="P260" s="512"/>
      <c r="R260" s="272"/>
      <c r="S260" s="272"/>
      <c r="T260" s="272"/>
    </row>
    <row r="261" spans="10:20" x14ac:dyDescent="0.2">
      <c r="J261" s="496"/>
      <c r="K261" s="496"/>
      <c r="L261" s="496"/>
      <c r="M261" s="486"/>
      <c r="N261" s="487"/>
      <c r="O261" s="487"/>
      <c r="P261" s="486"/>
      <c r="R261" s="272"/>
      <c r="S261" s="272"/>
      <c r="T261" s="272"/>
    </row>
    <row r="262" spans="10:20" x14ac:dyDescent="0.2">
      <c r="J262" s="496"/>
      <c r="K262" s="496"/>
      <c r="L262" s="496"/>
      <c r="M262" s="486"/>
      <c r="P262" s="486"/>
      <c r="R262" s="272"/>
      <c r="S262" s="272"/>
      <c r="T262" s="272"/>
    </row>
    <row r="263" spans="10:20" x14ac:dyDescent="0.2">
      <c r="J263" s="496"/>
      <c r="K263" s="496"/>
      <c r="L263" s="496"/>
      <c r="M263" s="486"/>
      <c r="P263" s="486"/>
      <c r="R263" s="272"/>
      <c r="S263" s="272"/>
      <c r="T263" s="272"/>
    </row>
    <row r="264" spans="10:20" x14ac:dyDescent="0.2">
      <c r="J264" s="496"/>
      <c r="K264" s="496"/>
      <c r="L264" s="496"/>
      <c r="M264" s="486"/>
      <c r="P264" s="486"/>
      <c r="R264" s="272"/>
      <c r="S264" s="272"/>
      <c r="T264" s="272"/>
    </row>
    <row r="265" spans="10:20" x14ac:dyDescent="0.2">
      <c r="J265" s="496"/>
      <c r="K265" s="496"/>
      <c r="L265" s="496"/>
      <c r="M265" s="511"/>
      <c r="N265" s="487"/>
      <c r="O265" s="487"/>
      <c r="P265" s="511"/>
      <c r="R265" s="272"/>
      <c r="S265" s="272"/>
      <c r="T265" s="272"/>
    </row>
    <row r="266" spans="10:20" x14ac:dyDescent="0.2">
      <c r="J266" s="496"/>
      <c r="K266" s="496"/>
      <c r="L266" s="496"/>
      <c r="M266" s="511"/>
      <c r="N266" s="487"/>
      <c r="O266" s="487"/>
      <c r="P266" s="511"/>
      <c r="R266" s="272"/>
      <c r="S266" s="272"/>
      <c r="T266" s="272"/>
    </row>
    <row r="267" spans="10:20" x14ac:dyDescent="0.2">
      <c r="J267" s="496"/>
      <c r="K267" s="496"/>
      <c r="L267" s="496"/>
      <c r="M267" s="511"/>
      <c r="N267" s="487"/>
      <c r="O267" s="487"/>
      <c r="P267" s="511"/>
      <c r="R267" s="272"/>
      <c r="S267" s="272"/>
      <c r="T267" s="272"/>
    </row>
    <row r="268" spans="10:20" x14ac:dyDescent="0.2">
      <c r="J268" s="496"/>
      <c r="K268" s="496"/>
      <c r="L268" s="496"/>
      <c r="M268" s="511"/>
      <c r="N268" s="487"/>
      <c r="O268" s="487"/>
      <c r="P268" s="511"/>
      <c r="R268" s="272"/>
      <c r="S268" s="272"/>
      <c r="T268" s="272"/>
    </row>
    <row r="269" spans="10:20" x14ac:dyDescent="0.2">
      <c r="J269" s="496"/>
      <c r="K269" s="496"/>
      <c r="L269" s="496"/>
      <c r="M269" s="511"/>
      <c r="N269" s="487"/>
      <c r="O269" s="487"/>
      <c r="P269" s="511"/>
      <c r="R269" s="272"/>
      <c r="S269" s="272"/>
      <c r="T269" s="272"/>
    </row>
    <row r="270" spans="10:20" x14ac:dyDescent="0.2">
      <c r="J270" s="496"/>
      <c r="K270" s="496"/>
      <c r="L270" s="496"/>
      <c r="M270" s="511"/>
      <c r="N270" s="487"/>
      <c r="O270" s="487"/>
      <c r="P270" s="511"/>
      <c r="R270" s="272"/>
      <c r="S270" s="272"/>
      <c r="T270" s="272"/>
    </row>
    <row r="271" spans="10:20" x14ac:dyDescent="0.2">
      <c r="J271" s="496"/>
      <c r="K271" s="496"/>
      <c r="L271" s="496"/>
      <c r="M271" s="511"/>
      <c r="N271" s="487"/>
      <c r="O271" s="487"/>
      <c r="P271" s="511"/>
      <c r="R271" s="272"/>
      <c r="S271" s="272"/>
      <c r="T271" s="272"/>
    </row>
    <row r="272" spans="10:20" x14ac:dyDescent="0.2">
      <c r="J272" s="496"/>
      <c r="K272" s="496"/>
      <c r="L272" s="496"/>
      <c r="M272" s="511"/>
      <c r="N272" s="487"/>
      <c r="O272" s="487"/>
      <c r="P272" s="511"/>
      <c r="R272" s="272"/>
      <c r="S272" s="272"/>
      <c r="T272" s="272"/>
    </row>
    <row r="273" spans="10:20" x14ac:dyDescent="0.2">
      <c r="J273" s="496"/>
      <c r="K273" s="496"/>
      <c r="L273" s="496"/>
      <c r="M273" s="511"/>
      <c r="N273" s="487"/>
      <c r="O273" s="487"/>
      <c r="P273" s="511"/>
      <c r="R273" s="272"/>
      <c r="S273" s="272"/>
      <c r="T273" s="272"/>
    </row>
    <row r="274" spans="10:20" x14ac:dyDescent="0.2">
      <c r="J274" s="496"/>
      <c r="K274" s="496"/>
      <c r="L274" s="496"/>
      <c r="M274" s="511"/>
      <c r="N274" s="487"/>
      <c r="O274" s="487"/>
      <c r="P274" s="511"/>
      <c r="R274" s="272"/>
      <c r="S274" s="272"/>
      <c r="T274" s="272"/>
    </row>
    <row r="275" spans="10:20" x14ac:dyDescent="0.2">
      <c r="J275" s="496"/>
      <c r="K275" s="496"/>
      <c r="L275" s="496"/>
      <c r="M275" s="511"/>
      <c r="N275" s="487"/>
      <c r="O275" s="487"/>
      <c r="P275" s="511"/>
      <c r="R275" s="272"/>
      <c r="S275" s="272"/>
      <c r="T275" s="272"/>
    </row>
    <row r="276" spans="10:20" x14ac:dyDescent="0.2">
      <c r="J276" s="496"/>
      <c r="K276" s="496"/>
      <c r="L276" s="496"/>
      <c r="M276" s="512"/>
      <c r="N276" s="501"/>
      <c r="O276" s="501"/>
      <c r="P276" s="512"/>
      <c r="R276" s="272"/>
      <c r="S276" s="272"/>
      <c r="T276" s="272"/>
    </row>
    <row r="277" spans="10:20" x14ac:dyDescent="0.2">
      <c r="J277" s="505"/>
      <c r="K277" s="505"/>
      <c r="L277" s="505"/>
      <c r="M277" s="486"/>
      <c r="N277" s="487"/>
      <c r="O277" s="487"/>
      <c r="P277" s="486"/>
      <c r="R277" s="272"/>
      <c r="S277" s="272"/>
      <c r="T277" s="272"/>
    </row>
    <row r="278" spans="10:20" x14ac:dyDescent="0.2">
      <c r="J278" s="505"/>
      <c r="K278" s="505"/>
      <c r="L278" s="505"/>
      <c r="M278" s="486"/>
      <c r="N278" s="487"/>
      <c r="O278" s="487"/>
      <c r="P278" s="486"/>
      <c r="R278" s="272"/>
      <c r="S278" s="272"/>
      <c r="T278" s="272"/>
    </row>
    <row r="279" spans="10:20" x14ac:dyDescent="0.2">
      <c r="J279" s="505"/>
      <c r="K279" s="505"/>
      <c r="L279" s="505"/>
      <c r="M279" s="486"/>
      <c r="N279" s="487"/>
      <c r="O279" s="487"/>
      <c r="P279" s="486"/>
      <c r="R279" s="272"/>
      <c r="S279" s="272"/>
      <c r="T279" s="272"/>
    </row>
    <row r="280" spans="10:20" x14ac:dyDescent="0.2">
      <c r="J280" s="505"/>
      <c r="K280" s="505"/>
      <c r="L280" s="505"/>
      <c r="M280" s="486"/>
      <c r="N280" s="487"/>
      <c r="O280" s="487"/>
      <c r="P280" s="486"/>
      <c r="R280" s="272"/>
      <c r="S280" s="272"/>
      <c r="T280" s="272"/>
    </row>
    <row r="281" spans="10:20" x14ac:dyDescent="0.2">
      <c r="J281" s="505"/>
      <c r="K281" s="505"/>
      <c r="L281" s="505"/>
      <c r="M281" s="486"/>
      <c r="N281" s="487"/>
      <c r="O281" s="487"/>
      <c r="P281" s="486"/>
      <c r="R281" s="272"/>
      <c r="S281" s="272"/>
      <c r="T281" s="272"/>
    </row>
    <row r="282" spans="10:20" x14ac:dyDescent="0.2">
      <c r="J282" s="505"/>
      <c r="K282" s="505"/>
      <c r="L282" s="505"/>
      <c r="M282" s="486"/>
      <c r="N282" s="487"/>
      <c r="O282" s="487"/>
      <c r="P282" s="486"/>
      <c r="R282" s="272"/>
      <c r="S282" s="272"/>
      <c r="T282" s="272"/>
    </row>
    <row r="283" spans="10:20" x14ac:dyDescent="0.2">
      <c r="J283" s="505"/>
      <c r="K283" s="505"/>
      <c r="L283" s="505"/>
      <c r="M283" s="486"/>
      <c r="N283" s="487"/>
      <c r="O283" s="487"/>
      <c r="P283" s="486"/>
      <c r="R283" s="272"/>
      <c r="S283" s="272"/>
      <c r="T283" s="272"/>
    </row>
    <row r="284" spans="10:20" x14ac:dyDescent="0.2">
      <c r="J284" s="505"/>
      <c r="K284" s="505"/>
      <c r="L284" s="505"/>
      <c r="M284" s="486"/>
      <c r="N284" s="487"/>
      <c r="O284" s="487"/>
      <c r="P284" s="486"/>
      <c r="R284" s="272"/>
      <c r="S284" s="272"/>
      <c r="T284" s="272"/>
    </row>
    <row r="285" spans="10:20" x14ac:dyDescent="0.2">
      <c r="M285" s="486"/>
      <c r="P285" s="486"/>
      <c r="R285" s="272"/>
      <c r="S285" s="272"/>
      <c r="T285" s="272"/>
    </row>
    <row r="286" spans="10:20" x14ac:dyDescent="0.2">
      <c r="M286" s="486"/>
      <c r="P286" s="486"/>
      <c r="R286" s="272"/>
      <c r="S286" s="272"/>
      <c r="T286" s="272"/>
    </row>
    <row r="287" spans="10:20" x14ac:dyDescent="0.2">
      <c r="M287" s="486"/>
      <c r="P287" s="486"/>
      <c r="R287" s="272"/>
      <c r="S287" s="272"/>
      <c r="T287" s="272"/>
    </row>
    <row r="288" spans="10:20" ht="10.5" x14ac:dyDescent="0.25">
      <c r="K288" s="392"/>
      <c r="M288" s="486"/>
      <c r="P288" s="486"/>
      <c r="R288" s="272"/>
      <c r="S288" s="272"/>
      <c r="T288" s="272"/>
    </row>
    <row r="289" spans="1:20" ht="10.5" x14ac:dyDescent="0.25">
      <c r="K289" s="392"/>
      <c r="M289" s="486"/>
      <c r="P289" s="486"/>
      <c r="R289" s="272"/>
      <c r="S289" s="272"/>
      <c r="T289" s="272"/>
    </row>
    <row r="290" spans="1:20" ht="10.5" x14ac:dyDescent="0.25">
      <c r="K290" s="392"/>
      <c r="M290" s="486"/>
      <c r="P290" s="479"/>
      <c r="R290" s="272"/>
      <c r="S290" s="272"/>
      <c r="T290" s="272"/>
    </row>
    <row r="291" spans="1:20" x14ac:dyDescent="0.2">
      <c r="M291" s="486"/>
      <c r="P291" s="486"/>
      <c r="R291" s="272"/>
      <c r="S291" s="272"/>
      <c r="T291" s="272"/>
    </row>
    <row r="292" spans="1:20" ht="10.5" x14ac:dyDescent="0.25">
      <c r="J292" s="219"/>
      <c r="K292" s="219"/>
      <c r="L292" s="219"/>
      <c r="M292" s="507"/>
      <c r="N292" s="219"/>
      <c r="O292" s="219"/>
      <c r="P292" s="508"/>
      <c r="R292" s="272"/>
      <c r="S292" s="272"/>
      <c r="T292" s="272"/>
    </row>
    <row r="293" spans="1:20" ht="10.5" x14ac:dyDescent="0.25">
      <c r="A293" s="369"/>
      <c r="B293" s="245"/>
      <c r="C293" s="245"/>
      <c r="D293" s="392"/>
      <c r="E293" s="392"/>
      <c r="F293" s="392"/>
      <c r="G293" s="392"/>
      <c r="H293" s="392"/>
      <c r="I293" s="392"/>
      <c r="J293" s="219"/>
      <c r="K293" s="219"/>
      <c r="L293" s="219"/>
      <c r="M293" s="508"/>
      <c r="N293" s="219"/>
      <c r="O293" s="219"/>
      <c r="P293" s="508"/>
      <c r="R293" s="272"/>
      <c r="S293" s="272"/>
      <c r="T293" s="272"/>
    </row>
    <row r="294" spans="1:20" ht="10.5" x14ac:dyDescent="0.25">
      <c r="A294" s="263"/>
      <c r="B294" s="263"/>
      <c r="C294" s="263"/>
      <c r="D294" s="241"/>
      <c r="E294" s="241"/>
      <c r="F294" s="241"/>
      <c r="G294" s="241"/>
      <c r="H294" s="241"/>
      <c r="I294" s="241"/>
      <c r="J294" s="241"/>
      <c r="K294" s="241"/>
      <c r="L294" s="241"/>
      <c r="M294" s="509"/>
      <c r="N294" s="241"/>
      <c r="O294" s="241"/>
      <c r="P294" s="509"/>
      <c r="R294" s="272"/>
      <c r="S294" s="272"/>
      <c r="T294" s="272"/>
    </row>
    <row r="295" spans="1:20" ht="10.5" x14ac:dyDescent="0.25">
      <c r="A295" s="369"/>
      <c r="B295" s="245"/>
      <c r="C295" s="245"/>
      <c r="D295" s="392"/>
      <c r="E295" s="392"/>
      <c r="F295" s="392"/>
      <c r="G295" s="392"/>
      <c r="H295" s="392"/>
      <c r="I295" s="392"/>
      <c r="J295" s="219"/>
      <c r="K295" s="219"/>
      <c r="L295" s="219"/>
      <c r="M295" s="508"/>
      <c r="N295" s="219"/>
      <c r="O295" s="219"/>
      <c r="P295" s="508"/>
      <c r="R295" s="272"/>
      <c r="S295" s="272"/>
      <c r="T295" s="272"/>
    </row>
    <row r="296" spans="1:20" ht="10.5" x14ac:dyDescent="0.25">
      <c r="A296" s="369"/>
      <c r="B296" s="245"/>
      <c r="C296" s="245"/>
      <c r="D296" s="392"/>
      <c r="E296" s="392"/>
      <c r="F296" s="392"/>
      <c r="G296" s="392"/>
      <c r="H296" s="392"/>
      <c r="I296" s="392"/>
      <c r="J296" s="219"/>
      <c r="K296" s="219"/>
      <c r="L296" s="219"/>
      <c r="M296" s="508"/>
      <c r="N296" s="219"/>
      <c r="O296" s="219"/>
      <c r="P296" s="508"/>
      <c r="R296" s="272"/>
      <c r="S296" s="272"/>
      <c r="T296" s="272"/>
    </row>
    <row r="297" spans="1:20" ht="10.5" x14ac:dyDescent="0.25">
      <c r="B297" s="245"/>
      <c r="C297" s="245"/>
      <c r="D297" s="392"/>
      <c r="E297" s="392"/>
      <c r="F297" s="392"/>
      <c r="G297" s="392"/>
      <c r="H297" s="392"/>
      <c r="I297" s="392"/>
      <c r="M297" s="486"/>
      <c r="P297" s="486"/>
      <c r="R297" s="272"/>
      <c r="S297" s="272"/>
      <c r="T297" s="272"/>
    </row>
    <row r="298" spans="1:20" x14ac:dyDescent="0.2">
      <c r="M298" s="486"/>
      <c r="P298" s="486"/>
      <c r="R298" s="272"/>
      <c r="S298" s="272"/>
      <c r="T298" s="272"/>
    </row>
    <row r="299" spans="1:20" x14ac:dyDescent="0.2">
      <c r="M299" s="486"/>
      <c r="P299" s="486"/>
      <c r="R299" s="272"/>
      <c r="S299" s="272"/>
      <c r="T299" s="272"/>
    </row>
    <row r="300" spans="1:20" x14ac:dyDescent="0.2">
      <c r="M300" s="486"/>
      <c r="P300" s="486"/>
      <c r="R300" s="272"/>
      <c r="S300" s="272"/>
      <c r="T300" s="272"/>
    </row>
    <row r="301" spans="1:20" x14ac:dyDescent="0.2">
      <c r="M301" s="486"/>
      <c r="P301" s="486"/>
      <c r="R301" s="272"/>
      <c r="S301" s="272"/>
      <c r="T301" s="272"/>
    </row>
    <row r="302" spans="1:20" x14ac:dyDescent="0.2">
      <c r="M302" s="486"/>
      <c r="P302" s="486"/>
      <c r="R302" s="272"/>
      <c r="S302" s="272"/>
      <c r="T302" s="272"/>
    </row>
    <row r="303" spans="1:20" x14ac:dyDescent="0.2">
      <c r="M303" s="486"/>
      <c r="P303" s="486"/>
      <c r="R303" s="272"/>
      <c r="S303" s="272"/>
      <c r="T303" s="272"/>
    </row>
    <row r="304" spans="1:20" x14ac:dyDescent="0.2">
      <c r="J304" s="513"/>
      <c r="K304" s="513"/>
      <c r="L304" s="505"/>
      <c r="M304" s="511"/>
      <c r="N304" s="487"/>
      <c r="O304" s="487"/>
      <c r="P304" s="511"/>
      <c r="R304" s="499"/>
      <c r="S304" s="499"/>
      <c r="T304" s="272"/>
    </row>
    <row r="305" spans="10:20" x14ac:dyDescent="0.2">
      <c r="J305" s="513"/>
      <c r="K305" s="513"/>
      <c r="L305" s="505"/>
      <c r="M305" s="511"/>
      <c r="N305" s="487"/>
      <c r="O305" s="487"/>
      <c r="P305" s="511"/>
      <c r="R305" s="499"/>
      <c r="S305" s="499"/>
      <c r="T305" s="272"/>
    </row>
    <row r="306" spans="10:20" x14ac:dyDescent="0.2">
      <c r="J306" s="513"/>
      <c r="K306" s="513"/>
      <c r="L306" s="505"/>
      <c r="M306" s="511"/>
      <c r="N306" s="487"/>
      <c r="O306" s="487"/>
      <c r="P306" s="511"/>
      <c r="R306" s="499"/>
      <c r="S306" s="499"/>
      <c r="T306" s="272"/>
    </row>
    <row r="307" spans="10:20" x14ac:dyDescent="0.2">
      <c r="J307" s="513"/>
      <c r="K307" s="513"/>
      <c r="L307" s="505"/>
      <c r="M307" s="511"/>
      <c r="N307" s="487"/>
      <c r="O307" s="487"/>
      <c r="P307" s="511"/>
      <c r="R307" s="499"/>
      <c r="S307" s="499"/>
      <c r="T307" s="272"/>
    </row>
    <row r="308" spans="10:20" x14ac:dyDescent="0.2">
      <c r="J308" s="513"/>
      <c r="K308" s="513"/>
      <c r="L308" s="505"/>
      <c r="M308" s="511"/>
      <c r="N308" s="487"/>
      <c r="O308" s="487"/>
      <c r="P308" s="511"/>
      <c r="R308" s="499"/>
      <c r="S308" s="499"/>
      <c r="T308" s="272"/>
    </row>
    <row r="309" spans="10:20" x14ac:dyDescent="0.2">
      <c r="J309" s="513"/>
      <c r="K309" s="513"/>
      <c r="L309" s="505"/>
      <c r="M309" s="511"/>
      <c r="N309" s="487"/>
      <c r="O309" s="487"/>
      <c r="P309" s="511"/>
      <c r="R309" s="499"/>
      <c r="S309" s="499"/>
      <c r="T309" s="272"/>
    </row>
    <row r="310" spans="10:20" x14ac:dyDescent="0.2">
      <c r="J310" s="513"/>
      <c r="K310" s="513"/>
      <c r="L310" s="505"/>
      <c r="M310" s="511"/>
      <c r="N310" s="487"/>
      <c r="O310" s="487"/>
      <c r="P310" s="511"/>
      <c r="R310" s="499"/>
      <c r="S310" s="499"/>
      <c r="T310" s="272"/>
    </row>
    <row r="311" spans="10:20" x14ac:dyDescent="0.2">
      <c r="J311" s="513"/>
      <c r="K311" s="513"/>
      <c r="L311" s="505"/>
      <c r="M311" s="511"/>
      <c r="N311" s="487"/>
      <c r="O311" s="487"/>
      <c r="P311" s="511"/>
      <c r="R311" s="499"/>
      <c r="S311" s="499"/>
      <c r="T311" s="272"/>
    </row>
    <row r="312" spans="10:20" x14ac:dyDescent="0.2">
      <c r="J312" s="513"/>
      <c r="K312" s="513"/>
      <c r="L312" s="505"/>
      <c r="M312" s="511"/>
      <c r="N312" s="487"/>
      <c r="O312" s="487"/>
      <c r="P312" s="511"/>
      <c r="R312" s="499"/>
      <c r="S312" s="499"/>
      <c r="T312" s="272"/>
    </row>
    <row r="313" spans="10:20" x14ac:dyDescent="0.2">
      <c r="J313" s="513"/>
      <c r="K313" s="513"/>
      <c r="L313" s="505"/>
      <c r="M313" s="511"/>
      <c r="N313" s="487"/>
      <c r="O313" s="487"/>
      <c r="P313" s="511"/>
      <c r="R313" s="499"/>
      <c r="S313" s="499"/>
      <c r="T313" s="272"/>
    </row>
    <row r="314" spans="10:20" x14ac:dyDescent="0.2">
      <c r="J314" s="513"/>
      <c r="K314" s="513"/>
      <c r="L314" s="505"/>
      <c r="M314" s="511"/>
      <c r="N314" s="487"/>
      <c r="O314" s="487"/>
      <c r="P314" s="511"/>
      <c r="R314" s="499"/>
      <c r="S314" s="499"/>
      <c r="T314" s="272"/>
    </row>
    <row r="315" spans="10:20" x14ac:dyDescent="0.2">
      <c r="J315" s="513"/>
      <c r="K315" s="513"/>
      <c r="L315" s="505"/>
      <c r="M315" s="514"/>
      <c r="N315" s="501"/>
      <c r="O315" s="501"/>
      <c r="P315" s="514"/>
      <c r="R315" s="503"/>
      <c r="S315" s="503"/>
      <c r="T315" s="272"/>
    </row>
    <row r="316" spans="10:20" x14ac:dyDescent="0.2">
      <c r="J316" s="505"/>
      <c r="K316" s="505"/>
      <c r="L316" s="505"/>
      <c r="M316" s="486"/>
      <c r="N316" s="487"/>
      <c r="O316" s="487"/>
      <c r="P316" s="486"/>
      <c r="R316" s="506"/>
      <c r="S316" s="506"/>
      <c r="T316" s="272"/>
    </row>
    <row r="317" spans="10:20" x14ac:dyDescent="0.2">
      <c r="J317" s="505"/>
      <c r="K317" s="505"/>
      <c r="L317" s="505"/>
      <c r="M317" s="486"/>
      <c r="P317" s="486"/>
      <c r="R317" s="272"/>
      <c r="S317" s="272"/>
      <c r="T317" s="272"/>
    </row>
    <row r="318" spans="10:20" x14ac:dyDescent="0.2">
      <c r="J318" s="505"/>
      <c r="K318" s="505"/>
      <c r="L318" s="505"/>
      <c r="M318" s="486"/>
      <c r="P318" s="486"/>
      <c r="R318" s="272"/>
      <c r="S318" s="272"/>
      <c r="T318" s="272"/>
    </row>
    <row r="319" spans="10:20" x14ac:dyDescent="0.2">
      <c r="J319" s="505"/>
      <c r="K319" s="505"/>
      <c r="L319" s="505"/>
      <c r="M319" s="486"/>
      <c r="P319" s="486"/>
      <c r="R319" s="272"/>
      <c r="S319" s="272"/>
      <c r="T319" s="272"/>
    </row>
    <row r="320" spans="10:20" x14ac:dyDescent="0.2">
      <c r="J320" s="505"/>
      <c r="K320" s="505"/>
      <c r="L320" s="505"/>
      <c r="M320" s="479"/>
      <c r="N320" s="487"/>
      <c r="O320" s="487"/>
      <c r="P320" s="511"/>
      <c r="R320" s="499"/>
      <c r="S320" s="482"/>
      <c r="T320" s="482"/>
    </row>
    <row r="321" spans="10:20" x14ac:dyDescent="0.2">
      <c r="J321" s="505"/>
      <c r="K321" s="505"/>
      <c r="L321" s="505"/>
      <c r="M321" s="479"/>
      <c r="N321" s="487"/>
      <c r="O321" s="487"/>
      <c r="P321" s="511"/>
      <c r="R321" s="499"/>
      <c r="S321" s="482"/>
      <c r="T321" s="482"/>
    </row>
    <row r="322" spans="10:20" x14ac:dyDescent="0.2">
      <c r="J322" s="505"/>
      <c r="K322" s="505"/>
      <c r="L322" s="505"/>
      <c r="M322" s="479"/>
      <c r="N322" s="487"/>
      <c r="O322" s="487"/>
      <c r="P322" s="511"/>
      <c r="R322" s="499"/>
      <c r="S322" s="482"/>
      <c r="T322" s="482"/>
    </row>
    <row r="323" spans="10:20" x14ac:dyDescent="0.2">
      <c r="J323" s="505"/>
      <c r="K323" s="505"/>
      <c r="L323" s="505"/>
      <c r="M323" s="479"/>
      <c r="N323" s="487"/>
      <c r="O323" s="487"/>
      <c r="P323" s="511"/>
      <c r="R323" s="499"/>
      <c r="S323" s="482"/>
      <c r="T323" s="482"/>
    </row>
    <row r="324" spans="10:20" x14ac:dyDescent="0.2">
      <c r="J324" s="505"/>
      <c r="K324" s="505"/>
      <c r="L324" s="505"/>
      <c r="M324" s="479"/>
      <c r="N324" s="487"/>
      <c r="O324" s="487"/>
      <c r="P324" s="511"/>
      <c r="R324" s="499"/>
      <c r="S324" s="482"/>
      <c r="T324" s="482"/>
    </row>
    <row r="325" spans="10:20" x14ac:dyDescent="0.2">
      <c r="J325" s="505"/>
      <c r="K325" s="505"/>
      <c r="L325" s="505"/>
      <c r="M325" s="479"/>
      <c r="N325" s="487"/>
      <c r="O325" s="487"/>
      <c r="P325" s="511"/>
      <c r="R325" s="499"/>
      <c r="S325" s="482"/>
      <c r="T325" s="482"/>
    </row>
    <row r="326" spans="10:20" x14ac:dyDescent="0.2">
      <c r="J326" s="505"/>
      <c r="K326" s="505"/>
      <c r="L326" s="505"/>
      <c r="M326" s="479"/>
      <c r="N326" s="487"/>
      <c r="O326" s="487"/>
      <c r="P326" s="511"/>
      <c r="R326" s="499"/>
      <c r="S326" s="482"/>
      <c r="T326" s="482"/>
    </row>
    <row r="327" spans="10:20" x14ac:dyDescent="0.2">
      <c r="J327" s="505"/>
      <c r="K327" s="505"/>
      <c r="L327" s="505"/>
      <c r="M327" s="479"/>
      <c r="N327" s="487"/>
      <c r="O327" s="487"/>
      <c r="P327" s="511"/>
      <c r="R327" s="499"/>
      <c r="S327" s="482"/>
      <c r="T327" s="482"/>
    </row>
    <row r="328" spans="10:20" x14ac:dyDescent="0.2">
      <c r="J328" s="505"/>
      <c r="K328" s="505"/>
      <c r="L328" s="505"/>
      <c r="M328" s="479"/>
      <c r="N328" s="487"/>
      <c r="O328" s="487"/>
      <c r="P328" s="511"/>
      <c r="R328" s="499"/>
      <c r="S328" s="482"/>
      <c r="T328" s="482"/>
    </row>
    <row r="329" spans="10:20" x14ac:dyDescent="0.2">
      <c r="J329" s="505"/>
      <c r="K329" s="505"/>
      <c r="L329" s="505"/>
      <c r="M329" s="479"/>
      <c r="N329" s="487"/>
      <c r="O329" s="487"/>
      <c r="P329" s="511"/>
      <c r="R329" s="499"/>
      <c r="S329" s="482"/>
      <c r="T329" s="482"/>
    </row>
    <row r="330" spans="10:20" x14ac:dyDescent="0.2">
      <c r="J330" s="505"/>
      <c r="K330" s="505"/>
      <c r="L330" s="505"/>
      <c r="M330" s="479"/>
      <c r="N330" s="487"/>
      <c r="O330" s="487"/>
      <c r="P330" s="511"/>
      <c r="R330" s="499"/>
      <c r="S330" s="482"/>
      <c r="T330" s="482"/>
    </row>
    <row r="331" spans="10:20" x14ac:dyDescent="0.2">
      <c r="J331" s="505"/>
      <c r="K331" s="505"/>
      <c r="L331" s="505"/>
      <c r="M331" s="500"/>
      <c r="N331" s="501"/>
      <c r="O331" s="501"/>
      <c r="P331" s="512"/>
      <c r="R331" s="515"/>
      <c r="S331" s="502"/>
      <c r="T331" s="502"/>
    </row>
    <row r="332" spans="10:20" x14ac:dyDescent="0.2">
      <c r="J332" s="505"/>
      <c r="K332" s="505"/>
      <c r="L332" s="505"/>
      <c r="M332" s="486"/>
      <c r="N332" s="487"/>
      <c r="O332" s="487"/>
      <c r="P332" s="486"/>
      <c r="R332" s="506"/>
      <c r="S332" s="506"/>
      <c r="T332" s="506"/>
    </row>
    <row r="333" spans="10:20" x14ac:dyDescent="0.2">
      <c r="J333" s="505"/>
      <c r="K333" s="505"/>
      <c r="L333" s="505"/>
      <c r="M333" s="486"/>
      <c r="N333" s="487"/>
      <c r="O333" s="487"/>
      <c r="P333" s="486"/>
      <c r="R333" s="506"/>
      <c r="S333" s="506"/>
      <c r="T333" s="272"/>
    </row>
    <row r="334" spans="10:20" x14ac:dyDescent="0.2">
      <c r="J334" s="505"/>
      <c r="K334" s="505"/>
      <c r="L334" s="505"/>
      <c r="M334" s="486"/>
      <c r="N334" s="487"/>
      <c r="O334" s="487"/>
      <c r="P334" s="486"/>
      <c r="R334" s="506"/>
      <c r="S334" s="506"/>
      <c r="T334" s="272"/>
    </row>
    <row r="335" spans="10:20" x14ac:dyDescent="0.2">
      <c r="J335" s="505"/>
      <c r="K335" s="505"/>
      <c r="L335" s="505"/>
      <c r="M335" s="486"/>
      <c r="N335" s="487"/>
      <c r="O335" s="487"/>
      <c r="P335" s="486"/>
      <c r="R335" s="506"/>
      <c r="S335" s="506"/>
      <c r="T335" s="272"/>
    </row>
    <row r="336" spans="10:20" x14ac:dyDescent="0.2">
      <c r="J336" s="505"/>
      <c r="K336" s="505"/>
      <c r="L336" s="505"/>
      <c r="M336" s="486"/>
      <c r="N336" s="487"/>
      <c r="O336" s="487"/>
      <c r="P336" s="486"/>
      <c r="R336" s="506"/>
      <c r="S336" s="506"/>
      <c r="T336" s="272"/>
    </row>
    <row r="337" spans="1:20" x14ac:dyDescent="0.2">
      <c r="J337" s="505"/>
      <c r="K337" s="505"/>
      <c r="L337" s="505"/>
      <c r="M337" s="486"/>
      <c r="N337" s="487"/>
      <c r="O337" s="487"/>
      <c r="P337" s="486"/>
      <c r="R337" s="506"/>
      <c r="S337" s="506"/>
      <c r="T337" s="272"/>
    </row>
    <row r="338" spans="1:20" x14ac:dyDescent="0.2">
      <c r="J338" s="505"/>
      <c r="K338" s="505"/>
      <c r="L338" s="505"/>
      <c r="M338" s="486"/>
      <c r="N338" s="487"/>
      <c r="O338" s="487"/>
      <c r="P338" s="486"/>
      <c r="R338" s="506"/>
      <c r="S338" s="506"/>
      <c r="T338" s="272"/>
    </row>
    <row r="339" spans="1:20" x14ac:dyDescent="0.2">
      <c r="J339" s="505"/>
      <c r="K339" s="505"/>
      <c r="L339" s="505"/>
      <c r="M339" s="486"/>
      <c r="N339" s="487"/>
      <c r="O339" s="487"/>
      <c r="P339" s="486"/>
      <c r="R339" s="506"/>
      <c r="S339" s="506"/>
      <c r="T339" s="272"/>
    </row>
    <row r="340" spans="1:20" x14ac:dyDescent="0.2">
      <c r="M340" s="486"/>
      <c r="P340" s="486"/>
      <c r="R340" s="272"/>
      <c r="S340" s="272"/>
      <c r="T340" s="272"/>
    </row>
    <row r="341" spans="1:20" x14ac:dyDescent="0.2">
      <c r="M341" s="486"/>
      <c r="P341" s="486"/>
      <c r="R341" s="272"/>
      <c r="S341" s="272"/>
      <c r="T341" s="272"/>
    </row>
    <row r="342" spans="1:20" x14ac:dyDescent="0.2">
      <c r="M342" s="486"/>
      <c r="P342" s="486"/>
      <c r="R342" s="272"/>
      <c r="S342" s="272"/>
      <c r="T342" s="272"/>
    </row>
    <row r="343" spans="1:20" ht="10.5" x14ac:dyDescent="0.25">
      <c r="K343" s="392"/>
      <c r="M343" s="486"/>
      <c r="P343" s="486"/>
      <c r="R343" s="272"/>
      <c r="S343" s="272"/>
      <c r="T343" s="272"/>
    </row>
    <row r="344" spans="1:20" ht="10.5" x14ac:dyDescent="0.25">
      <c r="K344" s="392"/>
      <c r="M344" s="486"/>
      <c r="P344" s="486"/>
      <c r="R344" s="272"/>
      <c r="S344" s="272"/>
      <c r="T344" s="272"/>
    </row>
    <row r="345" spans="1:20" ht="10.5" x14ac:dyDescent="0.25">
      <c r="K345" s="392"/>
      <c r="M345" s="486"/>
      <c r="P345" s="479"/>
      <c r="R345" s="272"/>
      <c r="S345" s="272"/>
      <c r="T345" s="272"/>
    </row>
    <row r="346" spans="1:20" x14ac:dyDescent="0.2">
      <c r="M346" s="486"/>
      <c r="P346" s="486"/>
      <c r="R346" s="272"/>
      <c r="S346" s="272"/>
      <c r="T346" s="272"/>
    </row>
    <row r="347" spans="1:20" ht="10.5" x14ac:dyDescent="0.25">
      <c r="J347" s="219"/>
      <c r="K347" s="219"/>
      <c r="L347" s="219"/>
      <c r="M347" s="507"/>
      <c r="N347" s="219"/>
      <c r="O347" s="219"/>
      <c r="P347" s="508"/>
      <c r="R347" s="272"/>
      <c r="S347" s="272"/>
      <c r="T347" s="272"/>
    </row>
    <row r="348" spans="1:20" ht="10.5" x14ac:dyDescent="0.25">
      <c r="A348" s="369"/>
      <c r="B348" s="245"/>
      <c r="C348" s="245"/>
      <c r="D348" s="392"/>
      <c r="E348" s="392"/>
      <c r="F348" s="392"/>
      <c r="G348" s="392"/>
      <c r="H348" s="392"/>
      <c r="I348" s="392"/>
      <c r="J348" s="219"/>
      <c r="K348" s="219"/>
      <c r="L348" s="219"/>
      <c r="M348" s="508"/>
      <c r="N348" s="219"/>
      <c r="O348" s="219"/>
      <c r="P348" s="508"/>
      <c r="R348" s="272"/>
      <c r="S348" s="272"/>
      <c r="T348" s="272"/>
    </row>
    <row r="349" spans="1:20" ht="10.5" x14ac:dyDescent="0.25">
      <c r="A349" s="263"/>
      <c r="B349" s="263"/>
      <c r="C349" s="263"/>
      <c r="D349" s="241"/>
      <c r="E349" s="241"/>
      <c r="F349" s="241"/>
      <c r="G349" s="241"/>
      <c r="H349" s="241"/>
      <c r="I349" s="241"/>
      <c r="J349" s="241"/>
      <c r="K349" s="241"/>
      <c r="L349" s="241"/>
      <c r="M349" s="509"/>
      <c r="N349" s="241"/>
      <c r="O349" s="241"/>
      <c r="P349" s="509"/>
      <c r="R349" s="272"/>
      <c r="S349" s="272"/>
      <c r="T349" s="272"/>
    </row>
    <row r="350" spans="1:20" ht="10.5" x14ac:dyDescent="0.25">
      <c r="A350" s="369"/>
      <c r="B350" s="245"/>
      <c r="C350" s="245"/>
      <c r="D350" s="392"/>
      <c r="E350" s="392"/>
      <c r="F350" s="392"/>
      <c r="G350" s="392"/>
      <c r="H350" s="392"/>
      <c r="I350" s="392"/>
      <c r="J350" s="219"/>
      <c r="K350" s="219"/>
      <c r="L350" s="219"/>
      <c r="M350" s="508"/>
      <c r="N350" s="219"/>
      <c r="O350" s="219"/>
      <c r="P350" s="508"/>
      <c r="R350" s="272"/>
      <c r="S350" s="272"/>
      <c r="T350" s="272"/>
    </row>
    <row r="351" spans="1:20" ht="10.5" x14ac:dyDescent="0.25">
      <c r="A351" s="369"/>
      <c r="B351" s="245"/>
      <c r="C351" s="245"/>
      <c r="D351" s="392"/>
      <c r="E351" s="392"/>
      <c r="F351" s="392"/>
      <c r="G351" s="392"/>
      <c r="H351" s="392"/>
      <c r="I351" s="392"/>
      <c r="J351" s="219"/>
      <c r="K351" s="219"/>
      <c r="L351" s="219"/>
      <c r="M351" s="508"/>
      <c r="N351" s="219"/>
      <c r="O351" s="219"/>
      <c r="P351" s="508"/>
      <c r="R351" s="272"/>
      <c r="S351" s="272"/>
      <c r="T351" s="272"/>
    </row>
    <row r="352" spans="1:20" ht="10.5" x14ac:dyDescent="0.25">
      <c r="B352" s="245"/>
      <c r="C352" s="245"/>
      <c r="D352" s="392"/>
      <c r="E352" s="392"/>
      <c r="F352" s="392"/>
      <c r="G352" s="392"/>
      <c r="H352" s="392"/>
      <c r="I352" s="392"/>
      <c r="M352" s="486"/>
      <c r="P352" s="486"/>
      <c r="R352" s="272"/>
      <c r="S352" s="272"/>
      <c r="T352" s="272"/>
    </row>
    <row r="353" spans="10:20" x14ac:dyDescent="0.2">
      <c r="M353" s="486"/>
      <c r="P353" s="486"/>
      <c r="R353" s="272"/>
      <c r="S353" s="272"/>
      <c r="T353" s="272"/>
    </row>
    <row r="354" spans="10:20" x14ac:dyDescent="0.2">
      <c r="M354" s="486"/>
      <c r="P354" s="486"/>
      <c r="R354" s="272"/>
      <c r="S354" s="272"/>
      <c r="T354" s="272"/>
    </row>
    <row r="355" spans="10:20" x14ac:dyDescent="0.2">
      <c r="M355" s="486"/>
      <c r="P355" s="486"/>
      <c r="R355" s="272"/>
      <c r="S355" s="272"/>
      <c r="T355" s="272"/>
    </row>
    <row r="356" spans="10:20" x14ac:dyDescent="0.2">
      <c r="M356" s="486"/>
      <c r="P356" s="486"/>
      <c r="R356" s="272"/>
      <c r="S356" s="272"/>
      <c r="T356" s="272"/>
    </row>
    <row r="357" spans="10:20" x14ac:dyDescent="0.2">
      <c r="M357" s="486"/>
      <c r="P357" s="486"/>
      <c r="R357" s="272"/>
      <c r="S357" s="272"/>
      <c r="T357" s="272"/>
    </row>
    <row r="358" spans="10:20" x14ac:dyDescent="0.2">
      <c r="M358" s="486"/>
      <c r="P358" s="486"/>
      <c r="R358" s="272"/>
      <c r="S358" s="272"/>
      <c r="T358" s="272"/>
    </row>
    <row r="359" spans="10:20" x14ac:dyDescent="0.2">
      <c r="J359" s="496"/>
      <c r="K359" s="496"/>
      <c r="L359" s="496"/>
      <c r="M359" s="511"/>
      <c r="N359" s="487"/>
      <c r="O359" s="487"/>
      <c r="P359" s="511"/>
      <c r="R359" s="272"/>
      <c r="S359" s="272"/>
      <c r="T359" s="272"/>
    </row>
    <row r="360" spans="10:20" x14ac:dyDescent="0.2">
      <c r="J360" s="496"/>
      <c r="K360" s="496"/>
      <c r="L360" s="496"/>
      <c r="M360" s="511"/>
      <c r="N360" s="487"/>
      <c r="O360" s="487"/>
      <c r="P360" s="511"/>
      <c r="R360" s="272"/>
      <c r="S360" s="272"/>
      <c r="T360" s="272"/>
    </row>
    <row r="361" spans="10:20" x14ac:dyDescent="0.2">
      <c r="J361" s="496"/>
      <c r="K361" s="496"/>
      <c r="L361" s="496"/>
      <c r="M361" s="511"/>
      <c r="N361" s="487"/>
      <c r="O361" s="487"/>
      <c r="P361" s="511"/>
      <c r="R361" s="272"/>
      <c r="S361" s="272"/>
      <c r="T361" s="272"/>
    </row>
    <row r="362" spans="10:20" x14ac:dyDescent="0.2">
      <c r="J362" s="496"/>
      <c r="K362" s="496"/>
      <c r="L362" s="496"/>
      <c r="M362" s="511"/>
      <c r="N362" s="487"/>
      <c r="O362" s="487"/>
      <c r="P362" s="511"/>
      <c r="R362" s="272"/>
      <c r="S362" s="272"/>
      <c r="T362" s="272"/>
    </row>
    <row r="363" spans="10:20" x14ac:dyDescent="0.2">
      <c r="J363" s="496"/>
      <c r="K363" s="496"/>
      <c r="L363" s="496"/>
      <c r="M363" s="511"/>
      <c r="N363" s="487"/>
      <c r="O363" s="487"/>
      <c r="P363" s="511"/>
      <c r="R363" s="272"/>
      <c r="S363" s="272"/>
      <c r="T363" s="272"/>
    </row>
    <row r="364" spans="10:20" x14ac:dyDescent="0.2">
      <c r="J364" s="496"/>
      <c r="K364" s="496"/>
      <c r="L364" s="496"/>
      <c r="M364" s="511"/>
      <c r="N364" s="487"/>
      <c r="O364" s="487"/>
      <c r="P364" s="511"/>
      <c r="R364" s="272"/>
      <c r="S364" s="272"/>
      <c r="T364" s="272"/>
    </row>
    <row r="365" spans="10:20" x14ac:dyDescent="0.2">
      <c r="J365" s="496"/>
      <c r="K365" s="496"/>
      <c r="L365" s="496"/>
      <c r="M365" s="511"/>
      <c r="N365" s="487"/>
      <c r="O365" s="487"/>
      <c r="P365" s="511"/>
      <c r="R365" s="272"/>
      <c r="S365" s="272"/>
      <c r="T365" s="272"/>
    </row>
    <row r="366" spans="10:20" x14ac:dyDescent="0.2">
      <c r="J366" s="496"/>
      <c r="K366" s="496"/>
      <c r="L366" s="496"/>
      <c r="M366" s="511"/>
      <c r="N366" s="487"/>
      <c r="O366" s="487"/>
      <c r="P366" s="511"/>
      <c r="R366" s="272"/>
      <c r="S366" s="272"/>
      <c r="T366" s="272"/>
    </row>
    <row r="367" spans="10:20" x14ac:dyDescent="0.2">
      <c r="J367" s="496"/>
      <c r="K367" s="496"/>
      <c r="L367" s="496"/>
      <c r="M367" s="511"/>
      <c r="N367" s="487"/>
      <c r="O367" s="487"/>
      <c r="P367" s="511"/>
      <c r="R367" s="272"/>
      <c r="S367" s="272"/>
      <c r="T367" s="272"/>
    </row>
    <row r="368" spans="10:20" x14ac:dyDescent="0.2">
      <c r="J368" s="496"/>
      <c r="K368" s="496"/>
      <c r="L368" s="496"/>
      <c r="M368" s="511"/>
      <c r="N368" s="487"/>
      <c r="O368" s="487"/>
      <c r="P368" s="511"/>
      <c r="R368" s="272"/>
      <c r="S368" s="272"/>
      <c r="T368" s="272"/>
    </row>
    <row r="369" spans="10:20" x14ac:dyDescent="0.2">
      <c r="J369" s="496"/>
      <c r="K369" s="496"/>
      <c r="L369" s="496"/>
      <c r="M369" s="511"/>
      <c r="N369" s="487"/>
      <c r="O369" s="487"/>
      <c r="P369" s="511"/>
      <c r="R369" s="272"/>
      <c r="S369" s="272"/>
      <c r="T369" s="272"/>
    </row>
    <row r="370" spans="10:20" x14ac:dyDescent="0.2">
      <c r="J370" s="496"/>
      <c r="K370" s="496"/>
      <c r="L370" s="496"/>
      <c r="M370" s="512"/>
      <c r="N370" s="501"/>
      <c r="O370" s="501"/>
      <c r="P370" s="512"/>
      <c r="R370" s="272"/>
      <c r="S370" s="272"/>
      <c r="T370" s="272"/>
    </row>
    <row r="371" spans="10:20" x14ac:dyDescent="0.2">
      <c r="J371" s="496"/>
      <c r="K371" s="496"/>
      <c r="L371" s="496"/>
      <c r="M371" s="486"/>
      <c r="N371" s="487"/>
      <c r="O371" s="487"/>
      <c r="P371" s="486"/>
      <c r="R371" s="272"/>
      <c r="S371" s="272"/>
      <c r="T371" s="272"/>
    </row>
    <row r="372" spans="10:20" x14ac:dyDescent="0.2">
      <c r="J372" s="496"/>
      <c r="K372" s="496"/>
      <c r="L372" s="496"/>
      <c r="M372" s="486"/>
      <c r="P372" s="486"/>
      <c r="R372" s="272"/>
      <c r="S372" s="272"/>
      <c r="T372" s="272"/>
    </row>
    <row r="373" spans="10:20" x14ac:dyDescent="0.2">
      <c r="J373" s="496"/>
      <c r="K373" s="496"/>
      <c r="L373" s="496"/>
      <c r="M373" s="486"/>
      <c r="P373" s="486"/>
      <c r="R373" s="272"/>
      <c r="S373" s="272"/>
      <c r="T373" s="272"/>
    </row>
    <row r="374" spans="10:20" x14ac:dyDescent="0.2">
      <c r="J374" s="496"/>
      <c r="K374" s="496"/>
      <c r="L374" s="496"/>
      <c r="M374" s="486"/>
      <c r="P374" s="486"/>
      <c r="R374" s="272"/>
      <c r="S374" s="272"/>
      <c r="T374" s="272"/>
    </row>
    <row r="375" spans="10:20" x14ac:dyDescent="0.2">
      <c r="J375" s="496"/>
      <c r="K375" s="496"/>
      <c r="L375" s="496"/>
      <c r="M375" s="479"/>
      <c r="N375" s="487"/>
      <c r="O375" s="487"/>
      <c r="P375" s="511"/>
      <c r="R375" s="499"/>
      <c r="S375" s="499"/>
      <c r="T375" s="499"/>
    </row>
    <row r="376" spans="10:20" x14ac:dyDescent="0.2">
      <c r="J376" s="496"/>
      <c r="K376" s="496"/>
      <c r="L376" s="496"/>
      <c r="M376" s="479"/>
      <c r="N376" s="487"/>
      <c r="O376" s="487"/>
      <c r="P376" s="511"/>
      <c r="R376" s="499"/>
      <c r="S376" s="499"/>
      <c r="T376" s="499"/>
    </row>
    <row r="377" spans="10:20" x14ac:dyDescent="0.2">
      <c r="J377" s="496"/>
      <c r="K377" s="496"/>
      <c r="L377" s="496"/>
      <c r="M377" s="479"/>
      <c r="N377" s="487"/>
      <c r="O377" s="487"/>
      <c r="P377" s="511"/>
      <c r="R377" s="499"/>
      <c r="S377" s="499"/>
      <c r="T377" s="499"/>
    </row>
    <row r="378" spans="10:20" x14ac:dyDescent="0.2">
      <c r="J378" s="496"/>
      <c r="K378" s="496"/>
      <c r="L378" s="496"/>
      <c r="M378" s="479"/>
      <c r="N378" s="487"/>
      <c r="O378" s="487"/>
      <c r="P378" s="511"/>
      <c r="R378" s="499"/>
      <c r="S378" s="499"/>
      <c r="T378" s="499"/>
    </row>
    <row r="379" spans="10:20" x14ac:dyDescent="0.2">
      <c r="J379" s="496"/>
      <c r="K379" s="496"/>
      <c r="L379" s="496"/>
      <c r="M379" s="479"/>
      <c r="N379" s="487"/>
      <c r="O379" s="487"/>
      <c r="P379" s="511"/>
      <c r="R379" s="499"/>
      <c r="S379" s="499"/>
      <c r="T379" s="499"/>
    </row>
    <row r="380" spans="10:20" x14ac:dyDescent="0.2">
      <c r="J380" s="496"/>
      <c r="K380" s="496"/>
      <c r="L380" s="496"/>
      <c r="M380" s="479"/>
      <c r="N380" s="487"/>
      <c r="O380" s="487"/>
      <c r="P380" s="511"/>
      <c r="R380" s="499"/>
      <c r="S380" s="499"/>
      <c r="T380" s="499"/>
    </row>
    <row r="381" spans="10:20" x14ac:dyDescent="0.2">
      <c r="J381" s="496"/>
      <c r="K381" s="496"/>
      <c r="L381" s="496"/>
      <c r="M381" s="479"/>
      <c r="N381" s="487"/>
      <c r="O381" s="487"/>
      <c r="P381" s="511"/>
      <c r="R381" s="499"/>
      <c r="S381" s="499"/>
      <c r="T381" s="499"/>
    </row>
    <row r="382" spans="10:20" x14ac:dyDescent="0.2">
      <c r="J382" s="496"/>
      <c r="K382" s="496"/>
      <c r="L382" s="496"/>
      <c r="M382" s="479"/>
      <c r="N382" s="487"/>
      <c r="O382" s="487"/>
      <c r="P382" s="511"/>
      <c r="R382" s="499"/>
      <c r="S382" s="499"/>
      <c r="T382" s="499"/>
    </row>
    <row r="383" spans="10:20" x14ac:dyDescent="0.2">
      <c r="J383" s="496"/>
      <c r="K383" s="496"/>
      <c r="L383" s="496"/>
      <c r="M383" s="479"/>
      <c r="N383" s="487"/>
      <c r="O383" s="487"/>
      <c r="P383" s="511"/>
      <c r="R383" s="499"/>
      <c r="S383" s="499"/>
      <c r="T383" s="499"/>
    </row>
    <row r="384" spans="10:20" x14ac:dyDescent="0.2">
      <c r="J384" s="496"/>
      <c r="K384" s="496"/>
      <c r="L384" s="496"/>
      <c r="M384" s="479"/>
      <c r="N384" s="487"/>
      <c r="O384" s="487"/>
      <c r="P384" s="511"/>
      <c r="R384" s="499"/>
      <c r="S384" s="499"/>
      <c r="T384" s="499"/>
    </row>
    <row r="385" spans="10:20" x14ac:dyDescent="0.2">
      <c r="J385" s="496"/>
      <c r="K385" s="496"/>
      <c r="L385" s="496"/>
      <c r="M385" s="479"/>
      <c r="N385" s="487"/>
      <c r="O385" s="487"/>
      <c r="P385" s="511"/>
      <c r="R385" s="499"/>
      <c r="S385" s="499"/>
      <c r="T385" s="499"/>
    </row>
    <row r="386" spans="10:20" x14ac:dyDescent="0.2">
      <c r="J386" s="496"/>
      <c r="K386" s="496"/>
      <c r="L386" s="496"/>
      <c r="M386" s="500"/>
      <c r="N386" s="501"/>
      <c r="O386" s="501"/>
      <c r="P386" s="512"/>
      <c r="R386" s="503"/>
      <c r="S386" s="503"/>
      <c r="T386" s="503"/>
    </row>
    <row r="387" spans="10:20" x14ac:dyDescent="0.2">
      <c r="J387" s="505"/>
      <c r="K387" s="505"/>
      <c r="L387" s="505"/>
      <c r="M387" s="486"/>
      <c r="N387" s="487"/>
      <c r="O387" s="487"/>
      <c r="P387" s="486"/>
      <c r="R387" s="506"/>
      <c r="S387" s="506"/>
      <c r="T387" s="506"/>
    </row>
    <row r="388" spans="10:20" x14ac:dyDescent="0.2">
      <c r="M388" s="486"/>
      <c r="P388" s="486"/>
      <c r="R388" s="272"/>
      <c r="S388" s="272"/>
      <c r="T388" s="272"/>
    </row>
    <row r="389" spans="10:20" x14ac:dyDescent="0.2">
      <c r="M389" s="486"/>
      <c r="P389" s="486"/>
      <c r="R389" s="272"/>
      <c r="S389" s="272"/>
      <c r="T389" s="272"/>
    </row>
    <row r="390" spans="10:20" x14ac:dyDescent="0.2">
      <c r="M390" s="486"/>
      <c r="P390" s="486"/>
      <c r="R390" s="272"/>
      <c r="S390" s="272"/>
      <c r="T390" s="272"/>
    </row>
    <row r="391" spans="10:20" x14ac:dyDescent="0.2">
      <c r="M391" s="486"/>
      <c r="P391" s="486"/>
      <c r="R391" s="272"/>
      <c r="S391" s="272"/>
      <c r="T391" s="272"/>
    </row>
    <row r="392" spans="10:20" x14ac:dyDescent="0.2">
      <c r="M392" s="486"/>
      <c r="P392" s="486"/>
      <c r="R392" s="272"/>
      <c r="S392" s="272"/>
      <c r="T392" s="272"/>
    </row>
    <row r="393" spans="10:20" x14ac:dyDescent="0.2">
      <c r="M393" s="486"/>
      <c r="P393" s="486"/>
      <c r="R393" s="272"/>
      <c r="S393" s="272"/>
      <c r="T393" s="272"/>
    </row>
    <row r="394" spans="10:20" x14ac:dyDescent="0.2">
      <c r="M394" s="486"/>
      <c r="P394" s="486"/>
      <c r="R394" s="272"/>
      <c r="S394" s="272"/>
      <c r="T394" s="272"/>
    </row>
    <row r="395" spans="10:20" x14ac:dyDescent="0.2">
      <c r="M395" s="486"/>
      <c r="P395" s="486"/>
      <c r="R395" s="272"/>
      <c r="S395" s="272"/>
      <c r="T395" s="272"/>
    </row>
    <row r="396" spans="10:20" x14ac:dyDescent="0.2">
      <c r="M396" s="486"/>
      <c r="P396" s="486"/>
      <c r="R396" s="272"/>
      <c r="S396" s="272"/>
      <c r="T396" s="272"/>
    </row>
    <row r="397" spans="10:20" x14ac:dyDescent="0.2">
      <c r="M397" s="486"/>
      <c r="P397" s="486"/>
      <c r="R397" s="272"/>
      <c r="S397" s="272"/>
      <c r="T397" s="272"/>
    </row>
    <row r="398" spans="10:20" ht="10.5" x14ac:dyDescent="0.25">
      <c r="K398" s="392"/>
      <c r="M398" s="486"/>
      <c r="P398" s="486"/>
      <c r="R398" s="272"/>
      <c r="S398" s="272"/>
      <c r="T398" s="272"/>
    </row>
    <row r="399" spans="10:20" ht="10.5" x14ac:dyDescent="0.25">
      <c r="K399" s="392"/>
      <c r="M399" s="486"/>
      <c r="P399" s="486"/>
      <c r="R399" s="272"/>
      <c r="S399" s="272"/>
      <c r="T399" s="272"/>
    </row>
    <row r="400" spans="10:20" ht="10.5" x14ac:dyDescent="0.25">
      <c r="K400" s="392"/>
      <c r="M400" s="486"/>
      <c r="P400" s="479"/>
      <c r="R400" s="272"/>
      <c r="S400" s="272"/>
      <c r="T400" s="272"/>
    </row>
    <row r="401" spans="1:20" x14ac:dyDescent="0.2">
      <c r="M401" s="486"/>
      <c r="P401" s="486"/>
      <c r="R401" s="272"/>
      <c r="S401" s="272"/>
      <c r="T401" s="272"/>
    </row>
    <row r="402" spans="1:20" ht="10.5" x14ac:dyDescent="0.25">
      <c r="J402" s="219"/>
      <c r="K402" s="219"/>
      <c r="L402" s="219"/>
      <c r="M402" s="507"/>
      <c r="N402" s="219"/>
      <c r="O402" s="219"/>
      <c r="P402" s="508"/>
      <c r="R402" s="272"/>
      <c r="S402" s="272"/>
      <c r="T402" s="272"/>
    </row>
    <row r="403" spans="1:20" ht="10.5" x14ac:dyDescent="0.25">
      <c r="A403" s="369"/>
      <c r="B403" s="245"/>
      <c r="C403" s="245"/>
      <c r="D403" s="392"/>
      <c r="E403" s="392"/>
      <c r="F403" s="392"/>
      <c r="G403" s="392"/>
      <c r="H403" s="392"/>
      <c r="I403" s="392"/>
      <c r="J403" s="219"/>
      <c r="K403" s="219"/>
      <c r="L403" s="219"/>
      <c r="M403" s="508"/>
      <c r="N403" s="219"/>
      <c r="O403" s="219"/>
      <c r="P403" s="508"/>
      <c r="R403" s="272"/>
      <c r="S403" s="272"/>
      <c r="T403" s="272"/>
    </row>
    <row r="404" spans="1:20" ht="10.5" x14ac:dyDescent="0.25">
      <c r="A404" s="263"/>
      <c r="B404" s="263"/>
      <c r="C404" s="263"/>
      <c r="D404" s="241"/>
      <c r="E404" s="241"/>
      <c r="F404" s="241"/>
      <c r="G404" s="241"/>
      <c r="H404" s="241"/>
      <c r="I404" s="241"/>
      <c r="J404" s="241"/>
      <c r="K404" s="241"/>
      <c r="L404" s="241"/>
      <c r="M404" s="509"/>
      <c r="N404" s="241"/>
      <c r="O404" s="241"/>
      <c r="P404" s="509"/>
      <c r="R404" s="272"/>
      <c r="S404" s="272"/>
      <c r="T404" s="272"/>
    </row>
    <row r="405" spans="1:20" ht="10.5" x14ac:dyDescent="0.25">
      <c r="A405" s="369"/>
      <c r="B405" s="245"/>
      <c r="C405" s="245"/>
      <c r="D405" s="392"/>
      <c r="E405" s="392"/>
      <c r="F405" s="392"/>
      <c r="G405" s="392"/>
      <c r="H405" s="392"/>
      <c r="I405" s="392"/>
      <c r="J405" s="219"/>
      <c r="K405" s="219"/>
      <c r="L405" s="219"/>
      <c r="M405" s="508"/>
      <c r="N405" s="219"/>
      <c r="O405" s="219"/>
      <c r="P405" s="508"/>
      <c r="R405" s="272"/>
      <c r="S405" s="272"/>
      <c r="T405" s="272"/>
    </row>
    <row r="406" spans="1:20" ht="10.5" x14ac:dyDescent="0.25">
      <c r="A406" s="369"/>
      <c r="B406" s="245"/>
      <c r="C406" s="245"/>
      <c r="D406" s="392"/>
      <c r="E406" s="392"/>
      <c r="F406" s="392"/>
      <c r="G406" s="392"/>
      <c r="H406" s="392"/>
      <c r="I406" s="392"/>
      <c r="J406" s="219"/>
      <c r="K406" s="219"/>
      <c r="L406" s="219"/>
      <c r="M406" s="508"/>
      <c r="N406" s="219"/>
      <c r="O406" s="219"/>
      <c r="P406" s="508"/>
      <c r="R406" s="272"/>
      <c r="S406" s="272"/>
      <c r="T406" s="272"/>
    </row>
    <row r="407" spans="1:20" ht="10.5" x14ac:dyDescent="0.25">
      <c r="B407" s="245"/>
      <c r="C407" s="245"/>
      <c r="D407" s="392"/>
      <c r="E407" s="392"/>
      <c r="F407" s="392"/>
      <c r="G407" s="392"/>
      <c r="H407" s="392"/>
      <c r="I407" s="392"/>
      <c r="M407" s="486"/>
      <c r="P407" s="486"/>
      <c r="R407" s="272"/>
      <c r="S407" s="272"/>
      <c r="T407" s="272"/>
    </row>
    <row r="408" spans="1:20" x14ac:dyDescent="0.2">
      <c r="M408" s="486"/>
      <c r="P408" s="486"/>
      <c r="R408" s="272"/>
      <c r="S408" s="272"/>
      <c r="T408" s="272"/>
    </row>
    <row r="409" spans="1:20" x14ac:dyDescent="0.2">
      <c r="M409" s="486"/>
      <c r="P409" s="486"/>
      <c r="R409" s="272"/>
      <c r="S409" s="272"/>
      <c r="T409" s="272"/>
    </row>
    <row r="410" spans="1:20" x14ac:dyDescent="0.2">
      <c r="R410" s="272"/>
      <c r="S410" s="272"/>
      <c r="T410" s="272"/>
    </row>
    <row r="411" spans="1:20" x14ac:dyDescent="0.2">
      <c r="R411" s="272"/>
      <c r="S411" s="272"/>
      <c r="T411" s="272"/>
    </row>
    <row r="412" spans="1:20" x14ac:dyDescent="0.2">
      <c r="M412" s="486"/>
      <c r="P412" s="486"/>
      <c r="R412" s="272"/>
      <c r="S412" s="272"/>
      <c r="T412" s="272"/>
    </row>
    <row r="413" spans="1:20" x14ac:dyDescent="0.2">
      <c r="M413" s="486"/>
      <c r="P413" s="486"/>
      <c r="R413" s="272"/>
      <c r="S413" s="272"/>
      <c r="T413" s="272"/>
    </row>
    <row r="414" spans="1:20" x14ac:dyDescent="0.2">
      <c r="J414" s="496"/>
      <c r="K414" s="496"/>
      <c r="L414" s="496"/>
      <c r="M414" s="511"/>
      <c r="N414" s="487"/>
      <c r="O414" s="487"/>
      <c r="P414" s="511"/>
      <c r="R414" s="272"/>
      <c r="S414" s="272"/>
      <c r="T414" s="272"/>
    </row>
    <row r="415" spans="1:20" x14ac:dyDescent="0.2">
      <c r="J415" s="496"/>
      <c r="K415" s="496"/>
      <c r="L415" s="496"/>
      <c r="M415" s="511"/>
      <c r="N415" s="487"/>
      <c r="O415" s="487"/>
      <c r="P415" s="511"/>
      <c r="R415" s="272"/>
      <c r="S415" s="272"/>
      <c r="T415" s="272"/>
    </row>
    <row r="416" spans="1:20" x14ac:dyDescent="0.2">
      <c r="J416" s="496"/>
      <c r="K416" s="496"/>
      <c r="L416" s="496"/>
      <c r="M416" s="511"/>
      <c r="N416" s="487"/>
      <c r="O416" s="487"/>
      <c r="P416" s="511"/>
      <c r="R416" s="272"/>
      <c r="S416" s="272"/>
      <c r="T416" s="272"/>
    </row>
    <row r="417" spans="10:20" x14ac:dyDescent="0.2">
      <c r="J417" s="496"/>
      <c r="K417" s="496"/>
      <c r="L417" s="496"/>
      <c r="M417" s="511"/>
      <c r="N417" s="487"/>
      <c r="O417" s="487"/>
      <c r="P417" s="511"/>
      <c r="R417" s="272"/>
      <c r="S417" s="272"/>
      <c r="T417" s="272"/>
    </row>
    <row r="418" spans="10:20" x14ac:dyDescent="0.2">
      <c r="J418" s="496"/>
      <c r="K418" s="496"/>
      <c r="L418" s="496"/>
      <c r="M418" s="511"/>
      <c r="N418" s="487"/>
      <c r="O418" s="487"/>
      <c r="P418" s="511"/>
      <c r="R418" s="272"/>
      <c r="S418" s="272"/>
      <c r="T418" s="272"/>
    </row>
    <row r="419" spans="10:20" x14ac:dyDescent="0.2">
      <c r="J419" s="496"/>
      <c r="K419" s="496"/>
      <c r="L419" s="496"/>
      <c r="M419" s="511"/>
      <c r="N419" s="487"/>
      <c r="O419" s="487"/>
      <c r="P419" s="511"/>
      <c r="R419" s="272"/>
      <c r="S419" s="272"/>
      <c r="T419" s="272"/>
    </row>
    <row r="420" spans="10:20" x14ac:dyDescent="0.2">
      <c r="J420" s="496"/>
      <c r="K420" s="496"/>
      <c r="L420" s="496"/>
      <c r="M420" s="511"/>
      <c r="N420" s="487"/>
      <c r="O420" s="487"/>
      <c r="P420" s="511"/>
      <c r="R420" s="272"/>
      <c r="S420" s="272"/>
      <c r="T420" s="272"/>
    </row>
    <row r="421" spans="10:20" x14ac:dyDescent="0.2">
      <c r="J421" s="496"/>
      <c r="K421" s="496"/>
      <c r="L421" s="496"/>
      <c r="M421" s="511"/>
      <c r="N421" s="487"/>
      <c r="O421" s="487"/>
      <c r="P421" s="511"/>
      <c r="R421" s="272"/>
      <c r="S421" s="272"/>
      <c r="T421" s="272"/>
    </row>
    <row r="422" spans="10:20" x14ac:dyDescent="0.2">
      <c r="J422" s="496"/>
      <c r="K422" s="496"/>
      <c r="L422" s="496"/>
      <c r="M422" s="511"/>
      <c r="N422" s="487"/>
      <c r="O422" s="487"/>
      <c r="P422" s="511"/>
      <c r="R422" s="272"/>
      <c r="S422" s="272"/>
      <c r="T422" s="272"/>
    </row>
    <row r="423" spans="10:20" x14ac:dyDescent="0.2">
      <c r="J423" s="496"/>
      <c r="K423" s="496"/>
      <c r="L423" s="496"/>
      <c r="M423" s="511"/>
      <c r="N423" s="487"/>
      <c r="O423" s="487"/>
      <c r="P423" s="511"/>
      <c r="R423" s="272"/>
      <c r="S423" s="272"/>
      <c r="T423" s="272"/>
    </row>
    <row r="424" spans="10:20" x14ac:dyDescent="0.2">
      <c r="J424" s="496"/>
      <c r="K424" s="496"/>
      <c r="L424" s="496"/>
      <c r="M424" s="511"/>
      <c r="N424" s="487"/>
      <c r="O424" s="487"/>
      <c r="P424" s="511"/>
      <c r="R424" s="272"/>
      <c r="S424" s="272"/>
      <c r="T424" s="272"/>
    </row>
    <row r="425" spans="10:20" x14ac:dyDescent="0.2">
      <c r="J425" s="496"/>
      <c r="K425" s="496"/>
      <c r="L425" s="496"/>
      <c r="M425" s="512"/>
      <c r="N425" s="501"/>
      <c r="O425" s="501"/>
      <c r="P425" s="512"/>
      <c r="R425" s="272"/>
      <c r="S425" s="272"/>
      <c r="T425" s="272"/>
    </row>
    <row r="426" spans="10:20" x14ac:dyDescent="0.2">
      <c r="J426" s="496"/>
      <c r="K426" s="496"/>
      <c r="L426" s="496"/>
      <c r="M426" s="486"/>
      <c r="N426" s="487"/>
      <c r="O426" s="487"/>
      <c r="P426" s="486"/>
      <c r="R426" s="272"/>
      <c r="S426" s="272"/>
      <c r="T426" s="272"/>
    </row>
    <row r="427" spans="10:20" x14ac:dyDescent="0.2">
      <c r="J427" s="496"/>
      <c r="K427" s="496"/>
      <c r="L427" s="496"/>
      <c r="M427" s="486"/>
      <c r="P427" s="486"/>
      <c r="R427" s="272"/>
      <c r="S427" s="272"/>
      <c r="T427" s="272"/>
    </row>
    <row r="428" spans="10:20" x14ac:dyDescent="0.2">
      <c r="J428" s="496"/>
      <c r="K428" s="496"/>
      <c r="L428" s="496"/>
      <c r="M428" s="486"/>
      <c r="P428" s="486"/>
      <c r="R428" s="272"/>
      <c r="S428" s="272"/>
      <c r="T428" s="272"/>
    </row>
    <row r="429" spans="10:20" x14ac:dyDescent="0.2">
      <c r="J429" s="496"/>
      <c r="K429" s="496"/>
      <c r="L429" s="496"/>
      <c r="M429" s="486"/>
      <c r="P429" s="486"/>
      <c r="R429" s="272"/>
      <c r="S429" s="272"/>
      <c r="T429" s="272"/>
    </row>
    <row r="430" spans="10:20" x14ac:dyDescent="0.2">
      <c r="J430" s="496"/>
      <c r="K430" s="496"/>
      <c r="L430" s="496"/>
      <c r="M430" s="511"/>
      <c r="N430" s="487"/>
      <c r="O430" s="487"/>
      <c r="P430" s="511"/>
      <c r="R430" s="272"/>
      <c r="S430" s="272"/>
      <c r="T430" s="272"/>
    </row>
    <row r="431" spans="10:20" x14ac:dyDescent="0.2">
      <c r="J431" s="496"/>
      <c r="K431" s="496"/>
      <c r="L431" s="496"/>
      <c r="M431" s="511"/>
      <c r="N431" s="487"/>
      <c r="O431" s="487"/>
      <c r="P431" s="511"/>
      <c r="R431" s="272"/>
      <c r="S431" s="272"/>
      <c r="T431" s="272"/>
    </row>
    <row r="432" spans="10:20" x14ac:dyDescent="0.2">
      <c r="J432" s="496"/>
      <c r="K432" s="496"/>
      <c r="L432" s="496"/>
      <c r="M432" s="511"/>
      <c r="N432" s="487"/>
      <c r="O432" s="487"/>
      <c r="P432" s="511"/>
      <c r="R432" s="272"/>
      <c r="S432" s="272"/>
      <c r="T432" s="272"/>
    </row>
    <row r="433" spans="10:20" x14ac:dyDescent="0.2">
      <c r="J433" s="496"/>
      <c r="K433" s="496"/>
      <c r="L433" s="496"/>
      <c r="M433" s="511"/>
      <c r="N433" s="487"/>
      <c r="O433" s="487"/>
      <c r="P433" s="511"/>
      <c r="R433" s="272"/>
      <c r="S433" s="272"/>
      <c r="T433" s="272"/>
    </row>
    <row r="434" spans="10:20" x14ac:dyDescent="0.2">
      <c r="J434" s="496"/>
      <c r="K434" s="496"/>
      <c r="L434" s="496"/>
      <c r="M434" s="511"/>
      <c r="N434" s="487"/>
      <c r="O434" s="487"/>
      <c r="P434" s="511"/>
      <c r="R434" s="272"/>
      <c r="S434" s="272"/>
      <c r="T434" s="272"/>
    </row>
    <row r="435" spans="10:20" x14ac:dyDescent="0.2">
      <c r="J435" s="496"/>
      <c r="K435" s="496"/>
      <c r="L435" s="496"/>
      <c r="M435" s="511"/>
      <c r="N435" s="487"/>
      <c r="O435" s="487"/>
      <c r="P435" s="511"/>
      <c r="R435" s="272"/>
      <c r="S435" s="272"/>
      <c r="T435" s="272"/>
    </row>
    <row r="436" spans="10:20" x14ac:dyDescent="0.2">
      <c r="J436" s="496"/>
      <c r="K436" s="496"/>
      <c r="L436" s="496"/>
      <c r="M436" s="511"/>
      <c r="N436" s="487"/>
      <c r="O436" s="487"/>
      <c r="P436" s="511"/>
      <c r="R436" s="272"/>
      <c r="S436" s="272"/>
      <c r="T436" s="272"/>
    </row>
    <row r="437" spans="10:20" x14ac:dyDescent="0.2">
      <c r="J437" s="496"/>
      <c r="K437" s="496"/>
      <c r="L437" s="496"/>
      <c r="M437" s="511"/>
      <c r="N437" s="487"/>
      <c r="O437" s="487"/>
      <c r="P437" s="511"/>
      <c r="R437" s="272"/>
      <c r="S437" s="272"/>
      <c r="T437" s="272"/>
    </row>
    <row r="438" spans="10:20" x14ac:dyDescent="0.2">
      <c r="J438" s="496"/>
      <c r="K438" s="496"/>
      <c r="L438" s="496"/>
      <c r="M438" s="511"/>
      <c r="N438" s="487"/>
      <c r="O438" s="487"/>
      <c r="P438" s="511"/>
      <c r="R438" s="272"/>
      <c r="S438" s="272"/>
      <c r="T438" s="272"/>
    </row>
    <row r="439" spans="10:20" x14ac:dyDescent="0.2">
      <c r="J439" s="496"/>
      <c r="K439" s="496"/>
      <c r="L439" s="496"/>
      <c r="M439" s="511"/>
      <c r="N439" s="487"/>
      <c r="O439" s="487"/>
      <c r="P439" s="511"/>
      <c r="R439" s="272"/>
      <c r="S439" s="272"/>
      <c r="T439" s="272"/>
    </row>
    <row r="440" spans="10:20" x14ac:dyDescent="0.2">
      <c r="J440" s="496"/>
      <c r="K440" s="496"/>
      <c r="L440" s="496"/>
      <c r="M440" s="511"/>
      <c r="N440" s="487"/>
      <c r="O440" s="487"/>
      <c r="P440" s="511"/>
      <c r="R440" s="272"/>
      <c r="S440" s="272"/>
      <c r="T440" s="272"/>
    </row>
    <row r="441" spans="10:20" x14ac:dyDescent="0.2">
      <c r="J441" s="496"/>
      <c r="K441" s="496"/>
      <c r="L441" s="496"/>
      <c r="M441" s="512"/>
      <c r="N441" s="501"/>
      <c r="O441" s="501"/>
      <c r="P441" s="512"/>
      <c r="R441" s="272"/>
      <c r="S441" s="272"/>
      <c r="T441" s="272"/>
    </row>
    <row r="442" spans="10:20" x14ac:dyDescent="0.2">
      <c r="J442" s="505"/>
      <c r="K442" s="505"/>
      <c r="L442" s="505"/>
      <c r="M442" s="486"/>
      <c r="N442" s="487"/>
      <c r="O442" s="487"/>
      <c r="P442" s="486"/>
      <c r="R442" s="272"/>
      <c r="S442" s="272"/>
      <c r="T442" s="272"/>
    </row>
    <row r="443" spans="10:20" x14ac:dyDescent="0.2">
      <c r="M443" s="486"/>
      <c r="P443" s="486"/>
      <c r="R443" s="272"/>
      <c r="S443" s="272"/>
      <c r="T443" s="272"/>
    </row>
    <row r="444" spans="10:20" x14ac:dyDescent="0.2">
      <c r="M444" s="486"/>
      <c r="P444" s="486"/>
      <c r="R444" s="272"/>
      <c r="S444" s="272"/>
      <c r="T444" s="272"/>
    </row>
    <row r="445" spans="10:20" x14ac:dyDescent="0.2">
      <c r="M445" s="486"/>
      <c r="P445" s="486"/>
      <c r="R445" s="272"/>
      <c r="S445" s="272"/>
      <c r="T445" s="272"/>
    </row>
    <row r="446" spans="10:20" x14ac:dyDescent="0.2">
      <c r="M446" s="486"/>
      <c r="P446" s="486"/>
      <c r="R446" s="272"/>
      <c r="S446" s="272"/>
      <c r="T446" s="272"/>
    </row>
    <row r="447" spans="10:20" x14ac:dyDescent="0.2">
      <c r="M447" s="486"/>
      <c r="P447" s="486"/>
      <c r="R447" s="272"/>
      <c r="S447" s="272"/>
      <c r="T447" s="272"/>
    </row>
    <row r="448" spans="10:20" x14ac:dyDescent="0.2">
      <c r="M448" s="486"/>
      <c r="P448" s="486"/>
      <c r="R448" s="272"/>
      <c r="S448" s="272"/>
      <c r="T448" s="272"/>
    </row>
    <row r="449" spans="1:20" x14ac:dyDescent="0.2">
      <c r="M449" s="486"/>
      <c r="P449" s="486"/>
      <c r="R449" s="272"/>
      <c r="S449" s="272"/>
      <c r="T449" s="272"/>
    </row>
    <row r="450" spans="1:20" x14ac:dyDescent="0.2">
      <c r="M450" s="486"/>
      <c r="P450" s="486"/>
      <c r="R450" s="272"/>
      <c r="S450" s="272"/>
      <c r="T450" s="272"/>
    </row>
    <row r="451" spans="1:20" x14ac:dyDescent="0.2">
      <c r="M451" s="486"/>
      <c r="P451" s="486"/>
      <c r="R451" s="272"/>
      <c r="S451" s="272"/>
      <c r="T451" s="272"/>
    </row>
    <row r="452" spans="1:20" x14ac:dyDescent="0.2">
      <c r="M452" s="486"/>
      <c r="P452" s="486"/>
      <c r="R452" s="272"/>
      <c r="S452" s="272"/>
      <c r="T452" s="272"/>
    </row>
    <row r="453" spans="1:20" ht="10.5" x14ac:dyDescent="0.25">
      <c r="K453" s="392"/>
      <c r="M453" s="486"/>
      <c r="P453" s="486"/>
      <c r="R453" s="272"/>
      <c r="S453" s="272"/>
      <c r="T453" s="272"/>
    </row>
    <row r="454" spans="1:20" ht="10.5" x14ac:dyDescent="0.25">
      <c r="K454" s="392"/>
      <c r="M454" s="486"/>
      <c r="P454" s="486"/>
      <c r="R454" s="272"/>
      <c r="S454" s="272"/>
      <c r="T454" s="272"/>
    </row>
    <row r="455" spans="1:20" ht="10.5" x14ac:dyDescent="0.25">
      <c r="K455" s="392"/>
      <c r="M455" s="486"/>
      <c r="P455" s="479"/>
      <c r="R455" s="272"/>
      <c r="S455" s="272"/>
      <c r="T455" s="272"/>
    </row>
    <row r="456" spans="1:20" x14ac:dyDescent="0.2">
      <c r="M456" s="486"/>
      <c r="P456" s="486"/>
      <c r="R456" s="272"/>
      <c r="S456" s="272"/>
      <c r="T456" s="272"/>
    </row>
    <row r="457" spans="1:20" ht="10.5" x14ac:dyDescent="0.25">
      <c r="J457" s="219"/>
      <c r="K457" s="219"/>
      <c r="L457" s="219"/>
      <c r="M457" s="507"/>
      <c r="N457" s="219"/>
      <c r="O457" s="219"/>
      <c r="P457" s="508"/>
      <c r="R457" s="272"/>
      <c r="S457" s="272"/>
      <c r="T457" s="272"/>
    </row>
    <row r="458" spans="1:20" ht="10.5" x14ac:dyDescent="0.25">
      <c r="A458" s="369"/>
      <c r="B458" s="245"/>
      <c r="C458" s="245"/>
      <c r="D458" s="392"/>
      <c r="E458" s="392"/>
      <c r="F458" s="392"/>
      <c r="G458" s="392"/>
      <c r="H458" s="392"/>
      <c r="I458" s="392"/>
      <c r="J458" s="219"/>
      <c r="K458" s="219"/>
      <c r="L458" s="219"/>
      <c r="M458" s="508"/>
      <c r="N458" s="219"/>
      <c r="O458" s="219"/>
      <c r="P458" s="508"/>
      <c r="R458" s="272"/>
      <c r="S458" s="272"/>
      <c r="T458" s="272"/>
    </row>
    <row r="459" spans="1:20" ht="10.5" x14ac:dyDescent="0.25">
      <c r="A459" s="263"/>
      <c r="B459" s="263"/>
      <c r="C459" s="263"/>
      <c r="D459" s="241"/>
      <c r="E459" s="241"/>
      <c r="F459" s="241"/>
      <c r="G459" s="241"/>
      <c r="H459" s="241"/>
      <c r="I459" s="241"/>
      <c r="J459" s="241"/>
      <c r="K459" s="241"/>
      <c r="L459" s="241"/>
      <c r="M459" s="509"/>
      <c r="N459" s="241"/>
      <c r="O459" s="241"/>
      <c r="P459" s="509"/>
      <c r="R459" s="272"/>
      <c r="S459" s="272"/>
      <c r="T459" s="272"/>
    </row>
    <row r="460" spans="1:20" ht="10.5" x14ac:dyDescent="0.25">
      <c r="A460" s="369"/>
      <c r="B460" s="245"/>
      <c r="C460" s="245"/>
      <c r="D460" s="392"/>
      <c r="E460" s="392"/>
      <c r="F460" s="392"/>
      <c r="G460" s="392"/>
      <c r="H460" s="392"/>
      <c r="I460" s="392"/>
      <c r="J460" s="219"/>
      <c r="K460" s="219"/>
      <c r="L460" s="219"/>
      <c r="M460" s="508"/>
      <c r="N460" s="219"/>
      <c r="O460" s="219"/>
      <c r="P460" s="508"/>
      <c r="R460" s="272"/>
      <c r="S460" s="272"/>
      <c r="T460" s="272"/>
    </row>
    <row r="461" spans="1:20" ht="10.5" x14ac:dyDescent="0.25">
      <c r="A461" s="369"/>
      <c r="B461" s="245"/>
      <c r="C461" s="245"/>
      <c r="D461" s="392"/>
      <c r="E461" s="392"/>
      <c r="F461" s="392"/>
      <c r="G461" s="392"/>
      <c r="H461" s="392"/>
      <c r="I461" s="392"/>
      <c r="J461" s="219"/>
      <c r="K461" s="219"/>
      <c r="L461" s="219"/>
      <c r="M461" s="508"/>
      <c r="N461" s="219"/>
      <c r="O461" s="219"/>
      <c r="P461" s="508"/>
      <c r="R461" s="272"/>
      <c r="S461" s="272"/>
      <c r="T461" s="272"/>
    </row>
    <row r="462" spans="1:20" ht="10.5" x14ac:dyDescent="0.25">
      <c r="B462" s="245"/>
      <c r="C462" s="245"/>
      <c r="D462" s="392"/>
      <c r="E462" s="392"/>
      <c r="F462" s="392"/>
      <c r="G462" s="392"/>
      <c r="H462" s="392"/>
      <c r="I462" s="392"/>
      <c r="M462" s="486"/>
      <c r="P462" s="486"/>
      <c r="R462" s="272"/>
      <c r="S462" s="272"/>
      <c r="T462" s="272"/>
    </row>
    <row r="463" spans="1:20" x14ac:dyDescent="0.2">
      <c r="R463" s="272"/>
      <c r="S463" s="272"/>
      <c r="T463" s="272"/>
    </row>
    <row r="464" spans="1:20" x14ac:dyDescent="0.2">
      <c r="R464" s="272"/>
      <c r="S464" s="272"/>
      <c r="T464" s="272"/>
    </row>
    <row r="465" spans="10:20" x14ac:dyDescent="0.2">
      <c r="M465" s="486"/>
      <c r="P465" s="486"/>
      <c r="R465" s="272"/>
      <c r="S465" s="272"/>
      <c r="T465" s="272"/>
    </row>
    <row r="466" spans="10:20" x14ac:dyDescent="0.2">
      <c r="M466" s="486"/>
      <c r="P466" s="486"/>
      <c r="R466" s="272"/>
      <c r="S466" s="272"/>
      <c r="T466" s="272"/>
    </row>
    <row r="467" spans="10:20" x14ac:dyDescent="0.2">
      <c r="M467" s="486"/>
      <c r="P467" s="486"/>
      <c r="R467" s="272"/>
      <c r="S467" s="272"/>
      <c r="T467" s="272"/>
    </row>
    <row r="468" spans="10:20" x14ac:dyDescent="0.2">
      <c r="M468" s="486"/>
      <c r="P468" s="486"/>
      <c r="R468" s="272"/>
      <c r="S468" s="272"/>
      <c r="T468" s="272"/>
    </row>
    <row r="469" spans="10:20" x14ac:dyDescent="0.2">
      <c r="J469" s="496"/>
      <c r="K469" s="496"/>
      <c r="L469" s="496"/>
      <c r="M469" s="511"/>
      <c r="N469" s="487"/>
      <c r="O469" s="487"/>
      <c r="P469" s="511"/>
      <c r="R469" s="272"/>
      <c r="S469" s="272"/>
      <c r="T469" s="272"/>
    </row>
    <row r="470" spans="10:20" x14ac:dyDescent="0.2">
      <c r="J470" s="496"/>
      <c r="K470" s="496"/>
      <c r="L470" s="496"/>
      <c r="M470" s="511"/>
      <c r="N470" s="487"/>
      <c r="O470" s="487"/>
      <c r="P470" s="511"/>
      <c r="R470" s="272"/>
      <c r="S470" s="272"/>
      <c r="T470" s="272"/>
    </row>
    <row r="471" spans="10:20" x14ac:dyDescent="0.2">
      <c r="J471" s="496"/>
      <c r="K471" s="496"/>
      <c r="L471" s="496"/>
      <c r="M471" s="511"/>
      <c r="N471" s="487"/>
      <c r="O471" s="487"/>
      <c r="P471" s="511"/>
      <c r="R471" s="272"/>
      <c r="S471" s="272"/>
      <c r="T471" s="272"/>
    </row>
    <row r="472" spans="10:20" x14ac:dyDescent="0.2">
      <c r="J472" s="496"/>
      <c r="K472" s="496"/>
      <c r="L472" s="496"/>
      <c r="M472" s="511"/>
      <c r="N472" s="487"/>
      <c r="O472" s="487"/>
      <c r="P472" s="511"/>
      <c r="R472" s="272"/>
      <c r="S472" s="272"/>
      <c r="T472" s="272"/>
    </row>
    <row r="473" spans="10:20" x14ac:dyDescent="0.2">
      <c r="J473" s="496"/>
      <c r="K473" s="496"/>
      <c r="L473" s="496"/>
      <c r="M473" s="511"/>
      <c r="N473" s="487"/>
      <c r="O473" s="487"/>
      <c r="P473" s="511"/>
      <c r="R473" s="272"/>
      <c r="S473" s="272"/>
      <c r="T473" s="272"/>
    </row>
    <row r="474" spans="10:20" x14ac:dyDescent="0.2">
      <c r="J474" s="496"/>
      <c r="K474" s="496"/>
      <c r="L474" s="496"/>
      <c r="M474" s="511"/>
      <c r="N474" s="487"/>
      <c r="O474" s="487"/>
      <c r="P474" s="511"/>
      <c r="R474" s="272"/>
      <c r="S474" s="272"/>
      <c r="T474" s="272"/>
    </row>
    <row r="475" spans="10:20" x14ac:dyDescent="0.2">
      <c r="J475" s="496"/>
      <c r="K475" s="496"/>
      <c r="L475" s="496"/>
      <c r="M475" s="511"/>
      <c r="N475" s="487"/>
      <c r="O475" s="487"/>
      <c r="P475" s="511"/>
      <c r="R475" s="272"/>
      <c r="S475" s="272"/>
      <c r="T475" s="272"/>
    </row>
    <row r="476" spans="10:20" x14ac:dyDescent="0.2">
      <c r="J476" s="496"/>
      <c r="K476" s="496"/>
      <c r="L476" s="496"/>
      <c r="M476" s="511"/>
      <c r="N476" s="487"/>
      <c r="O476" s="487"/>
      <c r="P476" s="511"/>
      <c r="R476" s="272"/>
      <c r="S476" s="272"/>
      <c r="T476" s="272"/>
    </row>
    <row r="477" spans="10:20" x14ac:dyDescent="0.2">
      <c r="J477" s="496"/>
      <c r="K477" s="496"/>
      <c r="L477" s="496"/>
      <c r="M477" s="511"/>
      <c r="N477" s="487"/>
      <c r="O477" s="487"/>
      <c r="P477" s="511"/>
      <c r="R477" s="272"/>
      <c r="S477" s="272"/>
      <c r="T477" s="272"/>
    </row>
    <row r="478" spans="10:20" x14ac:dyDescent="0.2">
      <c r="J478" s="496"/>
      <c r="K478" s="496"/>
      <c r="L478" s="496"/>
      <c r="M478" s="511"/>
      <c r="N478" s="487"/>
      <c r="O478" s="487"/>
      <c r="P478" s="511"/>
      <c r="R478" s="272"/>
      <c r="S478" s="272"/>
      <c r="T478" s="272"/>
    </row>
    <row r="479" spans="10:20" x14ac:dyDescent="0.2">
      <c r="J479" s="496"/>
      <c r="K479" s="496"/>
      <c r="L479" s="496"/>
      <c r="M479" s="511"/>
      <c r="N479" s="487"/>
      <c r="O479" s="487"/>
      <c r="P479" s="511"/>
      <c r="R479" s="272"/>
      <c r="S479" s="272"/>
      <c r="T479" s="272"/>
    </row>
    <row r="480" spans="10:20" x14ac:dyDescent="0.2">
      <c r="J480" s="496"/>
      <c r="K480" s="496"/>
      <c r="L480" s="496"/>
      <c r="M480" s="512"/>
      <c r="N480" s="501"/>
      <c r="O480" s="501"/>
      <c r="P480" s="512"/>
      <c r="R480" s="272"/>
      <c r="S480" s="272"/>
      <c r="T480" s="272"/>
    </row>
    <row r="481" spans="10:20" x14ac:dyDescent="0.2">
      <c r="J481" s="496"/>
      <c r="K481" s="496"/>
      <c r="L481" s="496"/>
      <c r="M481" s="486"/>
      <c r="N481" s="487"/>
      <c r="O481" s="487"/>
      <c r="P481" s="486"/>
      <c r="R481" s="272"/>
      <c r="S481" s="272"/>
      <c r="T481" s="272"/>
    </row>
    <row r="482" spans="10:20" x14ac:dyDescent="0.2">
      <c r="J482" s="496"/>
      <c r="K482" s="496"/>
      <c r="L482" s="496"/>
      <c r="M482" s="486"/>
      <c r="P482" s="486"/>
      <c r="R482" s="272"/>
      <c r="S482" s="272"/>
      <c r="T482" s="272"/>
    </row>
    <row r="483" spans="10:20" x14ac:dyDescent="0.2">
      <c r="J483" s="496"/>
      <c r="K483" s="496"/>
      <c r="L483" s="496"/>
      <c r="M483" s="486"/>
      <c r="P483" s="486"/>
      <c r="R483" s="272"/>
      <c r="S483" s="272"/>
      <c r="T483" s="272"/>
    </row>
    <row r="484" spans="10:20" x14ac:dyDescent="0.2">
      <c r="J484" s="496"/>
      <c r="K484" s="496"/>
      <c r="L484" s="496"/>
      <c r="M484" s="486"/>
      <c r="P484" s="486"/>
      <c r="R484" s="272"/>
      <c r="S484" s="272"/>
      <c r="T484" s="272"/>
    </row>
    <row r="485" spans="10:20" x14ac:dyDescent="0.2">
      <c r="J485" s="496"/>
      <c r="K485" s="496"/>
      <c r="L485" s="496"/>
      <c r="M485" s="511"/>
      <c r="N485" s="487"/>
      <c r="O485" s="487"/>
      <c r="P485" s="511"/>
      <c r="R485" s="272"/>
      <c r="S485" s="272"/>
      <c r="T485" s="272"/>
    </row>
    <row r="486" spans="10:20" x14ac:dyDescent="0.2">
      <c r="J486" s="496"/>
      <c r="K486" s="496"/>
      <c r="L486" s="496"/>
      <c r="M486" s="511"/>
      <c r="N486" s="487"/>
      <c r="O486" s="487"/>
      <c r="P486" s="511"/>
      <c r="R486" s="272"/>
      <c r="S486" s="272"/>
      <c r="T486" s="272"/>
    </row>
    <row r="487" spans="10:20" x14ac:dyDescent="0.2">
      <c r="J487" s="496"/>
      <c r="K487" s="496"/>
      <c r="L487" s="496"/>
      <c r="M487" s="511"/>
      <c r="N487" s="487"/>
      <c r="O487" s="487"/>
      <c r="P487" s="511"/>
      <c r="R487" s="272"/>
      <c r="S487" s="272"/>
      <c r="T487" s="272"/>
    </row>
    <row r="488" spans="10:20" x14ac:dyDescent="0.2">
      <c r="J488" s="496"/>
      <c r="K488" s="496"/>
      <c r="L488" s="496"/>
      <c r="M488" s="511"/>
      <c r="N488" s="487"/>
      <c r="O488" s="487"/>
      <c r="P488" s="511"/>
      <c r="R488" s="272"/>
      <c r="S488" s="272"/>
      <c r="T488" s="272"/>
    </row>
    <row r="489" spans="10:20" x14ac:dyDescent="0.2">
      <c r="J489" s="496"/>
      <c r="K489" s="496"/>
      <c r="L489" s="496"/>
      <c r="M489" s="511"/>
      <c r="N489" s="487"/>
      <c r="O489" s="487"/>
      <c r="P489" s="511"/>
      <c r="R489" s="272"/>
      <c r="S489" s="272"/>
      <c r="T489" s="272"/>
    </row>
    <row r="490" spans="10:20" x14ac:dyDescent="0.2">
      <c r="J490" s="496"/>
      <c r="K490" s="496"/>
      <c r="L490" s="496"/>
      <c r="M490" s="511"/>
      <c r="N490" s="487"/>
      <c r="O490" s="487"/>
      <c r="P490" s="511"/>
      <c r="R490" s="272"/>
      <c r="S490" s="272"/>
      <c r="T490" s="272"/>
    </row>
    <row r="491" spans="10:20" x14ac:dyDescent="0.2">
      <c r="J491" s="496"/>
      <c r="K491" s="496"/>
      <c r="L491" s="496"/>
      <c r="M491" s="511"/>
      <c r="N491" s="487"/>
      <c r="O491" s="487"/>
      <c r="P491" s="511"/>
      <c r="R491" s="272"/>
      <c r="S491" s="272"/>
      <c r="T491" s="272"/>
    </row>
    <row r="492" spans="10:20" x14ac:dyDescent="0.2">
      <c r="J492" s="496"/>
      <c r="K492" s="496"/>
      <c r="L492" s="496"/>
      <c r="M492" s="511"/>
      <c r="N492" s="487"/>
      <c r="O492" s="487"/>
      <c r="P492" s="511"/>
      <c r="R492" s="272"/>
      <c r="S492" s="272"/>
      <c r="T492" s="272"/>
    </row>
    <row r="493" spans="10:20" x14ac:dyDescent="0.2">
      <c r="J493" s="496"/>
      <c r="K493" s="496"/>
      <c r="L493" s="496"/>
      <c r="M493" s="511"/>
      <c r="N493" s="487"/>
      <c r="O493" s="487"/>
      <c r="P493" s="511"/>
      <c r="R493" s="272"/>
      <c r="S493" s="272"/>
      <c r="T493" s="272"/>
    </row>
    <row r="494" spans="10:20" x14ac:dyDescent="0.2">
      <c r="J494" s="496"/>
      <c r="K494" s="496"/>
      <c r="L494" s="496"/>
      <c r="M494" s="511"/>
      <c r="N494" s="487"/>
      <c r="O494" s="487"/>
      <c r="P494" s="511"/>
      <c r="R494" s="272"/>
      <c r="S494" s="272"/>
      <c r="T494" s="272"/>
    </row>
    <row r="495" spans="10:20" x14ac:dyDescent="0.2">
      <c r="J495" s="496"/>
      <c r="K495" s="496"/>
      <c r="L495" s="496"/>
      <c r="M495" s="511"/>
      <c r="N495" s="487"/>
      <c r="O495" s="487"/>
      <c r="P495" s="511"/>
      <c r="R495" s="272"/>
      <c r="S495" s="272"/>
      <c r="T495" s="272"/>
    </row>
    <row r="496" spans="10:20" x14ac:dyDescent="0.2">
      <c r="J496" s="496"/>
      <c r="K496" s="496"/>
      <c r="L496" s="496"/>
      <c r="M496" s="512"/>
      <c r="N496" s="501"/>
      <c r="O496" s="501"/>
      <c r="P496" s="512"/>
      <c r="R496" s="272"/>
      <c r="S496" s="272"/>
      <c r="T496" s="272"/>
    </row>
    <row r="497" spans="10:20" x14ac:dyDescent="0.2">
      <c r="J497" s="505"/>
      <c r="K497" s="505"/>
      <c r="L497" s="505"/>
      <c r="M497" s="486"/>
      <c r="N497" s="487"/>
      <c r="O497" s="487"/>
      <c r="P497" s="486"/>
      <c r="R497" s="272"/>
      <c r="S497" s="272"/>
      <c r="T497" s="272"/>
    </row>
    <row r="498" spans="10:20" x14ac:dyDescent="0.2">
      <c r="M498" s="486"/>
      <c r="P498" s="486"/>
      <c r="R498" s="272"/>
      <c r="S498" s="272"/>
      <c r="T498" s="272"/>
    </row>
    <row r="499" spans="10:20" x14ac:dyDescent="0.2">
      <c r="M499" s="486"/>
      <c r="P499" s="486"/>
      <c r="R499" s="272"/>
      <c r="S499" s="272"/>
      <c r="T499" s="272"/>
    </row>
    <row r="500" spans="10:20" x14ac:dyDescent="0.2">
      <c r="M500" s="486"/>
      <c r="P500" s="486"/>
      <c r="R500" s="272"/>
      <c r="S500" s="272"/>
      <c r="T500" s="272"/>
    </row>
    <row r="501" spans="10:20" x14ac:dyDescent="0.2">
      <c r="M501" s="486"/>
      <c r="P501" s="486"/>
      <c r="R501" s="272"/>
      <c r="S501" s="272"/>
      <c r="T501" s="272"/>
    </row>
    <row r="502" spans="10:20" x14ac:dyDescent="0.2">
      <c r="M502" s="486"/>
      <c r="P502" s="486"/>
      <c r="R502" s="272"/>
      <c r="S502" s="272"/>
      <c r="T502" s="272"/>
    </row>
    <row r="503" spans="10:20" x14ac:dyDescent="0.2">
      <c r="M503" s="486"/>
      <c r="P503" s="486"/>
      <c r="R503" s="272"/>
      <c r="S503" s="272"/>
      <c r="T503" s="272"/>
    </row>
    <row r="504" spans="10:20" x14ac:dyDescent="0.2">
      <c r="M504" s="486"/>
      <c r="P504" s="486"/>
      <c r="R504" s="272"/>
      <c r="S504" s="272"/>
      <c r="T504" s="272"/>
    </row>
    <row r="505" spans="10:20" x14ac:dyDescent="0.2">
      <c r="M505" s="486"/>
      <c r="P505" s="486"/>
      <c r="R505" s="272"/>
      <c r="S505" s="272"/>
      <c r="T505" s="272"/>
    </row>
    <row r="506" spans="10:20" x14ac:dyDescent="0.2">
      <c r="M506" s="486"/>
      <c r="P506" s="486"/>
      <c r="R506" s="272"/>
      <c r="S506" s="272"/>
      <c r="T506" s="272"/>
    </row>
    <row r="507" spans="10:20" x14ac:dyDescent="0.2">
      <c r="M507" s="486"/>
      <c r="P507" s="486"/>
      <c r="R507" s="272"/>
      <c r="S507" s="272"/>
      <c r="T507" s="272"/>
    </row>
    <row r="508" spans="10:20" ht="10.5" x14ac:dyDescent="0.25">
      <c r="K508" s="392"/>
      <c r="M508" s="486"/>
      <c r="P508" s="486"/>
      <c r="R508" s="272"/>
      <c r="S508" s="272"/>
      <c r="T508" s="272"/>
    </row>
    <row r="509" spans="10:20" ht="10.5" x14ac:dyDescent="0.25">
      <c r="K509" s="392"/>
      <c r="M509" s="486"/>
      <c r="P509" s="486"/>
      <c r="R509" s="272"/>
      <c r="S509" s="272"/>
      <c r="T509" s="272"/>
    </row>
    <row r="510" spans="10:20" ht="10.5" x14ac:dyDescent="0.25">
      <c r="K510" s="392"/>
      <c r="M510" s="486"/>
      <c r="P510" s="479"/>
      <c r="R510" s="272"/>
      <c r="S510" s="272"/>
      <c r="T510" s="272"/>
    </row>
    <row r="511" spans="10:20" x14ac:dyDescent="0.2">
      <c r="M511" s="486"/>
      <c r="P511" s="486"/>
      <c r="R511" s="272"/>
      <c r="S511" s="272"/>
      <c r="T511" s="272"/>
    </row>
    <row r="512" spans="10:20" ht="10.5" x14ac:dyDescent="0.25">
      <c r="J512" s="219"/>
      <c r="K512" s="219"/>
      <c r="L512" s="219"/>
      <c r="M512" s="507"/>
      <c r="N512" s="219"/>
      <c r="O512" s="219"/>
      <c r="P512" s="508"/>
      <c r="R512" s="272"/>
      <c r="S512" s="272"/>
      <c r="T512" s="272"/>
    </row>
    <row r="513" spans="1:21" ht="10.5" x14ac:dyDescent="0.25">
      <c r="A513" s="369"/>
      <c r="B513" s="245"/>
      <c r="C513" s="245"/>
      <c r="D513" s="392"/>
      <c r="E513" s="392"/>
      <c r="F513" s="392"/>
      <c r="G513" s="392"/>
      <c r="H513" s="392"/>
      <c r="I513" s="392"/>
      <c r="J513" s="219"/>
      <c r="K513" s="219"/>
      <c r="L513" s="219"/>
      <c r="M513" s="508"/>
      <c r="N513" s="219"/>
      <c r="O513" s="219"/>
      <c r="P513" s="508"/>
      <c r="R513" s="272"/>
      <c r="S513" s="272"/>
      <c r="T513" s="272"/>
    </row>
    <row r="514" spans="1:21" ht="10.5" x14ac:dyDescent="0.25">
      <c r="A514" s="263"/>
      <c r="B514" s="263"/>
      <c r="C514" s="263"/>
      <c r="D514" s="241"/>
      <c r="E514" s="241"/>
      <c r="F514" s="241"/>
      <c r="G514" s="241"/>
      <c r="H514" s="241"/>
      <c r="I514" s="241"/>
      <c r="J514" s="241"/>
      <c r="K514" s="241"/>
      <c r="L514" s="241"/>
      <c r="M514" s="509"/>
      <c r="N514" s="241"/>
      <c r="O514" s="241"/>
      <c r="P514" s="509"/>
      <c r="R514" s="272"/>
      <c r="S514" s="272"/>
      <c r="T514" s="272"/>
    </row>
    <row r="515" spans="1:21" ht="10.5" x14ac:dyDescent="0.25">
      <c r="A515" s="369"/>
      <c r="B515" s="245"/>
      <c r="C515" s="245"/>
      <c r="D515" s="392"/>
      <c r="E515" s="392"/>
      <c r="F515" s="392"/>
      <c r="G515" s="392"/>
      <c r="H515" s="392"/>
      <c r="I515" s="392"/>
      <c r="J515" s="219"/>
      <c r="K515" s="219"/>
      <c r="L515" s="219"/>
      <c r="M515" s="508"/>
      <c r="N515" s="219"/>
      <c r="O515" s="219"/>
      <c r="P515" s="508"/>
      <c r="R515" s="272"/>
      <c r="S515" s="272"/>
      <c r="T515" s="272"/>
    </row>
    <row r="516" spans="1:21" ht="10.5" x14ac:dyDescent="0.25">
      <c r="A516" s="369"/>
      <c r="B516" s="245"/>
      <c r="C516" s="245"/>
      <c r="D516" s="392"/>
      <c r="E516" s="392"/>
      <c r="F516" s="392"/>
      <c r="G516" s="392"/>
      <c r="H516" s="392"/>
      <c r="I516" s="392"/>
      <c r="J516" s="219"/>
      <c r="K516" s="219"/>
      <c r="L516" s="219"/>
      <c r="M516" s="508"/>
      <c r="N516" s="219"/>
      <c r="O516" s="219"/>
      <c r="P516" s="508"/>
      <c r="R516" s="272"/>
      <c r="S516" s="272"/>
      <c r="T516" s="272"/>
    </row>
    <row r="517" spans="1:21" ht="10.5" x14ac:dyDescent="0.25">
      <c r="B517" s="245"/>
      <c r="C517" s="245"/>
      <c r="D517" s="392"/>
      <c r="E517" s="392"/>
      <c r="F517" s="392"/>
      <c r="G517" s="392"/>
      <c r="H517" s="392"/>
      <c r="I517" s="392"/>
      <c r="M517" s="486"/>
      <c r="P517" s="486"/>
      <c r="R517" s="272"/>
      <c r="S517" s="272"/>
      <c r="T517" s="272"/>
    </row>
    <row r="518" spans="1:21" x14ac:dyDescent="0.2">
      <c r="M518" s="486"/>
      <c r="P518" s="486"/>
      <c r="R518" s="272"/>
      <c r="S518" s="272"/>
      <c r="T518" s="272"/>
    </row>
    <row r="519" spans="1:21" x14ac:dyDescent="0.2">
      <c r="M519" s="486"/>
      <c r="P519" s="486"/>
      <c r="R519" s="272"/>
      <c r="S519" s="272"/>
      <c r="T519" s="272"/>
    </row>
    <row r="520" spans="1:21" x14ac:dyDescent="0.2">
      <c r="M520" s="486"/>
      <c r="P520" s="486"/>
      <c r="R520" s="272"/>
      <c r="S520" s="272"/>
      <c r="T520" s="272"/>
    </row>
    <row r="521" spans="1:21" x14ac:dyDescent="0.2">
      <c r="M521" s="486"/>
      <c r="P521" s="486"/>
      <c r="R521" s="272"/>
      <c r="S521" s="272"/>
      <c r="T521" s="272"/>
    </row>
    <row r="522" spans="1:21" x14ac:dyDescent="0.2">
      <c r="J522" s="516"/>
      <c r="K522" s="516"/>
      <c r="L522" s="517"/>
      <c r="M522" s="440"/>
      <c r="N522" s="487"/>
      <c r="O522" s="487"/>
      <c r="P522" s="479"/>
      <c r="R522" s="482"/>
      <c r="S522" s="482"/>
      <c r="T522" s="499"/>
      <c r="U522" s="499"/>
    </row>
    <row r="523" spans="1:21" x14ac:dyDescent="0.2">
      <c r="J523" s="516"/>
      <c r="K523" s="516"/>
      <c r="L523" s="517"/>
      <c r="M523" s="440"/>
      <c r="N523" s="487"/>
      <c r="O523" s="487"/>
      <c r="P523" s="479"/>
      <c r="R523" s="482"/>
      <c r="S523" s="482"/>
      <c r="T523" s="499"/>
      <c r="U523" s="499"/>
    </row>
    <row r="524" spans="1:21" x14ac:dyDescent="0.2">
      <c r="J524" s="516"/>
      <c r="K524" s="516"/>
      <c r="L524" s="517"/>
      <c r="M524" s="440"/>
      <c r="N524" s="487"/>
      <c r="O524" s="487"/>
      <c r="P524" s="479"/>
      <c r="R524" s="482"/>
      <c r="S524" s="482"/>
      <c r="T524" s="499"/>
      <c r="U524" s="499"/>
    </row>
    <row r="525" spans="1:21" x14ac:dyDescent="0.2">
      <c r="J525" s="516"/>
      <c r="K525" s="516"/>
      <c r="L525" s="517"/>
      <c r="M525" s="440"/>
      <c r="N525" s="487"/>
      <c r="O525" s="487"/>
      <c r="P525" s="479"/>
      <c r="R525" s="482"/>
      <c r="S525" s="482"/>
      <c r="T525" s="499"/>
      <c r="U525" s="499"/>
    </row>
    <row r="526" spans="1:21" x14ac:dyDescent="0.2">
      <c r="J526" s="516"/>
      <c r="K526" s="516"/>
      <c r="L526" s="517"/>
      <c r="M526" s="440"/>
      <c r="N526" s="487"/>
      <c r="O526" s="487"/>
      <c r="P526" s="479"/>
      <c r="R526" s="482"/>
      <c r="S526" s="482"/>
      <c r="T526" s="499"/>
      <c r="U526" s="499"/>
    </row>
    <row r="527" spans="1:21" x14ac:dyDescent="0.2">
      <c r="J527" s="516"/>
      <c r="K527" s="516"/>
      <c r="L527" s="517"/>
      <c r="M527" s="440"/>
      <c r="N527" s="487"/>
      <c r="O527" s="487"/>
      <c r="P527" s="479"/>
      <c r="R527" s="482"/>
      <c r="S527" s="482"/>
      <c r="T527" s="499"/>
      <c r="U527" s="499"/>
    </row>
    <row r="528" spans="1:21" x14ac:dyDescent="0.2">
      <c r="J528" s="516"/>
      <c r="K528" s="516"/>
      <c r="L528" s="517"/>
      <c r="M528" s="440"/>
      <c r="N528" s="487"/>
      <c r="O528" s="487"/>
      <c r="P528" s="479"/>
      <c r="R528" s="482"/>
      <c r="S528" s="482"/>
      <c r="T528" s="499"/>
      <c r="U528" s="499"/>
    </row>
    <row r="529" spans="10:21" x14ac:dyDescent="0.2">
      <c r="J529" s="516"/>
      <c r="K529" s="516"/>
      <c r="L529" s="517"/>
      <c r="M529" s="440"/>
      <c r="N529" s="487"/>
      <c r="O529" s="487"/>
      <c r="P529" s="479"/>
      <c r="R529" s="482"/>
      <c r="S529" s="482"/>
      <c r="T529" s="499"/>
      <c r="U529" s="499"/>
    </row>
    <row r="530" spans="10:21" x14ac:dyDescent="0.2">
      <c r="J530" s="516"/>
      <c r="K530" s="516"/>
      <c r="L530" s="517"/>
      <c r="M530" s="440"/>
      <c r="N530" s="487"/>
      <c r="O530" s="487"/>
      <c r="P530" s="479"/>
      <c r="R530" s="482"/>
      <c r="S530" s="482"/>
      <c r="T530" s="499"/>
      <c r="U530" s="499"/>
    </row>
    <row r="531" spans="10:21" x14ac:dyDescent="0.2">
      <c r="J531" s="516"/>
      <c r="K531" s="516"/>
      <c r="L531" s="517"/>
      <c r="M531" s="440"/>
      <c r="N531" s="487"/>
      <c r="O531" s="487"/>
      <c r="P531" s="479"/>
      <c r="R531" s="482"/>
      <c r="S531" s="482"/>
      <c r="T531" s="499"/>
      <c r="U531" s="499"/>
    </row>
    <row r="532" spans="10:21" x14ac:dyDescent="0.2">
      <c r="J532" s="516"/>
      <c r="K532" s="516"/>
      <c r="L532" s="517"/>
      <c r="M532" s="440"/>
      <c r="N532" s="487"/>
      <c r="O532" s="487"/>
      <c r="P532" s="479"/>
      <c r="R532" s="482"/>
      <c r="S532" s="482"/>
      <c r="T532" s="499"/>
      <c r="U532" s="499"/>
    </row>
    <row r="533" spans="10:21" x14ac:dyDescent="0.2">
      <c r="J533" s="516"/>
      <c r="K533" s="516"/>
      <c r="L533" s="517"/>
      <c r="M533" s="518"/>
      <c r="N533" s="501"/>
      <c r="O533" s="501"/>
      <c r="P533" s="500"/>
      <c r="R533" s="502"/>
      <c r="S533" s="502"/>
      <c r="T533" s="503"/>
      <c r="U533" s="503"/>
    </row>
    <row r="534" spans="10:21" x14ac:dyDescent="0.2">
      <c r="M534" s="440"/>
      <c r="N534" s="487"/>
      <c r="O534" s="487"/>
      <c r="P534" s="486"/>
      <c r="R534" s="272"/>
      <c r="S534" s="272"/>
      <c r="T534" s="506"/>
      <c r="U534" s="506"/>
    </row>
    <row r="535" spans="10:21" x14ac:dyDescent="0.2">
      <c r="R535" s="272"/>
      <c r="S535" s="272"/>
      <c r="T535" s="272"/>
    </row>
    <row r="536" spans="10:21" x14ac:dyDescent="0.2">
      <c r="J536" s="496"/>
      <c r="K536" s="496"/>
      <c r="L536" s="496"/>
      <c r="M536" s="486"/>
      <c r="P536" s="486"/>
      <c r="R536" s="272"/>
      <c r="S536" s="272"/>
      <c r="T536" s="272"/>
    </row>
    <row r="537" spans="10:21" x14ac:dyDescent="0.2">
      <c r="J537" s="496"/>
      <c r="K537" s="496"/>
      <c r="L537" s="496"/>
      <c r="M537" s="486"/>
      <c r="P537" s="486"/>
      <c r="R537" s="272"/>
      <c r="S537" s="272"/>
      <c r="T537" s="272"/>
    </row>
    <row r="538" spans="10:21" x14ac:dyDescent="0.2">
      <c r="J538" s="496"/>
      <c r="K538" s="496"/>
      <c r="L538" s="496"/>
      <c r="M538" s="440"/>
      <c r="N538" s="487"/>
      <c r="O538" s="487"/>
      <c r="P538" s="511"/>
      <c r="R538" s="482"/>
      <c r="S538" s="482"/>
      <c r="T538" s="482"/>
      <c r="U538" s="482"/>
    </row>
    <row r="539" spans="10:21" x14ac:dyDescent="0.2">
      <c r="J539" s="496"/>
      <c r="K539" s="496"/>
      <c r="L539" s="496"/>
      <c r="M539" s="440"/>
      <c r="N539" s="487"/>
      <c r="O539" s="487"/>
      <c r="P539" s="511"/>
      <c r="R539" s="482"/>
      <c r="S539" s="482"/>
      <c r="T539" s="482"/>
      <c r="U539" s="482"/>
    </row>
    <row r="540" spans="10:21" x14ac:dyDescent="0.2">
      <c r="J540" s="496"/>
      <c r="K540" s="496"/>
      <c r="L540" s="496"/>
      <c r="M540" s="440"/>
      <c r="N540" s="487"/>
      <c r="O540" s="487"/>
      <c r="P540" s="511"/>
      <c r="R540" s="482"/>
      <c r="S540" s="482"/>
      <c r="T540" s="482"/>
      <c r="U540" s="482"/>
    </row>
    <row r="541" spans="10:21" x14ac:dyDescent="0.2">
      <c r="J541" s="496"/>
      <c r="K541" s="496"/>
      <c r="L541" s="496"/>
      <c r="M541" s="440"/>
      <c r="N541" s="487"/>
      <c r="O541" s="487"/>
      <c r="P541" s="511"/>
      <c r="R541" s="482"/>
      <c r="S541" s="482"/>
      <c r="T541" s="482"/>
      <c r="U541" s="482"/>
    </row>
    <row r="542" spans="10:21" x14ac:dyDescent="0.2">
      <c r="J542" s="496"/>
      <c r="K542" s="496"/>
      <c r="L542" s="496"/>
      <c r="M542" s="440"/>
      <c r="N542" s="487"/>
      <c r="O542" s="487"/>
      <c r="P542" s="511"/>
      <c r="R542" s="482"/>
      <c r="S542" s="482"/>
      <c r="T542" s="482"/>
      <c r="U542" s="482"/>
    </row>
    <row r="543" spans="10:21" x14ac:dyDescent="0.2">
      <c r="J543" s="496"/>
      <c r="K543" s="496"/>
      <c r="L543" s="496"/>
      <c r="M543" s="440"/>
      <c r="N543" s="487"/>
      <c r="O543" s="487"/>
      <c r="P543" s="511"/>
      <c r="R543" s="482"/>
      <c r="S543" s="482"/>
      <c r="T543" s="482"/>
      <c r="U543" s="482"/>
    </row>
    <row r="544" spans="10:21" x14ac:dyDescent="0.2">
      <c r="J544" s="496"/>
      <c r="K544" s="496"/>
      <c r="L544" s="496"/>
      <c r="M544" s="440"/>
      <c r="N544" s="487"/>
      <c r="O544" s="487"/>
      <c r="P544" s="511"/>
      <c r="R544" s="482"/>
      <c r="S544" s="482"/>
      <c r="T544" s="482"/>
      <c r="U544" s="482"/>
    </row>
    <row r="545" spans="10:21" x14ac:dyDescent="0.2">
      <c r="J545" s="496"/>
      <c r="K545" s="496"/>
      <c r="L545" s="496"/>
      <c r="M545" s="440"/>
      <c r="N545" s="487"/>
      <c r="O545" s="487"/>
      <c r="P545" s="511"/>
      <c r="R545" s="482"/>
      <c r="S545" s="482"/>
      <c r="T545" s="482"/>
      <c r="U545" s="482"/>
    </row>
    <row r="546" spans="10:21" x14ac:dyDescent="0.2">
      <c r="J546" s="496"/>
      <c r="K546" s="496"/>
      <c r="L546" s="496"/>
      <c r="M546" s="440"/>
      <c r="N546" s="487"/>
      <c r="O546" s="487"/>
      <c r="P546" s="511"/>
      <c r="R546" s="482"/>
      <c r="S546" s="482"/>
      <c r="T546" s="482"/>
      <c r="U546" s="482"/>
    </row>
    <row r="547" spans="10:21" x14ac:dyDescent="0.2">
      <c r="J547" s="496"/>
      <c r="K547" s="496"/>
      <c r="L547" s="496"/>
      <c r="M547" s="440"/>
      <c r="N547" s="487"/>
      <c r="O547" s="487"/>
      <c r="P547" s="511"/>
      <c r="R547" s="482"/>
      <c r="S547" s="482"/>
      <c r="T547" s="482"/>
      <c r="U547" s="482"/>
    </row>
    <row r="548" spans="10:21" x14ac:dyDescent="0.2">
      <c r="J548" s="496"/>
      <c r="K548" s="496"/>
      <c r="L548" s="496"/>
      <c r="M548" s="440"/>
      <c r="N548" s="487"/>
      <c r="O548" s="487"/>
      <c r="P548" s="511"/>
      <c r="R548" s="482"/>
      <c r="S548" s="482"/>
      <c r="T548" s="482"/>
      <c r="U548" s="482"/>
    </row>
    <row r="549" spans="10:21" x14ac:dyDescent="0.2">
      <c r="J549" s="496"/>
      <c r="K549" s="496"/>
      <c r="L549" s="496"/>
      <c r="M549" s="518"/>
      <c r="N549" s="501"/>
      <c r="O549" s="501"/>
      <c r="P549" s="512"/>
      <c r="R549" s="502"/>
      <c r="S549" s="502"/>
      <c r="T549" s="502"/>
      <c r="U549" s="502"/>
    </row>
    <row r="550" spans="10:21" x14ac:dyDescent="0.2">
      <c r="J550" s="505"/>
      <c r="K550" s="505"/>
      <c r="L550" s="505"/>
      <c r="M550" s="440"/>
      <c r="N550" s="487"/>
      <c r="O550" s="487"/>
      <c r="P550" s="486"/>
      <c r="R550" s="272"/>
      <c r="S550" s="272"/>
      <c r="T550" s="272"/>
      <c r="U550" s="272"/>
    </row>
    <row r="551" spans="10:21" x14ac:dyDescent="0.2">
      <c r="R551" s="272"/>
      <c r="S551" s="272"/>
      <c r="T551" s="272"/>
    </row>
    <row r="552" spans="10:21" x14ac:dyDescent="0.2">
      <c r="R552" s="272"/>
      <c r="S552" s="272"/>
      <c r="T552" s="272"/>
    </row>
    <row r="553" spans="10:21" x14ac:dyDescent="0.2">
      <c r="R553" s="272"/>
      <c r="S553" s="272"/>
      <c r="T553" s="272"/>
    </row>
    <row r="554" spans="10:21" x14ac:dyDescent="0.2">
      <c r="R554" s="272"/>
      <c r="S554" s="272"/>
      <c r="T554" s="272"/>
    </row>
    <row r="555" spans="10:21" x14ac:dyDescent="0.2">
      <c r="R555" s="272"/>
      <c r="S555" s="272"/>
      <c r="T555" s="272"/>
    </row>
    <row r="556" spans="10:21" x14ac:dyDescent="0.2">
      <c r="R556" s="272"/>
      <c r="S556" s="272"/>
      <c r="T556" s="272"/>
    </row>
    <row r="557" spans="10:21" x14ac:dyDescent="0.2">
      <c r="R557" s="272"/>
      <c r="S557" s="272"/>
      <c r="T557" s="272"/>
    </row>
    <row r="558" spans="10:21" x14ac:dyDescent="0.2">
      <c r="R558" s="272"/>
      <c r="S558" s="272"/>
      <c r="T558" s="272"/>
    </row>
    <row r="559" spans="10:21" x14ac:dyDescent="0.2">
      <c r="R559" s="272"/>
      <c r="S559" s="272"/>
      <c r="T559" s="272"/>
    </row>
    <row r="560" spans="10:21" x14ac:dyDescent="0.2">
      <c r="R560" s="272"/>
      <c r="S560" s="272"/>
      <c r="T560" s="272"/>
    </row>
    <row r="561" spans="1:20" x14ac:dyDescent="0.2">
      <c r="R561" s="272"/>
      <c r="S561" s="272"/>
      <c r="T561" s="272"/>
    </row>
    <row r="562" spans="1:20" x14ac:dyDescent="0.2">
      <c r="R562" s="272"/>
      <c r="S562" s="272"/>
      <c r="T562" s="272"/>
    </row>
    <row r="563" spans="1:20" ht="10.5" x14ac:dyDescent="0.25">
      <c r="J563" s="392"/>
      <c r="M563" s="486"/>
      <c r="P563" s="486"/>
      <c r="R563" s="272"/>
      <c r="S563" s="272"/>
      <c r="T563" s="272"/>
    </row>
    <row r="564" spans="1:20" ht="10.5" x14ac:dyDescent="0.25">
      <c r="J564" s="392"/>
      <c r="M564" s="486"/>
      <c r="P564" s="486"/>
      <c r="R564" s="272"/>
      <c r="S564" s="272"/>
      <c r="T564" s="272"/>
    </row>
    <row r="565" spans="1:20" ht="10.5" x14ac:dyDescent="0.25">
      <c r="J565" s="392"/>
      <c r="M565" s="486"/>
      <c r="P565" s="479"/>
      <c r="R565" s="272"/>
      <c r="S565" s="272"/>
      <c r="T565" s="272"/>
    </row>
    <row r="566" spans="1:20" ht="7" customHeight="1" x14ac:dyDescent="0.2">
      <c r="M566" s="486"/>
      <c r="P566" s="486"/>
      <c r="R566" s="272"/>
      <c r="S566" s="272"/>
      <c r="T566" s="272"/>
    </row>
    <row r="567" spans="1:20" ht="10.5" x14ac:dyDescent="0.25">
      <c r="L567" s="219"/>
      <c r="M567" s="219"/>
      <c r="P567" s="486"/>
      <c r="R567" s="272"/>
      <c r="S567" s="272"/>
      <c r="T567" s="272"/>
    </row>
    <row r="568" spans="1:20" ht="10.5" x14ac:dyDescent="0.25">
      <c r="J568" s="392"/>
      <c r="L568" s="219"/>
      <c r="M568" s="219"/>
      <c r="N568" s="219"/>
      <c r="O568" s="219"/>
      <c r="P568" s="486"/>
      <c r="R568" s="272"/>
      <c r="S568" s="272"/>
      <c r="T568" s="272"/>
    </row>
    <row r="569" spans="1:20" ht="10.5" x14ac:dyDescent="0.25">
      <c r="A569" s="369"/>
      <c r="B569" s="245"/>
      <c r="C569" s="245"/>
      <c r="D569" s="392"/>
      <c r="E569" s="392"/>
      <c r="F569" s="392"/>
      <c r="G569" s="392"/>
      <c r="H569" s="392"/>
      <c r="I569" s="392"/>
      <c r="J569" s="392"/>
      <c r="L569" s="219"/>
      <c r="M569" s="219"/>
      <c r="N569" s="219"/>
      <c r="O569" s="219"/>
      <c r="P569" s="486"/>
      <c r="R569" s="272"/>
      <c r="S569" s="272"/>
      <c r="T569" s="272"/>
    </row>
    <row r="570" spans="1:20" ht="10.5" x14ac:dyDescent="0.25">
      <c r="A570" s="263"/>
      <c r="B570" s="263"/>
      <c r="C570" s="263"/>
      <c r="D570" s="241"/>
      <c r="E570" s="241"/>
      <c r="F570" s="241"/>
      <c r="G570" s="241"/>
      <c r="H570" s="241"/>
      <c r="I570" s="241"/>
      <c r="J570" s="519"/>
      <c r="L570" s="241"/>
      <c r="M570" s="241"/>
      <c r="N570" s="241"/>
      <c r="O570" s="241"/>
      <c r="P570" s="486"/>
      <c r="R570" s="272"/>
      <c r="S570" s="272"/>
      <c r="T570" s="272"/>
    </row>
    <row r="571" spans="1:20" ht="9" customHeight="1" x14ac:dyDescent="0.25">
      <c r="A571" s="369"/>
      <c r="B571" s="245"/>
      <c r="C571" s="245"/>
      <c r="D571" s="392"/>
      <c r="E571" s="392"/>
      <c r="F571" s="392"/>
      <c r="G571" s="392"/>
      <c r="H571" s="392"/>
      <c r="I571" s="392"/>
      <c r="J571" s="392"/>
      <c r="L571" s="219"/>
      <c r="M571" s="219"/>
      <c r="N571" s="219"/>
      <c r="O571" s="219"/>
      <c r="P571" s="486"/>
      <c r="R571" s="272"/>
      <c r="S571" s="272"/>
      <c r="T571" s="272"/>
    </row>
    <row r="572" spans="1:20" ht="10.5" x14ac:dyDescent="0.25">
      <c r="J572" s="392"/>
      <c r="L572" s="219"/>
      <c r="M572" s="219"/>
      <c r="N572" s="219"/>
      <c r="O572" s="219"/>
      <c r="P572" s="486"/>
      <c r="R572" s="272"/>
      <c r="S572" s="272"/>
      <c r="T572" s="272"/>
    </row>
    <row r="573" spans="1:20" ht="7" customHeight="1" x14ac:dyDescent="0.2">
      <c r="P573" s="486"/>
      <c r="R573" s="272"/>
      <c r="S573" s="272"/>
      <c r="T573" s="272"/>
    </row>
    <row r="574" spans="1:20" x14ac:dyDescent="0.2">
      <c r="L574" s="487"/>
      <c r="M574" s="487"/>
      <c r="N574" s="487"/>
      <c r="O574" s="487"/>
      <c r="P574" s="486"/>
      <c r="R574" s="272"/>
      <c r="S574" s="272"/>
      <c r="T574" s="272"/>
    </row>
    <row r="575" spans="1:20" x14ac:dyDescent="0.2">
      <c r="L575" s="501"/>
      <c r="M575" s="501"/>
      <c r="N575" s="501"/>
      <c r="O575" s="501"/>
      <c r="P575" s="486"/>
      <c r="R575" s="272"/>
      <c r="S575" s="272"/>
      <c r="T575" s="272"/>
    </row>
    <row r="576" spans="1:20" x14ac:dyDescent="0.2">
      <c r="L576" s="487"/>
      <c r="M576" s="487"/>
      <c r="N576" s="487"/>
      <c r="O576" s="487"/>
      <c r="P576" s="486"/>
      <c r="R576" s="272"/>
      <c r="S576" s="272"/>
      <c r="T576" s="272"/>
    </row>
    <row r="577" spans="2:20" ht="4.5" customHeight="1" x14ac:dyDescent="0.2">
      <c r="L577" s="487"/>
      <c r="M577" s="487"/>
      <c r="N577" s="487"/>
      <c r="O577" s="487"/>
      <c r="P577" s="486"/>
      <c r="R577" s="272"/>
      <c r="S577" s="272"/>
      <c r="T577" s="272"/>
    </row>
    <row r="578" spans="2:20" ht="10.5" x14ac:dyDescent="0.25">
      <c r="B578" s="245"/>
      <c r="C578" s="245"/>
      <c r="D578" s="392"/>
      <c r="E578" s="392"/>
      <c r="F578" s="392"/>
      <c r="G578" s="392"/>
      <c r="H578" s="392"/>
      <c r="I578" s="392"/>
      <c r="L578" s="487"/>
      <c r="M578" s="487"/>
      <c r="N578" s="487"/>
      <c r="O578" s="487"/>
      <c r="P578" s="486"/>
      <c r="R578" s="272"/>
      <c r="S578" s="272"/>
      <c r="T578" s="272"/>
    </row>
    <row r="579" spans="2:20" ht="4.5" customHeight="1" x14ac:dyDescent="0.2">
      <c r="L579" s="487"/>
      <c r="M579" s="487"/>
      <c r="N579" s="487"/>
      <c r="O579" s="487"/>
      <c r="P579" s="486"/>
      <c r="R579" s="272"/>
      <c r="S579" s="272"/>
      <c r="T579" s="272"/>
    </row>
    <row r="580" spans="2:20" ht="10.5" x14ac:dyDescent="0.25">
      <c r="B580" s="245"/>
      <c r="C580" s="245"/>
      <c r="D580" s="392"/>
      <c r="E580" s="392"/>
      <c r="F580" s="392"/>
      <c r="G580" s="392"/>
      <c r="H580" s="392"/>
      <c r="I580" s="392"/>
      <c r="L580" s="487"/>
      <c r="M580" s="487"/>
      <c r="N580" s="487"/>
      <c r="O580" s="487"/>
      <c r="P580" s="486"/>
      <c r="R580" s="272"/>
      <c r="S580" s="272"/>
      <c r="T580" s="272"/>
    </row>
    <row r="581" spans="2:20" ht="10.5" x14ac:dyDescent="0.25">
      <c r="B581" s="245"/>
      <c r="C581" s="245"/>
      <c r="D581" s="392"/>
      <c r="E581" s="392"/>
      <c r="F581" s="392"/>
      <c r="G581" s="392"/>
      <c r="H581" s="392"/>
      <c r="I581" s="392"/>
      <c r="L581" s="487"/>
      <c r="M581" s="487"/>
      <c r="N581" s="487"/>
      <c r="O581" s="487"/>
      <c r="P581" s="486"/>
      <c r="R581" s="272"/>
      <c r="S581" s="272"/>
      <c r="T581" s="272"/>
    </row>
    <row r="582" spans="2:20" ht="10.5" x14ac:dyDescent="0.25">
      <c r="B582" s="245"/>
      <c r="C582" s="245"/>
      <c r="D582" s="392"/>
      <c r="E582" s="392"/>
      <c r="F582" s="392"/>
      <c r="G582" s="392"/>
      <c r="H582" s="392"/>
      <c r="I582" s="392"/>
      <c r="L582" s="487"/>
      <c r="M582" s="487"/>
      <c r="N582" s="487"/>
      <c r="O582" s="487"/>
      <c r="P582" s="486"/>
      <c r="R582" s="272"/>
      <c r="S582" s="272"/>
      <c r="T582" s="272"/>
    </row>
    <row r="583" spans="2:20" ht="10.5" x14ac:dyDescent="0.25">
      <c r="B583" s="245"/>
      <c r="C583" s="245"/>
      <c r="D583" s="392"/>
      <c r="E583" s="392"/>
      <c r="F583" s="392"/>
      <c r="G583" s="392"/>
      <c r="H583" s="392"/>
      <c r="I583" s="392"/>
      <c r="L583" s="487"/>
      <c r="M583" s="487"/>
      <c r="N583" s="487"/>
      <c r="O583" s="487"/>
      <c r="P583" s="487"/>
      <c r="R583" s="272"/>
      <c r="S583" s="272"/>
      <c r="T583" s="272"/>
    </row>
    <row r="584" spans="2:20" ht="10.5" x14ac:dyDescent="0.25">
      <c r="B584" s="245"/>
      <c r="C584" s="245"/>
      <c r="D584" s="392"/>
      <c r="E584" s="392"/>
      <c r="F584" s="392"/>
      <c r="G584" s="392"/>
      <c r="H584" s="392"/>
      <c r="I584" s="392"/>
      <c r="L584" s="487"/>
      <c r="M584" s="487"/>
      <c r="N584" s="487"/>
      <c r="O584" s="487"/>
      <c r="P584" s="487"/>
      <c r="R584" s="272"/>
      <c r="S584" s="272"/>
      <c r="T584" s="272"/>
    </row>
    <row r="585" spans="2:20" ht="10.5" x14ac:dyDescent="0.25">
      <c r="B585" s="245"/>
      <c r="C585" s="245"/>
      <c r="D585" s="392"/>
      <c r="E585" s="392"/>
      <c r="F585" s="392"/>
      <c r="G585" s="392"/>
      <c r="H585" s="392"/>
      <c r="I585" s="392"/>
      <c r="L585" s="487"/>
      <c r="M585" s="487"/>
      <c r="N585" s="487"/>
      <c r="O585" s="487"/>
      <c r="P585" s="487"/>
      <c r="R585" s="272"/>
      <c r="S585" s="272"/>
      <c r="T585" s="272"/>
    </row>
    <row r="586" spans="2:20" ht="10.5" x14ac:dyDescent="0.25">
      <c r="B586" s="245"/>
      <c r="C586" s="245"/>
      <c r="D586" s="392"/>
      <c r="E586" s="392"/>
      <c r="F586" s="392"/>
      <c r="G586" s="392"/>
      <c r="H586" s="392"/>
      <c r="I586" s="392"/>
      <c r="L586" s="487"/>
      <c r="M586" s="487"/>
      <c r="N586" s="487"/>
      <c r="O586" s="487"/>
      <c r="P586" s="487"/>
      <c r="R586" s="272"/>
      <c r="S586" s="272"/>
      <c r="T586" s="272"/>
    </row>
    <row r="587" spans="2:20" ht="10.5" x14ac:dyDescent="0.25">
      <c r="B587" s="245"/>
      <c r="C587" s="245"/>
      <c r="D587" s="392"/>
      <c r="E587" s="392"/>
      <c r="F587" s="392"/>
      <c r="G587" s="392"/>
      <c r="H587" s="392"/>
      <c r="I587" s="392"/>
      <c r="L587" s="487"/>
      <c r="M587" s="487"/>
      <c r="N587" s="487"/>
      <c r="O587" s="487"/>
      <c r="P587" s="487"/>
      <c r="R587" s="272"/>
      <c r="S587" s="272"/>
      <c r="T587" s="272"/>
    </row>
    <row r="588" spans="2:20" ht="10.5" x14ac:dyDescent="0.25">
      <c r="B588" s="245"/>
      <c r="C588" s="245"/>
      <c r="D588" s="392"/>
      <c r="E588" s="392"/>
      <c r="F588" s="392"/>
      <c r="G588" s="392"/>
      <c r="H588" s="392"/>
      <c r="I588" s="392"/>
      <c r="L588" s="487"/>
      <c r="M588" s="487"/>
      <c r="N588" s="487"/>
      <c r="O588" s="487"/>
      <c r="P588" s="487"/>
      <c r="R588" s="272"/>
      <c r="S588" s="272"/>
      <c r="T588" s="272"/>
    </row>
    <row r="589" spans="2:20" ht="10.5" x14ac:dyDescent="0.25">
      <c r="B589" s="245"/>
      <c r="C589" s="245"/>
      <c r="D589" s="392"/>
      <c r="E589" s="392"/>
      <c r="F589" s="392"/>
      <c r="G589" s="392"/>
      <c r="H589" s="392"/>
      <c r="I589" s="392"/>
      <c r="R589" s="272"/>
      <c r="S589" s="272"/>
      <c r="T589" s="272"/>
    </row>
    <row r="590" spans="2:20" ht="10.5" x14ac:dyDescent="0.25">
      <c r="B590" s="245"/>
      <c r="C590" s="245"/>
      <c r="D590" s="392"/>
      <c r="E590" s="392"/>
      <c r="F590" s="392"/>
      <c r="G590" s="392"/>
      <c r="H590" s="392"/>
      <c r="I590" s="392"/>
      <c r="L590" s="487"/>
      <c r="M590" s="282"/>
      <c r="N590" s="487"/>
      <c r="O590" s="487"/>
      <c r="R590" s="272"/>
      <c r="S590" s="272"/>
      <c r="T590" s="272"/>
    </row>
    <row r="591" spans="2:20" ht="10.5" x14ac:dyDescent="0.25">
      <c r="B591" s="245"/>
      <c r="C591" s="245"/>
      <c r="D591" s="392"/>
      <c r="E591" s="392"/>
      <c r="F591" s="392"/>
      <c r="G591" s="392"/>
      <c r="H591" s="392"/>
      <c r="I591" s="392"/>
      <c r="L591" s="487"/>
      <c r="N591" s="487"/>
      <c r="O591" s="487"/>
      <c r="R591" s="272"/>
      <c r="S591" s="272"/>
      <c r="T591" s="272"/>
    </row>
    <row r="592" spans="2:20" ht="10.5" x14ac:dyDescent="0.25">
      <c r="B592" s="245"/>
      <c r="C592" s="245"/>
      <c r="D592" s="392"/>
      <c r="E592" s="392"/>
      <c r="F592" s="392"/>
      <c r="G592" s="392"/>
      <c r="H592" s="392"/>
      <c r="I592" s="392"/>
      <c r="L592" s="487"/>
      <c r="N592" s="487"/>
      <c r="O592" s="487"/>
      <c r="R592" s="272"/>
      <c r="S592" s="272"/>
      <c r="T592" s="272"/>
    </row>
    <row r="593" spans="2:20" ht="10.5" x14ac:dyDescent="0.25">
      <c r="B593" s="245"/>
      <c r="C593" s="245"/>
      <c r="D593" s="392"/>
      <c r="E593" s="392"/>
      <c r="F593" s="392"/>
      <c r="G593" s="392"/>
      <c r="H593" s="392"/>
      <c r="I593" s="392"/>
      <c r="L593" s="501"/>
      <c r="M593" s="281"/>
      <c r="N593" s="501"/>
      <c r="O593" s="501"/>
      <c r="R593" s="272"/>
      <c r="S593" s="272"/>
      <c r="T593" s="272"/>
    </row>
    <row r="594" spans="2:20" ht="9.65" customHeight="1" x14ac:dyDescent="0.2">
      <c r="R594" s="272"/>
      <c r="S594" s="272"/>
      <c r="T594" s="272"/>
    </row>
    <row r="595" spans="2:20" x14ac:dyDescent="0.2">
      <c r="L595" s="487"/>
      <c r="M595" s="487"/>
      <c r="N595" s="487"/>
      <c r="O595" s="487"/>
      <c r="P595" s="487"/>
      <c r="R595" s="272"/>
      <c r="S595" s="272"/>
      <c r="T595" s="272"/>
    </row>
    <row r="596" spans="2:20" ht="5.25" customHeight="1" x14ac:dyDescent="0.2">
      <c r="L596" s="487"/>
      <c r="M596" s="487"/>
      <c r="N596" s="487"/>
      <c r="O596" s="487"/>
      <c r="P596" s="487"/>
      <c r="R596" s="272"/>
      <c r="S596" s="272"/>
      <c r="T596" s="272"/>
    </row>
    <row r="597" spans="2:20" ht="10.5" x14ac:dyDescent="0.25">
      <c r="B597" s="245"/>
      <c r="C597" s="245"/>
      <c r="D597" s="392"/>
      <c r="E597" s="392"/>
      <c r="F597" s="392"/>
      <c r="G597" s="392"/>
      <c r="H597" s="392"/>
      <c r="I597" s="392"/>
      <c r="L597" s="487"/>
      <c r="M597" s="487"/>
      <c r="N597" s="487"/>
      <c r="O597" s="487"/>
      <c r="P597" s="487"/>
      <c r="R597" s="272"/>
      <c r="S597" s="272"/>
      <c r="T597" s="272"/>
    </row>
    <row r="598" spans="2:20" ht="3.75" customHeight="1" x14ac:dyDescent="0.25">
      <c r="B598" s="245"/>
      <c r="C598" s="245"/>
      <c r="D598" s="392"/>
      <c r="E598" s="392"/>
      <c r="F598" s="392"/>
      <c r="G598" s="392"/>
      <c r="H598" s="392"/>
      <c r="I598" s="392"/>
      <c r="L598" s="487"/>
      <c r="M598" s="487"/>
      <c r="N598" s="487"/>
      <c r="O598" s="487"/>
      <c r="P598" s="487"/>
      <c r="R598" s="272"/>
      <c r="S598" s="272"/>
      <c r="T598" s="272"/>
    </row>
    <row r="599" spans="2:20" ht="10.5" x14ac:dyDescent="0.25">
      <c r="B599" s="245"/>
      <c r="C599" s="245"/>
      <c r="D599" s="392"/>
      <c r="E599" s="392"/>
      <c r="F599" s="392"/>
      <c r="G599" s="392"/>
      <c r="H599" s="392"/>
      <c r="I599" s="392"/>
      <c r="L599" s="487"/>
      <c r="M599" s="520"/>
      <c r="N599" s="520"/>
      <c r="O599" s="520"/>
      <c r="P599" s="487"/>
      <c r="R599" s="272"/>
      <c r="S599" s="272"/>
      <c r="T599" s="272"/>
    </row>
    <row r="600" spans="2:20" ht="10.5" x14ac:dyDescent="0.25">
      <c r="B600" s="245"/>
      <c r="C600" s="245"/>
      <c r="D600" s="392"/>
      <c r="E600" s="392"/>
      <c r="F600" s="392"/>
      <c r="G600" s="392"/>
      <c r="H600" s="392"/>
      <c r="I600" s="392"/>
      <c r="L600" s="487"/>
      <c r="M600" s="520"/>
      <c r="N600" s="520"/>
      <c r="O600" s="520"/>
      <c r="P600" s="487"/>
      <c r="R600" s="272"/>
      <c r="S600" s="272"/>
      <c r="T600" s="272"/>
    </row>
    <row r="601" spans="2:20" ht="10.5" x14ac:dyDescent="0.25">
      <c r="B601" s="245"/>
      <c r="C601" s="245"/>
      <c r="D601" s="392"/>
      <c r="E601" s="392"/>
      <c r="F601" s="392"/>
      <c r="G601" s="392"/>
      <c r="H601" s="392"/>
      <c r="I601" s="392"/>
      <c r="L601" s="487"/>
      <c r="M601" s="520"/>
      <c r="N601" s="520"/>
      <c r="O601" s="520"/>
      <c r="P601" s="487"/>
      <c r="R601" s="272"/>
      <c r="S601" s="272"/>
      <c r="T601" s="272"/>
    </row>
    <row r="602" spans="2:20" ht="10.5" x14ac:dyDescent="0.25">
      <c r="B602" s="245"/>
      <c r="C602" s="245"/>
      <c r="D602" s="392"/>
      <c r="E602" s="392"/>
      <c r="F602" s="392"/>
      <c r="G602" s="392"/>
      <c r="H602" s="392"/>
      <c r="I602" s="392"/>
      <c r="L602" s="487"/>
      <c r="M602" s="520"/>
      <c r="N602" s="520"/>
      <c r="O602" s="520"/>
      <c r="P602" s="487"/>
      <c r="R602" s="272"/>
      <c r="S602" s="272"/>
      <c r="T602" s="272"/>
    </row>
    <row r="603" spans="2:20" ht="10.5" x14ac:dyDescent="0.25">
      <c r="B603" s="245"/>
      <c r="C603" s="245"/>
      <c r="D603" s="392"/>
      <c r="E603" s="392"/>
      <c r="F603" s="392"/>
      <c r="G603" s="392"/>
      <c r="H603" s="392"/>
      <c r="I603" s="392"/>
      <c r="L603" s="487"/>
      <c r="M603" s="520"/>
      <c r="N603" s="520"/>
      <c r="O603" s="520"/>
      <c r="P603" s="487"/>
      <c r="R603" s="272"/>
      <c r="S603" s="272"/>
      <c r="T603" s="272"/>
    </row>
    <row r="604" spans="2:20" ht="10.5" x14ac:dyDescent="0.25">
      <c r="B604" s="245"/>
      <c r="C604" s="245"/>
      <c r="D604" s="392"/>
      <c r="E604" s="392"/>
      <c r="F604" s="392"/>
      <c r="G604" s="392"/>
      <c r="H604" s="392"/>
      <c r="I604" s="392"/>
      <c r="L604" s="487"/>
      <c r="M604" s="520"/>
      <c r="N604" s="520"/>
      <c r="O604" s="520"/>
      <c r="P604" s="487"/>
      <c r="R604" s="272"/>
      <c r="S604" s="272"/>
      <c r="T604" s="272"/>
    </row>
    <row r="605" spans="2:20" ht="10.5" x14ac:dyDescent="0.25">
      <c r="B605" s="245"/>
      <c r="C605" s="245"/>
      <c r="D605" s="392"/>
      <c r="E605" s="392"/>
      <c r="F605" s="392"/>
      <c r="G605" s="392"/>
      <c r="H605" s="392"/>
      <c r="I605" s="392"/>
      <c r="L605" s="487"/>
      <c r="M605" s="520"/>
      <c r="N605" s="520"/>
      <c r="O605" s="520"/>
      <c r="P605" s="487"/>
      <c r="R605" s="272"/>
      <c r="S605" s="272"/>
      <c r="T605" s="272"/>
    </row>
    <row r="606" spans="2:20" ht="10.5" x14ac:dyDescent="0.25">
      <c r="B606" s="245"/>
      <c r="C606" s="245"/>
      <c r="D606" s="392"/>
      <c r="E606" s="392"/>
      <c r="F606" s="392"/>
      <c r="G606" s="392"/>
      <c r="H606" s="392"/>
      <c r="I606" s="392"/>
      <c r="L606" s="487"/>
      <c r="M606" s="520"/>
      <c r="N606" s="520"/>
      <c r="O606" s="520"/>
      <c r="P606" s="487"/>
      <c r="R606" s="272"/>
      <c r="S606" s="272"/>
      <c r="T606" s="272"/>
    </row>
    <row r="607" spans="2:20" ht="10.5" x14ac:dyDescent="0.25">
      <c r="B607" s="245"/>
      <c r="C607" s="245"/>
      <c r="D607" s="392"/>
      <c r="E607" s="392"/>
      <c r="F607" s="392"/>
      <c r="G607" s="392"/>
      <c r="H607" s="392"/>
      <c r="I607" s="392"/>
      <c r="L607" s="487"/>
      <c r="M607" s="520"/>
      <c r="N607" s="520"/>
      <c r="O607" s="520"/>
      <c r="P607" s="487"/>
      <c r="R607" s="272"/>
      <c r="S607" s="272"/>
      <c r="T607" s="272"/>
    </row>
    <row r="608" spans="2:20" ht="10.5" x14ac:dyDescent="0.25">
      <c r="B608" s="245"/>
      <c r="C608" s="245"/>
      <c r="D608" s="392"/>
      <c r="E608" s="392"/>
      <c r="F608" s="392"/>
      <c r="G608" s="392"/>
      <c r="H608" s="392"/>
      <c r="I608" s="392"/>
      <c r="L608" s="521"/>
      <c r="M608" s="522"/>
      <c r="N608" s="522"/>
      <c r="O608" s="522"/>
      <c r="R608" s="272"/>
      <c r="S608" s="272"/>
      <c r="T608" s="272"/>
    </row>
    <row r="609" spans="1:20" ht="10.5" x14ac:dyDescent="0.25">
      <c r="B609" s="245"/>
      <c r="C609" s="245"/>
      <c r="D609" s="392"/>
      <c r="E609" s="392"/>
      <c r="F609" s="392"/>
      <c r="G609" s="392"/>
      <c r="H609" s="392"/>
      <c r="I609" s="392"/>
      <c r="L609" s="487"/>
      <c r="M609" s="522"/>
      <c r="N609" s="520"/>
      <c r="O609" s="520"/>
      <c r="R609" s="272"/>
      <c r="S609" s="272"/>
      <c r="T609" s="272"/>
    </row>
    <row r="610" spans="1:20" ht="10.5" x14ac:dyDescent="0.25">
      <c r="B610" s="245"/>
      <c r="C610" s="245"/>
      <c r="D610" s="392"/>
      <c r="E610" s="392"/>
      <c r="F610" s="392"/>
      <c r="G610" s="392"/>
      <c r="H610" s="392"/>
      <c r="I610" s="392"/>
      <c r="L610" s="487"/>
      <c r="M610" s="522"/>
      <c r="N610" s="520"/>
      <c r="O610" s="520"/>
      <c r="R610" s="272"/>
      <c r="S610" s="272"/>
      <c r="T610" s="272"/>
    </row>
    <row r="611" spans="1:20" ht="10.5" x14ac:dyDescent="0.25">
      <c r="B611" s="245"/>
      <c r="C611" s="245"/>
      <c r="D611" s="392"/>
      <c r="E611" s="392"/>
      <c r="F611" s="392"/>
      <c r="G611" s="392"/>
      <c r="H611" s="392"/>
      <c r="I611" s="392"/>
      <c r="J611" s="392"/>
      <c r="L611" s="487"/>
      <c r="M611" s="522"/>
      <c r="N611" s="520"/>
      <c r="O611" s="520"/>
      <c r="R611" s="272"/>
      <c r="S611" s="272"/>
      <c r="T611" s="272"/>
    </row>
    <row r="612" spans="1:20" ht="10.5" x14ac:dyDescent="0.25">
      <c r="B612" s="245"/>
      <c r="C612" s="245"/>
      <c r="D612" s="392"/>
      <c r="E612" s="392"/>
      <c r="F612" s="392"/>
      <c r="G612" s="392"/>
      <c r="H612" s="392"/>
      <c r="I612" s="392"/>
      <c r="L612" s="487"/>
      <c r="M612" s="522"/>
      <c r="N612" s="520"/>
      <c r="O612" s="520"/>
      <c r="R612" s="272"/>
      <c r="S612" s="272"/>
      <c r="T612" s="272"/>
    </row>
    <row r="613" spans="1:20" ht="10.5" x14ac:dyDescent="0.25">
      <c r="B613" s="245"/>
      <c r="C613" s="245"/>
      <c r="D613" s="392"/>
      <c r="E613" s="392"/>
      <c r="F613" s="392"/>
      <c r="G613" s="392"/>
      <c r="H613" s="392"/>
      <c r="I613" s="392"/>
      <c r="L613" s="501"/>
      <c r="M613" s="523"/>
      <c r="N613" s="523"/>
      <c r="O613" s="523"/>
      <c r="R613" s="272"/>
      <c r="S613" s="272"/>
      <c r="T613" s="272"/>
    </row>
    <row r="614" spans="1:20" x14ac:dyDescent="0.2">
      <c r="L614" s="501"/>
      <c r="M614" s="523"/>
      <c r="N614" s="523"/>
      <c r="O614" s="523"/>
      <c r="P614" s="487"/>
      <c r="R614" s="272"/>
      <c r="S614" s="272"/>
      <c r="T614" s="272"/>
    </row>
    <row r="615" spans="1:20" x14ac:dyDescent="0.2">
      <c r="L615" s="487"/>
      <c r="M615" s="520"/>
      <c r="N615" s="520"/>
      <c r="O615" s="520"/>
      <c r="P615" s="487"/>
      <c r="R615" s="272"/>
      <c r="S615" s="272"/>
      <c r="T615" s="272"/>
    </row>
    <row r="616" spans="1:20" x14ac:dyDescent="0.2">
      <c r="L616" s="501"/>
      <c r="M616" s="523"/>
      <c r="N616" s="523"/>
      <c r="O616" s="523"/>
      <c r="P616" s="487"/>
      <c r="R616" s="272"/>
      <c r="S616" s="272"/>
      <c r="T616" s="272"/>
    </row>
    <row r="617" spans="1:20" x14ac:dyDescent="0.2">
      <c r="L617" s="524"/>
      <c r="M617" s="520"/>
      <c r="N617" s="520"/>
      <c r="O617" s="520"/>
      <c r="R617" s="272"/>
      <c r="S617" s="272"/>
      <c r="T617" s="272"/>
    </row>
    <row r="618" spans="1:20" x14ac:dyDescent="0.2">
      <c r="B618" s="409"/>
      <c r="C618" s="409"/>
      <c r="D618" s="491"/>
      <c r="E618" s="491"/>
      <c r="F618" s="491"/>
      <c r="G618" s="491"/>
      <c r="H618" s="491"/>
      <c r="I618" s="491"/>
      <c r="L618" s="501"/>
      <c r="R618" s="272"/>
      <c r="S618" s="272"/>
      <c r="T618" s="272"/>
    </row>
    <row r="619" spans="1:20" x14ac:dyDescent="0.2">
      <c r="L619" s="525"/>
      <c r="R619" s="272"/>
      <c r="S619" s="272"/>
      <c r="T619" s="272"/>
    </row>
    <row r="620" spans="1:20" x14ac:dyDescent="0.2">
      <c r="R620" s="272"/>
      <c r="S620" s="272"/>
      <c r="T620" s="272"/>
    </row>
    <row r="621" spans="1:20" x14ac:dyDescent="0.2">
      <c r="R621" s="272"/>
      <c r="S621" s="272"/>
      <c r="T621" s="272"/>
    </row>
    <row r="622" spans="1:20" x14ac:dyDescent="0.2">
      <c r="A622" s="476"/>
      <c r="R622" s="272"/>
      <c r="S622" s="272"/>
      <c r="T622" s="272"/>
    </row>
    <row r="623" spans="1:20" x14ac:dyDescent="0.2">
      <c r="K623" s="526"/>
      <c r="L623" s="526"/>
      <c r="M623" s="526"/>
      <c r="R623" s="272"/>
      <c r="S623" s="272"/>
      <c r="T623" s="272"/>
    </row>
    <row r="624" spans="1:20" x14ac:dyDescent="0.2">
      <c r="K624" s="439"/>
      <c r="L624" s="527"/>
      <c r="M624" s="439"/>
      <c r="N624" s="486"/>
      <c r="O624" s="486"/>
      <c r="R624" s="272"/>
      <c r="S624" s="272"/>
      <c r="T624" s="272"/>
    </row>
    <row r="625" spans="11:20" x14ac:dyDescent="0.2">
      <c r="K625" s="439"/>
      <c r="L625" s="527"/>
      <c r="M625" s="439"/>
      <c r="R625" s="272"/>
      <c r="S625" s="272"/>
      <c r="T625" s="272"/>
    </row>
    <row r="626" spans="11:20" x14ac:dyDescent="0.2">
      <c r="K626" s="439"/>
      <c r="L626" s="527"/>
      <c r="M626" s="439"/>
      <c r="R626" s="272"/>
      <c r="S626" s="272"/>
      <c r="T626" s="272"/>
    </row>
    <row r="628" spans="11:20" x14ac:dyDescent="0.2">
      <c r="K628" s="440"/>
    </row>
    <row r="629" spans="11:20" x14ac:dyDescent="0.2">
      <c r="K629" s="440"/>
    </row>
    <row r="633" spans="11:20" x14ac:dyDescent="0.2">
      <c r="K633" s="440"/>
    </row>
    <row r="638" spans="11:20" x14ac:dyDescent="0.2">
      <c r="K638" s="440"/>
    </row>
  </sheetData>
  <mergeCells count="4">
    <mergeCell ref="A3:P3"/>
    <mergeCell ref="A2:P2"/>
    <mergeCell ref="A1:P1"/>
    <mergeCell ref="A9:P9"/>
  </mergeCells>
  <printOptions horizontalCentered="1"/>
  <pageMargins left="0" right="0" top="0.5" bottom="0" header="0.5" footer="0.5"/>
  <pageSetup scale="84" orientation="landscape" r:id="rId1"/>
  <headerFooter alignWithMargins="0"/>
  <ignoredErrors>
    <ignoredError sqref="D15:Q15 D17:Q34 P16:Q16 D36:Q56 P35:Q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tabColor rgb="FF92D050"/>
  </sheetPr>
  <dimension ref="A1:S362"/>
  <sheetViews>
    <sheetView workbookViewId="0">
      <selection activeCell="D310" sqref="D310"/>
    </sheetView>
  </sheetViews>
  <sheetFormatPr defaultColWidth="7" defaultRowHeight="10" x14ac:dyDescent="0.2"/>
  <cols>
    <col min="1" max="1" width="6.125" style="213" customWidth="1"/>
    <col min="2" max="2" width="25" style="213" customWidth="1"/>
    <col min="3" max="3" width="12.625" style="216" bestFit="1" customWidth="1"/>
    <col min="4" max="4" width="12.625" style="213" bestFit="1" customWidth="1"/>
    <col min="5" max="7" width="10.625" style="216" bestFit="1" customWidth="1"/>
    <col min="8" max="15" width="10.625" style="213" bestFit="1" customWidth="1"/>
    <col min="16" max="16" width="12.375" style="213" customWidth="1"/>
    <col min="17" max="17" width="12.625" style="213" bestFit="1" customWidth="1"/>
    <col min="18" max="16384" width="7" style="213"/>
  </cols>
  <sheetData>
    <row r="1" spans="1:19" ht="10.5" x14ac:dyDescent="0.25">
      <c r="A1" s="803" t="s">
        <v>36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</row>
    <row r="2" spans="1:19" ht="10.5" x14ac:dyDescent="0.25">
      <c r="A2" s="803" t="s">
        <v>192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</row>
    <row r="3" spans="1:19" ht="10.5" x14ac:dyDescent="0.25">
      <c r="A3" s="804" t="s">
        <v>530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</row>
    <row r="5" spans="1:19" ht="10.5" x14ac:dyDescent="0.25">
      <c r="A5" s="462" t="s">
        <v>447</v>
      </c>
      <c r="C5" s="369"/>
      <c r="D5" s="369"/>
      <c r="E5" s="369"/>
      <c r="F5" s="369"/>
    </row>
    <row r="6" spans="1:19" ht="10.5" x14ac:dyDescent="0.25">
      <c r="A6" s="462" t="s">
        <v>446</v>
      </c>
      <c r="C6" s="369"/>
      <c r="D6" s="369"/>
      <c r="E6" s="369"/>
      <c r="F6" s="369"/>
    </row>
    <row r="7" spans="1:19" ht="10.5" x14ac:dyDescent="0.25">
      <c r="A7" s="463" t="s">
        <v>63</v>
      </c>
      <c r="C7" s="369"/>
      <c r="D7" s="369"/>
      <c r="E7" s="369"/>
      <c r="F7" s="369"/>
      <c r="P7" s="528" t="s">
        <v>331</v>
      </c>
    </row>
    <row r="8" spans="1:19" ht="10.5" x14ac:dyDescent="0.25">
      <c r="A8" s="465" t="s">
        <v>299</v>
      </c>
      <c r="B8" s="218"/>
      <c r="C8" s="369"/>
      <c r="D8" s="375"/>
      <c r="E8" s="218"/>
      <c r="F8" s="376"/>
      <c r="G8" s="377"/>
      <c r="H8" s="376"/>
      <c r="I8" s="378"/>
      <c r="J8" s="376"/>
      <c r="K8" s="376"/>
      <c r="L8" s="376"/>
      <c r="M8" s="376"/>
      <c r="N8" s="376"/>
      <c r="O8" s="376"/>
      <c r="P8" s="529" t="s">
        <v>397</v>
      </c>
      <c r="Q8" s="218"/>
      <c r="R8" s="218"/>
    </row>
    <row r="9" spans="1:19" ht="10.5" x14ac:dyDescent="0.25">
      <c r="A9" s="530"/>
      <c r="B9" s="218"/>
      <c r="C9" s="369"/>
      <c r="D9" s="375"/>
      <c r="E9" s="218"/>
      <c r="F9" s="376"/>
      <c r="G9" s="377"/>
      <c r="H9" s="376"/>
      <c r="I9" s="378"/>
      <c r="J9" s="376"/>
      <c r="K9" s="376"/>
      <c r="L9" s="376"/>
      <c r="M9" s="376"/>
      <c r="N9" s="376"/>
      <c r="O9" s="376"/>
      <c r="P9" s="376"/>
      <c r="Q9" s="218"/>
      <c r="R9" s="218"/>
    </row>
    <row r="10" spans="1:19" ht="10.5" x14ac:dyDescent="0.25">
      <c r="A10" s="218" t="s">
        <v>1</v>
      </c>
      <c r="B10" s="218"/>
      <c r="C10" s="369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76"/>
      <c r="Q10" s="223"/>
      <c r="R10" s="223"/>
    </row>
    <row r="11" spans="1:19" ht="10.5" x14ac:dyDescent="0.25">
      <c r="A11" s="220" t="s">
        <v>3</v>
      </c>
      <c r="B11" s="220" t="s">
        <v>4</v>
      </c>
      <c r="C11" s="263" t="s">
        <v>183</v>
      </c>
      <c r="D11" s="380" t="s">
        <v>531</v>
      </c>
      <c r="E11" s="380" t="s">
        <v>532</v>
      </c>
      <c r="F11" s="380" t="s">
        <v>533</v>
      </c>
      <c r="G11" s="380" t="s">
        <v>534</v>
      </c>
      <c r="H11" s="380" t="s">
        <v>535</v>
      </c>
      <c r="I11" s="380" t="s">
        <v>536</v>
      </c>
      <c r="J11" s="380" t="s">
        <v>537</v>
      </c>
      <c r="K11" s="380" t="s">
        <v>538</v>
      </c>
      <c r="L11" s="380" t="s">
        <v>539</v>
      </c>
      <c r="M11" s="380" t="s">
        <v>540</v>
      </c>
      <c r="N11" s="380" t="s">
        <v>541</v>
      </c>
      <c r="O11" s="380" t="s">
        <v>542</v>
      </c>
      <c r="P11" s="381" t="s">
        <v>9</v>
      </c>
      <c r="S11" s="264"/>
    </row>
    <row r="12" spans="1:19" ht="10.5" x14ac:dyDescent="0.25">
      <c r="A12" s="218"/>
      <c r="B12" s="223" t="s">
        <v>42</v>
      </c>
      <c r="C12" s="224" t="s">
        <v>43</v>
      </c>
      <c r="D12" s="383" t="s">
        <v>45</v>
      </c>
      <c r="E12" s="383" t="s">
        <v>46</v>
      </c>
      <c r="F12" s="383" t="s">
        <v>49</v>
      </c>
      <c r="G12" s="383" t="s">
        <v>50</v>
      </c>
      <c r="H12" s="383" t="s">
        <v>51</v>
      </c>
      <c r="I12" s="383" t="s">
        <v>52</v>
      </c>
      <c r="J12" s="383" t="s">
        <v>53</v>
      </c>
      <c r="K12" s="384" t="s">
        <v>54</v>
      </c>
      <c r="L12" s="384" t="s">
        <v>55</v>
      </c>
      <c r="M12" s="384" t="s">
        <v>56</v>
      </c>
      <c r="N12" s="384" t="s">
        <v>57</v>
      </c>
      <c r="O12" s="384" t="s">
        <v>58</v>
      </c>
      <c r="P12" s="384" t="s">
        <v>59</v>
      </c>
      <c r="S12" s="223"/>
    </row>
    <row r="13" spans="1:19" ht="10.5" x14ac:dyDescent="0.25">
      <c r="A13" s="218"/>
      <c r="B13" s="223"/>
      <c r="C13" s="224"/>
      <c r="D13" s="383"/>
      <c r="E13" s="383"/>
      <c r="F13" s="383"/>
      <c r="G13" s="383"/>
      <c r="H13" s="383"/>
      <c r="I13" s="383"/>
      <c r="J13" s="384"/>
      <c r="K13" s="384"/>
      <c r="L13" s="384"/>
      <c r="M13" s="384"/>
      <c r="N13" s="384"/>
      <c r="O13" s="384"/>
      <c r="P13" s="384"/>
      <c r="S13" s="223"/>
    </row>
    <row r="14" spans="1:19" ht="10.5" x14ac:dyDescent="0.25">
      <c r="A14" s="225">
        <v>1</v>
      </c>
      <c r="B14" s="217" t="s">
        <v>238</v>
      </c>
      <c r="C14" s="224"/>
      <c r="D14" s="383"/>
      <c r="E14" s="383"/>
      <c r="F14" s="383"/>
      <c r="G14" s="383"/>
      <c r="H14" s="383"/>
      <c r="I14" s="383"/>
      <c r="J14" s="384"/>
      <c r="K14" s="384"/>
      <c r="L14" s="384"/>
      <c r="M14" s="384"/>
      <c r="N14" s="384"/>
      <c r="O14" s="384"/>
      <c r="P14" s="384"/>
      <c r="S14" s="223"/>
    </row>
    <row r="15" spans="1:19" ht="10.5" x14ac:dyDescent="0.25">
      <c r="A15" s="531">
        <f>A14+1</f>
        <v>2</v>
      </c>
      <c r="B15" s="426" t="s">
        <v>286</v>
      </c>
      <c r="C15" s="532"/>
      <c r="D15" s="533">
        <v>108780</v>
      </c>
      <c r="E15" s="533">
        <v>109084</v>
      </c>
      <c r="F15" s="533">
        <v>109073</v>
      </c>
      <c r="G15" s="533">
        <v>108587</v>
      </c>
      <c r="H15" s="533">
        <v>107921</v>
      </c>
      <c r="I15" s="533">
        <v>107071</v>
      </c>
      <c r="J15" s="533">
        <v>106636</v>
      </c>
      <c r="K15" s="533">
        <v>106430</v>
      </c>
      <c r="L15" s="533">
        <v>106301</v>
      </c>
      <c r="M15" s="533">
        <v>106665</v>
      </c>
      <c r="N15" s="533">
        <v>108067</v>
      </c>
      <c r="O15" s="533">
        <v>109500</v>
      </c>
      <c r="P15" s="534">
        <f>SUM(D15:O15)</f>
        <v>1294115</v>
      </c>
      <c r="S15" s="223"/>
    </row>
    <row r="16" spans="1:19" ht="10.5" x14ac:dyDescent="0.25">
      <c r="A16" s="531">
        <f t="shared" ref="A16:A17" si="0">A15+1</f>
        <v>3</v>
      </c>
      <c r="B16" s="426" t="s">
        <v>287</v>
      </c>
      <c r="C16" s="532"/>
      <c r="D16" s="536">
        <v>1403</v>
      </c>
      <c r="E16" s="536">
        <v>1368</v>
      </c>
      <c r="F16" s="536">
        <v>1676</v>
      </c>
      <c r="G16" s="536">
        <v>1354</v>
      </c>
      <c r="H16" s="536">
        <v>1454</v>
      </c>
      <c r="I16" s="536">
        <v>1649</v>
      </c>
      <c r="J16" s="536">
        <v>1939</v>
      </c>
      <c r="K16" s="536">
        <v>2055</v>
      </c>
      <c r="L16" s="536">
        <v>1734</v>
      </c>
      <c r="M16" s="536">
        <v>1495</v>
      </c>
      <c r="N16" s="536">
        <v>1492</v>
      </c>
      <c r="O16" s="536">
        <v>1527</v>
      </c>
      <c r="P16" s="281">
        <f>SUM(D16:O16)</f>
        <v>19146</v>
      </c>
      <c r="S16" s="223"/>
    </row>
    <row r="17" spans="1:19" ht="10.5" x14ac:dyDescent="0.25">
      <c r="A17" s="531">
        <f t="shared" si="0"/>
        <v>4</v>
      </c>
      <c r="B17" s="426" t="s">
        <v>256</v>
      </c>
      <c r="C17" s="532"/>
      <c r="D17" s="441">
        <f t="shared" ref="D17:O17" si="1">SUM(D15:D16)</f>
        <v>110183</v>
      </c>
      <c r="E17" s="441">
        <f t="shared" si="1"/>
        <v>110452</v>
      </c>
      <c r="F17" s="441">
        <f t="shared" si="1"/>
        <v>110749</v>
      </c>
      <c r="G17" s="441">
        <f t="shared" si="1"/>
        <v>109941</v>
      </c>
      <c r="H17" s="441">
        <f t="shared" si="1"/>
        <v>109375</v>
      </c>
      <c r="I17" s="441">
        <f t="shared" si="1"/>
        <v>108720</v>
      </c>
      <c r="J17" s="441">
        <f t="shared" si="1"/>
        <v>108575</v>
      </c>
      <c r="K17" s="441">
        <f t="shared" si="1"/>
        <v>108485</v>
      </c>
      <c r="L17" s="441">
        <f t="shared" si="1"/>
        <v>108035</v>
      </c>
      <c r="M17" s="441">
        <f t="shared" si="1"/>
        <v>108160</v>
      </c>
      <c r="N17" s="441">
        <f t="shared" si="1"/>
        <v>109559</v>
      </c>
      <c r="O17" s="441">
        <f t="shared" si="1"/>
        <v>111027</v>
      </c>
      <c r="P17" s="534">
        <f>SUM(D17:O17)</f>
        <v>1313261</v>
      </c>
      <c r="Q17" s="444"/>
      <c r="S17" s="223"/>
    </row>
    <row r="18" spans="1:19" x14ac:dyDescent="0.2">
      <c r="A18" s="279"/>
      <c r="B18" s="408"/>
      <c r="C18" s="280"/>
      <c r="D18" s="537"/>
      <c r="E18" s="537"/>
      <c r="F18" s="537"/>
      <c r="G18" s="537"/>
      <c r="H18" s="538"/>
      <c r="I18" s="538"/>
      <c r="J18" s="538"/>
      <c r="K18" s="538"/>
      <c r="L18" s="538"/>
      <c r="M18" s="538"/>
      <c r="N18" s="538"/>
      <c r="O18" s="538"/>
      <c r="P18" s="539"/>
    </row>
    <row r="19" spans="1:19" ht="10.5" x14ac:dyDescent="0.25">
      <c r="A19" s="531">
        <f>A17+1</f>
        <v>5</v>
      </c>
      <c r="B19" s="437" t="s">
        <v>239</v>
      </c>
      <c r="C19" s="540"/>
      <c r="D19" s="473"/>
      <c r="E19" s="473"/>
      <c r="F19" s="473"/>
      <c r="G19" s="473"/>
      <c r="H19" s="473"/>
      <c r="I19" s="473"/>
      <c r="J19" s="474"/>
      <c r="K19" s="474"/>
      <c r="L19" s="474"/>
      <c r="M19" s="474"/>
      <c r="N19" s="474"/>
      <c r="O19" s="474"/>
      <c r="P19" s="474"/>
      <c r="S19" s="223"/>
    </row>
    <row r="20" spans="1:19" ht="10.5" x14ac:dyDescent="0.25">
      <c r="A20" s="531">
        <f>A19+1</f>
        <v>6</v>
      </c>
      <c r="B20" s="426" t="s">
        <v>286</v>
      </c>
      <c r="C20" s="532"/>
      <c r="D20" s="535">
        <v>0</v>
      </c>
      <c r="E20" s="535">
        <v>0</v>
      </c>
      <c r="F20" s="535">
        <v>0</v>
      </c>
      <c r="G20" s="535">
        <v>0</v>
      </c>
      <c r="H20" s="535">
        <v>0</v>
      </c>
      <c r="I20" s="535">
        <v>0</v>
      </c>
      <c r="J20" s="535">
        <v>0</v>
      </c>
      <c r="K20" s="535">
        <v>0</v>
      </c>
      <c r="L20" s="535">
        <v>0</v>
      </c>
      <c r="M20" s="535">
        <v>0</v>
      </c>
      <c r="N20" s="535">
        <v>0</v>
      </c>
      <c r="O20" s="535">
        <v>0</v>
      </c>
      <c r="P20" s="282">
        <f>SUM(D20:O20)</f>
        <v>0</v>
      </c>
      <c r="S20" s="223"/>
    </row>
    <row r="21" spans="1:19" ht="10.5" x14ac:dyDescent="0.25">
      <c r="A21" s="531">
        <f>A20+1</f>
        <v>7</v>
      </c>
      <c r="B21" s="426" t="s">
        <v>287</v>
      </c>
      <c r="C21" s="532"/>
      <c r="D21" s="536">
        <v>0</v>
      </c>
      <c r="E21" s="536">
        <v>0</v>
      </c>
      <c r="F21" s="536">
        <v>0</v>
      </c>
      <c r="G21" s="536">
        <v>0</v>
      </c>
      <c r="H21" s="536">
        <v>0</v>
      </c>
      <c r="I21" s="536">
        <v>0</v>
      </c>
      <c r="J21" s="536">
        <v>0</v>
      </c>
      <c r="K21" s="536">
        <v>0</v>
      </c>
      <c r="L21" s="536">
        <v>0</v>
      </c>
      <c r="M21" s="536">
        <v>0</v>
      </c>
      <c r="N21" s="536">
        <v>0</v>
      </c>
      <c r="O21" s="536">
        <v>0</v>
      </c>
      <c r="P21" s="281">
        <f>SUM(D21:O21)</f>
        <v>0</v>
      </c>
      <c r="S21" s="223"/>
    </row>
    <row r="22" spans="1:19" ht="10.5" x14ac:dyDescent="0.25">
      <c r="A22" s="531">
        <f>A21+1</f>
        <v>8</v>
      </c>
      <c r="B22" s="426" t="s">
        <v>256</v>
      </c>
      <c r="C22" s="532"/>
      <c r="D22" s="282">
        <f t="shared" ref="D22:O22" si="2">SUM(D20:D21)</f>
        <v>0</v>
      </c>
      <c r="E22" s="282">
        <f t="shared" si="2"/>
        <v>0</v>
      </c>
      <c r="F22" s="282">
        <f t="shared" si="2"/>
        <v>0</v>
      </c>
      <c r="G22" s="282">
        <f t="shared" si="2"/>
        <v>0</v>
      </c>
      <c r="H22" s="282">
        <f t="shared" si="2"/>
        <v>0</v>
      </c>
      <c r="I22" s="282">
        <f t="shared" si="2"/>
        <v>0</v>
      </c>
      <c r="J22" s="282">
        <f t="shared" si="2"/>
        <v>0</v>
      </c>
      <c r="K22" s="282">
        <f t="shared" si="2"/>
        <v>0</v>
      </c>
      <c r="L22" s="282">
        <f t="shared" si="2"/>
        <v>0</v>
      </c>
      <c r="M22" s="282">
        <f t="shared" si="2"/>
        <v>0</v>
      </c>
      <c r="N22" s="282">
        <f t="shared" si="2"/>
        <v>0</v>
      </c>
      <c r="O22" s="282">
        <f t="shared" si="2"/>
        <v>0</v>
      </c>
      <c r="P22" s="282">
        <f>SUM(D22:O22)</f>
        <v>0</v>
      </c>
      <c r="S22" s="223"/>
    </row>
    <row r="23" spans="1:19" ht="10.5" x14ac:dyDescent="0.25">
      <c r="A23" s="531"/>
      <c r="B23" s="426"/>
      <c r="C23" s="532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534"/>
      <c r="S23" s="223"/>
    </row>
    <row r="24" spans="1:19" ht="10.5" x14ac:dyDescent="0.25">
      <c r="A24" s="531">
        <f>A22+1</f>
        <v>9</v>
      </c>
      <c r="B24" s="437" t="s">
        <v>240</v>
      </c>
      <c r="C24" s="540"/>
      <c r="D24" s="473"/>
      <c r="E24" s="473"/>
      <c r="F24" s="473"/>
      <c r="G24" s="473"/>
      <c r="H24" s="473"/>
      <c r="I24" s="473"/>
      <c r="J24" s="474"/>
      <c r="K24" s="474"/>
      <c r="L24" s="474"/>
      <c r="M24" s="474"/>
      <c r="N24" s="474"/>
      <c r="O24" s="474"/>
      <c r="P24" s="474"/>
      <c r="S24" s="223"/>
    </row>
    <row r="25" spans="1:19" ht="10.5" x14ac:dyDescent="0.25">
      <c r="A25" s="531">
        <f>A24+1</f>
        <v>10</v>
      </c>
      <c r="B25" s="426" t="s">
        <v>286</v>
      </c>
      <c r="C25" s="532"/>
      <c r="D25" s="533">
        <v>4</v>
      </c>
      <c r="E25" s="533">
        <v>4</v>
      </c>
      <c r="F25" s="533">
        <v>4</v>
      </c>
      <c r="G25" s="533">
        <v>4</v>
      </c>
      <c r="H25" s="533">
        <v>4</v>
      </c>
      <c r="I25" s="533">
        <v>4</v>
      </c>
      <c r="J25" s="533">
        <v>4</v>
      </c>
      <c r="K25" s="533">
        <v>4</v>
      </c>
      <c r="L25" s="533">
        <v>4</v>
      </c>
      <c r="M25" s="533">
        <v>4</v>
      </c>
      <c r="N25" s="533">
        <v>4</v>
      </c>
      <c r="O25" s="533">
        <v>4</v>
      </c>
      <c r="P25" s="534">
        <f>SUM(D25:O25)</f>
        <v>48</v>
      </c>
      <c r="S25" s="223"/>
    </row>
    <row r="26" spans="1:19" ht="10.5" x14ac:dyDescent="0.25">
      <c r="A26" s="531">
        <f t="shared" ref="A26:A27" si="3">A25+1</f>
        <v>11</v>
      </c>
      <c r="B26" s="426" t="s">
        <v>287</v>
      </c>
      <c r="C26" s="532"/>
      <c r="D26" s="536">
        <v>0</v>
      </c>
      <c r="E26" s="536">
        <v>0</v>
      </c>
      <c r="F26" s="536">
        <v>0</v>
      </c>
      <c r="G26" s="536">
        <v>0</v>
      </c>
      <c r="H26" s="536">
        <v>0</v>
      </c>
      <c r="I26" s="536">
        <v>0</v>
      </c>
      <c r="J26" s="536">
        <v>0</v>
      </c>
      <c r="K26" s="536">
        <v>0</v>
      </c>
      <c r="L26" s="536">
        <v>0</v>
      </c>
      <c r="M26" s="536">
        <v>0</v>
      </c>
      <c r="N26" s="536">
        <v>0</v>
      </c>
      <c r="O26" s="536">
        <v>0</v>
      </c>
      <c r="P26" s="281">
        <f>SUM(D26:O26)</f>
        <v>0</v>
      </c>
      <c r="S26" s="223"/>
    </row>
    <row r="27" spans="1:19" ht="10.5" x14ac:dyDescent="0.25">
      <c r="A27" s="531">
        <f t="shared" si="3"/>
        <v>12</v>
      </c>
      <c r="B27" s="426" t="s">
        <v>256</v>
      </c>
      <c r="C27" s="532"/>
      <c r="D27" s="441">
        <f t="shared" ref="D27:O27" si="4">SUM(D25:D26)</f>
        <v>4</v>
      </c>
      <c r="E27" s="441">
        <f t="shared" si="4"/>
        <v>4</v>
      </c>
      <c r="F27" s="441">
        <f t="shared" si="4"/>
        <v>4</v>
      </c>
      <c r="G27" s="441">
        <f t="shared" si="4"/>
        <v>4</v>
      </c>
      <c r="H27" s="441">
        <f t="shared" si="4"/>
        <v>4</v>
      </c>
      <c r="I27" s="441">
        <f t="shared" si="4"/>
        <v>4</v>
      </c>
      <c r="J27" s="441">
        <f t="shared" si="4"/>
        <v>4</v>
      </c>
      <c r="K27" s="441">
        <f t="shared" si="4"/>
        <v>4</v>
      </c>
      <c r="L27" s="441">
        <f t="shared" si="4"/>
        <v>4</v>
      </c>
      <c r="M27" s="441">
        <f t="shared" si="4"/>
        <v>4</v>
      </c>
      <c r="N27" s="441">
        <f t="shared" si="4"/>
        <v>4</v>
      </c>
      <c r="O27" s="441">
        <f t="shared" si="4"/>
        <v>4</v>
      </c>
      <c r="P27" s="534">
        <f>SUM(D27:O27)</f>
        <v>48</v>
      </c>
      <c r="S27" s="223"/>
    </row>
    <row r="28" spans="1:19" ht="10.5" x14ac:dyDescent="0.25">
      <c r="A28" s="531"/>
      <c r="B28" s="426"/>
      <c r="C28" s="532"/>
      <c r="D28" s="541"/>
      <c r="E28" s="541"/>
      <c r="F28" s="541"/>
      <c r="G28" s="541"/>
      <c r="H28" s="541"/>
      <c r="I28" s="541"/>
      <c r="J28" s="542"/>
      <c r="K28" s="542"/>
      <c r="L28" s="542"/>
      <c r="M28" s="542"/>
      <c r="N28" s="542"/>
      <c r="O28" s="542"/>
      <c r="P28" s="542"/>
      <c r="S28" s="223"/>
    </row>
    <row r="29" spans="1:19" ht="10.5" x14ac:dyDescent="0.25">
      <c r="A29" s="531">
        <f>A27+1</f>
        <v>13</v>
      </c>
      <c r="B29" s="437" t="s">
        <v>242</v>
      </c>
      <c r="C29" s="540"/>
      <c r="D29" s="473"/>
      <c r="E29" s="473"/>
      <c r="F29" s="473"/>
      <c r="G29" s="473"/>
      <c r="H29" s="473"/>
      <c r="I29" s="473"/>
      <c r="J29" s="474"/>
      <c r="K29" s="474"/>
      <c r="L29" s="474"/>
      <c r="M29" s="474"/>
      <c r="N29" s="474"/>
      <c r="O29" s="474"/>
      <c r="P29" s="474"/>
      <c r="S29" s="223"/>
    </row>
    <row r="30" spans="1:19" ht="10.5" x14ac:dyDescent="0.25">
      <c r="A30" s="531">
        <f>A29+1</f>
        <v>14</v>
      </c>
      <c r="B30" s="426" t="s">
        <v>286</v>
      </c>
      <c r="C30" s="532"/>
      <c r="D30" s="533">
        <v>10</v>
      </c>
      <c r="E30" s="533">
        <v>10</v>
      </c>
      <c r="F30" s="533">
        <v>10</v>
      </c>
      <c r="G30" s="533">
        <v>10</v>
      </c>
      <c r="H30" s="533">
        <v>10</v>
      </c>
      <c r="I30" s="533">
        <v>10</v>
      </c>
      <c r="J30" s="533">
        <v>10</v>
      </c>
      <c r="K30" s="533">
        <v>10</v>
      </c>
      <c r="L30" s="533">
        <v>10</v>
      </c>
      <c r="M30" s="533">
        <v>10</v>
      </c>
      <c r="N30" s="533">
        <v>10</v>
      </c>
      <c r="O30" s="533">
        <v>10</v>
      </c>
      <c r="P30" s="534">
        <f>SUM(D30:O30)</f>
        <v>120</v>
      </c>
      <c r="S30" s="223"/>
    </row>
    <row r="31" spans="1:19" ht="10.5" x14ac:dyDescent="0.25">
      <c r="A31" s="531">
        <f t="shared" ref="A31:A32" si="5">A30+1</f>
        <v>15</v>
      </c>
      <c r="B31" s="426" t="s">
        <v>287</v>
      </c>
      <c r="C31" s="532"/>
      <c r="D31" s="536">
        <v>0</v>
      </c>
      <c r="E31" s="536">
        <v>0</v>
      </c>
      <c r="F31" s="536">
        <v>0</v>
      </c>
      <c r="G31" s="536">
        <v>0</v>
      </c>
      <c r="H31" s="536">
        <v>0</v>
      </c>
      <c r="I31" s="536">
        <v>0</v>
      </c>
      <c r="J31" s="536">
        <v>0</v>
      </c>
      <c r="K31" s="536">
        <v>0</v>
      </c>
      <c r="L31" s="536">
        <v>0</v>
      </c>
      <c r="M31" s="536">
        <v>0</v>
      </c>
      <c r="N31" s="536">
        <v>0</v>
      </c>
      <c r="O31" s="536">
        <v>0</v>
      </c>
      <c r="P31" s="281">
        <f>SUM(D31:O31)</f>
        <v>0</v>
      </c>
      <c r="S31" s="223"/>
    </row>
    <row r="32" spans="1:19" ht="10.5" x14ac:dyDescent="0.25">
      <c r="A32" s="531">
        <f t="shared" si="5"/>
        <v>16</v>
      </c>
      <c r="B32" s="426" t="s">
        <v>256</v>
      </c>
      <c r="C32" s="532"/>
      <c r="D32" s="441">
        <f t="shared" ref="D32:O32" si="6">SUM(D30:D31)</f>
        <v>10</v>
      </c>
      <c r="E32" s="441">
        <f t="shared" si="6"/>
        <v>10</v>
      </c>
      <c r="F32" s="441">
        <f t="shared" si="6"/>
        <v>10</v>
      </c>
      <c r="G32" s="441">
        <f t="shared" si="6"/>
        <v>10</v>
      </c>
      <c r="H32" s="441">
        <f t="shared" si="6"/>
        <v>10</v>
      </c>
      <c r="I32" s="441">
        <f t="shared" si="6"/>
        <v>10</v>
      </c>
      <c r="J32" s="441">
        <f t="shared" si="6"/>
        <v>10</v>
      </c>
      <c r="K32" s="441">
        <f t="shared" si="6"/>
        <v>10</v>
      </c>
      <c r="L32" s="441">
        <f t="shared" si="6"/>
        <v>10</v>
      </c>
      <c r="M32" s="441">
        <f t="shared" si="6"/>
        <v>10</v>
      </c>
      <c r="N32" s="441">
        <f t="shared" si="6"/>
        <v>10</v>
      </c>
      <c r="O32" s="441">
        <f t="shared" si="6"/>
        <v>10</v>
      </c>
      <c r="P32" s="534">
        <f>SUM(D32:O32)</f>
        <v>120</v>
      </c>
      <c r="S32" s="223"/>
    </row>
    <row r="33" spans="1:19" ht="10.5" x14ac:dyDescent="0.25">
      <c r="A33" s="531"/>
      <c r="B33" s="426"/>
      <c r="C33" s="532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S33" s="223"/>
    </row>
    <row r="34" spans="1:19" ht="10.5" x14ac:dyDescent="0.25">
      <c r="A34" s="531">
        <f>A32+1</f>
        <v>17</v>
      </c>
      <c r="B34" s="545" t="s">
        <v>243</v>
      </c>
      <c r="C34" s="540"/>
      <c r="D34" s="473"/>
      <c r="E34" s="473"/>
      <c r="F34" s="473"/>
      <c r="G34" s="473"/>
      <c r="H34" s="473"/>
      <c r="I34" s="473"/>
      <c r="J34" s="473"/>
      <c r="K34" s="474"/>
      <c r="L34" s="474"/>
      <c r="M34" s="474"/>
      <c r="N34" s="474"/>
      <c r="O34" s="474"/>
      <c r="P34" s="474"/>
      <c r="S34" s="223"/>
    </row>
    <row r="35" spans="1:19" ht="10.5" x14ac:dyDescent="0.25">
      <c r="A35" s="531">
        <f>A34+1</f>
        <v>18</v>
      </c>
      <c r="B35" s="426" t="s">
        <v>286</v>
      </c>
      <c r="C35" s="532"/>
      <c r="D35" s="535">
        <v>0</v>
      </c>
      <c r="E35" s="535">
        <v>0</v>
      </c>
      <c r="F35" s="535">
        <v>0</v>
      </c>
      <c r="G35" s="535">
        <v>0</v>
      </c>
      <c r="H35" s="535">
        <v>0</v>
      </c>
      <c r="I35" s="535">
        <v>0</v>
      </c>
      <c r="J35" s="535">
        <v>0</v>
      </c>
      <c r="K35" s="535">
        <v>0</v>
      </c>
      <c r="L35" s="535">
        <v>0</v>
      </c>
      <c r="M35" s="535">
        <v>0</v>
      </c>
      <c r="N35" s="535">
        <v>0</v>
      </c>
      <c r="O35" s="535">
        <v>0</v>
      </c>
      <c r="P35" s="282">
        <f>SUM(D35:O35)</f>
        <v>0</v>
      </c>
      <c r="S35" s="223"/>
    </row>
    <row r="36" spans="1:19" ht="10.5" x14ac:dyDescent="0.25">
      <c r="A36" s="531">
        <f t="shared" ref="A36:A37" si="7">A35+1</f>
        <v>19</v>
      </c>
      <c r="B36" s="426" t="s">
        <v>287</v>
      </c>
      <c r="C36" s="532"/>
      <c r="D36" s="536">
        <v>0</v>
      </c>
      <c r="E36" s="536">
        <v>0</v>
      </c>
      <c r="F36" s="536">
        <v>0</v>
      </c>
      <c r="G36" s="536">
        <v>0</v>
      </c>
      <c r="H36" s="536">
        <v>0</v>
      </c>
      <c r="I36" s="536">
        <v>0</v>
      </c>
      <c r="J36" s="536">
        <v>0</v>
      </c>
      <c r="K36" s="536">
        <v>0</v>
      </c>
      <c r="L36" s="536">
        <v>0</v>
      </c>
      <c r="M36" s="536">
        <v>0</v>
      </c>
      <c r="N36" s="536">
        <v>0</v>
      </c>
      <c r="O36" s="536">
        <v>0</v>
      </c>
      <c r="P36" s="281">
        <f>SUM(D36:O36)</f>
        <v>0</v>
      </c>
      <c r="Q36" s="216"/>
      <c r="S36" s="223"/>
    </row>
    <row r="37" spans="1:19" ht="10.5" x14ac:dyDescent="0.25">
      <c r="A37" s="531">
        <f t="shared" si="7"/>
        <v>20</v>
      </c>
      <c r="B37" s="426" t="s">
        <v>256</v>
      </c>
      <c r="C37" s="532"/>
      <c r="D37" s="282">
        <f t="shared" ref="D37:O37" si="8">SUM(D35:D36)</f>
        <v>0</v>
      </c>
      <c r="E37" s="282">
        <f t="shared" si="8"/>
        <v>0</v>
      </c>
      <c r="F37" s="282">
        <f t="shared" si="8"/>
        <v>0</v>
      </c>
      <c r="G37" s="282">
        <f t="shared" si="8"/>
        <v>0</v>
      </c>
      <c r="H37" s="282">
        <f t="shared" si="8"/>
        <v>0</v>
      </c>
      <c r="I37" s="282">
        <f t="shared" si="8"/>
        <v>0</v>
      </c>
      <c r="J37" s="282">
        <f t="shared" si="8"/>
        <v>0</v>
      </c>
      <c r="K37" s="282">
        <f t="shared" si="8"/>
        <v>0</v>
      </c>
      <c r="L37" s="282">
        <f t="shared" si="8"/>
        <v>0</v>
      </c>
      <c r="M37" s="282">
        <f t="shared" si="8"/>
        <v>0</v>
      </c>
      <c r="N37" s="282">
        <f t="shared" si="8"/>
        <v>0</v>
      </c>
      <c r="O37" s="282">
        <f t="shared" si="8"/>
        <v>0</v>
      </c>
      <c r="P37" s="282">
        <f>SUM(D37:O37)</f>
        <v>0</v>
      </c>
      <c r="S37" s="223"/>
    </row>
    <row r="38" spans="1:19" ht="10.5" x14ac:dyDescent="0.25">
      <c r="A38" s="531"/>
      <c r="B38" s="426"/>
      <c r="C38" s="532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534"/>
      <c r="S38" s="223"/>
    </row>
    <row r="39" spans="1:19" ht="10.5" x14ac:dyDescent="0.25">
      <c r="A39" s="531">
        <f>A37+1</f>
        <v>21</v>
      </c>
      <c r="B39" s="437" t="s">
        <v>244</v>
      </c>
      <c r="C39" s="540"/>
      <c r="D39" s="543"/>
      <c r="E39" s="543"/>
      <c r="F39" s="543"/>
      <c r="G39" s="543"/>
      <c r="H39" s="543"/>
      <c r="I39" s="543"/>
      <c r="J39" s="544"/>
      <c r="K39" s="544"/>
      <c r="L39" s="544"/>
      <c r="M39" s="544"/>
      <c r="N39" s="544"/>
      <c r="O39" s="544"/>
      <c r="P39" s="474"/>
      <c r="S39" s="223"/>
    </row>
    <row r="40" spans="1:19" ht="10.5" x14ac:dyDescent="0.25">
      <c r="A40" s="531">
        <f>A39+1</f>
        <v>22</v>
      </c>
      <c r="B40" s="426" t="s">
        <v>286</v>
      </c>
      <c r="C40" s="532"/>
      <c r="D40" s="533">
        <v>3</v>
      </c>
      <c r="E40" s="533">
        <v>3</v>
      </c>
      <c r="F40" s="533">
        <v>3</v>
      </c>
      <c r="G40" s="533">
        <v>3</v>
      </c>
      <c r="H40" s="533">
        <v>3</v>
      </c>
      <c r="I40" s="533">
        <v>3</v>
      </c>
      <c r="J40" s="533">
        <v>3</v>
      </c>
      <c r="K40" s="533">
        <v>3</v>
      </c>
      <c r="L40" s="533">
        <v>3</v>
      </c>
      <c r="M40" s="533">
        <v>3</v>
      </c>
      <c r="N40" s="533">
        <v>3</v>
      </c>
      <c r="O40" s="533">
        <v>3</v>
      </c>
      <c r="P40" s="534">
        <f>SUM(D40:O40)</f>
        <v>36</v>
      </c>
      <c r="S40" s="223"/>
    </row>
    <row r="41" spans="1:19" ht="10.5" x14ac:dyDescent="0.25">
      <c r="A41" s="531">
        <f t="shared" ref="A41:A42" si="9">A40+1</f>
        <v>23</v>
      </c>
      <c r="B41" s="426" t="s">
        <v>287</v>
      </c>
      <c r="C41" s="532"/>
      <c r="D41" s="536">
        <v>0</v>
      </c>
      <c r="E41" s="536">
        <v>0</v>
      </c>
      <c r="F41" s="536">
        <v>0</v>
      </c>
      <c r="G41" s="536">
        <v>0</v>
      </c>
      <c r="H41" s="536">
        <v>0</v>
      </c>
      <c r="I41" s="536">
        <v>0</v>
      </c>
      <c r="J41" s="536">
        <v>0</v>
      </c>
      <c r="K41" s="536">
        <v>0</v>
      </c>
      <c r="L41" s="536">
        <v>0</v>
      </c>
      <c r="M41" s="536">
        <v>0</v>
      </c>
      <c r="N41" s="536">
        <v>0</v>
      </c>
      <c r="O41" s="536">
        <v>0</v>
      </c>
      <c r="P41" s="281">
        <f>SUM(D41:O41)</f>
        <v>0</v>
      </c>
      <c r="S41" s="223"/>
    </row>
    <row r="42" spans="1:19" ht="10.5" x14ac:dyDescent="0.25">
      <c r="A42" s="531">
        <f t="shared" si="9"/>
        <v>24</v>
      </c>
      <c r="B42" s="426" t="s">
        <v>256</v>
      </c>
      <c r="C42" s="532"/>
      <c r="D42" s="441">
        <f t="shared" ref="D42:O42" si="10">SUM(D40:D41)</f>
        <v>3</v>
      </c>
      <c r="E42" s="441">
        <f t="shared" si="10"/>
        <v>3</v>
      </c>
      <c r="F42" s="441">
        <f t="shared" si="10"/>
        <v>3</v>
      </c>
      <c r="G42" s="441">
        <f t="shared" si="10"/>
        <v>3</v>
      </c>
      <c r="H42" s="441">
        <f t="shared" si="10"/>
        <v>3</v>
      </c>
      <c r="I42" s="441">
        <f t="shared" si="10"/>
        <v>3</v>
      </c>
      <c r="J42" s="441">
        <f t="shared" si="10"/>
        <v>3</v>
      </c>
      <c r="K42" s="441">
        <f t="shared" si="10"/>
        <v>3</v>
      </c>
      <c r="L42" s="441">
        <f t="shared" si="10"/>
        <v>3</v>
      </c>
      <c r="M42" s="441">
        <f t="shared" si="10"/>
        <v>3</v>
      </c>
      <c r="N42" s="441">
        <f t="shared" si="10"/>
        <v>3</v>
      </c>
      <c r="O42" s="441">
        <f t="shared" si="10"/>
        <v>3</v>
      </c>
      <c r="P42" s="534">
        <f>SUM(D42:O42)</f>
        <v>36</v>
      </c>
      <c r="S42" s="223"/>
    </row>
    <row r="43" spans="1:19" ht="10.5" x14ac:dyDescent="0.25">
      <c r="A43" s="531"/>
      <c r="B43" s="426"/>
      <c r="C43" s="532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534"/>
      <c r="S43" s="613"/>
    </row>
    <row r="44" spans="1:19" ht="10.5" x14ac:dyDescent="0.25">
      <c r="A44" s="531">
        <f>A42+1</f>
        <v>25</v>
      </c>
      <c r="B44" s="437" t="s">
        <v>245</v>
      </c>
      <c r="C44" s="540"/>
      <c r="D44" s="543"/>
      <c r="E44" s="543"/>
      <c r="F44" s="543"/>
      <c r="G44" s="543"/>
      <c r="H44" s="543"/>
      <c r="I44" s="543"/>
      <c r="J44" s="544"/>
      <c r="K44" s="544"/>
      <c r="L44" s="544"/>
      <c r="M44" s="544"/>
      <c r="N44" s="544"/>
      <c r="O44" s="544"/>
      <c r="P44" s="474"/>
      <c r="S44" s="613"/>
    </row>
    <row r="45" spans="1:19" ht="10.5" x14ac:dyDescent="0.25">
      <c r="A45" s="531">
        <f>A44+1</f>
        <v>26</v>
      </c>
      <c r="B45" s="426" t="s">
        <v>286</v>
      </c>
      <c r="C45" s="532"/>
      <c r="D45" s="533">
        <v>1</v>
      </c>
      <c r="E45" s="533">
        <v>1</v>
      </c>
      <c r="F45" s="533">
        <v>1</v>
      </c>
      <c r="G45" s="533">
        <v>1</v>
      </c>
      <c r="H45" s="533">
        <v>1</v>
      </c>
      <c r="I45" s="533">
        <v>1</v>
      </c>
      <c r="J45" s="533">
        <v>1</v>
      </c>
      <c r="K45" s="533">
        <v>1</v>
      </c>
      <c r="L45" s="533">
        <v>1</v>
      </c>
      <c r="M45" s="533">
        <v>1</v>
      </c>
      <c r="N45" s="533">
        <v>1</v>
      </c>
      <c r="O45" s="533">
        <v>1</v>
      </c>
      <c r="P45" s="534">
        <f>SUM(D45:O45)</f>
        <v>12</v>
      </c>
      <c r="S45" s="613"/>
    </row>
    <row r="46" spans="1:19" ht="10.5" x14ac:dyDescent="0.25">
      <c r="A46" s="531">
        <f t="shared" ref="A46:A47" si="11">A45+1</f>
        <v>27</v>
      </c>
      <c r="B46" s="426" t="s">
        <v>287</v>
      </c>
      <c r="C46" s="532"/>
      <c r="D46" s="536">
        <v>0</v>
      </c>
      <c r="E46" s="536">
        <v>0</v>
      </c>
      <c r="F46" s="536">
        <v>0</v>
      </c>
      <c r="G46" s="536">
        <v>0</v>
      </c>
      <c r="H46" s="536">
        <v>0</v>
      </c>
      <c r="I46" s="536">
        <v>0</v>
      </c>
      <c r="J46" s="536">
        <v>0</v>
      </c>
      <c r="K46" s="536">
        <v>0</v>
      </c>
      <c r="L46" s="536">
        <v>0</v>
      </c>
      <c r="M46" s="536">
        <v>0</v>
      </c>
      <c r="N46" s="536">
        <v>0</v>
      </c>
      <c r="O46" s="536">
        <v>0</v>
      </c>
      <c r="P46" s="281">
        <f>SUM(D46:O46)</f>
        <v>0</v>
      </c>
      <c r="S46" s="613"/>
    </row>
    <row r="47" spans="1:19" ht="10.5" x14ac:dyDescent="0.25">
      <c r="A47" s="531">
        <f t="shared" si="11"/>
        <v>28</v>
      </c>
      <c r="B47" s="426" t="s">
        <v>256</v>
      </c>
      <c r="C47" s="532"/>
      <c r="D47" s="441">
        <f t="shared" ref="D47:O47" si="12">SUM(D45:D46)</f>
        <v>1</v>
      </c>
      <c r="E47" s="441">
        <f t="shared" si="12"/>
        <v>1</v>
      </c>
      <c r="F47" s="441">
        <f t="shared" si="12"/>
        <v>1</v>
      </c>
      <c r="G47" s="441">
        <f t="shared" si="12"/>
        <v>1</v>
      </c>
      <c r="H47" s="441">
        <f t="shared" si="12"/>
        <v>1</v>
      </c>
      <c r="I47" s="441">
        <f t="shared" si="12"/>
        <v>1</v>
      </c>
      <c r="J47" s="441">
        <f t="shared" si="12"/>
        <v>1</v>
      </c>
      <c r="K47" s="441">
        <f t="shared" si="12"/>
        <v>1</v>
      </c>
      <c r="L47" s="441">
        <f t="shared" si="12"/>
        <v>1</v>
      </c>
      <c r="M47" s="441">
        <f t="shared" si="12"/>
        <v>1</v>
      </c>
      <c r="N47" s="441">
        <f t="shared" si="12"/>
        <v>1</v>
      </c>
      <c r="O47" s="441">
        <f t="shared" si="12"/>
        <v>1</v>
      </c>
      <c r="P47" s="534">
        <f>SUM(D47:O47)</f>
        <v>12</v>
      </c>
      <c r="S47" s="613"/>
    </row>
    <row r="48" spans="1:19" ht="10.5" x14ac:dyDescent="0.25">
      <c r="A48" s="531"/>
      <c r="B48" s="426"/>
      <c r="C48" s="532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534"/>
      <c r="S48" s="613"/>
    </row>
    <row r="49" spans="1:19" ht="10.5" x14ac:dyDescent="0.25">
      <c r="A49" s="531">
        <f>A47+1</f>
        <v>29</v>
      </c>
      <c r="B49" s="437" t="s">
        <v>246</v>
      </c>
      <c r="C49" s="540"/>
      <c r="D49" s="543"/>
      <c r="E49" s="543"/>
      <c r="F49" s="543"/>
      <c r="G49" s="543"/>
      <c r="H49" s="543"/>
      <c r="I49" s="543"/>
      <c r="J49" s="544"/>
      <c r="K49" s="544"/>
      <c r="L49" s="544"/>
      <c r="M49" s="544"/>
      <c r="N49" s="544"/>
      <c r="O49" s="544"/>
      <c r="P49" s="474"/>
      <c r="S49" s="613"/>
    </row>
    <row r="50" spans="1:19" ht="10.5" x14ac:dyDescent="0.25">
      <c r="A50" s="531">
        <f>A49+1</f>
        <v>30</v>
      </c>
      <c r="B50" s="426" t="s">
        <v>286</v>
      </c>
      <c r="C50" s="532"/>
      <c r="D50" s="535">
        <v>0</v>
      </c>
      <c r="E50" s="535">
        <v>0</v>
      </c>
      <c r="F50" s="535">
        <v>0</v>
      </c>
      <c r="G50" s="535">
        <v>0</v>
      </c>
      <c r="H50" s="535">
        <v>0</v>
      </c>
      <c r="I50" s="535">
        <v>0</v>
      </c>
      <c r="J50" s="535">
        <v>0</v>
      </c>
      <c r="K50" s="535">
        <v>0</v>
      </c>
      <c r="L50" s="535">
        <v>0</v>
      </c>
      <c r="M50" s="535">
        <v>0</v>
      </c>
      <c r="N50" s="535">
        <v>0</v>
      </c>
      <c r="O50" s="535">
        <v>0</v>
      </c>
      <c r="P50" s="282">
        <f>SUM(D50:O50)</f>
        <v>0</v>
      </c>
      <c r="S50" s="613"/>
    </row>
    <row r="51" spans="1:19" ht="10.5" x14ac:dyDescent="0.25">
      <c r="A51" s="531">
        <f t="shared" ref="A51:A52" si="13">A50+1</f>
        <v>31</v>
      </c>
      <c r="B51" s="426" t="s">
        <v>287</v>
      </c>
      <c r="C51" s="532"/>
      <c r="D51" s="536">
        <v>0</v>
      </c>
      <c r="E51" s="536">
        <v>0</v>
      </c>
      <c r="F51" s="536">
        <v>0</v>
      </c>
      <c r="G51" s="536">
        <v>0</v>
      </c>
      <c r="H51" s="536">
        <v>0</v>
      </c>
      <c r="I51" s="536">
        <v>0</v>
      </c>
      <c r="J51" s="536">
        <v>0</v>
      </c>
      <c r="K51" s="536">
        <v>0</v>
      </c>
      <c r="L51" s="536">
        <v>0</v>
      </c>
      <c r="M51" s="536">
        <v>0</v>
      </c>
      <c r="N51" s="536">
        <v>0</v>
      </c>
      <c r="O51" s="536">
        <v>0</v>
      </c>
      <c r="P51" s="281">
        <f>SUM(D51:O51)</f>
        <v>0</v>
      </c>
      <c r="S51" s="613"/>
    </row>
    <row r="52" spans="1:19" ht="10.5" x14ac:dyDescent="0.25">
      <c r="A52" s="531">
        <f t="shared" si="13"/>
        <v>32</v>
      </c>
      <c r="B52" s="426" t="s">
        <v>256</v>
      </c>
      <c r="C52" s="532"/>
      <c r="D52" s="282">
        <f t="shared" ref="D52:O52" si="14">SUM(D50:D51)</f>
        <v>0</v>
      </c>
      <c r="E52" s="282">
        <f t="shared" si="14"/>
        <v>0</v>
      </c>
      <c r="F52" s="282">
        <f t="shared" si="14"/>
        <v>0</v>
      </c>
      <c r="G52" s="282">
        <f t="shared" si="14"/>
        <v>0</v>
      </c>
      <c r="H52" s="282">
        <f t="shared" si="14"/>
        <v>0</v>
      </c>
      <c r="I52" s="282">
        <f t="shared" si="14"/>
        <v>0</v>
      </c>
      <c r="J52" s="282">
        <f t="shared" si="14"/>
        <v>0</v>
      </c>
      <c r="K52" s="282">
        <f t="shared" si="14"/>
        <v>0</v>
      </c>
      <c r="L52" s="282">
        <f t="shared" si="14"/>
        <v>0</v>
      </c>
      <c r="M52" s="282">
        <f t="shared" si="14"/>
        <v>0</v>
      </c>
      <c r="N52" s="282">
        <f t="shared" si="14"/>
        <v>0</v>
      </c>
      <c r="O52" s="282">
        <f t="shared" si="14"/>
        <v>0</v>
      </c>
      <c r="P52" s="282">
        <f>SUM(D52:O52)</f>
        <v>0</v>
      </c>
      <c r="S52" s="613"/>
    </row>
    <row r="53" spans="1:19" ht="10.5" x14ac:dyDescent="0.25">
      <c r="A53" s="531"/>
      <c r="B53" s="426"/>
      <c r="C53" s="532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534"/>
      <c r="S53" s="223"/>
    </row>
    <row r="54" spans="1:19" ht="10.5" x14ac:dyDescent="0.25">
      <c r="A54" s="802" t="s">
        <v>36</v>
      </c>
      <c r="B54" s="802"/>
      <c r="C54" s="802"/>
      <c r="D54" s="802"/>
      <c r="E54" s="802"/>
      <c r="F54" s="802"/>
      <c r="G54" s="802"/>
      <c r="H54" s="802"/>
      <c r="I54" s="802"/>
      <c r="J54" s="802"/>
      <c r="K54" s="802"/>
      <c r="L54" s="802"/>
      <c r="M54" s="802"/>
      <c r="N54" s="802"/>
      <c r="O54" s="802"/>
      <c r="P54" s="802"/>
    </row>
    <row r="55" spans="1:19" ht="10.5" x14ac:dyDescent="0.25">
      <c r="A55" s="802" t="s">
        <v>192</v>
      </c>
      <c r="B55" s="802"/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</row>
    <row r="56" spans="1:19" ht="10.5" x14ac:dyDescent="0.25">
      <c r="A56" s="802" t="str">
        <f>A3</f>
        <v>For the 12 Months Ended December 31, 2022</v>
      </c>
      <c r="B56" s="802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</row>
    <row r="57" spans="1:19" x14ac:dyDescent="0.2">
      <c r="A57" s="279"/>
      <c r="B57" s="279"/>
      <c r="C57" s="280"/>
      <c r="D57" s="279"/>
      <c r="E57" s="280"/>
      <c r="F57" s="280"/>
      <c r="G57" s="280"/>
      <c r="H57" s="279"/>
      <c r="I57" s="279"/>
      <c r="J57" s="279"/>
      <c r="K57" s="279"/>
      <c r="L57" s="279"/>
      <c r="M57" s="279"/>
      <c r="N57" s="279"/>
      <c r="O57" s="279"/>
      <c r="P57" s="279"/>
    </row>
    <row r="58" spans="1:19" ht="10.5" x14ac:dyDescent="0.25">
      <c r="A58" s="463" t="str">
        <f>$A$5</f>
        <v>Data: __ Base Period_X_Forecasted Period</v>
      </c>
      <c r="B58" s="279"/>
      <c r="C58" s="219"/>
      <c r="D58" s="219"/>
      <c r="E58" s="219"/>
      <c r="F58" s="219"/>
      <c r="G58" s="280"/>
      <c r="H58" s="279"/>
      <c r="I58" s="279"/>
      <c r="J58" s="279"/>
      <c r="K58" s="279"/>
      <c r="L58" s="279"/>
      <c r="M58" s="279"/>
      <c r="N58" s="279"/>
      <c r="O58" s="279"/>
      <c r="P58" s="279"/>
    </row>
    <row r="59" spans="1:19" ht="10.5" x14ac:dyDescent="0.25">
      <c r="A59" s="463" t="str">
        <f>$A$6</f>
        <v>Type of Filing: X Original _ Update _ Revised</v>
      </c>
      <c r="B59" s="279"/>
      <c r="C59" s="219"/>
      <c r="D59" s="219"/>
      <c r="E59" s="219"/>
      <c r="F59" s="219"/>
      <c r="G59" s="280"/>
      <c r="H59" s="279"/>
      <c r="I59" s="279"/>
      <c r="J59" s="279"/>
      <c r="K59" s="279"/>
      <c r="L59" s="279"/>
      <c r="M59" s="279"/>
      <c r="N59" s="279"/>
      <c r="O59" s="279"/>
      <c r="P59" s="279"/>
    </row>
    <row r="60" spans="1:19" ht="10.5" x14ac:dyDescent="0.25">
      <c r="A60" s="463" t="str">
        <f>$A$7</f>
        <v>Work Paper Reference No(s):</v>
      </c>
      <c r="B60" s="279"/>
      <c r="C60" s="219"/>
      <c r="D60" s="219"/>
      <c r="E60" s="219"/>
      <c r="F60" s="219"/>
      <c r="G60" s="280"/>
      <c r="H60" s="279"/>
      <c r="I60" s="279"/>
      <c r="J60" s="279"/>
      <c r="K60" s="279"/>
      <c r="L60" s="279"/>
      <c r="M60" s="279"/>
      <c r="N60" s="279"/>
      <c r="O60" s="279"/>
      <c r="P60" s="464" t="str">
        <f>$P$7</f>
        <v>Workpaper WPM-B.2</v>
      </c>
    </row>
    <row r="61" spans="1:19" ht="10.5" x14ac:dyDescent="0.25">
      <c r="A61" s="546" t="str">
        <f>$A$8</f>
        <v>12 Months Forecasted</v>
      </c>
      <c r="B61" s="466"/>
      <c r="C61" s="219"/>
      <c r="D61" s="547"/>
      <c r="E61" s="466"/>
      <c r="F61" s="467"/>
      <c r="G61" s="468"/>
      <c r="H61" s="467"/>
      <c r="I61" s="469"/>
      <c r="J61" s="467"/>
      <c r="K61" s="467"/>
      <c r="L61" s="467"/>
      <c r="M61" s="467"/>
      <c r="N61" s="467"/>
      <c r="O61" s="467"/>
      <c r="P61" s="470" t="s">
        <v>398</v>
      </c>
      <c r="Q61" s="218"/>
      <c r="R61" s="218"/>
    </row>
    <row r="62" spans="1:19" ht="10.5" x14ac:dyDescent="0.25">
      <c r="A62" s="531"/>
      <c r="B62" s="426"/>
      <c r="C62" s="532"/>
      <c r="D62" s="441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534"/>
      <c r="S62" s="223"/>
    </row>
    <row r="63" spans="1:19" ht="10.5" x14ac:dyDescent="0.25">
      <c r="A63" s="466" t="s">
        <v>1</v>
      </c>
      <c r="B63" s="466"/>
      <c r="C63" s="219"/>
      <c r="D63" s="547"/>
      <c r="E63" s="466"/>
      <c r="F63" s="467"/>
      <c r="G63" s="468"/>
      <c r="H63" s="467"/>
      <c r="I63" s="469"/>
      <c r="J63" s="467"/>
      <c r="K63" s="467"/>
      <c r="L63" s="467"/>
      <c r="M63" s="467"/>
      <c r="N63" s="467"/>
      <c r="O63" s="467"/>
      <c r="P63" s="467"/>
      <c r="Q63" s="223"/>
      <c r="R63" s="223"/>
    </row>
    <row r="64" spans="1:19" ht="10.5" x14ac:dyDescent="0.25">
      <c r="A64" s="221" t="s">
        <v>3</v>
      </c>
      <c r="B64" s="221" t="s">
        <v>4</v>
      </c>
      <c r="C64" s="241" t="s">
        <v>183</v>
      </c>
      <c r="D64" s="548" t="str">
        <f>$D$11</f>
        <v>Jan-22</v>
      </c>
      <c r="E64" s="548" t="str">
        <f>$E$11</f>
        <v>Feb-22</v>
      </c>
      <c r="F64" s="548" t="str">
        <f>$F$11</f>
        <v>Mar-22</v>
      </c>
      <c r="G64" s="548" t="str">
        <f>$G$11</f>
        <v>Apr-22</v>
      </c>
      <c r="H64" s="548" t="str">
        <f>$H$11</f>
        <v>May-22</v>
      </c>
      <c r="I64" s="548" t="str">
        <f>$I$11</f>
        <v>Jun-22</v>
      </c>
      <c r="J64" s="548" t="str">
        <f>$J$11</f>
        <v>Jul-22</v>
      </c>
      <c r="K64" s="548" t="str">
        <f>$K$11</f>
        <v>Aug-22</v>
      </c>
      <c r="L64" s="548" t="str">
        <f>$L$11</f>
        <v>Sep-22</v>
      </c>
      <c r="M64" s="548" t="str">
        <f>$M$11</f>
        <v>Oct-22</v>
      </c>
      <c r="N64" s="548" t="str">
        <f>$N$11</f>
        <v>Nov-22</v>
      </c>
      <c r="O64" s="548" t="str">
        <f>$O$11</f>
        <v>Dec-22</v>
      </c>
      <c r="P64" s="548" t="s">
        <v>9</v>
      </c>
      <c r="S64" s="264"/>
    </row>
    <row r="65" spans="1:19" ht="10.5" x14ac:dyDescent="0.25">
      <c r="A65" s="466"/>
      <c r="B65" s="549" t="s">
        <v>42</v>
      </c>
      <c r="C65" s="540" t="s">
        <v>43</v>
      </c>
      <c r="D65" s="473" t="s">
        <v>45</v>
      </c>
      <c r="E65" s="473" t="s">
        <v>46</v>
      </c>
      <c r="F65" s="473" t="s">
        <v>49</v>
      </c>
      <c r="G65" s="473" t="s">
        <v>50</v>
      </c>
      <c r="H65" s="473" t="s">
        <v>51</v>
      </c>
      <c r="I65" s="473" t="s">
        <v>52</v>
      </c>
      <c r="J65" s="473" t="s">
        <v>53</v>
      </c>
      <c r="K65" s="474" t="s">
        <v>54</v>
      </c>
      <c r="L65" s="474" t="s">
        <v>55</v>
      </c>
      <c r="M65" s="474" t="s">
        <v>56</v>
      </c>
      <c r="N65" s="474" t="s">
        <v>57</v>
      </c>
      <c r="O65" s="474" t="s">
        <v>58</v>
      </c>
      <c r="P65" s="474" t="s">
        <v>59</v>
      </c>
      <c r="S65" s="223"/>
    </row>
    <row r="66" spans="1:19" ht="10.5" x14ac:dyDescent="0.25">
      <c r="C66" s="213"/>
      <c r="E66" s="213"/>
      <c r="F66" s="213"/>
      <c r="G66" s="213"/>
      <c r="S66" s="223"/>
    </row>
    <row r="67" spans="1:19" ht="10.5" x14ac:dyDescent="0.25">
      <c r="A67" s="531">
        <v>1</v>
      </c>
      <c r="B67" s="437" t="s">
        <v>247</v>
      </c>
      <c r="C67" s="540"/>
      <c r="D67" s="543"/>
      <c r="E67" s="543"/>
      <c r="F67" s="543"/>
      <c r="G67" s="543"/>
      <c r="H67" s="543"/>
      <c r="I67" s="543"/>
      <c r="J67" s="544"/>
      <c r="K67" s="544"/>
      <c r="L67" s="544"/>
      <c r="M67" s="544"/>
      <c r="N67" s="544"/>
      <c r="O67" s="544"/>
      <c r="P67" s="474"/>
      <c r="S67" s="223"/>
    </row>
    <row r="68" spans="1:19" ht="10.5" x14ac:dyDescent="0.25">
      <c r="A68" s="531">
        <f>A67+1</f>
        <v>2</v>
      </c>
      <c r="B68" s="426" t="s">
        <v>286</v>
      </c>
      <c r="C68" s="532"/>
      <c r="D68" s="533">
        <v>1</v>
      </c>
      <c r="E68" s="533">
        <v>1</v>
      </c>
      <c r="F68" s="533">
        <v>1</v>
      </c>
      <c r="G68" s="533">
        <v>1</v>
      </c>
      <c r="H68" s="533">
        <v>1</v>
      </c>
      <c r="I68" s="533">
        <v>1</v>
      </c>
      <c r="J68" s="533">
        <v>1</v>
      </c>
      <c r="K68" s="533">
        <v>1</v>
      </c>
      <c r="L68" s="533">
        <v>1</v>
      </c>
      <c r="M68" s="533">
        <v>1</v>
      </c>
      <c r="N68" s="533">
        <v>1</v>
      </c>
      <c r="O68" s="533">
        <v>1</v>
      </c>
      <c r="P68" s="534">
        <f>SUM(D68:O68)</f>
        <v>12</v>
      </c>
      <c r="S68" s="223"/>
    </row>
    <row r="69" spans="1:19" ht="10.5" x14ac:dyDescent="0.25">
      <c r="A69" s="531">
        <f t="shared" ref="A69:A70" si="15">A68+1</f>
        <v>3</v>
      </c>
      <c r="B69" s="426" t="s">
        <v>287</v>
      </c>
      <c r="C69" s="532"/>
      <c r="D69" s="536">
        <v>0</v>
      </c>
      <c r="E69" s="536">
        <v>0</v>
      </c>
      <c r="F69" s="536">
        <v>0</v>
      </c>
      <c r="G69" s="536">
        <v>0</v>
      </c>
      <c r="H69" s="536">
        <v>0</v>
      </c>
      <c r="I69" s="536">
        <v>0</v>
      </c>
      <c r="J69" s="536">
        <v>0</v>
      </c>
      <c r="K69" s="536">
        <v>0</v>
      </c>
      <c r="L69" s="536">
        <v>0</v>
      </c>
      <c r="M69" s="536">
        <v>0</v>
      </c>
      <c r="N69" s="536">
        <v>0</v>
      </c>
      <c r="O69" s="536">
        <v>0</v>
      </c>
      <c r="P69" s="281">
        <f>SUM(D69:O69)</f>
        <v>0</v>
      </c>
      <c r="S69" s="223"/>
    </row>
    <row r="70" spans="1:19" ht="10.5" x14ac:dyDescent="0.25">
      <c r="A70" s="531">
        <f t="shared" si="15"/>
        <v>4</v>
      </c>
      <c r="B70" s="426" t="s">
        <v>256</v>
      </c>
      <c r="C70" s="532"/>
      <c r="D70" s="441">
        <f t="shared" ref="D70:O70" si="16">SUM(D68:D69)</f>
        <v>1</v>
      </c>
      <c r="E70" s="441">
        <f t="shared" si="16"/>
        <v>1</v>
      </c>
      <c r="F70" s="441">
        <f t="shared" si="16"/>
        <v>1</v>
      </c>
      <c r="G70" s="441">
        <f t="shared" si="16"/>
        <v>1</v>
      </c>
      <c r="H70" s="441">
        <f t="shared" si="16"/>
        <v>1</v>
      </c>
      <c r="I70" s="441">
        <f t="shared" si="16"/>
        <v>1</v>
      </c>
      <c r="J70" s="441">
        <f t="shared" si="16"/>
        <v>1</v>
      </c>
      <c r="K70" s="441">
        <f t="shared" si="16"/>
        <v>1</v>
      </c>
      <c r="L70" s="441">
        <f t="shared" si="16"/>
        <v>1</v>
      </c>
      <c r="M70" s="441">
        <f t="shared" si="16"/>
        <v>1</v>
      </c>
      <c r="N70" s="441">
        <f t="shared" si="16"/>
        <v>1</v>
      </c>
      <c r="O70" s="441">
        <f t="shared" si="16"/>
        <v>1</v>
      </c>
      <c r="P70" s="534">
        <f>SUM(D70:O70)</f>
        <v>12</v>
      </c>
      <c r="S70" s="223"/>
    </row>
    <row r="71" spans="1:19" ht="10.5" x14ac:dyDescent="0.25">
      <c r="A71" s="531"/>
      <c r="B71" s="426"/>
      <c r="C71" s="532"/>
      <c r="D71" s="441"/>
      <c r="E71" s="441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534"/>
      <c r="S71" s="223"/>
    </row>
    <row r="72" spans="1:19" ht="10.5" x14ac:dyDescent="0.25">
      <c r="A72" s="531">
        <f>A70+1</f>
        <v>5</v>
      </c>
      <c r="B72" s="437" t="s">
        <v>250</v>
      </c>
      <c r="C72" s="540"/>
      <c r="D72" s="473"/>
      <c r="E72" s="473"/>
      <c r="F72" s="473"/>
      <c r="G72" s="473"/>
      <c r="H72" s="473"/>
      <c r="I72" s="473"/>
      <c r="J72" s="474"/>
      <c r="K72" s="474"/>
      <c r="L72" s="474"/>
      <c r="M72" s="474"/>
      <c r="N72" s="474"/>
      <c r="O72" s="474"/>
      <c r="P72" s="474"/>
      <c r="S72" s="223"/>
    </row>
    <row r="73" spans="1:19" ht="10.5" x14ac:dyDescent="0.25">
      <c r="A73" s="531">
        <f>A72+1</f>
        <v>6</v>
      </c>
      <c r="B73" s="426" t="s">
        <v>286</v>
      </c>
      <c r="C73" s="532"/>
      <c r="D73" s="533">
        <v>1</v>
      </c>
      <c r="E73" s="533">
        <v>1</v>
      </c>
      <c r="F73" s="533">
        <v>1</v>
      </c>
      <c r="G73" s="533">
        <v>1</v>
      </c>
      <c r="H73" s="533">
        <v>1</v>
      </c>
      <c r="I73" s="533">
        <v>1</v>
      </c>
      <c r="J73" s="533">
        <v>1</v>
      </c>
      <c r="K73" s="533">
        <v>1</v>
      </c>
      <c r="L73" s="533">
        <v>1</v>
      </c>
      <c r="M73" s="533">
        <v>1</v>
      </c>
      <c r="N73" s="533">
        <v>1</v>
      </c>
      <c r="O73" s="533">
        <v>1</v>
      </c>
      <c r="P73" s="534">
        <f>SUM(D73:O73)</f>
        <v>12</v>
      </c>
      <c r="S73" s="223"/>
    </row>
    <row r="74" spans="1:19" ht="10.5" x14ac:dyDescent="0.25">
      <c r="A74" s="531">
        <f t="shared" ref="A74:A75" si="17">A73+1</f>
        <v>7</v>
      </c>
      <c r="B74" s="426" t="s">
        <v>287</v>
      </c>
      <c r="C74" s="532"/>
      <c r="D74" s="536">
        <v>0</v>
      </c>
      <c r="E74" s="536">
        <v>0</v>
      </c>
      <c r="F74" s="536">
        <v>0</v>
      </c>
      <c r="G74" s="536">
        <v>0</v>
      </c>
      <c r="H74" s="536">
        <v>0</v>
      </c>
      <c r="I74" s="536">
        <v>0</v>
      </c>
      <c r="J74" s="536">
        <v>0</v>
      </c>
      <c r="K74" s="536">
        <v>0</v>
      </c>
      <c r="L74" s="536">
        <v>0</v>
      </c>
      <c r="M74" s="536">
        <v>0</v>
      </c>
      <c r="N74" s="536">
        <v>0</v>
      </c>
      <c r="O74" s="536">
        <v>0</v>
      </c>
      <c r="P74" s="281">
        <f>SUM(D74:O74)</f>
        <v>0</v>
      </c>
      <c r="S74" s="223"/>
    </row>
    <row r="75" spans="1:19" ht="10.5" x14ac:dyDescent="0.25">
      <c r="A75" s="531">
        <f t="shared" si="17"/>
        <v>8</v>
      </c>
      <c r="B75" s="426" t="s">
        <v>256</v>
      </c>
      <c r="C75" s="532"/>
      <c r="D75" s="441">
        <f t="shared" ref="D75:O75" si="18">SUM(D73:D74)</f>
        <v>1</v>
      </c>
      <c r="E75" s="441">
        <f t="shared" si="18"/>
        <v>1</v>
      </c>
      <c r="F75" s="441">
        <f t="shared" si="18"/>
        <v>1</v>
      </c>
      <c r="G75" s="441">
        <f t="shared" si="18"/>
        <v>1</v>
      </c>
      <c r="H75" s="441">
        <f t="shared" si="18"/>
        <v>1</v>
      </c>
      <c r="I75" s="441">
        <f t="shared" si="18"/>
        <v>1</v>
      </c>
      <c r="J75" s="441">
        <f t="shared" si="18"/>
        <v>1</v>
      </c>
      <c r="K75" s="441">
        <f t="shared" si="18"/>
        <v>1</v>
      </c>
      <c r="L75" s="441">
        <f t="shared" si="18"/>
        <v>1</v>
      </c>
      <c r="M75" s="441">
        <f t="shared" si="18"/>
        <v>1</v>
      </c>
      <c r="N75" s="441">
        <f t="shared" si="18"/>
        <v>1</v>
      </c>
      <c r="O75" s="441">
        <f t="shared" si="18"/>
        <v>1</v>
      </c>
      <c r="P75" s="534">
        <f>SUM(D75:O75)</f>
        <v>12</v>
      </c>
      <c r="S75" s="223"/>
    </row>
    <row r="76" spans="1:19" ht="10.5" x14ac:dyDescent="0.25">
      <c r="A76" s="531"/>
      <c r="B76" s="426"/>
      <c r="C76" s="532"/>
      <c r="D76" s="441"/>
      <c r="E76" s="441"/>
      <c r="F76" s="441"/>
      <c r="G76" s="441"/>
      <c r="H76" s="441"/>
      <c r="I76" s="441"/>
      <c r="J76" s="441"/>
      <c r="K76" s="441"/>
      <c r="L76" s="441"/>
      <c r="M76" s="441"/>
      <c r="N76" s="441"/>
      <c r="O76" s="441"/>
      <c r="P76" s="534"/>
      <c r="S76" s="223"/>
    </row>
    <row r="77" spans="1:19" ht="10.5" x14ac:dyDescent="0.25">
      <c r="A77" s="531">
        <f>A75+1</f>
        <v>9</v>
      </c>
      <c r="B77" s="437" t="s">
        <v>251</v>
      </c>
      <c r="C77" s="540"/>
      <c r="D77" s="543"/>
      <c r="E77" s="543"/>
      <c r="F77" s="543"/>
      <c r="G77" s="543"/>
      <c r="H77" s="543"/>
      <c r="I77" s="543"/>
      <c r="J77" s="544"/>
      <c r="K77" s="544"/>
      <c r="L77" s="544"/>
      <c r="M77" s="544"/>
      <c r="N77" s="544"/>
      <c r="O77" s="544"/>
      <c r="P77" s="474"/>
      <c r="S77" s="223"/>
    </row>
    <row r="78" spans="1:19" ht="10.5" x14ac:dyDescent="0.25">
      <c r="A78" s="531">
        <f>A77+1</f>
        <v>10</v>
      </c>
      <c r="B78" s="426" t="s">
        <v>286</v>
      </c>
      <c r="C78" s="532"/>
      <c r="D78" s="533">
        <v>11555</v>
      </c>
      <c r="E78" s="533">
        <v>11603</v>
      </c>
      <c r="F78" s="533">
        <v>11601</v>
      </c>
      <c r="G78" s="533">
        <v>11552</v>
      </c>
      <c r="H78" s="533">
        <v>11479</v>
      </c>
      <c r="I78" s="533">
        <v>11406</v>
      </c>
      <c r="J78" s="533">
        <v>11360</v>
      </c>
      <c r="K78" s="533">
        <v>11330</v>
      </c>
      <c r="L78" s="533">
        <v>11330</v>
      </c>
      <c r="M78" s="533">
        <v>11370</v>
      </c>
      <c r="N78" s="533">
        <v>11551</v>
      </c>
      <c r="O78" s="533">
        <v>11712</v>
      </c>
      <c r="P78" s="534">
        <f>SUM(D78:O78)</f>
        <v>137849</v>
      </c>
      <c r="Q78" s="232"/>
      <c r="S78" s="223"/>
    </row>
    <row r="79" spans="1:19" ht="10.5" x14ac:dyDescent="0.25">
      <c r="A79" s="531">
        <f t="shared" ref="A79:A80" si="19">A78+1</f>
        <v>11</v>
      </c>
      <c r="B79" s="426" t="s">
        <v>241</v>
      </c>
      <c r="C79" s="532" t="s">
        <v>342</v>
      </c>
      <c r="D79" s="282">
        <f>'D pg 1'!D16</f>
        <v>0</v>
      </c>
      <c r="E79" s="282">
        <f>'D pg 1'!E16</f>
        <v>0</v>
      </c>
      <c r="F79" s="282">
        <f>'D pg 1'!F16</f>
        <v>0</v>
      </c>
      <c r="G79" s="282">
        <f>'D pg 1'!G16</f>
        <v>0</v>
      </c>
      <c r="H79" s="282">
        <f>'D pg 1'!H16</f>
        <v>0</v>
      </c>
      <c r="I79" s="282">
        <f>'D pg 1'!I16</f>
        <v>0</v>
      </c>
      <c r="J79" s="282">
        <f>'D pg 1'!J16</f>
        <v>0</v>
      </c>
      <c r="K79" s="282">
        <f>'D pg 1'!K16</f>
        <v>0</v>
      </c>
      <c r="L79" s="282">
        <f>'D pg 1'!L16</f>
        <v>0</v>
      </c>
      <c r="M79" s="282">
        <f>'D pg 1'!M16</f>
        <v>0</v>
      </c>
      <c r="N79" s="282">
        <f>'D pg 1'!N16</f>
        <v>0</v>
      </c>
      <c r="O79" s="282">
        <f>'D pg 1'!O16</f>
        <v>0</v>
      </c>
      <c r="P79" s="282">
        <f>SUM(D79:O79)</f>
        <v>0</v>
      </c>
      <c r="S79" s="613"/>
    </row>
    <row r="80" spans="1:19" ht="10.5" x14ac:dyDescent="0.25">
      <c r="A80" s="531">
        <f t="shared" si="19"/>
        <v>12</v>
      </c>
      <c r="B80" s="426" t="s">
        <v>287</v>
      </c>
      <c r="C80" s="532"/>
      <c r="D80" s="536">
        <v>87</v>
      </c>
      <c r="E80" s="536">
        <v>60</v>
      </c>
      <c r="F80" s="536">
        <v>127</v>
      </c>
      <c r="G80" s="536">
        <v>115</v>
      </c>
      <c r="H80" s="536">
        <v>105</v>
      </c>
      <c r="I80" s="536">
        <v>110</v>
      </c>
      <c r="J80" s="536">
        <v>107</v>
      </c>
      <c r="K80" s="536">
        <v>84</v>
      </c>
      <c r="L80" s="536">
        <v>82</v>
      </c>
      <c r="M80" s="536">
        <v>63</v>
      </c>
      <c r="N80" s="536">
        <v>71</v>
      </c>
      <c r="O80" s="536">
        <v>66</v>
      </c>
      <c r="P80" s="281">
        <f>SUM(D80:O80)</f>
        <v>1077</v>
      </c>
      <c r="S80" s="223"/>
    </row>
    <row r="81" spans="1:19" ht="10.5" x14ac:dyDescent="0.25">
      <c r="A81" s="531">
        <f t="shared" ref="A81" si="20">A80+1</f>
        <v>13</v>
      </c>
      <c r="B81" s="426" t="s">
        <v>256</v>
      </c>
      <c r="C81" s="532"/>
      <c r="D81" s="441">
        <f t="shared" ref="D81:O81" si="21">SUM(D78:D80)</f>
        <v>11642</v>
      </c>
      <c r="E81" s="441">
        <f t="shared" si="21"/>
        <v>11663</v>
      </c>
      <c r="F81" s="441">
        <f t="shared" si="21"/>
        <v>11728</v>
      </c>
      <c r="G81" s="441">
        <f t="shared" si="21"/>
        <v>11667</v>
      </c>
      <c r="H81" s="441">
        <f t="shared" si="21"/>
        <v>11584</v>
      </c>
      <c r="I81" s="441">
        <f t="shared" si="21"/>
        <v>11516</v>
      </c>
      <c r="J81" s="441">
        <f t="shared" si="21"/>
        <v>11467</v>
      </c>
      <c r="K81" s="441">
        <f t="shared" si="21"/>
        <v>11414</v>
      </c>
      <c r="L81" s="441">
        <f t="shared" si="21"/>
        <v>11412</v>
      </c>
      <c r="M81" s="441">
        <f t="shared" si="21"/>
        <v>11433</v>
      </c>
      <c r="N81" s="441">
        <f t="shared" si="21"/>
        <v>11622</v>
      </c>
      <c r="O81" s="441">
        <f t="shared" si="21"/>
        <v>11778</v>
      </c>
      <c r="P81" s="534">
        <f>SUM(D81:O81)</f>
        <v>138926</v>
      </c>
      <c r="Q81" s="444"/>
      <c r="S81" s="223"/>
    </row>
    <row r="82" spans="1:19" ht="10.5" x14ac:dyDescent="0.25">
      <c r="A82" s="531"/>
      <c r="B82" s="426"/>
      <c r="C82" s="532"/>
      <c r="D82" s="441"/>
      <c r="E82" s="441"/>
      <c r="F82" s="441"/>
      <c r="G82" s="441"/>
      <c r="H82" s="441"/>
      <c r="I82" s="441"/>
      <c r="J82" s="441"/>
      <c r="K82" s="441"/>
      <c r="L82" s="441"/>
      <c r="M82" s="441"/>
      <c r="N82" s="441"/>
      <c r="O82" s="441"/>
      <c r="P82" s="534"/>
      <c r="S82" s="223"/>
    </row>
    <row r="83" spans="1:19" ht="10.5" x14ac:dyDescent="0.25">
      <c r="A83" s="531">
        <f>A81+1</f>
        <v>14</v>
      </c>
      <c r="B83" s="437" t="s">
        <v>261</v>
      </c>
      <c r="C83" s="540"/>
      <c r="D83" s="543"/>
      <c r="E83" s="543"/>
      <c r="F83" s="543"/>
      <c r="G83" s="543"/>
      <c r="H83" s="543"/>
      <c r="I83" s="543"/>
      <c r="J83" s="544"/>
      <c r="K83" s="544"/>
      <c r="L83" s="544"/>
      <c r="M83" s="544"/>
      <c r="N83" s="544"/>
      <c r="O83" s="544"/>
      <c r="P83" s="474"/>
      <c r="S83" s="223"/>
    </row>
    <row r="84" spans="1:19" ht="10.5" x14ac:dyDescent="0.25">
      <c r="A84" s="531">
        <f>A83+1</f>
        <v>15</v>
      </c>
      <c r="B84" s="426" t="s">
        <v>286</v>
      </c>
      <c r="C84" s="532"/>
      <c r="D84" s="533">
        <v>52</v>
      </c>
      <c r="E84" s="533">
        <v>52</v>
      </c>
      <c r="F84" s="533">
        <v>51</v>
      </c>
      <c r="G84" s="533">
        <v>50</v>
      </c>
      <c r="H84" s="533">
        <v>50</v>
      </c>
      <c r="I84" s="533">
        <v>50</v>
      </c>
      <c r="J84" s="533">
        <v>51</v>
      </c>
      <c r="K84" s="533">
        <v>51</v>
      </c>
      <c r="L84" s="533">
        <v>51</v>
      </c>
      <c r="M84" s="533">
        <v>51</v>
      </c>
      <c r="N84" s="533">
        <v>52</v>
      </c>
      <c r="O84" s="533">
        <v>52</v>
      </c>
      <c r="P84" s="534">
        <f>SUM(D84:O84)</f>
        <v>613</v>
      </c>
      <c r="S84" s="223"/>
    </row>
    <row r="85" spans="1:19" ht="10.5" x14ac:dyDescent="0.25">
      <c r="A85" s="531">
        <f>A84+1</f>
        <v>16</v>
      </c>
      <c r="B85" s="426" t="s">
        <v>241</v>
      </c>
      <c r="C85" s="532" t="s">
        <v>342</v>
      </c>
      <c r="D85" s="282">
        <f>'D pg 1'!D17</f>
        <v>0</v>
      </c>
      <c r="E85" s="282">
        <f>'D pg 1'!E17</f>
        <v>0</v>
      </c>
      <c r="F85" s="282">
        <f>'D pg 1'!F17</f>
        <v>0</v>
      </c>
      <c r="G85" s="282">
        <f>'D pg 1'!G17</f>
        <v>0</v>
      </c>
      <c r="H85" s="282">
        <f>'D pg 1'!H17</f>
        <v>0</v>
      </c>
      <c r="I85" s="282">
        <f>'D pg 1'!I17</f>
        <v>0</v>
      </c>
      <c r="J85" s="282">
        <f>'D pg 1'!J17</f>
        <v>0</v>
      </c>
      <c r="K85" s="282">
        <f>'D pg 1'!K17</f>
        <v>0</v>
      </c>
      <c r="L85" s="282">
        <f>'D pg 1'!L17</f>
        <v>0</v>
      </c>
      <c r="M85" s="282">
        <f>'D pg 1'!M17</f>
        <v>0</v>
      </c>
      <c r="N85" s="282">
        <f>'D pg 1'!N17</f>
        <v>0</v>
      </c>
      <c r="O85" s="282">
        <f>'D pg 1'!O17</f>
        <v>0</v>
      </c>
      <c r="P85" s="282">
        <f>SUM(D85:O85)</f>
        <v>0</v>
      </c>
      <c r="S85" s="223"/>
    </row>
    <row r="86" spans="1:19" ht="10.5" x14ac:dyDescent="0.25">
      <c r="A86" s="531">
        <f>A85+1</f>
        <v>17</v>
      </c>
      <c r="B86" s="426" t="s">
        <v>287</v>
      </c>
      <c r="C86" s="532"/>
      <c r="D86" s="536">
        <v>0</v>
      </c>
      <c r="E86" s="536">
        <v>0</v>
      </c>
      <c r="F86" s="536">
        <v>0</v>
      </c>
      <c r="G86" s="536">
        <v>1</v>
      </c>
      <c r="H86" s="536">
        <v>0</v>
      </c>
      <c r="I86" s="536">
        <v>1</v>
      </c>
      <c r="J86" s="536">
        <v>0</v>
      </c>
      <c r="K86" s="536">
        <v>0</v>
      </c>
      <c r="L86" s="536">
        <v>0</v>
      </c>
      <c r="M86" s="536">
        <v>1</v>
      </c>
      <c r="N86" s="536">
        <v>1</v>
      </c>
      <c r="O86" s="536">
        <v>1</v>
      </c>
      <c r="P86" s="281">
        <f>SUM(D86:O86)</f>
        <v>5</v>
      </c>
      <c r="S86" s="223"/>
    </row>
    <row r="87" spans="1:19" ht="10.5" x14ac:dyDescent="0.25">
      <c r="A87" s="531">
        <f>A86+1</f>
        <v>18</v>
      </c>
      <c r="B87" s="426" t="s">
        <v>256</v>
      </c>
      <c r="C87" s="532"/>
      <c r="D87" s="441">
        <f t="shared" ref="D87:O87" si="22">SUM(D84:D86)</f>
        <v>52</v>
      </c>
      <c r="E87" s="441">
        <f t="shared" si="22"/>
        <v>52</v>
      </c>
      <c r="F87" s="441">
        <f t="shared" si="22"/>
        <v>51</v>
      </c>
      <c r="G87" s="441">
        <f t="shared" si="22"/>
        <v>51</v>
      </c>
      <c r="H87" s="441">
        <f t="shared" si="22"/>
        <v>50</v>
      </c>
      <c r="I87" s="441">
        <f t="shared" si="22"/>
        <v>51</v>
      </c>
      <c r="J87" s="441">
        <f t="shared" si="22"/>
        <v>51</v>
      </c>
      <c r="K87" s="441">
        <f t="shared" si="22"/>
        <v>51</v>
      </c>
      <c r="L87" s="441">
        <f t="shared" si="22"/>
        <v>51</v>
      </c>
      <c r="M87" s="441">
        <f t="shared" si="22"/>
        <v>52</v>
      </c>
      <c r="N87" s="441">
        <f t="shared" si="22"/>
        <v>53</v>
      </c>
      <c r="O87" s="441">
        <f t="shared" si="22"/>
        <v>53</v>
      </c>
      <c r="P87" s="534">
        <f>SUM(D87:O87)</f>
        <v>618</v>
      </c>
      <c r="S87" s="223"/>
    </row>
    <row r="88" spans="1:19" ht="10.5" x14ac:dyDescent="0.25">
      <c r="A88" s="531"/>
      <c r="B88" s="426"/>
      <c r="C88" s="532"/>
      <c r="D88" s="441"/>
      <c r="E88" s="441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534"/>
      <c r="S88" s="613"/>
    </row>
    <row r="89" spans="1:19" ht="10.5" x14ac:dyDescent="0.25">
      <c r="A89" s="531">
        <f>A87+1</f>
        <v>19</v>
      </c>
      <c r="B89" s="437" t="s">
        <v>281</v>
      </c>
      <c r="C89" s="540"/>
      <c r="D89" s="473"/>
      <c r="E89" s="473"/>
      <c r="F89" s="473"/>
      <c r="G89" s="473"/>
      <c r="H89" s="473"/>
      <c r="I89" s="473"/>
      <c r="J89" s="474"/>
      <c r="K89" s="474"/>
      <c r="L89" s="474"/>
      <c r="M89" s="474"/>
      <c r="N89" s="474"/>
      <c r="O89" s="474"/>
      <c r="P89" s="474"/>
      <c r="S89" s="613"/>
    </row>
    <row r="90" spans="1:19" ht="10.5" x14ac:dyDescent="0.25">
      <c r="A90" s="531">
        <f>A89+1</f>
        <v>20</v>
      </c>
      <c r="B90" s="426" t="s">
        <v>286</v>
      </c>
      <c r="C90" s="532"/>
      <c r="D90" s="535">
        <v>0</v>
      </c>
      <c r="E90" s="535">
        <v>0</v>
      </c>
      <c r="F90" s="535">
        <v>0</v>
      </c>
      <c r="G90" s="535">
        <v>0</v>
      </c>
      <c r="H90" s="535">
        <v>0</v>
      </c>
      <c r="I90" s="535">
        <v>0</v>
      </c>
      <c r="J90" s="535">
        <v>0</v>
      </c>
      <c r="K90" s="535">
        <v>0</v>
      </c>
      <c r="L90" s="535">
        <v>0</v>
      </c>
      <c r="M90" s="535">
        <v>0</v>
      </c>
      <c r="N90" s="535">
        <v>0</v>
      </c>
      <c r="O90" s="535">
        <v>0</v>
      </c>
      <c r="P90" s="282">
        <f>SUM(D90:O90)</f>
        <v>0</v>
      </c>
      <c r="S90" s="613"/>
    </row>
    <row r="91" spans="1:19" ht="10.5" x14ac:dyDescent="0.25">
      <c r="A91" s="531">
        <f>A90+1</f>
        <v>21</v>
      </c>
      <c r="B91" s="426" t="s">
        <v>241</v>
      </c>
      <c r="C91" s="532" t="s">
        <v>342</v>
      </c>
      <c r="D91" s="535">
        <v>0</v>
      </c>
      <c r="E91" s="535">
        <v>0</v>
      </c>
      <c r="F91" s="535">
        <v>0</v>
      </c>
      <c r="G91" s="535">
        <v>0</v>
      </c>
      <c r="H91" s="535">
        <v>0</v>
      </c>
      <c r="I91" s="535">
        <v>0</v>
      </c>
      <c r="J91" s="535">
        <v>0</v>
      </c>
      <c r="K91" s="535">
        <v>0</v>
      </c>
      <c r="L91" s="535">
        <v>0</v>
      </c>
      <c r="M91" s="535">
        <v>0</v>
      </c>
      <c r="N91" s="535">
        <v>0</v>
      </c>
      <c r="O91" s="535">
        <v>0</v>
      </c>
      <c r="P91" s="282">
        <f>SUM(D91:O91)</f>
        <v>0</v>
      </c>
      <c r="S91" s="613"/>
    </row>
    <row r="92" spans="1:19" ht="10.5" x14ac:dyDescent="0.25">
      <c r="A92" s="531">
        <f>A91+1</f>
        <v>22</v>
      </c>
      <c r="B92" s="426" t="s">
        <v>287</v>
      </c>
      <c r="C92" s="532"/>
      <c r="D92" s="536">
        <v>0</v>
      </c>
      <c r="E92" s="536">
        <v>0</v>
      </c>
      <c r="F92" s="536">
        <v>0</v>
      </c>
      <c r="G92" s="536">
        <v>0</v>
      </c>
      <c r="H92" s="536">
        <v>0</v>
      </c>
      <c r="I92" s="536">
        <v>0</v>
      </c>
      <c r="J92" s="536">
        <v>0</v>
      </c>
      <c r="K92" s="536">
        <v>0</v>
      </c>
      <c r="L92" s="536">
        <v>0</v>
      </c>
      <c r="M92" s="536">
        <v>0</v>
      </c>
      <c r="N92" s="536">
        <v>0</v>
      </c>
      <c r="O92" s="536">
        <v>0</v>
      </c>
      <c r="P92" s="281">
        <f>SUM(D92:O92)</f>
        <v>0</v>
      </c>
      <c r="S92" s="613"/>
    </row>
    <row r="93" spans="1:19" ht="10.5" x14ac:dyDescent="0.25">
      <c r="A93" s="531">
        <f>A92+1</f>
        <v>23</v>
      </c>
      <c r="B93" s="426" t="s">
        <v>256</v>
      </c>
      <c r="C93" s="532"/>
      <c r="D93" s="282">
        <f t="shared" ref="D93:O93" si="23">SUM(D90:D92)</f>
        <v>0</v>
      </c>
      <c r="E93" s="282">
        <f t="shared" si="23"/>
        <v>0</v>
      </c>
      <c r="F93" s="282">
        <f t="shared" si="23"/>
        <v>0</v>
      </c>
      <c r="G93" s="282">
        <f t="shared" si="23"/>
        <v>0</v>
      </c>
      <c r="H93" s="282">
        <f t="shared" si="23"/>
        <v>0</v>
      </c>
      <c r="I93" s="282">
        <f t="shared" si="23"/>
        <v>0</v>
      </c>
      <c r="J93" s="282">
        <f t="shared" si="23"/>
        <v>0</v>
      </c>
      <c r="K93" s="282">
        <f t="shared" si="23"/>
        <v>0</v>
      </c>
      <c r="L93" s="282">
        <f t="shared" si="23"/>
        <v>0</v>
      </c>
      <c r="M93" s="282">
        <f t="shared" si="23"/>
        <v>0</v>
      </c>
      <c r="N93" s="282">
        <f t="shared" si="23"/>
        <v>0</v>
      </c>
      <c r="O93" s="282">
        <f t="shared" si="23"/>
        <v>0</v>
      </c>
      <c r="P93" s="282">
        <f>SUM(D93:O93)</f>
        <v>0</v>
      </c>
      <c r="S93" s="613"/>
    </row>
    <row r="94" spans="1:19" ht="10.5" x14ac:dyDescent="0.25">
      <c r="A94" s="531"/>
      <c r="B94" s="426"/>
      <c r="C94" s="532"/>
      <c r="D94" s="441"/>
      <c r="E94" s="441"/>
      <c r="F94" s="441"/>
      <c r="G94" s="441"/>
      <c r="H94" s="441"/>
      <c r="I94" s="441"/>
      <c r="J94" s="441"/>
      <c r="K94" s="441"/>
      <c r="L94" s="441"/>
      <c r="M94" s="441"/>
      <c r="N94" s="441"/>
      <c r="O94" s="441"/>
      <c r="P94" s="534"/>
      <c r="S94" s="223"/>
    </row>
    <row r="95" spans="1:19" ht="10.5" x14ac:dyDescent="0.25">
      <c r="A95" s="531">
        <f>A93+1</f>
        <v>24</v>
      </c>
      <c r="B95" s="437" t="s">
        <v>262</v>
      </c>
      <c r="C95" s="540"/>
      <c r="D95" s="543"/>
      <c r="E95" s="543"/>
      <c r="F95" s="543"/>
      <c r="G95" s="543"/>
      <c r="H95" s="543"/>
      <c r="I95" s="543"/>
      <c r="J95" s="544"/>
      <c r="K95" s="544"/>
      <c r="L95" s="544"/>
      <c r="M95" s="544"/>
      <c r="N95" s="544"/>
      <c r="O95" s="544"/>
      <c r="P95" s="474"/>
      <c r="S95" s="613"/>
    </row>
    <row r="96" spans="1:19" ht="10.5" x14ac:dyDescent="0.25">
      <c r="A96" s="531">
        <f>A95+1</f>
        <v>25</v>
      </c>
      <c r="B96" s="426" t="s">
        <v>286</v>
      </c>
      <c r="C96" s="532"/>
      <c r="D96" s="533">
        <v>2</v>
      </c>
      <c r="E96" s="533">
        <v>2</v>
      </c>
      <c r="F96" s="533">
        <v>2</v>
      </c>
      <c r="G96" s="533">
        <v>2</v>
      </c>
      <c r="H96" s="533">
        <v>2</v>
      </c>
      <c r="I96" s="533">
        <v>2</v>
      </c>
      <c r="J96" s="533">
        <v>2</v>
      </c>
      <c r="K96" s="533">
        <v>2</v>
      </c>
      <c r="L96" s="533">
        <v>2</v>
      </c>
      <c r="M96" s="533">
        <v>2</v>
      </c>
      <c r="N96" s="533">
        <v>2</v>
      </c>
      <c r="O96" s="533">
        <v>2</v>
      </c>
      <c r="P96" s="282">
        <f>SUM(D96:O96)</f>
        <v>24</v>
      </c>
      <c r="S96" s="613"/>
    </row>
    <row r="97" spans="1:19" ht="10.5" x14ac:dyDescent="0.25">
      <c r="A97" s="531">
        <f>A96+1</f>
        <v>26</v>
      </c>
      <c r="B97" s="426" t="s">
        <v>241</v>
      </c>
      <c r="C97" s="532" t="s">
        <v>342</v>
      </c>
      <c r="D97" s="535">
        <v>0</v>
      </c>
      <c r="E97" s="535">
        <v>0</v>
      </c>
      <c r="F97" s="535">
        <v>0</v>
      </c>
      <c r="G97" s="535">
        <v>0</v>
      </c>
      <c r="H97" s="535">
        <v>0</v>
      </c>
      <c r="I97" s="535">
        <v>0</v>
      </c>
      <c r="J97" s="535">
        <v>0</v>
      </c>
      <c r="K97" s="535">
        <v>0</v>
      </c>
      <c r="L97" s="535">
        <v>0</v>
      </c>
      <c r="M97" s="535">
        <v>0</v>
      </c>
      <c r="N97" s="535">
        <v>0</v>
      </c>
      <c r="O97" s="535">
        <v>0</v>
      </c>
      <c r="P97" s="282">
        <f>SUM(D97:O97)</f>
        <v>0</v>
      </c>
      <c r="S97" s="613"/>
    </row>
    <row r="98" spans="1:19" ht="10.5" x14ac:dyDescent="0.25">
      <c r="A98" s="531">
        <f>A97+1</f>
        <v>27</v>
      </c>
      <c r="B98" s="426" t="s">
        <v>287</v>
      </c>
      <c r="C98" s="532"/>
      <c r="D98" s="536">
        <v>0</v>
      </c>
      <c r="E98" s="536">
        <v>0</v>
      </c>
      <c r="F98" s="536">
        <v>0</v>
      </c>
      <c r="G98" s="536">
        <v>0</v>
      </c>
      <c r="H98" s="536">
        <v>0</v>
      </c>
      <c r="I98" s="536">
        <v>0</v>
      </c>
      <c r="J98" s="536">
        <v>0</v>
      </c>
      <c r="K98" s="536">
        <v>0</v>
      </c>
      <c r="L98" s="536">
        <v>0</v>
      </c>
      <c r="M98" s="536">
        <v>0</v>
      </c>
      <c r="N98" s="536">
        <v>0</v>
      </c>
      <c r="O98" s="536">
        <v>0</v>
      </c>
      <c r="P98" s="281">
        <f>SUM(D98:O98)</f>
        <v>0</v>
      </c>
      <c r="S98" s="223"/>
    </row>
    <row r="99" spans="1:19" ht="10.5" x14ac:dyDescent="0.25">
      <c r="A99" s="531">
        <f>A98+1</f>
        <v>28</v>
      </c>
      <c r="B99" s="426" t="s">
        <v>256</v>
      </c>
      <c r="C99" s="532"/>
      <c r="D99" s="441">
        <f t="shared" ref="D99:O99" si="24">SUM(D96:D98)</f>
        <v>2</v>
      </c>
      <c r="E99" s="441">
        <f t="shared" si="24"/>
        <v>2</v>
      </c>
      <c r="F99" s="441">
        <f t="shared" si="24"/>
        <v>2</v>
      </c>
      <c r="G99" s="441">
        <f t="shared" si="24"/>
        <v>2</v>
      </c>
      <c r="H99" s="441">
        <f t="shared" si="24"/>
        <v>2</v>
      </c>
      <c r="I99" s="441">
        <f t="shared" si="24"/>
        <v>2</v>
      </c>
      <c r="J99" s="441">
        <f t="shared" si="24"/>
        <v>2</v>
      </c>
      <c r="K99" s="441">
        <f t="shared" si="24"/>
        <v>2</v>
      </c>
      <c r="L99" s="441">
        <f t="shared" si="24"/>
        <v>2</v>
      </c>
      <c r="M99" s="441">
        <f t="shared" si="24"/>
        <v>2</v>
      </c>
      <c r="N99" s="441">
        <f t="shared" si="24"/>
        <v>2</v>
      </c>
      <c r="O99" s="441">
        <f t="shared" si="24"/>
        <v>2</v>
      </c>
      <c r="P99" s="282">
        <f>SUM(D99:O99)</f>
        <v>24</v>
      </c>
      <c r="S99" s="223"/>
    </row>
    <row r="100" spans="1:19" ht="10.5" x14ac:dyDescent="0.25">
      <c r="C100" s="213"/>
      <c r="E100" s="213"/>
      <c r="F100" s="213"/>
      <c r="G100" s="213"/>
      <c r="S100" s="223"/>
    </row>
    <row r="101" spans="1:19" ht="10.5" x14ac:dyDescent="0.25">
      <c r="C101" s="213"/>
      <c r="E101" s="213"/>
      <c r="F101" s="213"/>
      <c r="G101" s="213"/>
      <c r="S101" s="223"/>
    </row>
    <row r="102" spans="1:19" ht="10.5" x14ac:dyDescent="0.25">
      <c r="C102" s="213"/>
      <c r="E102" s="213"/>
      <c r="F102" s="213"/>
      <c r="G102" s="213"/>
      <c r="S102" s="223"/>
    </row>
    <row r="103" spans="1:19" ht="14.15" customHeight="1" x14ac:dyDescent="0.25">
      <c r="A103" s="531"/>
      <c r="B103" s="426"/>
      <c r="C103" s="532"/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534"/>
      <c r="S103" s="223"/>
    </row>
    <row r="104" spans="1:19" ht="10.5" x14ac:dyDescent="0.25">
      <c r="A104" s="802" t="s">
        <v>36</v>
      </c>
      <c r="B104" s="802"/>
      <c r="C104" s="802"/>
      <c r="D104" s="802"/>
      <c r="E104" s="802"/>
      <c r="F104" s="802"/>
      <c r="G104" s="802"/>
      <c r="H104" s="802"/>
      <c r="I104" s="802"/>
      <c r="J104" s="802"/>
      <c r="K104" s="802"/>
      <c r="L104" s="802"/>
      <c r="M104" s="802"/>
      <c r="N104" s="802"/>
      <c r="O104" s="802"/>
      <c r="P104" s="802"/>
    </row>
    <row r="105" spans="1:19" ht="10.5" x14ac:dyDescent="0.25">
      <c r="A105" s="802" t="s">
        <v>192</v>
      </c>
      <c r="B105" s="802"/>
      <c r="C105" s="802"/>
      <c r="D105" s="802"/>
      <c r="E105" s="802"/>
      <c r="F105" s="802"/>
      <c r="G105" s="802"/>
      <c r="H105" s="802"/>
      <c r="I105" s="802"/>
      <c r="J105" s="802"/>
      <c r="K105" s="802"/>
      <c r="L105" s="802"/>
      <c r="M105" s="802"/>
      <c r="N105" s="802"/>
      <c r="O105" s="802"/>
      <c r="P105" s="802"/>
    </row>
    <row r="106" spans="1:19" ht="10.5" x14ac:dyDescent="0.25">
      <c r="A106" s="802" t="str">
        <f>A3</f>
        <v>For the 12 Months Ended December 31, 2022</v>
      </c>
      <c r="B106" s="802"/>
      <c r="C106" s="802"/>
      <c r="D106" s="802"/>
      <c r="E106" s="802"/>
      <c r="F106" s="802"/>
      <c r="G106" s="802"/>
      <c r="H106" s="802"/>
      <c r="I106" s="802"/>
      <c r="J106" s="802"/>
      <c r="K106" s="802"/>
      <c r="L106" s="802"/>
      <c r="M106" s="802"/>
      <c r="N106" s="802"/>
      <c r="O106" s="802"/>
      <c r="P106" s="802"/>
    </row>
    <row r="107" spans="1:19" x14ac:dyDescent="0.2">
      <c r="A107" s="279"/>
      <c r="B107" s="279"/>
      <c r="C107" s="280"/>
      <c r="D107" s="279"/>
      <c r="E107" s="280"/>
      <c r="F107" s="280"/>
      <c r="G107" s="280"/>
      <c r="H107" s="279"/>
      <c r="I107" s="279"/>
      <c r="J107" s="279"/>
      <c r="K107" s="279"/>
      <c r="L107" s="279"/>
      <c r="M107" s="279"/>
      <c r="N107" s="279"/>
      <c r="O107" s="279"/>
      <c r="P107" s="279"/>
    </row>
    <row r="108" spans="1:19" ht="10.5" x14ac:dyDescent="0.25">
      <c r="A108" s="463" t="str">
        <f>$A$5</f>
        <v>Data: __ Base Period_X_Forecasted Period</v>
      </c>
      <c r="B108" s="279"/>
      <c r="C108" s="219"/>
      <c r="D108" s="219"/>
      <c r="E108" s="219"/>
      <c r="F108" s="219"/>
      <c r="G108" s="280"/>
      <c r="H108" s="279"/>
      <c r="I108" s="279"/>
      <c r="J108" s="279"/>
      <c r="K108" s="279"/>
      <c r="L108" s="279"/>
      <c r="M108" s="279"/>
      <c r="N108" s="279"/>
      <c r="O108" s="279"/>
      <c r="P108" s="279"/>
    </row>
    <row r="109" spans="1:19" ht="10.5" x14ac:dyDescent="0.25">
      <c r="A109" s="463" t="str">
        <f>$A$6</f>
        <v>Type of Filing: X Original _ Update _ Revised</v>
      </c>
      <c r="B109" s="279"/>
      <c r="C109" s="219"/>
      <c r="D109" s="219"/>
      <c r="E109" s="219"/>
      <c r="F109" s="219"/>
      <c r="G109" s="280"/>
      <c r="H109" s="279"/>
      <c r="I109" s="279"/>
      <c r="J109" s="279"/>
      <c r="K109" s="279"/>
      <c r="L109" s="279"/>
      <c r="M109" s="279"/>
      <c r="N109" s="279"/>
      <c r="O109" s="279"/>
      <c r="P109" s="279"/>
    </row>
    <row r="110" spans="1:19" ht="10.5" x14ac:dyDescent="0.25">
      <c r="A110" s="463" t="str">
        <f>$A$7</f>
        <v>Work Paper Reference No(s):</v>
      </c>
      <c r="B110" s="279"/>
      <c r="C110" s="219"/>
      <c r="D110" s="219"/>
      <c r="E110" s="219"/>
      <c r="F110" s="219"/>
      <c r="G110" s="280"/>
      <c r="H110" s="279"/>
      <c r="I110" s="279"/>
      <c r="J110" s="279"/>
      <c r="K110" s="279"/>
      <c r="L110" s="279"/>
      <c r="M110" s="279"/>
      <c r="N110" s="279"/>
      <c r="O110" s="279"/>
      <c r="P110" s="464" t="str">
        <f>$P$7</f>
        <v>Workpaper WPM-B.2</v>
      </c>
    </row>
    <row r="111" spans="1:19" ht="10.5" x14ac:dyDescent="0.25">
      <c r="A111" s="546" t="str">
        <f>$A$8</f>
        <v>12 Months Forecasted</v>
      </c>
      <c r="B111" s="466"/>
      <c r="C111" s="219"/>
      <c r="D111" s="547"/>
      <c r="E111" s="466"/>
      <c r="F111" s="467"/>
      <c r="G111" s="468"/>
      <c r="H111" s="467"/>
      <c r="I111" s="469"/>
      <c r="J111" s="467"/>
      <c r="K111" s="467"/>
      <c r="L111" s="467"/>
      <c r="M111" s="467"/>
      <c r="N111" s="467"/>
      <c r="O111" s="467"/>
      <c r="P111" s="470" t="s">
        <v>399</v>
      </c>
      <c r="Q111" s="218"/>
      <c r="R111" s="218"/>
    </row>
    <row r="112" spans="1:19" ht="10.5" x14ac:dyDescent="0.25">
      <c r="A112" s="531"/>
      <c r="B112" s="426"/>
      <c r="C112" s="532"/>
      <c r="D112" s="441"/>
      <c r="E112" s="44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534"/>
      <c r="S112" s="223"/>
    </row>
    <row r="113" spans="1:19" ht="10.5" x14ac:dyDescent="0.25">
      <c r="A113" s="466" t="s">
        <v>1</v>
      </c>
      <c r="B113" s="466"/>
      <c r="C113" s="219"/>
      <c r="D113" s="547"/>
      <c r="E113" s="466"/>
      <c r="F113" s="467"/>
      <c r="G113" s="468"/>
      <c r="H113" s="467"/>
      <c r="I113" s="469"/>
      <c r="J113" s="467"/>
      <c r="K113" s="467"/>
      <c r="L113" s="467"/>
      <c r="M113" s="467"/>
      <c r="N113" s="467"/>
      <c r="O113" s="467"/>
      <c r="P113" s="467"/>
      <c r="Q113" s="223"/>
      <c r="R113" s="223"/>
    </row>
    <row r="114" spans="1:19" ht="10.5" x14ac:dyDescent="0.25">
      <c r="A114" s="221" t="s">
        <v>3</v>
      </c>
      <c r="B114" s="221" t="s">
        <v>4</v>
      </c>
      <c r="C114" s="241" t="s">
        <v>183</v>
      </c>
      <c r="D114" s="548" t="str">
        <f>$D$11</f>
        <v>Jan-22</v>
      </c>
      <c r="E114" s="548" t="str">
        <f>$E$11</f>
        <v>Feb-22</v>
      </c>
      <c r="F114" s="548" t="str">
        <f>$F$11</f>
        <v>Mar-22</v>
      </c>
      <c r="G114" s="548" t="str">
        <f>$G$11</f>
        <v>Apr-22</v>
      </c>
      <c r="H114" s="548" t="str">
        <f>$H$11</f>
        <v>May-22</v>
      </c>
      <c r="I114" s="548" t="str">
        <f>$I$11</f>
        <v>Jun-22</v>
      </c>
      <c r="J114" s="548" t="str">
        <f>$J$11</f>
        <v>Jul-22</v>
      </c>
      <c r="K114" s="548" t="str">
        <f>$K$11</f>
        <v>Aug-22</v>
      </c>
      <c r="L114" s="548" t="str">
        <f>$L$11</f>
        <v>Sep-22</v>
      </c>
      <c r="M114" s="548" t="str">
        <f>$M$11</f>
        <v>Oct-22</v>
      </c>
      <c r="N114" s="548" t="str">
        <f>$N$11</f>
        <v>Nov-22</v>
      </c>
      <c r="O114" s="548" t="str">
        <f>$O$11</f>
        <v>Dec-22</v>
      </c>
      <c r="P114" s="548" t="s">
        <v>9</v>
      </c>
      <c r="S114" s="264"/>
    </row>
    <row r="115" spans="1:19" ht="10.5" x14ac:dyDescent="0.25">
      <c r="A115" s="466"/>
      <c r="B115" s="549" t="s">
        <v>42</v>
      </c>
      <c r="C115" s="540" t="s">
        <v>43</v>
      </c>
      <c r="D115" s="473" t="s">
        <v>45</v>
      </c>
      <c r="E115" s="473" t="s">
        <v>46</v>
      </c>
      <c r="F115" s="473" t="s">
        <v>49</v>
      </c>
      <c r="G115" s="473" t="s">
        <v>50</v>
      </c>
      <c r="H115" s="473" t="s">
        <v>51</v>
      </c>
      <c r="I115" s="473" t="s">
        <v>52</v>
      </c>
      <c r="J115" s="473" t="s">
        <v>53</v>
      </c>
      <c r="K115" s="474" t="s">
        <v>54</v>
      </c>
      <c r="L115" s="474" t="s">
        <v>55</v>
      </c>
      <c r="M115" s="474" t="s">
        <v>56</v>
      </c>
      <c r="N115" s="474" t="s">
        <v>57</v>
      </c>
      <c r="O115" s="474" t="s">
        <v>58</v>
      </c>
      <c r="P115" s="474" t="s">
        <v>59</v>
      </c>
      <c r="S115" s="223"/>
    </row>
    <row r="116" spans="1:19" ht="11" thickBot="1" x14ac:dyDescent="0.3">
      <c r="A116" s="466"/>
      <c r="B116" s="549"/>
      <c r="C116" s="540"/>
      <c r="D116" s="473"/>
      <c r="E116" s="473"/>
      <c r="F116" s="473"/>
      <c r="G116" s="473"/>
      <c r="H116" s="473"/>
      <c r="I116" s="473"/>
      <c r="J116" s="474"/>
      <c r="K116" s="474"/>
      <c r="L116" s="474"/>
      <c r="M116" s="474"/>
      <c r="N116" s="474"/>
      <c r="O116" s="474"/>
      <c r="P116" s="474"/>
      <c r="S116" s="223"/>
    </row>
    <row r="117" spans="1:19" ht="10.5" x14ac:dyDescent="0.25">
      <c r="A117" s="550">
        <v>1</v>
      </c>
      <c r="B117" s="551" t="s">
        <v>10</v>
      </c>
      <c r="C117" s="552"/>
      <c r="D117" s="458"/>
      <c r="E117" s="553"/>
      <c r="F117" s="553"/>
      <c r="G117" s="553"/>
      <c r="H117" s="458"/>
      <c r="I117" s="458"/>
      <c r="J117" s="458"/>
      <c r="K117" s="397"/>
      <c r="L117" s="397"/>
      <c r="M117" s="397"/>
      <c r="N117" s="397"/>
      <c r="O117" s="397"/>
      <c r="P117" s="398"/>
      <c r="S117" s="613"/>
    </row>
    <row r="118" spans="1:19" ht="10.5" x14ac:dyDescent="0.25">
      <c r="A118" s="554"/>
      <c r="B118" s="279"/>
      <c r="C118" s="555"/>
      <c r="D118" s="278"/>
      <c r="E118" s="282"/>
      <c r="F118" s="282"/>
      <c r="G118" s="282"/>
      <c r="H118" s="278"/>
      <c r="I118" s="278"/>
      <c r="J118" s="278"/>
      <c r="K118" s="279"/>
      <c r="L118" s="279"/>
      <c r="M118" s="279"/>
      <c r="N118" s="279"/>
      <c r="O118" s="279"/>
      <c r="P118" s="399"/>
      <c r="S118" s="613"/>
    </row>
    <row r="119" spans="1:19" ht="10.5" x14ac:dyDescent="0.25">
      <c r="A119" s="554">
        <f>A117+1</f>
        <v>2</v>
      </c>
      <c r="B119" s="437" t="s">
        <v>11</v>
      </c>
      <c r="C119" s="487"/>
      <c r="D119" s="487"/>
      <c r="E119" s="487"/>
      <c r="F119" s="487"/>
      <c r="G119" s="487"/>
      <c r="H119" s="487"/>
      <c r="I119" s="487"/>
      <c r="J119" s="240"/>
      <c r="K119" s="279"/>
      <c r="L119" s="279"/>
      <c r="M119" s="279"/>
      <c r="N119" s="279"/>
      <c r="O119" s="279"/>
      <c r="P119" s="399"/>
      <c r="S119" s="613"/>
    </row>
    <row r="120" spans="1:19" ht="10.5" x14ac:dyDescent="0.25">
      <c r="A120" s="554">
        <f>A119+1</f>
        <v>3</v>
      </c>
      <c r="B120" s="426" t="s">
        <v>286</v>
      </c>
      <c r="C120" s="532"/>
      <c r="D120" s="441">
        <f t="shared" ref="D120:O120" si="25">D15+D25+D30+D35+D40+D45+D68+D73</f>
        <v>108800</v>
      </c>
      <c r="E120" s="441">
        <f t="shared" si="25"/>
        <v>109104</v>
      </c>
      <c r="F120" s="441">
        <f t="shared" si="25"/>
        <v>109093</v>
      </c>
      <c r="G120" s="441">
        <f t="shared" si="25"/>
        <v>108607</v>
      </c>
      <c r="H120" s="441">
        <f t="shared" si="25"/>
        <v>107941</v>
      </c>
      <c r="I120" s="441">
        <f t="shared" si="25"/>
        <v>107091</v>
      </c>
      <c r="J120" s="441">
        <f t="shared" si="25"/>
        <v>106656</v>
      </c>
      <c r="K120" s="441">
        <f t="shared" si="25"/>
        <v>106450</v>
      </c>
      <c r="L120" s="441">
        <f t="shared" si="25"/>
        <v>106321</v>
      </c>
      <c r="M120" s="441">
        <f t="shared" si="25"/>
        <v>106685</v>
      </c>
      <c r="N120" s="441">
        <f t="shared" si="25"/>
        <v>108087</v>
      </c>
      <c r="O120" s="441">
        <f t="shared" si="25"/>
        <v>109520</v>
      </c>
      <c r="P120" s="556">
        <f>SUM(D120:O120)</f>
        <v>1294355</v>
      </c>
      <c r="S120" s="613"/>
    </row>
    <row r="121" spans="1:19" ht="11.5" x14ac:dyDescent="0.35">
      <c r="A121" s="554">
        <f>A120+1</f>
        <v>4</v>
      </c>
      <c r="B121" s="426" t="s">
        <v>287</v>
      </c>
      <c r="C121" s="532"/>
      <c r="D121" s="558">
        <f t="shared" ref="D121:O121" si="26">D16+D26+D31+D36+D41+D46+D69+D74</f>
        <v>1403</v>
      </c>
      <c r="E121" s="558">
        <f t="shared" si="26"/>
        <v>1368</v>
      </c>
      <c r="F121" s="558">
        <f t="shared" si="26"/>
        <v>1676</v>
      </c>
      <c r="G121" s="558">
        <f t="shared" si="26"/>
        <v>1354</v>
      </c>
      <c r="H121" s="558">
        <f t="shared" si="26"/>
        <v>1454</v>
      </c>
      <c r="I121" s="558">
        <f t="shared" si="26"/>
        <v>1649</v>
      </c>
      <c r="J121" s="558">
        <f t="shared" si="26"/>
        <v>1939</v>
      </c>
      <c r="K121" s="558">
        <f t="shared" si="26"/>
        <v>2055</v>
      </c>
      <c r="L121" s="558">
        <f t="shared" si="26"/>
        <v>1734</v>
      </c>
      <c r="M121" s="558">
        <f t="shared" si="26"/>
        <v>1495</v>
      </c>
      <c r="N121" s="558">
        <f t="shared" si="26"/>
        <v>1492</v>
      </c>
      <c r="O121" s="558">
        <f t="shared" si="26"/>
        <v>1527</v>
      </c>
      <c r="P121" s="559">
        <f>SUM(D121:O121)</f>
        <v>19146</v>
      </c>
      <c r="S121" s="613"/>
    </row>
    <row r="122" spans="1:19" ht="10.5" x14ac:dyDescent="0.25">
      <c r="A122" s="554">
        <f>A121+1</f>
        <v>5</v>
      </c>
      <c r="B122" s="426" t="s">
        <v>256</v>
      </c>
      <c r="C122" s="532"/>
      <c r="D122" s="441">
        <f t="shared" ref="D122:O122" si="27">SUM(D120:D121)</f>
        <v>110203</v>
      </c>
      <c r="E122" s="441">
        <f t="shared" si="27"/>
        <v>110472</v>
      </c>
      <c r="F122" s="441">
        <f t="shared" si="27"/>
        <v>110769</v>
      </c>
      <c r="G122" s="441">
        <f t="shared" si="27"/>
        <v>109961</v>
      </c>
      <c r="H122" s="441">
        <f t="shared" si="27"/>
        <v>109395</v>
      </c>
      <c r="I122" s="441">
        <f t="shared" si="27"/>
        <v>108740</v>
      </c>
      <c r="J122" s="441">
        <f t="shared" si="27"/>
        <v>108595</v>
      </c>
      <c r="K122" s="441">
        <f t="shared" si="27"/>
        <v>108505</v>
      </c>
      <c r="L122" s="441">
        <f t="shared" si="27"/>
        <v>108055</v>
      </c>
      <c r="M122" s="441">
        <f t="shared" si="27"/>
        <v>108180</v>
      </c>
      <c r="N122" s="441">
        <f t="shared" si="27"/>
        <v>109579</v>
      </c>
      <c r="O122" s="441">
        <f t="shared" si="27"/>
        <v>111047</v>
      </c>
      <c r="P122" s="556">
        <f>SUM(D122:O122)</f>
        <v>1313501</v>
      </c>
      <c r="S122" s="613"/>
    </row>
    <row r="123" spans="1:19" ht="10.5" x14ac:dyDescent="0.25">
      <c r="A123" s="554"/>
      <c r="B123" s="279"/>
      <c r="C123" s="282"/>
      <c r="D123" s="282"/>
      <c r="E123" s="282"/>
      <c r="F123" s="282"/>
      <c r="G123" s="282"/>
      <c r="H123" s="282"/>
      <c r="I123" s="282"/>
      <c r="J123" s="240"/>
      <c r="K123" s="279"/>
      <c r="L123" s="279"/>
      <c r="M123" s="279"/>
      <c r="N123" s="279"/>
      <c r="O123" s="279"/>
      <c r="P123" s="399"/>
      <c r="S123" s="613"/>
    </row>
    <row r="124" spans="1:19" ht="10.5" x14ac:dyDescent="0.25">
      <c r="A124" s="554">
        <f>A122+1</f>
        <v>6</v>
      </c>
      <c r="B124" s="437" t="s">
        <v>12</v>
      </c>
      <c r="C124" s="487"/>
      <c r="D124" s="487"/>
      <c r="E124" s="487"/>
      <c r="F124" s="487"/>
      <c r="G124" s="487"/>
      <c r="H124" s="487"/>
      <c r="I124" s="487"/>
      <c r="J124" s="240"/>
      <c r="K124" s="279"/>
      <c r="L124" s="279"/>
      <c r="M124" s="279"/>
      <c r="N124" s="279"/>
      <c r="O124" s="279"/>
      <c r="P124" s="399"/>
      <c r="S124" s="613"/>
    </row>
    <row r="125" spans="1:19" ht="10.5" x14ac:dyDescent="0.25">
      <c r="A125" s="554">
        <f>A124+1</f>
        <v>7</v>
      </c>
      <c r="B125" s="426" t="s">
        <v>286</v>
      </c>
      <c r="C125" s="532"/>
      <c r="D125" s="282">
        <f t="shared" ref="D125:P125" si="28">D20+D50+D78</f>
        <v>11555</v>
      </c>
      <c r="E125" s="282">
        <f t="shared" si="28"/>
        <v>11603</v>
      </c>
      <c r="F125" s="282">
        <f t="shared" si="28"/>
        <v>11601</v>
      </c>
      <c r="G125" s="282">
        <f t="shared" si="28"/>
        <v>11552</v>
      </c>
      <c r="H125" s="282">
        <f t="shared" si="28"/>
        <v>11479</v>
      </c>
      <c r="I125" s="282">
        <f t="shared" si="28"/>
        <v>11406</v>
      </c>
      <c r="J125" s="282">
        <f t="shared" si="28"/>
        <v>11360</v>
      </c>
      <c r="K125" s="282">
        <f t="shared" si="28"/>
        <v>11330</v>
      </c>
      <c r="L125" s="282">
        <f t="shared" si="28"/>
        <v>11330</v>
      </c>
      <c r="M125" s="282">
        <f t="shared" si="28"/>
        <v>11370</v>
      </c>
      <c r="N125" s="282">
        <f t="shared" si="28"/>
        <v>11551</v>
      </c>
      <c r="O125" s="282">
        <f t="shared" si="28"/>
        <v>11712</v>
      </c>
      <c r="P125" s="556">
        <f t="shared" si="28"/>
        <v>137849</v>
      </c>
      <c r="S125" s="613"/>
    </row>
    <row r="126" spans="1:19" ht="10.5" x14ac:dyDescent="0.25">
      <c r="A126" s="554">
        <f>A125+1</f>
        <v>8</v>
      </c>
      <c r="B126" s="426" t="s">
        <v>241</v>
      </c>
      <c r="C126" s="532"/>
      <c r="D126" s="282">
        <f>D79</f>
        <v>0</v>
      </c>
      <c r="E126" s="282">
        <f t="shared" ref="E126:P126" si="29">E79</f>
        <v>0</v>
      </c>
      <c r="F126" s="282">
        <f t="shared" si="29"/>
        <v>0</v>
      </c>
      <c r="G126" s="282">
        <f t="shared" si="29"/>
        <v>0</v>
      </c>
      <c r="H126" s="282">
        <f t="shared" si="29"/>
        <v>0</v>
      </c>
      <c r="I126" s="282">
        <f t="shared" si="29"/>
        <v>0</v>
      </c>
      <c r="J126" s="282">
        <f t="shared" si="29"/>
        <v>0</v>
      </c>
      <c r="K126" s="282">
        <f t="shared" si="29"/>
        <v>0</v>
      </c>
      <c r="L126" s="282">
        <f t="shared" si="29"/>
        <v>0</v>
      </c>
      <c r="M126" s="282">
        <f t="shared" si="29"/>
        <v>0</v>
      </c>
      <c r="N126" s="282">
        <f t="shared" si="29"/>
        <v>0</v>
      </c>
      <c r="O126" s="282">
        <f t="shared" si="29"/>
        <v>0</v>
      </c>
      <c r="P126" s="556">
        <f t="shared" si="29"/>
        <v>0</v>
      </c>
      <c r="S126" s="613"/>
    </row>
    <row r="127" spans="1:19" ht="11.5" x14ac:dyDescent="0.35">
      <c r="A127" s="554">
        <f>A126+1</f>
        <v>9</v>
      </c>
      <c r="B127" s="426" t="s">
        <v>287</v>
      </c>
      <c r="C127" s="532"/>
      <c r="D127" s="281">
        <f t="shared" ref="D127:P127" si="30">D21+D51+D80</f>
        <v>87</v>
      </c>
      <c r="E127" s="281">
        <f t="shared" si="30"/>
        <v>60</v>
      </c>
      <c r="F127" s="281">
        <f t="shared" si="30"/>
        <v>127</v>
      </c>
      <c r="G127" s="281">
        <f t="shared" si="30"/>
        <v>115</v>
      </c>
      <c r="H127" s="281">
        <f t="shared" si="30"/>
        <v>105</v>
      </c>
      <c r="I127" s="281">
        <f t="shared" si="30"/>
        <v>110</v>
      </c>
      <c r="J127" s="281">
        <f t="shared" si="30"/>
        <v>107</v>
      </c>
      <c r="K127" s="281">
        <f t="shared" si="30"/>
        <v>84</v>
      </c>
      <c r="L127" s="281">
        <f t="shared" si="30"/>
        <v>82</v>
      </c>
      <c r="M127" s="281">
        <f t="shared" si="30"/>
        <v>63</v>
      </c>
      <c r="N127" s="281">
        <f t="shared" si="30"/>
        <v>71</v>
      </c>
      <c r="O127" s="281">
        <f t="shared" si="30"/>
        <v>66</v>
      </c>
      <c r="P127" s="559">
        <f t="shared" si="30"/>
        <v>1077</v>
      </c>
      <c r="S127" s="613"/>
    </row>
    <row r="128" spans="1:19" ht="10.5" x14ac:dyDescent="0.25">
      <c r="A128" s="554">
        <f>A127+1</f>
        <v>10</v>
      </c>
      <c r="B128" s="426" t="s">
        <v>256</v>
      </c>
      <c r="C128" s="532"/>
      <c r="D128" s="441">
        <f t="shared" ref="D128:O128" si="31">SUM(D125:D127)</f>
        <v>11642</v>
      </c>
      <c r="E128" s="441">
        <f t="shared" si="31"/>
        <v>11663</v>
      </c>
      <c r="F128" s="441">
        <f t="shared" si="31"/>
        <v>11728</v>
      </c>
      <c r="G128" s="441">
        <f t="shared" si="31"/>
        <v>11667</v>
      </c>
      <c r="H128" s="441">
        <f t="shared" si="31"/>
        <v>11584</v>
      </c>
      <c r="I128" s="441">
        <f t="shared" si="31"/>
        <v>11516</v>
      </c>
      <c r="J128" s="441">
        <f t="shared" si="31"/>
        <v>11467</v>
      </c>
      <c r="K128" s="441">
        <f t="shared" si="31"/>
        <v>11414</v>
      </c>
      <c r="L128" s="441">
        <f t="shared" si="31"/>
        <v>11412</v>
      </c>
      <c r="M128" s="441">
        <f t="shared" si="31"/>
        <v>11433</v>
      </c>
      <c r="N128" s="441">
        <f t="shared" si="31"/>
        <v>11622</v>
      </c>
      <c r="O128" s="441">
        <f t="shared" si="31"/>
        <v>11778</v>
      </c>
      <c r="P128" s="556">
        <f>SUM(D128:O128)</f>
        <v>138926</v>
      </c>
      <c r="S128" s="613"/>
    </row>
    <row r="129" spans="1:19" ht="10.5" x14ac:dyDescent="0.25">
      <c r="A129" s="554"/>
      <c r="B129" s="279"/>
      <c r="C129" s="487"/>
      <c r="D129" s="487"/>
      <c r="E129" s="487"/>
      <c r="F129" s="487"/>
      <c r="G129" s="487"/>
      <c r="H129" s="487"/>
      <c r="I129" s="487"/>
      <c r="J129" s="240"/>
      <c r="K129" s="279"/>
      <c r="L129" s="279"/>
      <c r="M129" s="279"/>
      <c r="N129" s="279"/>
      <c r="O129" s="279"/>
      <c r="P129" s="399"/>
      <c r="S129" s="613"/>
    </row>
    <row r="130" spans="1:19" ht="10.5" x14ac:dyDescent="0.25">
      <c r="A130" s="554">
        <f>A128+1</f>
        <v>11</v>
      </c>
      <c r="B130" s="437" t="s">
        <v>13</v>
      </c>
      <c r="C130" s="487"/>
      <c r="D130" s="487"/>
      <c r="E130" s="487"/>
      <c r="F130" s="487"/>
      <c r="G130" s="487"/>
      <c r="H130" s="487"/>
      <c r="I130" s="487"/>
      <c r="J130" s="561"/>
      <c r="K130" s="279"/>
      <c r="L130" s="279"/>
      <c r="M130" s="279"/>
      <c r="N130" s="279"/>
      <c r="O130" s="279"/>
      <c r="P130" s="399"/>
      <c r="S130" s="613"/>
    </row>
    <row r="131" spans="1:19" ht="10.5" x14ac:dyDescent="0.25">
      <c r="A131" s="554">
        <f>A130+1</f>
        <v>12</v>
      </c>
      <c r="B131" s="426" t="s">
        <v>286</v>
      </c>
      <c r="C131" s="532"/>
      <c r="D131" s="441">
        <f t="shared" ref="D131:O131" si="32">D84+D90</f>
        <v>52</v>
      </c>
      <c r="E131" s="441">
        <f t="shared" si="32"/>
        <v>52</v>
      </c>
      <c r="F131" s="441">
        <f t="shared" si="32"/>
        <v>51</v>
      </c>
      <c r="G131" s="441">
        <f t="shared" si="32"/>
        <v>50</v>
      </c>
      <c r="H131" s="441">
        <f t="shared" si="32"/>
        <v>50</v>
      </c>
      <c r="I131" s="441">
        <f t="shared" si="32"/>
        <v>50</v>
      </c>
      <c r="J131" s="441">
        <f t="shared" si="32"/>
        <v>51</v>
      </c>
      <c r="K131" s="441">
        <f t="shared" si="32"/>
        <v>51</v>
      </c>
      <c r="L131" s="441">
        <f t="shared" si="32"/>
        <v>51</v>
      </c>
      <c r="M131" s="441">
        <f t="shared" si="32"/>
        <v>51</v>
      </c>
      <c r="N131" s="441">
        <f t="shared" si="32"/>
        <v>52</v>
      </c>
      <c r="O131" s="441">
        <f t="shared" si="32"/>
        <v>52</v>
      </c>
      <c r="P131" s="556">
        <f>SUM(D131:O131)</f>
        <v>613</v>
      </c>
      <c r="S131" s="613"/>
    </row>
    <row r="132" spans="1:19" ht="10.5" x14ac:dyDescent="0.25">
      <c r="A132" s="554">
        <f>A131+1</f>
        <v>13</v>
      </c>
      <c r="B132" s="426" t="s">
        <v>241</v>
      </c>
      <c r="C132" s="532"/>
      <c r="D132" s="282">
        <f t="shared" ref="D132:O132" si="33">D85+D91</f>
        <v>0</v>
      </c>
      <c r="E132" s="282">
        <f t="shared" si="33"/>
        <v>0</v>
      </c>
      <c r="F132" s="282">
        <f t="shared" si="33"/>
        <v>0</v>
      </c>
      <c r="G132" s="282">
        <f t="shared" si="33"/>
        <v>0</v>
      </c>
      <c r="H132" s="282">
        <f t="shared" si="33"/>
        <v>0</v>
      </c>
      <c r="I132" s="282">
        <f t="shared" si="33"/>
        <v>0</v>
      </c>
      <c r="J132" s="282">
        <f t="shared" si="33"/>
        <v>0</v>
      </c>
      <c r="K132" s="282">
        <f t="shared" si="33"/>
        <v>0</v>
      </c>
      <c r="L132" s="282">
        <f t="shared" si="33"/>
        <v>0</v>
      </c>
      <c r="M132" s="282">
        <f t="shared" si="33"/>
        <v>0</v>
      </c>
      <c r="N132" s="282">
        <f t="shared" si="33"/>
        <v>0</v>
      </c>
      <c r="O132" s="282">
        <f t="shared" si="33"/>
        <v>0</v>
      </c>
      <c r="P132" s="557">
        <f>SUM(D132:O132)</f>
        <v>0</v>
      </c>
      <c r="S132" s="613"/>
    </row>
    <row r="133" spans="1:19" ht="10.5" x14ac:dyDescent="0.25">
      <c r="A133" s="554">
        <f>A132+1</f>
        <v>14</v>
      </c>
      <c r="B133" s="426" t="s">
        <v>287</v>
      </c>
      <c r="C133" s="532"/>
      <c r="D133" s="281">
        <f t="shared" ref="D133:O133" si="34">D86+D92</f>
        <v>0</v>
      </c>
      <c r="E133" s="281">
        <f t="shared" si="34"/>
        <v>0</v>
      </c>
      <c r="F133" s="281">
        <f t="shared" si="34"/>
        <v>0</v>
      </c>
      <c r="G133" s="281">
        <f t="shared" si="34"/>
        <v>1</v>
      </c>
      <c r="H133" s="281">
        <f t="shared" si="34"/>
        <v>0</v>
      </c>
      <c r="I133" s="281">
        <f t="shared" si="34"/>
        <v>1</v>
      </c>
      <c r="J133" s="281">
        <f t="shared" si="34"/>
        <v>0</v>
      </c>
      <c r="K133" s="281">
        <f t="shared" si="34"/>
        <v>0</v>
      </c>
      <c r="L133" s="281">
        <f t="shared" si="34"/>
        <v>0</v>
      </c>
      <c r="M133" s="281">
        <f t="shared" si="34"/>
        <v>1</v>
      </c>
      <c r="N133" s="281">
        <f t="shared" si="34"/>
        <v>1</v>
      </c>
      <c r="O133" s="281">
        <f t="shared" si="34"/>
        <v>1</v>
      </c>
      <c r="P133" s="557">
        <f>SUM(D133:O133)</f>
        <v>5</v>
      </c>
      <c r="S133" s="613"/>
    </row>
    <row r="134" spans="1:19" ht="10.5" x14ac:dyDescent="0.25">
      <c r="A134" s="554">
        <f>A133+1</f>
        <v>15</v>
      </c>
      <c r="B134" s="426" t="s">
        <v>256</v>
      </c>
      <c r="C134" s="532"/>
      <c r="D134" s="441">
        <f t="shared" ref="D134:O134" si="35">SUM(D131:D133)</f>
        <v>52</v>
      </c>
      <c r="E134" s="441">
        <f t="shared" si="35"/>
        <v>52</v>
      </c>
      <c r="F134" s="441">
        <f t="shared" si="35"/>
        <v>51</v>
      </c>
      <c r="G134" s="441">
        <f t="shared" si="35"/>
        <v>51</v>
      </c>
      <c r="H134" s="441">
        <f t="shared" si="35"/>
        <v>50</v>
      </c>
      <c r="I134" s="441">
        <f t="shared" si="35"/>
        <v>51</v>
      </c>
      <c r="J134" s="441">
        <f t="shared" si="35"/>
        <v>51</v>
      </c>
      <c r="K134" s="441">
        <f t="shared" si="35"/>
        <v>51</v>
      </c>
      <c r="L134" s="441">
        <f t="shared" si="35"/>
        <v>51</v>
      </c>
      <c r="M134" s="441">
        <f t="shared" si="35"/>
        <v>52</v>
      </c>
      <c r="N134" s="441">
        <f t="shared" si="35"/>
        <v>53</v>
      </c>
      <c r="O134" s="441">
        <f t="shared" si="35"/>
        <v>53</v>
      </c>
      <c r="P134" s="556">
        <f>SUM(D134:O134)</f>
        <v>618</v>
      </c>
      <c r="S134" s="613"/>
    </row>
    <row r="135" spans="1:19" ht="10.5" x14ac:dyDescent="0.25">
      <c r="A135" s="554"/>
      <c r="B135" s="279"/>
      <c r="C135" s="487"/>
      <c r="D135" s="487"/>
      <c r="E135" s="487"/>
      <c r="F135" s="487"/>
      <c r="G135" s="487"/>
      <c r="H135" s="487"/>
      <c r="I135" s="487"/>
      <c r="J135" s="561"/>
      <c r="K135" s="279"/>
      <c r="L135" s="279"/>
      <c r="M135" s="279"/>
      <c r="N135" s="279"/>
      <c r="O135" s="279"/>
      <c r="P135" s="399"/>
      <c r="S135" s="613"/>
    </row>
    <row r="136" spans="1:19" ht="10.5" x14ac:dyDescent="0.25">
      <c r="A136" s="554">
        <f>A134+1</f>
        <v>16</v>
      </c>
      <c r="B136" s="437" t="s">
        <v>71</v>
      </c>
      <c r="C136" s="501"/>
      <c r="D136" s="561"/>
      <c r="E136" s="561"/>
      <c r="F136" s="561"/>
      <c r="G136" s="561"/>
      <c r="H136" s="561"/>
      <c r="I136" s="561"/>
      <c r="J136" s="561"/>
      <c r="K136" s="279"/>
      <c r="L136" s="279"/>
      <c r="M136" s="279"/>
      <c r="N136" s="279"/>
      <c r="O136" s="279"/>
      <c r="P136" s="399"/>
      <c r="S136" s="613"/>
    </row>
    <row r="137" spans="1:19" ht="10.5" x14ac:dyDescent="0.25">
      <c r="A137" s="554">
        <f>A136+1</f>
        <v>17</v>
      </c>
      <c r="B137" s="426" t="s">
        <v>286</v>
      </c>
      <c r="C137" s="532"/>
      <c r="D137" s="441">
        <f t="shared" ref="D137:O137" si="36">D96</f>
        <v>2</v>
      </c>
      <c r="E137" s="441">
        <f t="shared" si="36"/>
        <v>2</v>
      </c>
      <c r="F137" s="441">
        <f t="shared" si="36"/>
        <v>2</v>
      </c>
      <c r="G137" s="441">
        <f t="shared" si="36"/>
        <v>2</v>
      </c>
      <c r="H137" s="441">
        <f t="shared" si="36"/>
        <v>2</v>
      </c>
      <c r="I137" s="441">
        <f t="shared" si="36"/>
        <v>2</v>
      </c>
      <c r="J137" s="441">
        <f t="shared" si="36"/>
        <v>2</v>
      </c>
      <c r="K137" s="441">
        <f t="shared" si="36"/>
        <v>2</v>
      </c>
      <c r="L137" s="441">
        <f t="shared" si="36"/>
        <v>2</v>
      </c>
      <c r="M137" s="441">
        <f t="shared" si="36"/>
        <v>2</v>
      </c>
      <c r="N137" s="441">
        <f t="shared" si="36"/>
        <v>2</v>
      </c>
      <c r="O137" s="441">
        <f t="shared" si="36"/>
        <v>2</v>
      </c>
      <c r="P137" s="556">
        <f>SUM(D137:O137)</f>
        <v>24</v>
      </c>
      <c r="S137" s="613"/>
    </row>
    <row r="138" spans="1:19" ht="10.5" x14ac:dyDescent="0.25">
      <c r="A138" s="554">
        <f>A137+1</f>
        <v>18</v>
      </c>
      <c r="B138" s="426" t="s">
        <v>241</v>
      </c>
      <c r="C138" s="532"/>
      <c r="D138" s="282">
        <f t="shared" ref="D138:O138" si="37">D97</f>
        <v>0</v>
      </c>
      <c r="E138" s="282">
        <f t="shared" si="37"/>
        <v>0</v>
      </c>
      <c r="F138" s="282">
        <f t="shared" si="37"/>
        <v>0</v>
      </c>
      <c r="G138" s="282">
        <f t="shared" si="37"/>
        <v>0</v>
      </c>
      <c r="H138" s="282">
        <f t="shared" si="37"/>
        <v>0</v>
      </c>
      <c r="I138" s="282">
        <f t="shared" si="37"/>
        <v>0</v>
      </c>
      <c r="J138" s="282">
        <f t="shared" si="37"/>
        <v>0</v>
      </c>
      <c r="K138" s="282">
        <f t="shared" si="37"/>
        <v>0</v>
      </c>
      <c r="L138" s="282">
        <f t="shared" si="37"/>
        <v>0</v>
      </c>
      <c r="M138" s="282">
        <f t="shared" si="37"/>
        <v>0</v>
      </c>
      <c r="N138" s="282">
        <f t="shared" si="37"/>
        <v>0</v>
      </c>
      <c r="O138" s="282">
        <f t="shared" si="37"/>
        <v>0</v>
      </c>
      <c r="P138" s="557">
        <f>SUM(D138:O138)</f>
        <v>0</v>
      </c>
      <c r="S138" s="613"/>
    </row>
    <row r="139" spans="1:19" ht="10.5" x14ac:dyDescent="0.25">
      <c r="A139" s="554">
        <f>A138+1</f>
        <v>19</v>
      </c>
      <c r="B139" s="426" t="s">
        <v>287</v>
      </c>
      <c r="C139" s="532"/>
      <c r="D139" s="281">
        <f t="shared" ref="D139:O139" si="38">D98</f>
        <v>0</v>
      </c>
      <c r="E139" s="281">
        <f t="shared" si="38"/>
        <v>0</v>
      </c>
      <c r="F139" s="281">
        <f t="shared" si="38"/>
        <v>0</v>
      </c>
      <c r="G139" s="281">
        <f t="shared" si="38"/>
        <v>0</v>
      </c>
      <c r="H139" s="281">
        <f t="shared" si="38"/>
        <v>0</v>
      </c>
      <c r="I139" s="281">
        <f t="shared" si="38"/>
        <v>0</v>
      </c>
      <c r="J139" s="281">
        <f t="shared" si="38"/>
        <v>0</v>
      </c>
      <c r="K139" s="281">
        <f t="shared" si="38"/>
        <v>0</v>
      </c>
      <c r="L139" s="281">
        <f t="shared" si="38"/>
        <v>0</v>
      </c>
      <c r="M139" s="281">
        <f t="shared" si="38"/>
        <v>0</v>
      </c>
      <c r="N139" s="281">
        <f t="shared" si="38"/>
        <v>0</v>
      </c>
      <c r="O139" s="281">
        <f t="shared" si="38"/>
        <v>0</v>
      </c>
      <c r="P139" s="560">
        <f>SUM(D139:O139)</f>
        <v>0</v>
      </c>
      <c r="S139" s="613"/>
    </row>
    <row r="140" spans="1:19" ht="10.5" x14ac:dyDescent="0.25">
      <c r="A140" s="554">
        <f>A139+1</f>
        <v>20</v>
      </c>
      <c r="B140" s="426" t="s">
        <v>256</v>
      </c>
      <c r="C140" s="532"/>
      <c r="D140" s="441">
        <f t="shared" ref="D140:O140" si="39">SUM(D137:D139)</f>
        <v>2</v>
      </c>
      <c r="E140" s="441">
        <f t="shared" si="39"/>
        <v>2</v>
      </c>
      <c r="F140" s="441">
        <f t="shared" si="39"/>
        <v>2</v>
      </c>
      <c r="G140" s="441">
        <f t="shared" si="39"/>
        <v>2</v>
      </c>
      <c r="H140" s="441">
        <f t="shared" si="39"/>
        <v>2</v>
      </c>
      <c r="I140" s="441">
        <f t="shared" si="39"/>
        <v>2</v>
      </c>
      <c r="J140" s="441">
        <f t="shared" si="39"/>
        <v>2</v>
      </c>
      <c r="K140" s="441">
        <f t="shared" si="39"/>
        <v>2</v>
      </c>
      <c r="L140" s="441">
        <f t="shared" si="39"/>
        <v>2</v>
      </c>
      <c r="M140" s="441">
        <f t="shared" si="39"/>
        <v>2</v>
      </c>
      <c r="N140" s="441">
        <f t="shared" si="39"/>
        <v>2</v>
      </c>
      <c r="O140" s="441">
        <f t="shared" si="39"/>
        <v>2</v>
      </c>
      <c r="P140" s="556">
        <f>SUM(D140:O140)</f>
        <v>24</v>
      </c>
      <c r="S140" s="613"/>
    </row>
    <row r="141" spans="1:19" ht="10.5" x14ac:dyDescent="0.25">
      <c r="A141" s="554"/>
      <c r="B141" s="279"/>
      <c r="C141" s="282"/>
      <c r="D141" s="278"/>
      <c r="E141" s="278"/>
      <c r="F141" s="278"/>
      <c r="G141" s="278"/>
      <c r="H141" s="278"/>
      <c r="I141" s="278"/>
      <c r="J141" s="240"/>
      <c r="K141" s="279"/>
      <c r="L141" s="279"/>
      <c r="M141" s="279"/>
      <c r="N141" s="279"/>
      <c r="O141" s="279"/>
      <c r="P141" s="399"/>
      <c r="S141" s="613"/>
    </row>
    <row r="142" spans="1:19" ht="10.5" x14ac:dyDescent="0.25">
      <c r="A142" s="554">
        <f>A140+1</f>
        <v>21</v>
      </c>
      <c r="B142" s="437" t="s">
        <v>14</v>
      </c>
      <c r="C142" s="487"/>
      <c r="D142" s="240"/>
      <c r="E142" s="240"/>
      <c r="F142" s="240"/>
      <c r="G142" s="240"/>
      <c r="H142" s="240"/>
      <c r="I142" s="240"/>
      <c r="J142" s="240"/>
      <c r="K142" s="279"/>
      <c r="L142" s="279"/>
      <c r="M142" s="279"/>
      <c r="N142" s="279"/>
      <c r="O142" s="279"/>
      <c r="P142" s="399"/>
      <c r="S142" s="613"/>
    </row>
    <row r="143" spans="1:19" ht="10.5" x14ac:dyDescent="0.25">
      <c r="A143" s="554">
        <f>A142+1</f>
        <v>22</v>
      </c>
      <c r="B143" s="426" t="s">
        <v>286</v>
      </c>
      <c r="C143" s="532"/>
      <c r="D143" s="441">
        <f t="shared" ref="D143:O143" si="40">D120+D125+D131+D137</f>
        <v>120409</v>
      </c>
      <c r="E143" s="441">
        <f t="shared" si="40"/>
        <v>120761</v>
      </c>
      <c r="F143" s="441">
        <f t="shared" si="40"/>
        <v>120747</v>
      </c>
      <c r="G143" s="441">
        <f t="shared" si="40"/>
        <v>120211</v>
      </c>
      <c r="H143" s="441">
        <f t="shared" si="40"/>
        <v>119472</v>
      </c>
      <c r="I143" s="441">
        <f t="shared" si="40"/>
        <v>118549</v>
      </c>
      <c r="J143" s="441">
        <f t="shared" si="40"/>
        <v>118069</v>
      </c>
      <c r="K143" s="441">
        <f t="shared" si="40"/>
        <v>117833</v>
      </c>
      <c r="L143" s="441">
        <f t="shared" si="40"/>
        <v>117704</v>
      </c>
      <c r="M143" s="441">
        <f t="shared" si="40"/>
        <v>118108</v>
      </c>
      <c r="N143" s="441">
        <f t="shared" si="40"/>
        <v>119692</v>
      </c>
      <c r="O143" s="441">
        <f t="shared" si="40"/>
        <v>121286</v>
      </c>
      <c r="P143" s="556">
        <f>SUM(D143:O143)</f>
        <v>1432841</v>
      </c>
      <c r="S143" s="613"/>
    </row>
    <row r="144" spans="1:19" ht="10.5" x14ac:dyDescent="0.25">
      <c r="A144" s="554">
        <f>A143+1</f>
        <v>23</v>
      </c>
      <c r="B144" s="426" t="s">
        <v>241</v>
      </c>
      <c r="C144" s="532"/>
      <c r="D144" s="282">
        <f>D126+D132+D138</f>
        <v>0</v>
      </c>
      <c r="E144" s="282">
        <f t="shared" ref="E144:P144" si="41">E126+E132+E138</f>
        <v>0</v>
      </c>
      <c r="F144" s="282">
        <f t="shared" si="41"/>
        <v>0</v>
      </c>
      <c r="G144" s="282">
        <f t="shared" si="41"/>
        <v>0</v>
      </c>
      <c r="H144" s="282">
        <f t="shared" si="41"/>
        <v>0</v>
      </c>
      <c r="I144" s="282">
        <f t="shared" si="41"/>
        <v>0</v>
      </c>
      <c r="J144" s="282">
        <f t="shared" si="41"/>
        <v>0</v>
      </c>
      <c r="K144" s="282">
        <f t="shared" si="41"/>
        <v>0</v>
      </c>
      <c r="L144" s="282">
        <f t="shared" si="41"/>
        <v>0</v>
      </c>
      <c r="M144" s="282">
        <f t="shared" si="41"/>
        <v>0</v>
      </c>
      <c r="N144" s="282">
        <f t="shared" si="41"/>
        <v>0</v>
      </c>
      <c r="O144" s="282">
        <f t="shared" si="41"/>
        <v>0</v>
      </c>
      <c r="P144" s="556">
        <f t="shared" si="41"/>
        <v>0</v>
      </c>
      <c r="S144" s="613"/>
    </row>
    <row r="145" spans="1:19" ht="11.5" x14ac:dyDescent="0.35">
      <c r="A145" s="554">
        <f>A144+1</f>
        <v>24</v>
      </c>
      <c r="B145" s="426" t="s">
        <v>287</v>
      </c>
      <c r="C145" s="532"/>
      <c r="D145" s="558">
        <f t="shared" ref="D145:O145" si="42">D121+D127+D133+D139</f>
        <v>1490</v>
      </c>
      <c r="E145" s="558">
        <f t="shared" si="42"/>
        <v>1428</v>
      </c>
      <c r="F145" s="558">
        <f t="shared" si="42"/>
        <v>1803</v>
      </c>
      <c r="G145" s="558">
        <f t="shared" si="42"/>
        <v>1470</v>
      </c>
      <c r="H145" s="558">
        <f t="shared" si="42"/>
        <v>1559</v>
      </c>
      <c r="I145" s="558">
        <f t="shared" si="42"/>
        <v>1760</v>
      </c>
      <c r="J145" s="558">
        <f t="shared" si="42"/>
        <v>2046</v>
      </c>
      <c r="K145" s="558">
        <f t="shared" si="42"/>
        <v>2139</v>
      </c>
      <c r="L145" s="558">
        <f t="shared" si="42"/>
        <v>1816</v>
      </c>
      <c r="M145" s="558">
        <f t="shared" si="42"/>
        <v>1559</v>
      </c>
      <c r="N145" s="558">
        <f t="shared" si="42"/>
        <v>1564</v>
      </c>
      <c r="O145" s="558">
        <f t="shared" si="42"/>
        <v>1594</v>
      </c>
      <c r="P145" s="559">
        <f>SUM(D145:O145)</f>
        <v>20228</v>
      </c>
      <c r="S145" s="613"/>
    </row>
    <row r="146" spans="1:19" ht="11" thickBot="1" x14ac:dyDescent="0.3">
      <c r="A146" s="562">
        <f>A145+1</f>
        <v>25</v>
      </c>
      <c r="B146" s="563" t="s">
        <v>256</v>
      </c>
      <c r="C146" s="564"/>
      <c r="D146" s="565">
        <f t="shared" ref="D146:O146" si="43">SUM(D143:D145)</f>
        <v>121899</v>
      </c>
      <c r="E146" s="565">
        <f t="shared" si="43"/>
        <v>122189</v>
      </c>
      <c r="F146" s="565">
        <f t="shared" si="43"/>
        <v>122550</v>
      </c>
      <c r="G146" s="565">
        <f t="shared" si="43"/>
        <v>121681</v>
      </c>
      <c r="H146" s="565">
        <f t="shared" si="43"/>
        <v>121031</v>
      </c>
      <c r="I146" s="565">
        <f t="shared" si="43"/>
        <v>120309</v>
      </c>
      <c r="J146" s="565">
        <f t="shared" si="43"/>
        <v>120115</v>
      </c>
      <c r="K146" s="565">
        <f t="shared" si="43"/>
        <v>119972</v>
      </c>
      <c r="L146" s="565">
        <f t="shared" si="43"/>
        <v>119520</v>
      </c>
      <c r="M146" s="565">
        <f t="shared" si="43"/>
        <v>119667</v>
      </c>
      <c r="N146" s="565">
        <f t="shared" si="43"/>
        <v>121256</v>
      </c>
      <c r="O146" s="565">
        <f t="shared" si="43"/>
        <v>122880</v>
      </c>
      <c r="P146" s="566">
        <f>SUM(D146:O146)</f>
        <v>1453069</v>
      </c>
      <c r="S146" s="613"/>
    </row>
    <row r="147" spans="1:19" ht="10.5" x14ac:dyDescent="0.25">
      <c r="A147" s="612"/>
      <c r="B147" s="549"/>
      <c r="C147" s="540"/>
      <c r="D147" s="473"/>
      <c r="E147" s="473"/>
      <c r="F147" s="473"/>
      <c r="G147" s="473"/>
      <c r="H147" s="473"/>
      <c r="I147" s="473"/>
      <c r="J147" s="474"/>
      <c r="K147" s="474"/>
      <c r="L147" s="474"/>
      <c r="M147" s="474"/>
      <c r="N147" s="474"/>
      <c r="O147" s="474"/>
      <c r="P147" s="474"/>
      <c r="S147" s="613"/>
    </row>
    <row r="148" spans="1:19" ht="10.5" x14ac:dyDescent="0.25">
      <c r="A148" s="802" t="s">
        <v>36</v>
      </c>
      <c r="B148" s="802"/>
      <c r="C148" s="802"/>
      <c r="D148" s="802"/>
      <c r="E148" s="802"/>
      <c r="F148" s="802"/>
      <c r="G148" s="802"/>
      <c r="H148" s="802"/>
      <c r="I148" s="802"/>
      <c r="J148" s="802"/>
      <c r="K148" s="802"/>
      <c r="L148" s="802"/>
      <c r="M148" s="802"/>
      <c r="N148" s="802"/>
      <c r="O148" s="802"/>
      <c r="P148" s="802"/>
      <c r="S148" s="613"/>
    </row>
    <row r="149" spans="1:19" ht="10.5" x14ac:dyDescent="0.25">
      <c r="A149" s="802" t="s">
        <v>192</v>
      </c>
      <c r="B149" s="802"/>
      <c r="C149" s="802"/>
      <c r="D149" s="802"/>
      <c r="E149" s="802"/>
      <c r="F149" s="802"/>
      <c r="G149" s="802"/>
      <c r="H149" s="802"/>
      <c r="I149" s="802"/>
      <c r="J149" s="802"/>
      <c r="K149" s="802"/>
      <c r="L149" s="802"/>
      <c r="M149" s="802"/>
      <c r="N149" s="802"/>
      <c r="O149" s="802"/>
      <c r="P149" s="802"/>
      <c r="S149" s="613"/>
    </row>
    <row r="150" spans="1:19" ht="10.5" x14ac:dyDescent="0.25">
      <c r="A150" s="802" t="str">
        <f>A3</f>
        <v>For the 12 Months Ended December 31, 2022</v>
      </c>
      <c r="B150" s="802"/>
      <c r="C150" s="802"/>
      <c r="D150" s="802"/>
      <c r="E150" s="802"/>
      <c r="F150" s="802"/>
      <c r="G150" s="802"/>
      <c r="H150" s="802"/>
      <c r="I150" s="802"/>
      <c r="J150" s="802"/>
      <c r="K150" s="802"/>
      <c r="L150" s="802"/>
      <c r="M150" s="802"/>
      <c r="N150" s="802"/>
      <c r="O150" s="802"/>
      <c r="P150" s="802"/>
      <c r="S150" s="613"/>
    </row>
    <row r="151" spans="1:19" ht="10.5" x14ac:dyDescent="0.25">
      <c r="A151" s="279"/>
      <c r="B151" s="279"/>
      <c r="C151" s="280"/>
      <c r="D151" s="279"/>
      <c r="E151" s="280"/>
      <c r="F151" s="280"/>
      <c r="G151" s="280"/>
      <c r="H151" s="279"/>
      <c r="I151" s="279"/>
      <c r="J151" s="279"/>
      <c r="K151" s="279"/>
      <c r="L151" s="279"/>
      <c r="M151" s="279"/>
      <c r="N151" s="279"/>
      <c r="O151" s="279"/>
      <c r="P151" s="279"/>
      <c r="S151" s="613"/>
    </row>
    <row r="152" spans="1:19" ht="10.5" x14ac:dyDescent="0.25">
      <c r="A152" s="463" t="str">
        <f>$A$5</f>
        <v>Data: __ Base Period_X_Forecasted Period</v>
      </c>
      <c r="B152" s="279"/>
      <c r="C152" s="219"/>
      <c r="D152" s="219"/>
      <c r="E152" s="219"/>
      <c r="F152" s="219"/>
      <c r="G152" s="280"/>
      <c r="H152" s="279"/>
      <c r="I152" s="279"/>
      <c r="J152" s="279"/>
      <c r="K152" s="279"/>
      <c r="L152" s="279"/>
      <c r="M152" s="279"/>
      <c r="N152" s="279"/>
      <c r="O152" s="279"/>
      <c r="P152" s="279"/>
      <c r="S152" s="613"/>
    </row>
    <row r="153" spans="1:19" ht="10.5" x14ac:dyDescent="0.25">
      <c r="A153" s="463" t="str">
        <f>$A$6</f>
        <v>Type of Filing: X Original _ Update _ Revised</v>
      </c>
      <c r="B153" s="279"/>
      <c r="C153" s="219"/>
      <c r="D153" s="219"/>
      <c r="E153" s="219"/>
      <c r="F153" s="219"/>
      <c r="G153" s="280"/>
      <c r="H153" s="279"/>
      <c r="I153" s="279"/>
      <c r="J153" s="279"/>
      <c r="K153" s="279"/>
      <c r="L153" s="279"/>
      <c r="M153" s="279"/>
      <c r="N153" s="279"/>
      <c r="O153" s="279"/>
      <c r="P153" s="279"/>
      <c r="S153" s="613"/>
    </row>
    <row r="154" spans="1:19" ht="10.5" x14ac:dyDescent="0.25">
      <c r="A154" s="463" t="str">
        <f>$A$7</f>
        <v>Work Paper Reference No(s):</v>
      </c>
      <c r="B154" s="279"/>
      <c r="C154" s="219"/>
      <c r="D154" s="219"/>
      <c r="E154" s="219"/>
      <c r="F154" s="219"/>
      <c r="G154" s="280"/>
      <c r="H154" s="279"/>
      <c r="I154" s="279"/>
      <c r="J154" s="279"/>
      <c r="K154" s="279"/>
      <c r="L154" s="279"/>
      <c r="M154" s="279"/>
      <c r="N154" s="279"/>
      <c r="O154" s="279"/>
      <c r="P154" s="464" t="str">
        <f>$P$7</f>
        <v>Workpaper WPM-B.2</v>
      </c>
      <c r="S154" s="613"/>
    </row>
    <row r="155" spans="1:19" ht="10.5" x14ac:dyDescent="0.25">
      <c r="A155" s="546" t="str">
        <f>$A$8</f>
        <v>12 Months Forecasted</v>
      </c>
      <c r="B155" s="612"/>
      <c r="C155" s="219"/>
      <c r="D155" s="547"/>
      <c r="E155" s="612"/>
      <c r="F155" s="467"/>
      <c r="G155" s="468"/>
      <c r="H155" s="467"/>
      <c r="I155" s="469"/>
      <c r="J155" s="467"/>
      <c r="K155" s="467"/>
      <c r="L155" s="467"/>
      <c r="M155" s="467"/>
      <c r="N155" s="467"/>
      <c r="O155" s="467"/>
      <c r="P155" s="470" t="s">
        <v>402</v>
      </c>
      <c r="S155" s="613"/>
    </row>
    <row r="156" spans="1:19" ht="10.5" x14ac:dyDescent="0.25">
      <c r="A156" s="531"/>
      <c r="B156" s="426"/>
      <c r="C156" s="532"/>
      <c r="D156" s="441"/>
      <c r="E156" s="441"/>
      <c r="F156" s="441"/>
      <c r="G156" s="441"/>
      <c r="H156" s="441"/>
      <c r="I156" s="441"/>
      <c r="J156" s="441"/>
      <c r="K156" s="441"/>
      <c r="L156" s="441"/>
      <c r="M156" s="441"/>
      <c r="N156" s="441"/>
      <c r="O156" s="441"/>
      <c r="P156" s="534"/>
      <c r="S156" s="613"/>
    </row>
    <row r="157" spans="1:19" ht="10.5" x14ac:dyDescent="0.25">
      <c r="A157" s="612" t="s">
        <v>1</v>
      </c>
      <c r="B157" s="612"/>
      <c r="C157" s="219"/>
      <c r="D157" s="547"/>
      <c r="E157" s="612"/>
      <c r="F157" s="467"/>
      <c r="G157" s="468"/>
      <c r="H157" s="467"/>
      <c r="I157" s="469"/>
      <c r="J157" s="467"/>
      <c r="K157" s="467"/>
      <c r="L157" s="467"/>
      <c r="M157" s="467"/>
      <c r="N157" s="467"/>
      <c r="O157" s="467"/>
      <c r="P157" s="467"/>
      <c r="S157" s="613"/>
    </row>
    <row r="158" spans="1:19" ht="10.5" x14ac:dyDescent="0.25">
      <c r="A158" s="221" t="s">
        <v>3</v>
      </c>
      <c r="B158" s="221" t="s">
        <v>4</v>
      </c>
      <c r="C158" s="241" t="s">
        <v>183</v>
      </c>
      <c r="D158" s="548" t="str">
        <f>$D$11</f>
        <v>Jan-22</v>
      </c>
      <c r="E158" s="548" t="str">
        <f>$E$11</f>
        <v>Feb-22</v>
      </c>
      <c r="F158" s="548" t="str">
        <f>$F$11</f>
        <v>Mar-22</v>
      </c>
      <c r="G158" s="548" t="str">
        <f>$G$11</f>
        <v>Apr-22</v>
      </c>
      <c r="H158" s="548" t="str">
        <f>$H$11</f>
        <v>May-22</v>
      </c>
      <c r="I158" s="548" t="str">
        <f>$I$11</f>
        <v>Jun-22</v>
      </c>
      <c r="J158" s="548" t="str">
        <f>$J$11</f>
        <v>Jul-22</v>
      </c>
      <c r="K158" s="548" t="str">
        <f>$K$11</f>
        <v>Aug-22</v>
      </c>
      <c r="L158" s="548" t="str">
        <f>$L$11</f>
        <v>Sep-22</v>
      </c>
      <c r="M158" s="548" t="str">
        <f>$M$11</f>
        <v>Oct-22</v>
      </c>
      <c r="N158" s="548" t="str">
        <f>$N$11</f>
        <v>Nov-22</v>
      </c>
      <c r="O158" s="548" t="str">
        <f>$O$11</f>
        <v>Dec-22</v>
      </c>
      <c r="P158" s="548" t="s">
        <v>9</v>
      </c>
      <c r="S158" s="613"/>
    </row>
    <row r="159" spans="1:19" ht="10.5" x14ac:dyDescent="0.25">
      <c r="A159" s="612"/>
      <c r="B159" s="549" t="s">
        <v>42</v>
      </c>
      <c r="C159" s="540" t="s">
        <v>43</v>
      </c>
      <c r="D159" s="473" t="s">
        <v>45</v>
      </c>
      <c r="E159" s="473" t="s">
        <v>46</v>
      </c>
      <c r="F159" s="473" t="s">
        <v>49</v>
      </c>
      <c r="G159" s="473" t="s">
        <v>50</v>
      </c>
      <c r="H159" s="473" t="s">
        <v>51</v>
      </c>
      <c r="I159" s="473" t="s">
        <v>52</v>
      </c>
      <c r="J159" s="473" t="s">
        <v>53</v>
      </c>
      <c r="K159" s="474" t="s">
        <v>54</v>
      </c>
      <c r="L159" s="474" t="s">
        <v>55</v>
      </c>
      <c r="M159" s="474" t="s">
        <v>56</v>
      </c>
      <c r="N159" s="474" t="s">
        <v>57</v>
      </c>
      <c r="O159" s="474" t="s">
        <v>58</v>
      </c>
      <c r="P159" s="474" t="s">
        <v>59</v>
      </c>
      <c r="S159" s="613"/>
    </row>
    <row r="160" spans="1:19" ht="10.5" x14ac:dyDescent="0.25">
      <c r="A160" s="612"/>
      <c r="B160" s="549"/>
      <c r="C160" s="540"/>
      <c r="D160" s="473"/>
      <c r="E160" s="473"/>
      <c r="F160" s="473"/>
      <c r="G160" s="473"/>
      <c r="H160" s="473"/>
      <c r="I160" s="473"/>
      <c r="J160" s="474"/>
      <c r="K160" s="474"/>
      <c r="L160" s="474"/>
      <c r="M160" s="474"/>
      <c r="N160" s="474"/>
      <c r="O160" s="474"/>
      <c r="P160" s="474"/>
      <c r="S160" s="613"/>
    </row>
    <row r="161" spans="1:19" ht="10.5" x14ac:dyDescent="0.25">
      <c r="A161" s="531">
        <v>1</v>
      </c>
      <c r="B161" s="437" t="s">
        <v>263</v>
      </c>
      <c r="C161" s="540"/>
      <c r="D161" s="473"/>
      <c r="E161" s="473"/>
      <c r="F161" s="473"/>
      <c r="G161" s="473"/>
      <c r="H161" s="473"/>
      <c r="I161" s="473"/>
      <c r="J161" s="474"/>
      <c r="K161" s="474"/>
      <c r="L161" s="474"/>
      <c r="M161" s="474"/>
      <c r="N161" s="474"/>
      <c r="O161" s="474"/>
      <c r="P161" s="474"/>
      <c r="S161" s="223"/>
    </row>
    <row r="162" spans="1:19" ht="10.5" x14ac:dyDescent="0.25">
      <c r="A162" s="531">
        <f>A161+1</f>
        <v>2</v>
      </c>
      <c r="B162" s="426" t="s">
        <v>286</v>
      </c>
      <c r="C162" s="532"/>
      <c r="D162" s="533">
        <v>14333</v>
      </c>
      <c r="E162" s="533">
        <v>14241</v>
      </c>
      <c r="F162" s="533">
        <v>14150</v>
      </c>
      <c r="G162" s="533">
        <v>14058</v>
      </c>
      <c r="H162" s="533">
        <v>13966</v>
      </c>
      <c r="I162" s="533">
        <v>13875</v>
      </c>
      <c r="J162" s="533">
        <v>13783</v>
      </c>
      <c r="K162" s="533">
        <v>13691</v>
      </c>
      <c r="L162" s="533">
        <v>13600</v>
      </c>
      <c r="M162" s="533">
        <v>13508</v>
      </c>
      <c r="N162" s="533">
        <v>13416</v>
      </c>
      <c r="O162" s="533">
        <v>13325</v>
      </c>
      <c r="P162" s="534">
        <f>SUM(D162:O162)</f>
        <v>165946</v>
      </c>
      <c r="S162" s="223"/>
    </row>
    <row r="163" spans="1:19" ht="10.5" x14ac:dyDescent="0.25">
      <c r="A163" s="531">
        <f>A162+1</f>
        <v>3</v>
      </c>
      <c r="B163" s="567" t="s">
        <v>287</v>
      </c>
      <c r="C163" s="532"/>
      <c r="D163" s="536">
        <v>79</v>
      </c>
      <c r="E163" s="536">
        <v>67</v>
      </c>
      <c r="F163" s="536">
        <v>87</v>
      </c>
      <c r="G163" s="536">
        <v>58</v>
      </c>
      <c r="H163" s="536">
        <v>75</v>
      </c>
      <c r="I163" s="536">
        <v>89</v>
      </c>
      <c r="J163" s="536">
        <v>92</v>
      </c>
      <c r="K163" s="536">
        <v>118</v>
      </c>
      <c r="L163" s="536">
        <v>99</v>
      </c>
      <c r="M163" s="536">
        <v>89</v>
      </c>
      <c r="N163" s="536">
        <v>95</v>
      </c>
      <c r="O163" s="536">
        <v>99</v>
      </c>
      <c r="P163" s="281">
        <f>SUM(D163:O163)</f>
        <v>1047</v>
      </c>
      <c r="S163" s="223"/>
    </row>
    <row r="164" spans="1:19" ht="10.5" x14ac:dyDescent="0.25">
      <c r="A164" s="531">
        <f>A163+1</f>
        <v>4</v>
      </c>
      <c r="B164" s="426" t="s">
        <v>256</v>
      </c>
      <c r="C164" s="532"/>
      <c r="D164" s="441">
        <f t="shared" ref="D164:O164" si="44">SUM(D162:D163)</f>
        <v>14412</v>
      </c>
      <c r="E164" s="441">
        <f t="shared" si="44"/>
        <v>14308</v>
      </c>
      <c r="F164" s="441">
        <f t="shared" si="44"/>
        <v>14237</v>
      </c>
      <c r="G164" s="441">
        <f t="shared" si="44"/>
        <v>14116</v>
      </c>
      <c r="H164" s="441">
        <f t="shared" si="44"/>
        <v>14041</v>
      </c>
      <c r="I164" s="441">
        <f t="shared" si="44"/>
        <v>13964</v>
      </c>
      <c r="J164" s="441">
        <f t="shared" si="44"/>
        <v>13875</v>
      </c>
      <c r="K164" s="441">
        <f t="shared" si="44"/>
        <v>13809</v>
      </c>
      <c r="L164" s="441">
        <f t="shared" si="44"/>
        <v>13699</v>
      </c>
      <c r="M164" s="441">
        <f t="shared" si="44"/>
        <v>13597</v>
      </c>
      <c r="N164" s="441">
        <f t="shared" si="44"/>
        <v>13511</v>
      </c>
      <c r="O164" s="441">
        <f t="shared" si="44"/>
        <v>13424</v>
      </c>
      <c r="P164" s="534">
        <f>SUM(D164:O164)</f>
        <v>166993</v>
      </c>
      <c r="S164" s="223"/>
    </row>
    <row r="165" spans="1:19" s="279" customFormat="1" ht="10.5" x14ac:dyDescent="0.25">
      <c r="A165" s="531"/>
      <c r="B165" s="437"/>
      <c r="C165" s="568"/>
      <c r="D165" s="282"/>
      <c r="E165" s="282"/>
      <c r="F165" s="282"/>
      <c r="G165" s="282"/>
      <c r="H165" s="282"/>
      <c r="I165" s="282"/>
      <c r="J165" s="282"/>
      <c r="K165" s="280"/>
      <c r="L165" s="280"/>
      <c r="M165" s="280"/>
      <c r="N165" s="280"/>
      <c r="O165" s="280"/>
    </row>
    <row r="166" spans="1:19" ht="10.5" x14ac:dyDescent="0.25">
      <c r="A166" s="531">
        <f>A164+1</f>
        <v>5</v>
      </c>
      <c r="B166" s="437" t="s">
        <v>264</v>
      </c>
      <c r="C166" s="540"/>
      <c r="D166" s="543"/>
      <c r="E166" s="543"/>
      <c r="F166" s="543"/>
      <c r="G166" s="543"/>
      <c r="H166" s="543"/>
      <c r="I166" s="543"/>
      <c r="J166" s="544"/>
      <c r="K166" s="544"/>
      <c r="L166" s="544"/>
      <c r="M166" s="544"/>
      <c r="N166" s="544"/>
      <c r="O166" s="544"/>
      <c r="P166" s="474"/>
      <c r="S166" s="223"/>
    </row>
    <row r="167" spans="1:19" ht="10.5" x14ac:dyDescent="0.25">
      <c r="A167" s="531">
        <f>A166+1</f>
        <v>6</v>
      </c>
      <c r="B167" s="426" t="s">
        <v>286</v>
      </c>
      <c r="C167" s="532"/>
      <c r="D167" s="533">
        <v>2985</v>
      </c>
      <c r="E167" s="533">
        <v>2982</v>
      </c>
      <c r="F167" s="533">
        <v>3215</v>
      </c>
      <c r="G167" s="533">
        <v>3216</v>
      </c>
      <c r="H167" s="533">
        <v>3226</v>
      </c>
      <c r="I167" s="533">
        <v>3229</v>
      </c>
      <c r="J167" s="533">
        <v>3234</v>
      </c>
      <c r="K167" s="533">
        <v>3229</v>
      </c>
      <c r="L167" s="533">
        <v>3218</v>
      </c>
      <c r="M167" s="533">
        <v>3223</v>
      </c>
      <c r="N167" s="533">
        <v>3223</v>
      </c>
      <c r="O167" s="533">
        <v>3224</v>
      </c>
      <c r="P167" s="534">
        <f>SUM(D167:O167)</f>
        <v>38204</v>
      </c>
      <c r="Q167" s="232"/>
      <c r="S167" s="223"/>
    </row>
    <row r="168" spans="1:19" ht="10.5" x14ac:dyDescent="0.25">
      <c r="A168" s="531">
        <f>A167+1</f>
        <v>7</v>
      </c>
      <c r="B168" s="426" t="s">
        <v>241</v>
      </c>
      <c r="C168" s="532" t="s">
        <v>342</v>
      </c>
      <c r="D168" s="535">
        <v>0</v>
      </c>
      <c r="E168" s="535">
        <v>0</v>
      </c>
      <c r="F168" s="535">
        <v>0</v>
      </c>
      <c r="G168" s="535">
        <v>0</v>
      </c>
      <c r="H168" s="535">
        <v>0</v>
      </c>
      <c r="I168" s="535">
        <v>0</v>
      </c>
      <c r="J168" s="535">
        <v>0</v>
      </c>
      <c r="K168" s="535">
        <v>0</v>
      </c>
      <c r="L168" s="535">
        <v>0</v>
      </c>
      <c r="M168" s="535">
        <v>0</v>
      </c>
      <c r="N168" s="535">
        <v>0</v>
      </c>
      <c r="O168" s="535">
        <v>0</v>
      </c>
      <c r="P168" s="282">
        <f>SUM(D168:O168)</f>
        <v>0</v>
      </c>
      <c r="S168" s="223"/>
    </row>
    <row r="169" spans="1:19" ht="10.5" x14ac:dyDescent="0.25">
      <c r="A169" s="531">
        <f>A168+1</f>
        <v>8</v>
      </c>
      <c r="B169" s="426" t="s">
        <v>287</v>
      </c>
      <c r="C169" s="532"/>
      <c r="D169" s="536">
        <v>5</v>
      </c>
      <c r="E169" s="536">
        <v>7</v>
      </c>
      <c r="F169" s="536">
        <v>6</v>
      </c>
      <c r="G169" s="536">
        <v>8</v>
      </c>
      <c r="H169" s="536">
        <v>5</v>
      </c>
      <c r="I169" s="536">
        <v>5</v>
      </c>
      <c r="J169" s="536">
        <v>3</v>
      </c>
      <c r="K169" s="536">
        <v>9</v>
      </c>
      <c r="L169" s="536">
        <v>9</v>
      </c>
      <c r="M169" s="536">
        <v>10</v>
      </c>
      <c r="N169" s="536">
        <v>9</v>
      </c>
      <c r="O169" s="536">
        <v>6</v>
      </c>
      <c r="P169" s="281">
        <f>SUM(D169:O169)</f>
        <v>82</v>
      </c>
      <c r="S169" s="223"/>
    </row>
    <row r="170" spans="1:19" ht="10.5" x14ac:dyDescent="0.25">
      <c r="A170" s="531">
        <f>A169+1</f>
        <v>9</v>
      </c>
      <c r="B170" s="426" t="s">
        <v>256</v>
      </c>
      <c r="C170" s="532"/>
      <c r="D170" s="441">
        <f t="shared" ref="D170:O170" si="45">SUM(D167:D169)</f>
        <v>2990</v>
      </c>
      <c r="E170" s="441">
        <f t="shared" si="45"/>
        <v>2989</v>
      </c>
      <c r="F170" s="441">
        <f t="shared" si="45"/>
        <v>3221</v>
      </c>
      <c r="G170" s="441">
        <f t="shared" si="45"/>
        <v>3224</v>
      </c>
      <c r="H170" s="441">
        <f t="shared" si="45"/>
        <v>3231</v>
      </c>
      <c r="I170" s="441">
        <f t="shared" si="45"/>
        <v>3234</v>
      </c>
      <c r="J170" s="441">
        <f t="shared" si="45"/>
        <v>3237</v>
      </c>
      <c r="K170" s="441">
        <f t="shared" si="45"/>
        <v>3238</v>
      </c>
      <c r="L170" s="441">
        <f t="shared" si="45"/>
        <v>3227</v>
      </c>
      <c r="M170" s="441">
        <f t="shared" si="45"/>
        <v>3233</v>
      </c>
      <c r="N170" s="441">
        <f t="shared" si="45"/>
        <v>3232</v>
      </c>
      <c r="O170" s="441">
        <f t="shared" si="45"/>
        <v>3230</v>
      </c>
      <c r="P170" s="534">
        <f>SUM(D170:O170)</f>
        <v>38286</v>
      </c>
      <c r="S170" s="223"/>
    </row>
    <row r="171" spans="1:19" s="279" customFormat="1" ht="10.5" x14ac:dyDescent="0.25">
      <c r="A171" s="531"/>
      <c r="B171" s="437"/>
      <c r="C171" s="568"/>
      <c r="D171" s="282"/>
      <c r="E171" s="282"/>
      <c r="F171" s="282"/>
      <c r="G171" s="282"/>
      <c r="H171" s="282"/>
      <c r="I171" s="282"/>
      <c r="J171" s="282"/>
      <c r="K171" s="280"/>
      <c r="L171" s="280"/>
      <c r="M171" s="280"/>
      <c r="N171" s="280"/>
      <c r="O171" s="280"/>
    </row>
    <row r="172" spans="1:19" ht="10.5" x14ac:dyDescent="0.25">
      <c r="A172" s="531">
        <f>A170+1</f>
        <v>10</v>
      </c>
      <c r="B172" s="437" t="s">
        <v>265</v>
      </c>
      <c r="C172" s="540"/>
      <c r="D172" s="543"/>
      <c r="E172" s="543"/>
      <c r="F172" s="543"/>
      <c r="G172" s="543"/>
      <c r="H172" s="543"/>
      <c r="I172" s="543"/>
      <c r="J172" s="544"/>
      <c r="K172" s="544"/>
      <c r="L172" s="544"/>
      <c r="M172" s="544"/>
      <c r="N172" s="544"/>
      <c r="O172" s="544"/>
      <c r="P172" s="474"/>
      <c r="S172" s="223"/>
    </row>
    <row r="173" spans="1:19" ht="10.5" x14ac:dyDescent="0.25">
      <c r="A173" s="531">
        <f>A172+1</f>
        <v>11</v>
      </c>
      <c r="B173" s="426" t="s">
        <v>286</v>
      </c>
      <c r="C173" s="532"/>
      <c r="D173" s="533">
        <v>12</v>
      </c>
      <c r="E173" s="533">
        <v>12</v>
      </c>
      <c r="F173" s="533">
        <v>12</v>
      </c>
      <c r="G173" s="533">
        <v>12</v>
      </c>
      <c r="H173" s="533">
        <v>12</v>
      </c>
      <c r="I173" s="533">
        <v>12</v>
      </c>
      <c r="J173" s="533">
        <v>12</v>
      </c>
      <c r="K173" s="533">
        <v>12</v>
      </c>
      <c r="L173" s="533">
        <v>12</v>
      </c>
      <c r="M173" s="533">
        <v>12</v>
      </c>
      <c r="N173" s="533">
        <v>12</v>
      </c>
      <c r="O173" s="533">
        <v>12</v>
      </c>
      <c r="P173" s="534">
        <f>SUM(D173:O173)</f>
        <v>144</v>
      </c>
      <c r="S173" s="223"/>
    </row>
    <row r="174" spans="1:19" ht="10.5" x14ac:dyDescent="0.25">
      <c r="A174" s="531">
        <f>A173+1</f>
        <v>12</v>
      </c>
      <c r="B174" s="426" t="s">
        <v>241</v>
      </c>
      <c r="C174" s="532" t="s">
        <v>342</v>
      </c>
      <c r="D174" s="535">
        <v>0</v>
      </c>
      <c r="E174" s="535">
        <v>0</v>
      </c>
      <c r="F174" s="535">
        <v>0</v>
      </c>
      <c r="G174" s="535">
        <v>0</v>
      </c>
      <c r="H174" s="535">
        <v>0</v>
      </c>
      <c r="I174" s="535">
        <v>0</v>
      </c>
      <c r="J174" s="535">
        <v>0</v>
      </c>
      <c r="K174" s="535">
        <v>0</v>
      </c>
      <c r="L174" s="535">
        <v>0</v>
      </c>
      <c r="M174" s="535">
        <v>0</v>
      </c>
      <c r="N174" s="535">
        <v>0</v>
      </c>
      <c r="O174" s="535">
        <v>0</v>
      </c>
      <c r="P174" s="282">
        <f>SUM(D174:O174)</f>
        <v>0</v>
      </c>
      <c r="S174" s="223"/>
    </row>
    <row r="175" spans="1:19" ht="10.5" x14ac:dyDescent="0.25">
      <c r="A175" s="531">
        <f>A174+1</f>
        <v>13</v>
      </c>
      <c r="B175" s="426" t="s">
        <v>287</v>
      </c>
      <c r="C175" s="532"/>
      <c r="D175" s="536">
        <v>0</v>
      </c>
      <c r="E175" s="536">
        <v>0</v>
      </c>
      <c r="F175" s="536">
        <v>0</v>
      </c>
      <c r="G175" s="536">
        <v>0</v>
      </c>
      <c r="H175" s="536">
        <v>0</v>
      </c>
      <c r="I175" s="536">
        <v>0</v>
      </c>
      <c r="J175" s="536">
        <v>0</v>
      </c>
      <c r="K175" s="536">
        <v>0</v>
      </c>
      <c r="L175" s="536">
        <v>0</v>
      </c>
      <c r="M175" s="536">
        <v>0</v>
      </c>
      <c r="N175" s="536">
        <v>0</v>
      </c>
      <c r="O175" s="536">
        <v>0</v>
      </c>
      <c r="P175" s="281">
        <f>SUM(D175:O175)</f>
        <v>0</v>
      </c>
      <c r="S175" s="223"/>
    </row>
    <row r="176" spans="1:19" ht="10.5" x14ac:dyDescent="0.25">
      <c r="A176" s="531">
        <f>A175+1</f>
        <v>14</v>
      </c>
      <c r="B176" s="426" t="s">
        <v>256</v>
      </c>
      <c r="C176" s="532"/>
      <c r="D176" s="441">
        <f t="shared" ref="D176:O176" si="46">SUM(D173:D175)</f>
        <v>12</v>
      </c>
      <c r="E176" s="441">
        <f t="shared" si="46"/>
        <v>12</v>
      </c>
      <c r="F176" s="441">
        <f t="shared" si="46"/>
        <v>12</v>
      </c>
      <c r="G176" s="441">
        <f t="shared" si="46"/>
        <v>12</v>
      </c>
      <c r="H176" s="441">
        <f t="shared" si="46"/>
        <v>12</v>
      </c>
      <c r="I176" s="441">
        <f t="shared" si="46"/>
        <v>12</v>
      </c>
      <c r="J176" s="441">
        <f t="shared" si="46"/>
        <v>12</v>
      </c>
      <c r="K176" s="441">
        <f t="shared" si="46"/>
        <v>12</v>
      </c>
      <c r="L176" s="441">
        <f t="shared" si="46"/>
        <v>12</v>
      </c>
      <c r="M176" s="441">
        <f t="shared" si="46"/>
        <v>12</v>
      </c>
      <c r="N176" s="441">
        <f t="shared" si="46"/>
        <v>12</v>
      </c>
      <c r="O176" s="441">
        <f t="shared" si="46"/>
        <v>12</v>
      </c>
      <c r="P176" s="534">
        <f>SUM(D176:O176)</f>
        <v>144</v>
      </c>
      <c r="S176" s="223"/>
    </row>
    <row r="177" spans="1:19" ht="10.5" x14ac:dyDescent="0.25">
      <c r="A177" s="531"/>
      <c r="B177" s="426"/>
      <c r="C177" s="532"/>
      <c r="D177" s="441"/>
      <c r="E177" s="441"/>
      <c r="F177" s="441"/>
      <c r="G177" s="441"/>
      <c r="H177" s="441"/>
      <c r="I177" s="441"/>
      <c r="J177" s="441"/>
      <c r="K177" s="441"/>
      <c r="L177" s="441"/>
      <c r="M177" s="441"/>
      <c r="N177" s="441"/>
      <c r="O177" s="441"/>
      <c r="P177" s="534"/>
      <c r="S177" s="223"/>
    </row>
    <row r="178" spans="1:19" ht="10.5" x14ac:dyDescent="0.25">
      <c r="A178" s="531">
        <f>A176+1</f>
        <v>15</v>
      </c>
      <c r="B178" s="437" t="s">
        <v>257</v>
      </c>
      <c r="C178" s="540"/>
      <c r="D178" s="473"/>
      <c r="E178" s="473"/>
      <c r="F178" s="473"/>
      <c r="G178" s="473"/>
      <c r="H178" s="473"/>
      <c r="I178" s="473"/>
      <c r="J178" s="474"/>
      <c r="K178" s="474"/>
      <c r="L178" s="474"/>
      <c r="M178" s="474"/>
      <c r="N178" s="474"/>
      <c r="O178" s="474"/>
      <c r="P178" s="474"/>
      <c r="S178" s="223"/>
    </row>
    <row r="179" spans="1:19" ht="10.5" x14ac:dyDescent="0.25">
      <c r="A179" s="531">
        <f>A178+1</f>
        <v>16</v>
      </c>
      <c r="B179" s="426" t="s">
        <v>286</v>
      </c>
      <c r="C179" s="532"/>
      <c r="D179" s="533">
        <v>28</v>
      </c>
      <c r="E179" s="533">
        <v>28</v>
      </c>
      <c r="F179" s="533">
        <v>28</v>
      </c>
      <c r="G179" s="533">
        <v>28</v>
      </c>
      <c r="H179" s="533">
        <v>28</v>
      </c>
      <c r="I179" s="533">
        <v>28</v>
      </c>
      <c r="J179" s="533">
        <v>28</v>
      </c>
      <c r="K179" s="533">
        <v>28</v>
      </c>
      <c r="L179" s="533">
        <v>28</v>
      </c>
      <c r="M179" s="533">
        <v>28</v>
      </c>
      <c r="N179" s="533">
        <v>28</v>
      </c>
      <c r="O179" s="533">
        <v>28</v>
      </c>
      <c r="P179" s="534">
        <f>SUM(D179:O179)</f>
        <v>336</v>
      </c>
      <c r="S179" s="223"/>
    </row>
    <row r="180" spans="1:19" ht="10.5" x14ac:dyDescent="0.25">
      <c r="A180" s="531">
        <f>A179+1</f>
        <v>17</v>
      </c>
      <c r="B180" s="426" t="s">
        <v>241</v>
      </c>
      <c r="C180" s="532" t="s">
        <v>342</v>
      </c>
      <c r="D180" s="282">
        <f>'D pg 1'!D17</f>
        <v>0</v>
      </c>
      <c r="E180" s="282">
        <f>'D pg 1'!E17</f>
        <v>0</v>
      </c>
      <c r="F180" s="282">
        <f>'D pg 1'!F17</f>
        <v>0</v>
      </c>
      <c r="G180" s="282">
        <f>'D pg 1'!G17</f>
        <v>0</v>
      </c>
      <c r="H180" s="282">
        <f>'D pg 1'!H17</f>
        <v>0</v>
      </c>
      <c r="I180" s="282">
        <f>'D pg 1'!I17</f>
        <v>0</v>
      </c>
      <c r="J180" s="282">
        <f>'D pg 1'!J17</f>
        <v>0</v>
      </c>
      <c r="K180" s="282">
        <f>'D pg 1'!K17</f>
        <v>0</v>
      </c>
      <c r="L180" s="282">
        <f>'D pg 1'!L17</f>
        <v>0</v>
      </c>
      <c r="M180" s="282">
        <f>'D pg 1'!M17</f>
        <v>0</v>
      </c>
      <c r="N180" s="282">
        <f>'D pg 1'!N17</f>
        <v>0</v>
      </c>
      <c r="O180" s="282">
        <f>'D pg 1'!P17</f>
        <v>0</v>
      </c>
      <c r="P180" s="282">
        <f>SUM(D180:O180)</f>
        <v>0</v>
      </c>
      <c r="S180" s="223"/>
    </row>
    <row r="181" spans="1:19" ht="10.5" x14ac:dyDescent="0.25">
      <c r="A181" s="531">
        <f>A180+1</f>
        <v>18</v>
      </c>
      <c r="B181" s="426" t="s">
        <v>287</v>
      </c>
      <c r="C181" s="532"/>
      <c r="D181" s="536">
        <v>0</v>
      </c>
      <c r="E181" s="536">
        <v>0</v>
      </c>
      <c r="F181" s="536">
        <v>0</v>
      </c>
      <c r="G181" s="536">
        <v>0</v>
      </c>
      <c r="H181" s="536">
        <v>0</v>
      </c>
      <c r="I181" s="536">
        <v>0</v>
      </c>
      <c r="J181" s="536">
        <v>0</v>
      </c>
      <c r="K181" s="536">
        <v>0</v>
      </c>
      <c r="L181" s="536">
        <v>0</v>
      </c>
      <c r="M181" s="536">
        <v>0</v>
      </c>
      <c r="N181" s="536">
        <v>0</v>
      </c>
      <c r="O181" s="536">
        <v>0</v>
      </c>
      <c r="P181" s="281">
        <f>SUM(D181:O181)</f>
        <v>0</v>
      </c>
      <c r="S181" s="223"/>
    </row>
    <row r="182" spans="1:19" ht="10.5" x14ac:dyDescent="0.25">
      <c r="A182" s="531">
        <f>A181+1</f>
        <v>19</v>
      </c>
      <c r="B182" s="426" t="s">
        <v>256</v>
      </c>
      <c r="C182" s="532"/>
      <c r="D182" s="441">
        <f t="shared" ref="D182:O182" si="47">SUM(D179:D181)</f>
        <v>28</v>
      </c>
      <c r="E182" s="441">
        <f t="shared" si="47"/>
        <v>28</v>
      </c>
      <c r="F182" s="441">
        <f t="shared" si="47"/>
        <v>28</v>
      </c>
      <c r="G182" s="441">
        <f t="shared" si="47"/>
        <v>28</v>
      </c>
      <c r="H182" s="441">
        <f t="shared" si="47"/>
        <v>28</v>
      </c>
      <c r="I182" s="441">
        <f t="shared" si="47"/>
        <v>28</v>
      </c>
      <c r="J182" s="441">
        <f t="shared" si="47"/>
        <v>28</v>
      </c>
      <c r="K182" s="441">
        <f t="shared" si="47"/>
        <v>28</v>
      </c>
      <c r="L182" s="441">
        <f t="shared" si="47"/>
        <v>28</v>
      </c>
      <c r="M182" s="441">
        <f t="shared" si="47"/>
        <v>28</v>
      </c>
      <c r="N182" s="441">
        <f t="shared" si="47"/>
        <v>28</v>
      </c>
      <c r="O182" s="441">
        <f t="shared" si="47"/>
        <v>28</v>
      </c>
      <c r="P182" s="534">
        <f>SUM(D182:O182)</f>
        <v>336</v>
      </c>
      <c r="S182" s="223"/>
    </row>
    <row r="183" spans="1:19" s="279" customFormat="1" ht="10.5" x14ac:dyDescent="0.25">
      <c r="A183" s="531"/>
      <c r="B183" s="437"/>
      <c r="C183" s="568"/>
      <c r="D183" s="278"/>
      <c r="E183" s="278"/>
      <c r="F183" s="278"/>
      <c r="G183" s="278"/>
      <c r="H183" s="278"/>
      <c r="I183" s="278"/>
      <c r="J183" s="278"/>
    </row>
    <row r="184" spans="1:19" ht="10.5" x14ac:dyDescent="0.25">
      <c r="A184" s="531">
        <f>A182+1</f>
        <v>20</v>
      </c>
      <c r="B184" s="437" t="s">
        <v>259</v>
      </c>
      <c r="C184" s="540"/>
      <c r="D184" s="473"/>
      <c r="E184" s="473"/>
      <c r="F184" s="473"/>
      <c r="G184" s="473"/>
      <c r="H184" s="473"/>
      <c r="I184" s="473"/>
      <c r="J184" s="474"/>
      <c r="K184" s="474"/>
      <c r="L184" s="474"/>
      <c r="M184" s="474"/>
      <c r="N184" s="474"/>
      <c r="O184" s="474"/>
      <c r="P184" s="474"/>
      <c r="S184" s="223"/>
    </row>
    <row r="185" spans="1:19" ht="10.5" x14ac:dyDescent="0.25">
      <c r="A185" s="531">
        <f>A184+1</f>
        <v>21</v>
      </c>
      <c r="B185" s="426" t="s">
        <v>286</v>
      </c>
      <c r="C185" s="532"/>
      <c r="D185" s="533">
        <v>41</v>
      </c>
      <c r="E185" s="533">
        <v>41</v>
      </c>
      <c r="F185" s="533">
        <v>41</v>
      </c>
      <c r="G185" s="533">
        <v>41</v>
      </c>
      <c r="H185" s="533">
        <v>41</v>
      </c>
      <c r="I185" s="533">
        <v>41</v>
      </c>
      <c r="J185" s="533">
        <v>41</v>
      </c>
      <c r="K185" s="533">
        <v>41</v>
      </c>
      <c r="L185" s="533">
        <v>41</v>
      </c>
      <c r="M185" s="533">
        <v>41</v>
      </c>
      <c r="N185" s="533">
        <v>41</v>
      </c>
      <c r="O185" s="533">
        <v>41</v>
      </c>
      <c r="P185" s="534">
        <f>SUM(D185:O185)</f>
        <v>492</v>
      </c>
      <c r="S185" s="223"/>
    </row>
    <row r="186" spans="1:19" ht="10.5" x14ac:dyDescent="0.25">
      <c r="A186" s="531">
        <f>A185+1</f>
        <v>22</v>
      </c>
      <c r="B186" s="426" t="s">
        <v>241</v>
      </c>
      <c r="C186" s="532" t="s">
        <v>342</v>
      </c>
      <c r="D186" s="282">
        <f>'D pg 1'!D20</f>
        <v>0</v>
      </c>
      <c r="E186" s="282">
        <f>'D pg 1'!E20</f>
        <v>0</v>
      </c>
      <c r="F186" s="282">
        <f>'D pg 1'!F20</f>
        <v>0</v>
      </c>
      <c r="G186" s="282">
        <f>'D pg 1'!G20</f>
        <v>0</v>
      </c>
      <c r="H186" s="282">
        <f>'D pg 1'!H20</f>
        <v>0</v>
      </c>
      <c r="I186" s="282">
        <f>'D pg 1'!I20</f>
        <v>0</v>
      </c>
      <c r="J186" s="282">
        <f>'D pg 1'!J20</f>
        <v>0</v>
      </c>
      <c r="K186" s="282">
        <f>'D pg 1'!K20</f>
        <v>0</v>
      </c>
      <c r="L186" s="282">
        <f>'D pg 1'!L20</f>
        <v>0</v>
      </c>
      <c r="M186" s="282">
        <f>'D pg 1'!M20</f>
        <v>0</v>
      </c>
      <c r="N186" s="282">
        <f>'D pg 1'!N20</f>
        <v>0</v>
      </c>
      <c r="O186" s="282">
        <f>'D pg 1'!O20</f>
        <v>0</v>
      </c>
      <c r="P186" s="282">
        <f>SUM(D186:O186)</f>
        <v>0</v>
      </c>
      <c r="S186" s="223"/>
    </row>
    <row r="187" spans="1:19" ht="10.5" x14ac:dyDescent="0.25">
      <c r="A187" s="531">
        <f>A186+1</f>
        <v>23</v>
      </c>
      <c r="B187" s="426" t="s">
        <v>287</v>
      </c>
      <c r="C187" s="532"/>
      <c r="D187" s="536">
        <v>0</v>
      </c>
      <c r="E187" s="536">
        <v>0</v>
      </c>
      <c r="F187" s="536">
        <v>0</v>
      </c>
      <c r="G187" s="536">
        <v>0</v>
      </c>
      <c r="H187" s="536">
        <v>0</v>
      </c>
      <c r="I187" s="536">
        <v>0</v>
      </c>
      <c r="J187" s="536">
        <v>1</v>
      </c>
      <c r="K187" s="536">
        <v>0</v>
      </c>
      <c r="L187" s="536">
        <v>1</v>
      </c>
      <c r="M187" s="536">
        <v>0</v>
      </c>
      <c r="N187" s="536">
        <v>0</v>
      </c>
      <c r="O187" s="536">
        <v>0</v>
      </c>
      <c r="P187" s="281">
        <f>SUM(D187:O187)</f>
        <v>2</v>
      </c>
      <c r="S187" s="223"/>
    </row>
    <row r="188" spans="1:19" ht="10.5" x14ac:dyDescent="0.25">
      <c r="A188" s="531">
        <f>A187+1</f>
        <v>24</v>
      </c>
      <c r="B188" s="426" t="s">
        <v>256</v>
      </c>
      <c r="C188" s="532"/>
      <c r="D188" s="441">
        <f t="shared" ref="D188:O188" si="48">SUM(D185:D187)</f>
        <v>41</v>
      </c>
      <c r="E188" s="441">
        <f t="shared" si="48"/>
        <v>41</v>
      </c>
      <c r="F188" s="441">
        <f t="shared" si="48"/>
        <v>41</v>
      </c>
      <c r="G188" s="441">
        <f t="shared" si="48"/>
        <v>41</v>
      </c>
      <c r="H188" s="441">
        <f t="shared" si="48"/>
        <v>41</v>
      </c>
      <c r="I188" s="441">
        <f t="shared" si="48"/>
        <v>41</v>
      </c>
      <c r="J188" s="441">
        <f t="shared" si="48"/>
        <v>42</v>
      </c>
      <c r="K188" s="441">
        <f t="shared" si="48"/>
        <v>41</v>
      </c>
      <c r="L188" s="441">
        <f t="shared" si="48"/>
        <v>42</v>
      </c>
      <c r="M188" s="441">
        <f t="shared" si="48"/>
        <v>41</v>
      </c>
      <c r="N188" s="441">
        <f t="shared" si="48"/>
        <v>41</v>
      </c>
      <c r="O188" s="441">
        <f t="shared" si="48"/>
        <v>41</v>
      </c>
      <c r="P188" s="534">
        <f>SUM(D188:O188)</f>
        <v>494</v>
      </c>
      <c r="S188" s="223"/>
    </row>
    <row r="189" spans="1:19" s="279" customFormat="1" ht="10.5" x14ac:dyDescent="0.25">
      <c r="A189" s="531"/>
      <c r="B189" s="437"/>
      <c r="C189" s="568"/>
      <c r="D189" s="278"/>
      <c r="E189" s="278"/>
      <c r="F189" s="278"/>
      <c r="G189" s="278"/>
      <c r="H189" s="278"/>
      <c r="I189" s="278"/>
      <c r="J189" s="278"/>
    </row>
    <row r="190" spans="1:19" ht="10.5" x14ac:dyDescent="0.25">
      <c r="A190" s="531">
        <f>A188+1</f>
        <v>25</v>
      </c>
      <c r="B190" s="437" t="s">
        <v>268</v>
      </c>
      <c r="C190" s="540"/>
      <c r="D190" s="473"/>
      <c r="E190" s="473"/>
      <c r="F190" s="473"/>
      <c r="G190" s="473"/>
      <c r="H190" s="473"/>
      <c r="I190" s="473"/>
      <c r="J190" s="474"/>
      <c r="K190" s="474"/>
      <c r="L190" s="474"/>
      <c r="M190" s="474"/>
      <c r="N190" s="474"/>
      <c r="O190" s="474"/>
      <c r="P190" s="474"/>
      <c r="S190" s="223"/>
    </row>
    <row r="191" spans="1:19" ht="10.5" x14ac:dyDescent="0.25">
      <c r="A191" s="531">
        <f>A190+1</f>
        <v>26</v>
      </c>
      <c r="B191" s="426" t="s">
        <v>286</v>
      </c>
      <c r="C191" s="532"/>
      <c r="D191" s="533">
        <v>13</v>
      </c>
      <c r="E191" s="533">
        <v>13</v>
      </c>
      <c r="F191" s="533">
        <v>13</v>
      </c>
      <c r="G191" s="533">
        <v>13</v>
      </c>
      <c r="H191" s="533">
        <v>13</v>
      </c>
      <c r="I191" s="533">
        <v>13</v>
      </c>
      <c r="J191" s="533">
        <v>13</v>
      </c>
      <c r="K191" s="533">
        <v>13</v>
      </c>
      <c r="L191" s="533">
        <v>13</v>
      </c>
      <c r="M191" s="533">
        <v>13</v>
      </c>
      <c r="N191" s="533">
        <v>13</v>
      </c>
      <c r="O191" s="533">
        <v>13</v>
      </c>
      <c r="P191" s="534">
        <f>SUM(D191:O191)</f>
        <v>156</v>
      </c>
      <c r="S191" s="223"/>
    </row>
    <row r="192" spans="1:19" ht="10.5" x14ac:dyDescent="0.25">
      <c r="A192" s="531">
        <f>A191+1</f>
        <v>27</v>
      </c>
      <c r="B192" s="426" t="s">
        <v>241</v>
      </c>
      <c r="C192" s="532" t="s">
        <v>342</v>
      </c>
      <c r="D192" s="569">
        <f>'D pg 1'!D18</f>
        <v>0</v>
      </c>
      <c r="E192" s="569">
        <f>'D pg 1'!E18</f>
        <v>0</v>
      </c>
      <c r="F192" s="569">
        <f>'D pg 1'!F18</f>
        <v>0</v>
      </c>
      <c r="G192" s="569">
        <f>'D pg 1'!G18</f>
        <v>0</v>
      </c>
      <c r="H192" s="569">
        <f>'D pg 1'!H18</f>
        <v>0</v>
      </c>
      <c r="I192" s="569">
        <f>'D pg 1'!I18</f>
        <v>0</v>
      </c>
      <c r="J192" s="569">
        <f>'D pg 1'!J18</f>
        <v>0</v>
      </c>
      <c r="K192" s="569">
        <f>'D pg 1'!K18</f>
        <v>0</v>
      </c>
      <c r="L192" s="569">
        <f>'D pg 1'!L18</f>
        <v>0</v>
      </c>
      <c r="M192" s="569">
        <f>'D pg 1'!M18</f>
        <v>0</v>
      </c>
      <c r="N192" s="569">
        <f>'D pg 1'!N18</f>
        <v>0</v>
      </c>
      <c r="O192" s="569">
        <f>'D pg 1'!O18</f>
        <v>0</v>
      </c>
      <c r="P192" s="282">
        <f>SUM(D192:O192)</f>
        <v>0</v>
      </c>
      <c r="S192" s="223"/>
    </row>
    <row r="193" spans="1:19" ht="10.5" x14ac:dyDescent="0.25">
      <c r="A193" s="531">
        <f>A192+1</f>
        <v>28</v>
      </c>
      <c r="B193" s="426" t="s">
        <v>287</v>
      </c>
      <c r="C193" s="532"/>
      <c r="D193" s="536">
        <v>1</v>
      </c>
      <c r="E193" s="536">
        <v>1</v>
      </c>
      <c r="F193" s="536">
        <v>0</v>
      </c>
      <c r="G193" s="536">
        <v>0</v>
      </c>
      <c r="H193" s="536">
        <v>0</v>
      </c>
      <c r="I193" s="536">
        <v>0</v>
      </c>
      <c r="J193" s="536">
        <v>0</v>
      </c>
      <c r="K193" s="536">
        <v>0</v>
      </c>
      <c r="L193" s="536">
        <v>0</v>
      </c>
      <c r="M193" s="536">
        <v>0</v>
      </c>
      <c r="N193" s="536">
        <v>0</v>
      </c>
      <c r="O193" s="536">
        <v>0</v>
      </c>
      <c r="P193" s="281">
        <f>SUM(D193:O193)</f>
        <v>2</v>
      </c>
      <c r="S193" s="223"/>
    </row>
    <row r="194" spans="1:19" ht="10.5" x14ac:dyDescent="0.25">
      <c r="A194" s="531">
        <f>A193+1</f>
        <v>29</v>
      </c>
      <c r="B194" s="426" t="s">
        <v>256</v>
      </c>
      <c r="C194" s="532"/>
      <c r="D194" s="441">
        <f t="shared" ref="D194:O194" si="49">SUM(D191:D193)</f>
        <v>14</v>
      </c>
      <c r="E194" s="441">
        <f t="shared" si="49"/>
        <v>14</v>
      </c>
      <c r="F194" s="441">
        <f t="shared" si="49"/>
        <v>13</v>
      </c>
      <c r="G194" s="441">
        <f t="shared" si="49"/>
        <v>13</v>
      </c>
      <c r="H194" s="441">
        <f t="shared" si="49"/>
        <v>13</v>
      </c>
      <c r="I194" s="441">
        <f t="shared" si="49"/>
        <v>13</v>
      </c>
      <c r="J194" s="441">
        <f t="shared" si="49"/>
        <v>13</v>
      </c>
      <c r="K194" s="441">
        <f t="shared" si="49"/>
        <v>13</v>
      </c>
      <c r="L194" s="441">
        <f t="shared" si="49"/>
        <v>13</v>
      </c>
      <c r="M194" s="441">
        <f t="shared" si="49"/>
        <v>13</v>
      </c>
      <c r="N194" s="441">
        <f t="shared" si="49"/>
        <v>13</v>
      </c>
      <c r="O194" s="441">
        <f t="shared" si="49"/>
        <v>13</v>
      </c>
      <c r="P194" s="534">
        <f>SUM(D194:O194)</f>
        <v>158</v>
      </c>
      <c r="S194" s="223"/>
    </row>
    <row r="195" spans="1:19" ht="10.5" x14ac:dyDescent="0.25">
      <c r="A195" s="531"/>
      <c r="B195" s="426"/>
      <c r="C195" s="532"/>
      <c r="D195" s="441"/>
      <c r="E195" s="441"/>
      <c r="F195" s="441"/>
      <c r="G195" s="441"/>
      <c r="H195" s="441"/>
      <c r="I195" s="441"/>
      <c r="J195" s="441"/>
      <c r="K195" s="441"/>
      <c r="L195" s="441"/>
      <c r="M195" s="441"/>
      <c r="N195" s="441"/>
      <c r="O195" s="441"/>
      <c r="P195" s="534"/>
      <c r="S195" s="223"/>
    </row>
    <row r="196" spans="1:19" ht="10.5" x14ac:dyDescent="0.25">
      <c r="A196" s="531">
        <f>A194+1</f>
        <v>30</v>
      </c>
      <c r="B196" s="437" t="s">
        <v>258</v>
      </c>
      <c r="C196" s="540"/>
      <c r="D196" s="473"/>
      <c r="E196" s="473"/>
      <c r="F196" s="473"/>
      <c r="G196" s="473"/>
      <c r="H196" s="473"/>
      <c r="I196" s="473"/>
      <c r="J196" s="474"/>
      <c r="K196" s="474"/>
      <c r="L196" s="474"/>
      <c r="M196" s="474"/>
      <c r="N196" s="474"/>
      <c r="O196" s="474"/>
      <c r="P196" s="474"/>
      <c r="S196" s="613"/>
    </row>
    <row r="197" spans="1:19" ht="10.5" x14ac:dyDescent="0.25">
      <c r="A197" s="531">
        <f>A196+1</f>
        <v>31</v>
      </c>
      <c r="B197" s="426" t="s">
        <v>286</v>
      </c>
      <c r="C197" s="532"/>
      <c r="D197" s="533">
        <v>7</v>
      </c>
      <c r="E197" s="533">
        <v>7</v>
      </c>
      <c r="F197" s="533">
        <v>7</v>
      </c>
      <c r="G197" s="533">
        <v>7</v>
      </c>
      <c r="H197" s="533">
        <v>7</v>
      </c>
      <c r="I197" s="533">
        <v>7</v>
      </c>
      <c r="J197" s="533">
        <v>7</v>
      </c>
      <c r="K197" s="533">
        <v>7</v>
      </c>
      <c r="L197" s="533">
        <v>7</v>
      </c>
      <c r="M197" s="533">
        <v>7</v>
      </c>
      <c r="N197" s="533">
        <v>7</v>
      </c>
      <c r="O197" s="533">
        <v>7</v>
      </c>
      <c r="P197" s="534">
        <f>SUM(D197:O197)</f>
        <v>84</v>
      </c>
      <c r="S197" s="613"/>
    </row>
    <row r="198" spans="1:19" ht="10.5" x14ac:dyDescent="0.25">
      <c r="A198" s="531">
        <f>A197+1</f>
        <v>32</v>
      </c>
      <c r="B198" s="426" t="s">
        <v>241</v>
      </c>
      <c r="C198" s="532" t="s">
        <v>342</v>
      </c>
      <c r="D198" s="282">
        <f>'D pg 1'!D19</f>
        <v>0</v>
      </c>
      <c r="E198" s="282">
        <f>'D pg 1'!E19</f>
        <v>0</v>
      </c>
      <c r="F198" s="282">
        <f>'D pg 1'!F19</f>
        <v>0</v>
      </c>
      <c r="G198" s="282">
        <f>'D pg 1'!G19</f>
        <v>0</v>
      </c>
      <c r="H198" s="282">
        <f>'D pg 1'!H19</f>
        <v>0</v>
      </c>
      <c r="I198" s="282">
        <f>'D pg 1'!I19</f>
        <v>0</v>
      </c>
      <c r="J198" s="282">
        <f>'D pg 1'!J19</f>
        <v>0</v>
      </c>
      <c r="K198" s="282">
        <f>'D pg 1'!K19</f>
        <v>0</v>
      </c>
      <c r="L198" s="282">
        <f>'D pg 1'!L19</f>
        <v>0</v>
      </c>
      <c r="M198" s="282">
        <f>'D pg 1'!M19</f>
        <v>0</v>
      </c>
      <c r="N198" s="282">
        <f>'D pg 1'!N19</f>
        <v>0</v>
      </c>
      <c r="O198" s="282">
        <f>'D pg 1'!O19</f>
        <v>0</v>
      </c>
      <c r="P198" s="282">
        <f>SUM(D198:O198)</f>
        <v>0</v>
      </c>
      <c r="S198" s="613"/>
    </row>
    <row r="199" spans="1:19" ht="10.5" x14ac:dyDescent="0.25">
      <c r="A199" s="531">
        <f>A198+1</f>
        <v>33</v>
      </c>
      <c r="B199" s="426" t="s">
        <v>287</v>
      </c>
      <c r="C199" s="532"/>
      <c r="D199" s="536">
        <v>0</v>
      </c>
      <c r="E199" s="536">
        <v>0</v>
      </c>
      <c r="F199" s="536">
        <v>0</v>
      </c>
      <c r="G199" s="536">
        <v>0</v>
      </c>
      <c r="H199" s="536">
        <v>0</v>
      </c>
      <c r="I199" s="536">
        <v>0</v>
      </c>
      <c r="J199" s="536">
        <v>0</v>
      </c>
      <c r="K199" s="536">
        <v>0</v>
      </c>
      <c r="L199" s="536">
        <v>0</v>
      </c>
      <c r="M199" s="536">
        <v>0</v>
      </c>
      <c r="N199" s="536">
        <v>0</v>
      </c>
      <c r="O199" s="536">
        <v>0</v>
      </c>
      <c r="P199" s="281">
        <f>SUM(D199:O199)</f>
        <v>0</v>
      </c>
      <c r="S199" s="223"/>
    </row>
    <row r="200" spans="1:19" ht="10.5" x14ac:dyDescent="0.25">
      <c r="A200" s="531">
        <f>A199+1</f>
        <v>34</v>
      </c>
      <c r="B200" s="426" t="s">
        <v>256</v>
      </c>
      <c r="C200" s="532"/>
      <c r="D200" s="441">
        <f t="shared" ref="D200:O200" si="50">SUM(D197:D199)</f>
        <v>7</v>
      </c>
      <c r="E200" s="441">
        <f t="shared" si="50"/>
        <v>7</v>
      </c>
      <c r="F200" s="441">
        <f t="shared" si="50"/>
        <v>7</v>
      </c>
      <c r="G200" s="441">
        <f t="shared" si="50"/>
        <v>7</v>
      </c>
      <c r="H200" s="441">
        <f t="shared" si="50"/>
        <v>7</v>
      </c>
      <c r="I200" s="441">
        <f t="shared" si="50"/>
        <v>7</v>
      </c>
      <c r="J200" s="441">
        <f t="shared" si="50"/>
        <v>7</v>
      </c>
      <c r="K200" s="441">
        <f t="shared" si="50"/>
        <v>7</v>
      </c>
      <c r="L200" s="441">
        <f t="shared" si="50"/>
        <v>7</v>
      </c>
      <c r="M200" s="441">
        <f t="shared" si="50"/>
        <v>7</v>
      </c>
      <c r="N200" s="441">
        <f t="shared" si="50"/>
        <v>7</v>
      </c>
      <c r="O200" s="441">
        <f t="shared" si="50"/>
        <v>7</v>
      </c>
      <c r="P200" s="534">
        <f>SUM(D200:O200)</f>
        <v>84</v>
      </c>
      <c r="S200" s="223"/>
    </row>
    <row r="201" spans="1:19" ht="10.5" x14ac:dyDescent="0.25">
      <c r="C201" s="213"/>
      <c r="E201" s="213"/>
      <c r="F201" s="213"/>
      <c r="G201" s="213"/>
      <c r="S201" s="223"/>
    </row>
    <row r="202" spans="1:19" ht="10.5" x14ac:dyDescent="0.25">
      <c r="C202" s="213"/>
      <c r="E202" s="213"/>
      <c r="F202" s="213"/>
      <c r="G202" s="213"/>
      <c r="S202" s="223"/>
    </row>
    <row r="203" spans="1:19" ht="10.5" x14ac:dyDescent="0.25">
      <c r="C203" s="213"/>
      <c r="E203" s="213"/>
      <c r="F203" s="213"/>
      <c r="G203" s="213"/>
      <c r="S203" s="223"/>
    </row>
    <row r="204" spans="1:19" s="279" customFormat="1" ht="10.5" x14ac:dyDescent="0.25">
      <c r="A204" s="531"/>
      <c r="B204" s="437"/>
      <c r="C204" s="568"/>
      <c r="D204" s="278"/>
      <c r="E204" s="278"/>
      <c r="F204" s="278"/>
      <c r="G204" s="278"/>
      <c r="H204" s="278"/>
      <c r="I204" s="278"/>
      <c r="J204" s="278"/>
    </row>
    <row r="205" spans="1:19" ht="10.5" x14ac:dyDescent="0.25">
      <c r="A205" s="802" t="s">
        <v>36</v>
      </c>
      <c r="B205" s="802"/>
      <c r="C205" s="802"/>
      <c r="D205" s="802"/>
      <c r="E205" s="802"/>
      <c r="F205" s="802"/>
      <c r="G205" s="802"/>
      <c r="H205" s="802"/>
      <c r="I205" s="802"/>
      <c r="J205" s="802"/>
      <c r="K205" s="802"/>
      <c r="L205" s="802"/>
      <c r="M205" s="802"/>
      <c r="N205" s="802"/>
      <c r="O205" s="802"/>
      <c r="P205" s="802"/>
    </row>
    <row r="206" spans="1:19" ht="10.5" x14ac:dyDescent="0.25">
      <c r="A206" s="802" t="s">
        <v>192</v>
      </c>
      <c r="B206" s="802"/>
      <c r="C206" s="802"/>
      <c r="D206" s="802"/>
      <c r="E206" s="802"/>
      <c r="F206" s="802"/>
      <c r="G206" s="802"/>
      <c r="H206" s="802"/>
      <c r="I206" s="802"/>
      <c r="J206" s="802"/>
      <c r="K206" s="802"/>
      <c r="L206" s="802"/>
      <c r="M206" s="802"/>
      <c r="N206" s="802"/>
      <c r="O206" s="802"/>
      <c r="P206" s="802"/>
    </row>
    <row r="207" spans="1:19" ht="10.5" x14ac:dyDescent="0.25">
      <c r="A207" s="802" t="str">
        <f>A3</f>
        <v>For the 12 Months Ended December 31, 2022</v>
      </c>
      <c r="B207" s="802"/>
      <c r="C207" s="802"/>
      <c r="D207" s="802"/>
      <c r="E207" s="802"/>
      <c r="F207" s="802"/>
      <c r="G207" s="802"/>
      <c r="H207" s="802"/>
      <c r="I207" s="802"/>
      <c r="J207" s="802"/>
      <c r="K207" s="802"/>
      <c r="L207" s="802"/>
      <c r="M207" s="802"/>
      <c r="N207" s="802"/>
      <c r="O207" s="802"/>
      <c r="P207" s="802"/>
    </row>
    <row r="208" spans="1:19" x14ac:dyDescent="0.2">
      <c r="A208" s="279"/>
      <c r="B208" s="279"/>
      <c r="C208" s="280"/>
      <c r="D208" s="279"/>
      <c r="E208" s="280"/>
      <c r="F208" s="280"/>
      <c r="G208" s="280"/>
      <c r="H208" s="279"/>
      <c r="I208" s="279"/>
      <c r="J208" s="279"/>
      <c r="K208" s="279"/>
      <c r="L208" s="279"/>
      <c r="M208" s="279"/>
      <c r="N208" s="279"/>
      <c r="O208" s="279"/>
      <c r="P208" s="279"/>
    </row>
    <row r="209" spans="1:19" ht="10.5" x14ac:dyDescent="0.25">
      <c r="A209" s="463" t="str">
        <f>$A$5</f>
        <v>Data: __ Base Period_X_Forecasted Period</v>
      </c>
      <c r="B209" s="279"/>
      <c r="C209" s="219"/>
      <c r="D209" s="219"/>
      <c r="E209" s="219"/>
      <c r="F209" s="219"/>
      <c r="G209" s="280"/>
      <c r="H209" s="279"/>
      <c r="I209" s="279"/>
      <c r="J209" s="279"/>
      <c r="K209" s="279"/>
      <c r="L209" s="279"/>
      <c r="M209" s="279"/>
      <c r="N209" s="279"/>
      <c r="O209" s="279"/>
      <c r="P209" s="279"/>
    </row>
    <row r="210" spans="1:19" ht="10.5" x14ac:dyDescent="0.25">
      <c r="A210" s="463" t="str">
        <f>$A$6</f>
        <v>Type of Filing: X Original _ Update _ Revised</v>
      </c>
      <c r="B210" s="279"/>
      <c r="C210" s="219"/>
      <c r="D210" s="219"/>
      <c r="E210" s="219"/>
      <c r="F210" s="219"/>
      <c r="G210" s="280"/>
      <c r="H210" s="279"/>
      <c r="I210" s="279"/>
      <c r="J210" s="279"/>
      <c r="K210" s="279"/>
      <c r="L210" s="279"/>
      <c r="M210" s="279"/>
      <c r="N210" s="279"/>
      <c r="O210" s="279"/>
      <c r="P210" s="279"/>
    </row>
    <row r="211" spans="1:19" ht="10.5" x14ac:dyDescent="0.25">
      <c r="A211" s="463" t="str">
        <f>$A$7</f>
        <v>Work Paper Reference No(s):</v>
      </c>
      <c r="B211" s="279"/>
      <c r="C211" s="219"/>
      <c r="D211" s="219"/>
      <c r="E211" s="219"/>
      <c r="F211" s="219"/>
      <c r="G211" s="280"/>
      <c r="H211" s="279"/>
      <c r="I211" s="279"/>
      <c r="J211" s="279"/>
      <c r="K211" s="279"/>
      <c r="L211" s="279"/>
      <c r="M211" s="279"/>
      <c r="N211" s="279"/>
      <c r="O211" s="279"/>
      <c r="P211" s="464" t="str">
        <f>$P$7</f>
        <v>Workpaper WPM-B.2</v>
      </c>
    </row>
    <row r="212" spans="1:19" ht="10.5" x14ac:dyDescent="0.25">
      <c r="A212" s="546" t="str">
        <f>$A$8</f>
        <v>12 Months Forecasted</v>
      </c>
      <c r="B212" s="466"/>
      <c r="C212" s="219"/>
      <c r="D212" s="547"/>
      <c r="E212" s="466"/>
      <c r="F212" s="467"/>
      <c r="G212" s="468"/>
      <c r="H212" s="467"/>
      <c r="I212" s="469"/>
      <c r="J212" s="467"/>
      <c r="K212" s="467"/>
      <c r="L212" s="467"/>
      <c r="M212" s="467"/>
      <c r="N212" s="467"/>
      <c r="O212" s="467"/>
      <c r="P212" s="470" t="s">
        <v>400</v>
      </c>
      <c r="Q212" s="218"/>
      <c r="R212" s="218"/>
    </row>
    <row r="213" spans="1:19" ht="10.5" x14ac:dyDescent="0.25">
      <c r="A213" s="531"/>
      <c r="B213" s="426"/>
      <c r="C213" s="532"/>
      <c r="D213" s="441"/>
      <c r="E213" s="441"/>
      <c r="F213" s="441"/>
      <c r="G213" s="441"/>
      <c r="H213" s="441"/>
      <c r="I213" s="441"/>
      <c r="J213" s="441"/>
      <c r="K213" s="441"/>
      <c r="L213" s="441"/>
      <c r="M213" s="441"/>
      <c r="N213" s="441"/>
      <c r="O213" s="441"/>
      <c r="P213" s="534"/>
      <c r="S213" s="223"/>
    </row>
    <row r="214" spans="1:19" ht="10.5" x14ac:dyDescent="0.25">
      <c r="A214" s="466" t="s">
        <v>1</v>
      </c>
      <c r="B214" s="466"/>
      <c r="C214" s="219"/>
      <c r="D214" s="547"/>
      <c r="E214" s="466"/>
      <c r="F214" s="467"/>
      <c r="G214" s="468"/>
      <c r="H214" s="467"/>
      <c r="I214" s="469"/>
      <c r="J214" s="467"/>
      <c r="K214" s="467"/>
      <c r="L214" s="467"/>
      <c r="M214" s="467"/>
      <c r="N214" s="467"/>
      <c r="O214" s="467"/>
      <c r="P214" s="467"/>
      <c r="Q214" s="223"/>
      <c r="R214" s="223"/>
    </row>
    <row r="215" spans="1:19" ht="10.5" x14ac:dyDescent="0.25">
      <c r="A215" s="221" t="s">
        <v>3</v>
      </c>
      <c r="B215" s="221" t="s">
        <v>4</v>
      </c>
      <c r="C215" s="241" t="s">
        <v>183</v>
      </c>
      <c r="D215" s="548" t="str">
        <f>$D$11</f>
        <v>Jan-22</v>
      </c>
      <c r="E215" s="548" t="str">
        <f>$E$11</f>
        <v>Feb-22</v>
      </c>
      <c r="F215" s="548" t="str">
        <f>$F$11</f>
        <v>Mar-22</v>
      </c>
      <c r="G215" s="548" t="str">
        <f>$G$11</f>
        <v>Apr-22</v>
      </c>
      <c r="H215" s="548" t="str">
        <f>$H$11</f>
        <v>May-22</v>
      </c>
      <c r="I215" s="548" t="str">
        <f>$I$11</f>
        <v>Jun-22</v>
      </c>
      <c r="J215" s="548" t="str">
        <f>$J$11</f>
        <v>Jul-22</v>
      </c>
      <c r="K215" s="548" t="str">
        <f>$K$11</f>
        <v>Aug-22</v>
      </c>
      <c r="L215" s="548" t="str">
        <f>$L$11</f>
        <v>Sep-22</v>
      </c>
      <c r="M215" s="548" t="str">
        <f>$M$11</f>
        <v>Oct-22</v>
      </c>
      <c r="N215" s="548" t="str">
        <f>$N$11</f>
        <v>Nov-22</v>
      </c>
      <c r="O215" s="548" t="str">
        <f>$O$11</f>
        <v>Dec-22</v>
      </c>
      <c r="P215" s="548" t="s">
        <v>9</v>
      </c>
      <c r="S215" s="264"/>
    </row>
    <row r="216" spans="1:19" ht="10.5" x14ac:dyDescent="0.25">
      <c r="A216" s="466"/>
      <c r="B216" s="549" t="s">
        <v>42</v>
      </c>
      <c r="C216" s="540" t="s">
        <v>43</v>
      </c>
      <c r="D216" s="473" t="s">
        <v>45</v>
      </c>
      <c r="E216" s="473" t="s">
        <v>46</v>
      </c>
      <c r="F216" s="473" t="s">
        <v>49</v>
      </c>
      <c r="G216" s="473" t="s">
        <v>50</v>
      </c>
      <c r="H216" s="473" t="s">
        <v>51</v>
      </c>
      <c r="I216" s="473" t="s">
        <v>52</v>
      </c>
      <c r="J216" s="473" t="s">
        <v>53</v>
      </c>
      <c r="K216" s="474" t="s">
        <v>54</v>
      </c>
      <c r="L216" s="474" t="s">
        <v>55</v>
      </c>
      <c r="M216" s="474" t="s">
        <v>56</v>
      </c>
      <c r="N216" s="474" t="s">
        <v>57</v>
      </c>
      <c r="O216" s="474" t="s">
        <v>58</v>
      </c>
      <c r="P216" s="474" t="s">
        <v>59</v>
      </c>
      <c r="S216" s="223"/>
    </row>
    <row r="217" spans="1:19" ht="10.5" x14ac:dyDescent="0.25">
      <c r="A217" s="466"/>
      <c r="B217" s="549"/>
      <c r="C217" s="540"/>
      <c r="D217" s="473"/>
      <c r="E217" s="473"/>
      <c r="F217" s="473"/>
      <c r="G217" s="473"/>
      <c r="H217" s="473"/>
      <c r="I217" s="473"/>
      <c r="J217" s="474"/>
      <c r="K217" s="474"/>
      <c r="L217" s="474"/>
      <c r="M217" s="474"/>
      <c r="N217" s="474"/>
      <c r="O217" s="474"/>
      <c r="P217" s="474"/>
      <c r="S217" s="223"/>
    </row>
    <row r="218" spans="1:19" ht="10.5" x14ac:dyDescent="0.25">
      <c r="A218" s="531">
        <v>1</v>
      </c>
      <c r="B218" s="437" t="s">
        <v>269</v>
      </c>
      <c r="C218" s="540"/>
      <c r="D218" s="473"/>
      <c r="E218" s="473"/>
      <c r="F218" s="473"/>
      <c r="G218" s="473"/>
      <c r="H218" s="473"/>
      <c r="I218" s="473"/>
      <c r="J218" s="474"/>
      <c r="K218" s="474"/>
      <c r="L218" s="474"/>
      <c r="M218" s="474"/>
      <c r="N218" s="474"/>
      <c r="O218" s="474"/>
      <c r="P218" s="474"/>
      <c r="S218" s="223"/>
    </row>
    <row r="219" spans="1:19" ht="10.5" x14ac:dyDescent="0.25">
      <c r="A219" s="531">
        <f>A218+1</f>
        <v>2</v>
      </c>
      <c r="B219" s="426" t="s">
        <v>286</v>
      </c>
      <c r="C219" s="532"/>
      <c r="D219" s="533">
        <v>3</v>
      </c>
      <c r="E219" s="533">
        <v>3</v>
      </c>
      <c r="F219" s="533">
        <v>3</v>
      </c>
      <c r="G219" s="533">
        <v>3</v>
      </c>
      <c r="H219" s="533">
        <v>3</v>
      </c>
      <c r="I219" s="533">
        <v>3</v>
      </c>
      <c r="J219" s="533">
        <v>3</v>
      </c>
      <c r="K219" s="533">
        <v>3</v>
      </c>
      <c r="L219" s="533">
        <v>3</v>
      </c>
      <c r="M219" s="533">
        <v>3</v>
      </c>
      <c r="N219" s="533">
        <v>3</v>
      </c>
      <c r="O219" s="533">
        <v>3</v>
      </c>
      <c r="P219" s="534">
        <f>SUM(D219:O219)</f>
        <v>36</v>
      </c>
      <c r="S219" s="223"/>
    </row>
    <row r="220" spans="1:19" ht="10.5" x14ac:dyDescent="0.25">
      <c r="A220" s="531">
        <f>A219+1</f>
        <v>3</v>
      </c>
      <c r="B220" s="426" t="s">
        <v>241</v>
      </c>
      <c r="C220" s="532" t="s">
        <v>342</v>
      </c>
      <c r="D220" s="535">
        <v>0</v>
      </c>
      <c r="E220" s="535">
        <v>0</v>
      </c>
      <c r="F220" s="535">
        <v>0</v>
      </c>
      <c r="G220" s="535">
        <v>0</v>
      </c>
      <c r="H220" s="535">
        <v>0</v>
      </c>
      <c r="I220" s="535">
        <v>0</v>
      </c>
      <c r="J220" s="535">
        <v>0</v>
      </c>
      <c r="K220" s="535">
        <v>0</v>
      </c>
      <c r="L220" s="535">
        <v>0</v>
      </c>
      <c r="M220" s="535">
        <v>0</v>
      </c>
      <c r="N220" s="535">
        <v>0</v>
      </c>
      <c r="O220" s="535">
        <v>0</v>
      </c>
      <c r="P220" s="282">
        <f>SUM(D220:O220)</f>
        <v>0</v>
      </c>
      <c r="S220" s="223"/>
    </row>
    <row r="221" spans="1:19" ht="10.5" x14ac:dyDescent="0.25">
      <c r="A221" s="531">
        <f>A220+1</f>
        <v>4</v>
      </c>
      <c r="B221" s="426" t="s">
        <v>287</v>
      </c>
      <c r="C221" s="532"/>
      <c r="D221" s="536">
        <v>0</v>
      </c>
      <c r="E221" s="536">
        <v>0</v>
      </c>
      <c r="F221" s="536">
        <v>0</v>
      </c>
      <c r="G221" s="536">
        <v>0</v>
      </c>
      <c r="H221" s="536">
        <v>0</v>
      </c>
      <c r="I221" s="536">
        <v>0</v>
      </c>
      <c r="J221" s="536">
        <v>0</v>
      </c>
      <c r="K221" s="536">
        <v>0</v>
      </c>
      <c r="L221" s="536">
        <v>0</v>
      </c>
      <c r="M221" s="536">
        <v>0</v>
      </c>
      <c r="N221" s="536">
        <v>0</v>
      </c>
      <c r="O221" s="536">
        <v>0</v>
      </c>
      <c r="P221" s="281">
        <f>SUM(D221:O221)</f>
        <v>0</v>
      </c>
      <c r="S221" s="223"/>
    </row>
    <row r="222" spans="1:19" ht="10.5" x14ac:dyDescent="0.25">
      <c r="A222" s="531">
        <f>A221+1</f>
        <v>5</v>
      </c>
      <c r="B222" s="426" t="s">
        <v>256</v>
      </c>
      <c r="C222" s="532"/>
      <c r="D222" s="441">
        <f t="shared" ref="D222:O222" si="51">SUM(D219:D221)</f>
        <v>3</v>
      </c>
      <c r="E222" s="441">
        <f t="shared" si="51"/>
        <v>3</v>
      </c>
      <c r="F222" s="441">
        <f t="shared" si="51"/>
        <v>3</v>
      </c>
      <c r="G222" s="441">
        <f t="shared" si="51"/>
        <v>3</v>
      </c>
      <c r="H222" s="441">
        <f t="shared" si="51"/>
        <v>3</v>
      </c>
      <c r="I222" s="441">
        <f t="shared" si="51"/>
        <v>3</v>
      </c>
      <c r="J222" s="441">
        <f t="shared" si="51"/>
        <v>3</v>
      </c>
      <c r="K222" s="441">
        <f t="shared" si="51"/>
        <v>3</v>
      </c>
      <c r="L222" s="441">
        <f t="shared" si="51"/>
        <v>3</v>
      </c>
      <c r="M222" s="441">
        <f t="shared" si="51"/>
        <v>3</v>
      </c>
      <c r="N222" s="441">
        <f t="shared" si="51"/>
        <v>3</v>
      </c>
      <c r="O222" s="441">
        <f t="shared" si="51"/>
        <v>3</v>
      </c>
      <c r="P222" s="534">
        <f>SUM(D222:O222)</f>
        <v>36</v>
      </c>
      <c r="S222" s="223"/>
    </row>
    <row r="223" spans="1:19" ht="10.5" x14ac:dyDescent="0.25">
      <c r="A223" s="531"/>
      <c r="B223" s="426"/>
      <c r="C223" s="532"/>
      <c r="D223" s="441"/>
      <c r="E223" s="441"/>
      <c r="F223" s="441"/>
      <c r="G223" s="441"/>
      <c r="H223" s="441"/>
      <c r="I223" s="441"/>
      <c r="J223" s="441"/>
      <c r="K223" s="441"/>
      <c r="L223" s="441"/>
      <c r="M223" s="441"/>
      <c r="N223" s="441"/>
      <c r="O223" s="441"/>
      <c r="P223" s="534"/>
      <c r="S223" s="223"/>
    </row>
    <row r="224" spans="1:19" ht="10.5" x14ac:dyDescent="0.25">
      <c r="A224" s="531">
        <f>A222+1</f>
        <v>6</v>
      </c>
      <c r="B224" s="437" t="s">
        <v>270</v>
      </c>
      <c r="C224" s="540"/>
      <c r="D224" s="543"/>
      <c r="E224" s="543"/>
      <c r="F224" s="543"/>
      <c r="G224" s="543"/>
      <c r="H224" s="543"/>
      <c r="I224" s="543"/>
      <c r="J224" s="544"/>
      <c r="K224" s="544"/>
      <c r="L224" s="544"/>
      <c r="M224" s="544"/>
      <c r="N224" s="544"/>
      <c r="O224" s="544"/>
      <c r="P224" s="474"/>
      <c r="S224" s="223"/>
    </row>
    <row r="225" spans="1:19" ht="10.5" x14ac:dyDescent="0.25">
      <c r="A225" s="531">
        <f>A224+1</f>
        <v>7</v>
      </c>
      <c r="B225" s="426" t="s">
        <v>286</v>
      </c>
      <c r="C225" s="532"/>
      <c r="D225" s="535">
        <v>0</v>
      </c>
      <c r="E225" s="535">
        <v>0</v>
      </c>
      <c r="F225" s="535">
        <v>0</v>
      </c>
      <c r="G225" s="535">
        <v>0</v>
      </c>
      <c r="H225" s="535">
        <v>0</v>
      </c>
      <c r="I225" s="535">
        <v>0</v>
      </c>
      <c r="J225" s="535">
        <v>0</v>
      </c>
      <c r="K225" s="535">
        <v>0</v>
      </c>
      <c r="L225" s="535">
        <v>0</v>
      </c>
      <c r="M225" s="535">
        <v>0</v>
      </c>
      <c r="N225" s="535">
        <v>0</v>
      </c>
      <c r="O225" s="535">
        <v>0</v>
      </c>
      <c r="P225" s="282">
        <f>SUM(D225:O225)</f>
        <v>0</v>
      </c>
      <c r="S225" s="223"/>
    </row>
    <row r="226" spans="1:19" ht="10.5" x14ac:dyDescent="0.25">
      <c r="A226" s="531">
        <f>A225+1</f>
        <v>8</v>
      </c>
      <c r="B226" s="426" t="s">
        <v>241</v>
      </c>
      <c r="C226" s="532" t="s">
        <v>342</v>
      </c>
      <c r="D226" s="535">
        <v>0</v>
      </c>
      <c r="E226" s="535">
        <v>0</v>
      </c>
      <c r="F226" s="535">
        <v>0</v>
      </c>
      <c r="G226" s="535">
        <v>0</v>
      </c>
      <c r="H226" s="535">
        <v>0</v>
      </c>
      <c r="I226" s="535">
        <v>0</v>
      </c>
      <c r="J226" s="535">
        <v>0</v>
      </c>
      <c r="K226" s="535">
        <v>0</v>
      </c>
      <c r="L226" s="535">
        <v>0</v>
      </c>
      <c r="M226" s="535">
        <v>0</v>
      </c>
      <c r="N226" s="535">
        <v>0</v>
      </c>
      <c r="O226" s="535">
        <v>0</v>
      </c>
      <c r="P226" s="282">
        <f>SUM(D226:O226)</f>
        <v>0</v>
      </c>
      <c r="S226" s="223"/>
    </row>
    <row r="227" spans="1:19" ht="10.5" x14ac:dyDescent="0.25">
      <c r="A227" s="531">
        <f>A226+1</f>
        <v>9</v>
      </c>
      <c r="B227" s="426" t="s">
        <v>287</v>
      </c>
      <c r="C227" s="532"/>
      <c r="D227" s="536">
        <v>0</v>
      </c>
      <c r="E227" s="536">
        <v>0</v>
      </c>
      <c r="F227" s="536">
        <v>0</v>
      </c>
      <c r="G227" s="536">
        <v>0</v>
      </c>
      <c r="H227" s="536">
        <v>0</v>
      </c>
      <c r="I227" s="536">
        <v>0</v>
      </c>
      <c r="J227" s="536">
        <v>0</v>
      </c>
      <c r="K227" s="536">
        <v>0</v>
      </c>
      <c r="L227" s="536">
        <v>0</v>
      </c>
      <c r="M227" s="536">
        <v>0</v>
      </c>
      <c r="N227" s="536">
        <v>0</v>
      </c>
      <c r="O227" s="536">
        <v>0</v>
      </c>
      <c r="P227" s="281">
        <f>SUM(D227:O227)</f>
        <v>0</v>
      </c>
      <c r="S227" s="223"/>
    </row>
    <row r="228" spans="1:19" ht="10.5" x14ac:dyDescent="0.25">
      <c r="A228" s="531">
        <f>A227+1</f>
        <v>10</v>
      </c>
      <c r="B228" s="426" t="s">
        <v>256</v>
      </c>
      <c r="C228" s="532"/>
      <c r="D228" s="441">
        <f t="shared" ref="D228:O228" si="52">SUM(D225:D227)</f>
        <v>0</v>
      </c>
      <c r="E228" s="441">
        <f t="shared" si="52"/>
        <v>0</v>
      </c>
      <c r="F228" s="441">
        <f t="shared" si="52"/>
        <v>0</v>
      </c>
      <c r="G228" s="441">
        <f t="shared" si="52"/>
        <v>0</v>
      </c>
      <c r="H228" s="441">
        <f t="shared" si="52"/>
        <v>0</v>
      </c>
      <c r="I228" s="441">
        <f t="shared" si="52"/>
        <v>0</v>
      </c>
      <c r="J228" s="441">
        <f t="shared" si="52"/>
        <v>0</v>
      </c>
      <c r="K228" s="441">
        <f t="shared" si="52"/>
        <v>0</v>
      </c>
      <c r="L228" s="441">
        <f t="shared" si="52"/>
        <v>0</v>
      </c>
      <c r="M228" s="441">
        <f t="shared" si="52"/>
        <v>0</v>
      </c>
      <c r="N228" s="441">
        <f t="shared" si="52"/>
        <v>0</v>
      </c>
      <c r="O228" s="441">
        <f t="shared" si="52"/>
        <v>0</v>
      </c>
      <c r="P228" s="534">
        <f>SUM(D228:O228)</f>
        <v>0</v>
      </c>
      <c r="S228" s="223"/>
    </row>
    <row r="229" spans="1:19" ht="10.5" x14ac:dyDescent="0.25">
      <c r="A229" s="531"/>
      <c r="B229" s="426"/>
      <c r="C229" s="532"/>
      <c r="D229" s="441"/>
      <c r="E229" s="441"/>
      <c r="F229" s="441"/>
      <c r="G229" s="441"/>
      <c r="H229" s="441"/>
      <c r="I229" s="441"/>
      <c r="J229" s="441"/>
      <c r="K229" s="441"/>
      <c r="L229" s="441"/>
      <c r="M229" s="441"/>
      <c r="N229" s="441"/>
      <c r="O229" s="441"/>
      <c r="P229" s="534"/>
      <c r="S229" s="223"/>
    </row>
    <row r="230" spans="1:19" ht="10.5" x14ac:dyDescent="0.25">
      <c r="A230" s="531">
        <f>A228+1</f>
        <v>11</v>
      </c>
      <c r="B230" s="437" t="s">
        <v>271</v>
      </c>
      <c r="C230" s="540"/>
      <c r="D230" s="543"/>
      <c r="E230" s="543"/>
      <c r="F230" s="543"/>
      <c r="G230" s="543"/>
      <c r="H230" s="543"/>
      <c r="I230" s="543"/>
      <c r="J230" s="544"/>
      <c r="K230" s="544"/>
      <c r="L230" s="544"/>
      <c r="M230" s="544"/>
      <c r="N230" s="544"/>
      <c r="O230" s="544"/>
      <c r="P230" s="474"/>
      <c r="S230" s="223"/>
    </row>
    <row r="231" spans="1:19" ht="10.5" x14ac:dyDescent="0.25">
      <c r="A231" s="531">
        <f>A230+1</f>
        <v>12</v>
      </c>
      <c r="B231" s="426" t="s">
        <v>286</v>
      </c>
      <c r="C231" s="532"/>
      <c r="D231" s="535">
        <v>0</v>
      </c>
      <c r="E231" s="535">
        <v>0</v>
      </c>
      <c r="F231" s="535">
        <v>0</v>
      </c>
      <c r="G231" s="535">
        <v>0</v>
      </c>
      <c r="H231" s="535">
        <v>0</v>
      </c>
      <c r="I231" s="535">
        <v>0</v>
      </c>
      <c r="J231" s="535">
        <v>0</v>
      </c>
      <c r="K231" s="535">
        <v>0</v>
      </c>
      <c r="L231" s="535">
        <v>0</v>
      </c>
      <c r="M231" s="535">
        <v>0</v>
      </c>
      <c r="N231" s="535">
        <v>0</v>
      </c>
      <c r="O231" s="535">
        <v>0</v>
      </c>
      <c r="P231" s="282">
        <f>SUM(D231:O231)</f>
        <v>0</v>
      </c>
      <c r="S231" s="223"/>
    </row>
    <row r="232" spans="1:19" ht="10.5" x14ac:dyDescent="0.25">
      <c r="A232" s="531">
        <f>A231+1</f>
        <v>13</v>
      </c>
      <c r="B232" s="426" t="s">
        <v>241</v>
      </c>
      <c r="C232" s="532" t="s">
        <v>342</v>
      </c>
      <c r="D232" s="535">
        <v>0</v>
      </c>
      <c r="E232" s="535">
        <v>0</v>
      </c>
      <c r="F232" s="535">
        <v>0</v>
      </c>
      <c r="G232" s="535">
        <v>0</v>
      </c>
      <c r="H232" s="535">
        <v>0</v>
      </c>
      <c r="I232" s="535">
        <v>0</v>
      </c>
      <c r="J232" s="535">
        <v>0</v>
      </c>
      <c r="K232" s="535">
        <v>0</v>
      </c>
      <c r="L232" s="535">
        <v>0</v>
      </c>
      <c r="M232" s="535">
        <v>0</v>
      </c>
      <c r="N232" s="535">
        <v>0</v>
      </c>
      <c r="O232" s="535">
        <v>0</v>
      </c>
      <c r="P232" s="282">
        <f>SUM(D232:O232)</f>
        <v>0</v>
      </c>
      <c r="S232" s="223"/>
    </row>
    <row r="233" spans="1:19" ht="10.5" x14ac:dyDescent="0.25">
      <c r="A233" s="531">
        <f>A232+1</f>
        <v>14</v>
      </c>
      <c r="B233" s="426" t="s">
        <v>287</v>
      </c>
      <c r="C233" s="532"/>
      <c r="D233" s="536">
        <v>0</v>
      </c>
      <c r="E233" s="536">
        <v>0</v>
      </c>
      <c r="F233" s="536">
        <v>0</v>
      </c>
      <c r="G233" s="536">
        <v>0</v>
      </c>
      <c r="H233" s="536">
        <v>0</v>
      </c>
      <c r="I233" s="536">
        <v>0</v>
      </c>
      <c r="J233" s="536">
        <v>0</v>
      </c>
      <c r="K233" s="536">
        <v>0</v>
      </c>
      <c r="L233" s="536">
        <v>0</v>
      </c>
      <c r="M233" s="536">
        <v>0</v>
      </c>
      <c r="N233" s="536">
        <v>0</v>
      </c>
      <c r="O233" s="536">
        <v>0</v>
      </c>
      <c r="P233" s="281">
        <f>SUM(D233:O233)</f>
        <v>0</v>
      </c>
      <c r="S233" s="223"/>
    </row>
    <row r="234" spans="1:19" ht="10.5" x14ac:dyDescent="0.25">
      <c r="A234" s="531">
        <f>A233+1</f>
        <v>15</v>
      </c>
      <c r="B234" s="426" t="s">
        <v>256</v>
      </c>
      <c r="C234" s="532"/>
      <c r="D234" s="441">
        <f t="shared" ref="D234:O234" si="53">SUM(D231:D233)</f>
        <v>0</v>
      </c>
      <c r="E234" s="441">
        <f t="shared" si="53"/>
        <v>0</v>
      </c>
      <c r="F234" s="441">
        <f t="shared" si="53"/>
        <v>0</v>
      </c>
      <c r="G234" s="441">
        <f t="shared" si="53"/>
        <v>0</v>
      </c>
      <c r="H234" s="441">
        <f t="shared" si="53"/>
        <v>0</v>
      </c>
      <c r="I234" s="441">
        <f t="shared" si="53"/>
        <v>0</v>
      </c>
      <c r="J234" s="441">
        <f t="shared" si="53"/>
        <v>0</v>
      </c>
      <c r="K234" s="441">
        <f t="shared" si="53"/>
        <v>0</v>
      </c>
      <c r="L234" s="441">
        <f t="shared" si="53"/>
        <v>0</v>
      </c>
      <c r="M234" s="441">
        <f t="shared" si="53"/>
        <v>0</v>
      </c>
      <c r="N234" s="441">
        <f t="shared" si="53"/>
        <v>0</v>
      </c>
      <c r="O234" s="441">
        <f t="shared" si="53"/>
        <v>0</v>
      </c>
      <c r="P234" s="534">
        <f>SUM(D234:O234)</f>
        <v>0</v>
      </c>
      <c r="S234" s="223"/>
    </row>
    <row r="235" spans="1:19" ht="10.5" x14ac:dyDescent="0.25">
      <c r="A235" s="531"/>
      <c r="B235" s="426"/>
      <c r="C235" s="532"/>
      <c r="D235" s="441"/>
      <c r="E235" s="441"/>
      <c r="F235" s="441"/>
      <c r="G235" s="441"/>
      <c r="H235" s="441"/>
      <c r="I235" s="441"/>
      <c r="J235" s="441"/>
      <c r="K235" s="441"/>
      <c r="L235" s="441"/>
      <c r="M235" s="441"/>
      <c r="N235" s="441"/>
      <c r="O235" s="441"/>
      <c r="P235" s="534"/>
      <c r="S235" s="223"/>
    </row>
    <row r="236" spans="1:19" ht="10.5" x14ac:dyDescent="0.25">
      <c r="A236" s="531">
        <f>A234+1</f>
        <v>16</v>
      </c>
      <c r="B236" s="437" t="s">
        <v>272</v>
      </c>
      <c r="C236" s="540"/>
      <c r="D236" s="473"/>
      <c r="E236" s="473"/>
      <c r="F236" s="473"/>
      <c r="G236" s="473"/>
      <c r="H236" s="473"/>
      <c r="I236" s="473"/>
      <c r="J236" s="474"/>
      <c r="K236" s="474"/>
      <c r="L236" s="474"/>
      <c r="M236" s="474"/>
      <c r="N236" s="474"/>
      <c r="O236" s="474"/>
      <c r="P236" s="474"/>
      <c r="S236" s="223"/>
    </row>
    <row r="237" spans="1:19" ht="10.5" x14ac:dyDescent="0.25">
      <c r="A237" s="531">
        <f>A236+1</f>
        <v>17</v>
      </c>
      <c r="B237" s="426" t="s">
        <v>286</v>
      </c>
      <c r="C237" s="532"/>
      <c r="D237" s="533">
        <v>3</v>
      </c>
      <c r="E237" s="533">
        <v>3</v>
      </c>
      <c r="F237" s="533">
        <v>3</v>
      </c>
      <c r="G237" s="533">
        <v>3</v>
      </c>
      <c r="H237" s="533">
        <v>3</v>
      </c>
      <c r="I237" s="533">
        <v>3</v>
      </c>
      <c r="J237" s="533">
        <v>3</v>
      </c>
      <c r="K237" s="533">
        <v>3</v>
      </c>
      <c r="L237" s="533">
        <v>3</v>
      </c>
      <c r="M237" s="533">
        <v>3</v>
      </c>
      <c r="N237" s="533">
        <v>3</v>
      </c>
      <c r="O237" s="533">
        <v>3</v>
      </c>
      <c r="P237" s="534">
        <f>SUM(D237:O237)</f>
        <v>36</v>
      </c>
      <c r="S237" s="223"/>
    </row>
    <row r="238" spans="1:19" ht="10.5" x14ac:dyDescent="0.25">
      <c r="A238" s="531">
        <f>A237+1</f>
        <v>18</v>
      </c>
      <c r="B238" s="426" t="s">
        <v>241</v>
      </c>
      <c r="C238" s="532" t="s">
        <v>342</v>
      </c>
      <c r="D238" s="535">
        <v>0</v>
      </c>
      <c r="E238" s="535">
        <v>0</v>
      </c>
      <c r="F238" s="535">
        <v>0</v>
      </c>
      <c r="G238" s="535">
        <v>0</v>
      </c>
      <c r="H238" s="535">
        <v>0</v>
      </c>
      <c r="I238" s="535">
        <v>0</v>
      </c>
      <c r="J238" s="535">
        <v>0</v>
      </c>
      <c r="K238" s="535">
        <v>0</v>
      </c>
      <c r="L238" s="535">
        <v>0</v>
      </c>
      <c r="M238" s="535">
        <v>0</v>
      </c>
      <c r="N238" s="535">
        <v>0</v>
      </c>
      <c r="O238" s="535">
        <v>0</v>
      </c>
      <c r="P238" s="282">
        <f>SUM(D238:O238)</f>
        <v>0</v>
      </c>
      <c r="S238" s="223"/>
    </row>
    <row r="239" spans="1:19" ht="10.5" x14ac:dyDescent="0.25">
      <c r="A239" s="531">
        <f>A238+1</f>
        <v>19</v>
      </c>
      <c r="B239" s="426" t="s">
        <v>287</v>
      </c>
      <c r="C239" s="532"/>
      <c r="D239" s="536">
        <v>0</v>
      </c>
      <c r="E239" s="536">
        <v>0</v>
      </c>
      <c r="F239" s="536">
        <v>0</v>
      </c>
      <c r="G239" s="536">
        <v>0</v>
      </c>
      <c r="H239" s="536">
        <v>0</v>
      </c>
      <c r="I239" s="536">
        <v>0</v>
      </c>
      <c r="J239" s="536">
        <v>0</v>
      </c>
      <c r="K239" s="536">
        <v>0</v>
      </c>
      <c r="L239" s="536">
        <v>0</v>
      </c>
      <c r="M239" s="536">
        <v>0</v>
      </c>
      <c r="N239" s="536">
        <v>0</v>
      </c>
      <c r="O239" s="536">
        <v>0</v>
      </c>
      <c r="P239" s="281">
        <f>SUM(D239:O239)</f>
        <v>0</v>
      </c>
      <c r="S239" s="223"/>
    </row>
    <row r="240" spans="1:19" ht="10.5" x14ac:dyDescent="0.25">
      <c r="A240" s="531">
        <f>A239+1</f>
        <v>20</v>
      </c>
      <c r="B240" s="426" t="s">
        <v>256</v>
      </c>
      <c r="C240" s="532"/>
      <c r="D240" s="441">
        <f t="shared" ref="D240:O240" si="54">SUM(D237:D239)</f>
        <v>3</v>
      </c>
      <c r="E240" s="441">
        <f t="shared" si="54"/>
        <v>3</v>
      </c>
      <c r="F240" s="441">
        <f t="shared" si="54"/>
        <v>3</v>
      </c>
      <c r="G240" s="441">
        <f t="shared" si="54"/>
        <v>3</v>
      </c>
      <c r="H240" s="441">
        <f t="shared" si="54"/>
        <v>3</v>
      </c>
      <c r="I240" s="441">
        <f t="shared" si="54"/>
        <v>3</v>
      </c>
      <c r="J240" s="441">
        <f t="shared" si="54"/>
        <v>3</v>
      </c>
      <c r="K240" s="441">
        <f t="shared" si="54"/>
        <v>3</v>
      </c>
      <c r="L240" s="441">
        <f t="shared" si="54"/>
        <v>3</v>
      </c>
      <c r="M240" s="441">
        <f t="shared" si="54"/>
        <v>3</v>
      </c>
      <c r="N240" s="441">
        <f t="shared" si="54"/>
        <v>3</v>
      </c>
      <c r="O240" s="441">
        <f t="shared" si="54"/>
        <v>3</v>
      </c>
      <c r="P240" s="534">
        <f>SUM(D240:O240)</f>
        <v>36</v>
      </c>
      <c r="S240" s="223"/>
    </row>
    <row r="241" spans="1:19" ht="10.5" x14ac:dyDescent="0.25">
      <c r="A241" s="531"/>
      <c r="B241" s="426"/>
      <c r="C241" s="532"/>
      <c r="D241" s="441"/>
      <c r="E241" s="441"/>
      <c r="F241" s="441"/>
      <c r="G241" s="441"/>
      <c r="H241" s="441"/>
      <c r="I241" s="441"/>
      <c r="J241" s="441"/>
      <c r="K241" s="441"/>
      <c r="L241" s="441"/>
      <c r="M241" s="441"/>
      <c r="N241" s="441"/>
      <c r="O241" s="441"/>
      <c r="P241" s="534"/>
      <c r="S241" s="223"/>
    </row>
    <row r="242" spans="1:19" ht="10.5" x14ac:dyDescent="0.25">
      <c r="A242" s="531">
        <f>A240+1</f>
        <v>21</v>
      </c>
      <c r="B242" s="437" t="s">
        <v>273</v>
      </c>
      <c r="C242" s="540"/>
      <c r="D242" s="543"/>
      <c r="E242" s="543"/>
      <c r="F242" s="543"/>
      <c r="G242" s="543"/>
      <c r="H242" s="543"/>
      <c r="I242" s="543"/>
      <c r="J242" s="544"/>
      <c r="K242" s="544"/>
      <c r="L242" s="544"/>
      <c r="M242" s="544"/>
      <c r="N242" s="544"/>
      <c r="O242" s="544"/>
      <c r="P242" s="474"/>
      <c r="S242" s="223"/>
    </row>
    <row r="243" spans="1:19" ht="10.5" x14ac:dyDescent="0.25">
      <c r="A243" s="531">
        <f>A242+1</f>
        <v>22</v>
      </c>
      <c r="B243" s="426" t="s">
        <v>286</v>
      </c>
      <c r="C243" s="532"/>
      <c r="D243" s="535">
        <v>0</v>
      </c>
      <c r="E243" s="535">
        <v>0</v>
      </c>
      <c r="F243" s="535">
        <v>0</v>
      </c>
      <c r="G243" s="535">
        <v>0</v>
      </c>
      <c r="H243" s="535">
        <v>0</v>
      </c>
      <c r="I243" s="535">
        <v>0</v>
      </c>
      <c r="J243" s="535">
        <v>0</v>
      </c>
      <c r="K243" s="535">
        <v>0</v>
      </c>
      <c r="L243" s="535">
        <v>0</v>
      </c>
      <c r="M243" s="535">
        <v>0</v>
      </c>
      <c r="N243" s="535">
        <v>0</v>
      </c>
      <c r="O243" s="535">
        <v>0</v>
      </c>
      <c r="P243" s="282">
        <f>SUM(D243:O243)</f>
        <v>0</v>
      </c>
      <c r="S243" s="223"/>
    </row>
    <row r="244" spans="1:19" ht="10.5" x14ac:dyDescent="0.25">
      <c r="A244" s="531">
        <f>A243+1</f>
        <v>23</v>
      </c>
      <c r="B244" s="426" t="s">
        <v>241</v>
      </c>
      <c r="C244" s="532" t="s">
        <v>342</v>
      </c>
      <c r="D244" s="535">
        <v>0</v>
      </c>
      <c r="E244" s="535">
        <v>0</v>
      </c>
      <c r="F244" s="535">
        <v>0</v>
      </c>
      <c r="G244" s="535">
        <v>0</v>
      </c>
      <c r="H244" s="535">
        <v>0</v>
      </c>
      <c r="I244" s="535">
        <v>0</v>
      </c>
      <c r="J244" s="535">
        <v>0</v>
      </c>
      <c r="K244" s="535">
        <v>0</v>
      </c>
      <c r="L244" s="535">
        <v>0</v>
      </c>
      <c r="M244" s="535">
        <v>0</v>
      </c>
      <c r="N244" s="535">
        <v>0</v>
      </c>
      <c r="O244" s="535">
        <v>0</v>
      </c>
      <c r="P244" s="282">
        <f>SUM(D244:O244)</f>
        <v>0</v>
      </c>
      <c r="S244" s="223"/>
    </row>
    <row r="245" spans="1:19" ht="10.5" x14ac:dyDescent="0.25">
      <c r="A245" s="531">
        <f>A244+1</f>
        <v>24</v>
      </c>
      <c r="B245" s="426" t="s">
        <v>287</v>
      </c>
      <c r="C245" s="532"/>
      <c r="D245" s="536">
        <v>0</v>
      </c>
      <c r="E245" s="536">
        <v>0</v>
      </c>
      <c r="F245" s="536">
        <v>0</v>
      </c>
      <c r="G245" s="536">
        <v>0</v>
      </c>
      <c r="H245" s="536">
        <v>0</v>
      </c>
      <c r="I245" s="536">
        <v>0</v>
      </c>
      <c r="J245" s="536">
        <v>0</v>
      </c>
      <c r="K245" s="536">
        <v>0</v>
      </c>
      <c r="L245" s="536">
        <v>0</v>
      </c>
      <c r="M245" s="536">
        <v>0</v>
      </c>
      <c r="N245" s="536">
        <v>0</v>
      </c>
      <c r="O245" s="536">
        <v>0</v>
      </c>
      <c r="P245" s="281">
        <f>SUM(D245:O245)</f>
        <v>0</v>
      </c>
      <c r="S245" s="223"/>
    </row>
    <row r="246" spans="1:19" ht="10.5" x14ac:dyDescent="0.25">
      <c r="A246" s="531">
        <f>A245+1</f>
        <v>25</v>
      </c>
      <c r="B246" s="426" t="s">
        <v>256</v>
      </c>
      <c r="C246" s="532"/>
      <c r="D246" s="282">
        <f t="shared" ref="D246:O246" si="55">SUM(D243:D245)</f>
        <v>0</v>
      </c>
      <c r="E246" s="282">
        <f t="shared" si="55"/>
        <v>0</v>
      </c>
      <c r="F246" s="282">
        <f t="shared" si="55"/>
        <v>0</v>
      </c>
      <c r="G246" s="282">
        <f t="shared" si="55"/>
        <v>0</v>
      </c>
      <c r="H246" s="282">
        <f t="shared" si="55"/>
        <v>0</v>
      </c>
      <c r="I246" s="282">
        <f t="shared" si="55"/>
        <v>0</v>
      </c>
      <c r="J246" s="282">
        <f t="shared" si="55"/>
        <v>0</v>
      </c>
      <c r="K246" s="282">
        <f t="shared" si="55"/>
        <v>0</v>
      </c>
      <c r="L246" s="282">
        <f t="shared" si="55"/>
        <v>0</v>
      </c>
      <c r="M246" s="282">
        <f t="shared" si="55"/>
        <v>0</v>
      </c>
      <c r="N246" s="282">
        <f t="shared" si="55"/>
        <v>0</v>
      </c>
      <c r="O246" s="282">
        <f t="shared" si="55"/>
        <v>0</v>
      </c>
      <c r="P246" s="282">
        <f>SUM(D246:O246)</f>
        <v>0</v>
      </c>
      <c r="S246" s="223"/>
    </row>
    <row r="247" spans="1:19" ht="10.5" x14ac:dyDescent="0.25">
      <c r="A247" s="531"/>
      <c r="B247" s="426"/>
      <c r="C247" s="532"/>
      <c r="D247" s="441"/>
      <c r="E247" s="441"/>
      <c r="F247" s="441"/>
      <c r="G247" s="441"/>
      <c r="H247" s="441"/>
      <c r="I247" s="441"/>
      <c r="J247" s="441"/>
      <c r="K247" s="441"/>
      <c r="L247" s="441"/>
      <c r="M247" s="441"/>
      <c r="N247" s="441"/>
      <c r="O247" s="441"/>
      <c r="P247" s="534"/>
      <c r="S247" s="613"/>
    </row>
    <row r="248" spans="1:19" ht="10.5" x14ac:dyDescent="0.25">
      <c r="A248" s="531">
        <f>A246+1</f>
        <v>26</v>
      </c>
      <c r="B248" s="437" t="s">
        <v>276</v>
      </c>
      <c r="C248" s="540"/>
      <c r="D248" s="543"/>
      <c r="E248" s="543"/>
      <c r="F248" s="543"/>
      <c r="G248" s="543"/>
      <c r="H248" s="543"/>
      <c r="I248" s="543"/>
      <c r="J248" s="544"/>
      <c r="K248" s="544"/>
      <c r="L248" s="544"/>
      <c r="M248" s="544"/>
      <c r="N248" s="544"/>
      <c r="O248" s="544"/>
      <c r="P248" s="474"/>
      <c r="S248" s="613"/>
    </row>
    <row r="249" spans="1:19" ht="10.5" x14ac:dyDescent="0.25">
      <c r="A249" s="531">
        <f>A248+1</f>
        <v>27</v>
      </c>
      <c r="B249" s="426" t="s">
        <v>286</v>
      </c>
      <c r="C249" s="532"/>
      <c r="D249" s="535">
        <v>0</v>
      </c>
      <c r="E249" s="535">
        <v>0</v>
      </c>
      <c r="F249" s="535">
        <v>0</v>
      </c>
      <c r="G249" s="535">
        <v>0</v>
      </c>
      <c r="H249" s="535">
        <v>0</v>
      </c>
      <c r="I249" s="535">
        <v>0</v>
      </c>
      <c r="J249" s="535">
        <v>0</v>
      </c>
      <c r="K249" s="535">
        <v>0</v>
      </c>
      <c r="L249" s="535">
        <v>0</v>
      </c>
      <c r="M249" s="535">
        <v>0</v>
      </c>
      <c r="N249" s="535">
        <v>0</v>
      </c>
      <c r="O249" s="535">
        <v>0</v>
      </c>
      <c r="P249" s="282">
        <f>SUM(D249:O249)</f>
        <v>0</v>
      </c>
      <c r="S249" s="613"/>
    </row>
    <row r="250" spans="1:19" ht="10.5" x14ac:dyDescent="0.25">
      <c r="A250" s="531">
        <f>A249+1</f>
        <v>28</v>
      </c>
      <c r="B250" s="426" t="s">
        <v>241</v>
      </c>
      <c r="C250" s="532" t="s">
        <v>342</v>
      </c>
      <c r="D250" s="282">
        <f>'D pg 1'!D21</f>
        <v>0</v>
      </c>
      <c r="E250" s="282">
        <f>'D pg 1'!E21</f>
        <v>0</v>
      </c>
      <c r="F250" s="282">
        <f>'D pg 1'!F21</f>
        <v>0</v>
      </c>
      <c r="G250" s="282">
        <f>'D pg 1'!G21</f>
        <v>0</v>
      </c>
      <c r="H250" s="282">
        <f>'D pg 1'!H21</f>
        <v>0</v>
      </c>
      <c r="I250" s="282">
        <f>'D pg 1'!I21</f>
        <v>0</v>
      </c>
      <c r="J250" s="282">
        <f>'D pg 1'!J21</f>
        <v>0</v>
      </c>
      <c r="K250" s="282">
        <f>'D pg 1'!K21</f>
        <v>0</v>
      </c>
      <c r="L250" s="282">
        <f>'D pg 1'!L21</f>
        <v>0</v>
      </c>
      <c r="M250" s="282">
        <f>'D pg 1'!M21</f>
        <v>0</v>
      </c>
      <c r="N250" s="282">
        <f>'D pg 1'!N21</f>
        <v>0</v>
      </c>
      <c r="O250" s="282">
        <f>'D pg 1'!O21</f>
        <v>0</v>
      </c>
      <c r="P250" s="282">
        <f>SUM(D250:O250)</f>
        <v>0</v>
      </c>
      <c r="S250" s="613"/>
    </row>
    <row r="251" spans="1:19" ht="10.5" x14ac:dyDescent="0.25">
      <c r="A251" s="531">
        <f>A250+1</f>
        <v>29</v>
      </c>
      <c r="B251" s="426" t="s">
        <v>287</v>
      </c>
      <c r="C251" s="532"/>
      <c r="D251" s="536">
        <v>0</v>
      </c>
      <c r="E251" s="536">
        <v>0</v>
      </c>
      <c r="F251" s="536">
        <v>0</v>
      </c>
      <c r="G251" s="536">
        <v>0</v>
      </c>
      <c r="H251" s="536">
        <v>0</v>
      </c>
      <c r="I251" s="536">
        <v>0</v>
      </c>
      <c r="J251" s="536">
        <v>0</v>
      </c>
      <c r="K251" s="536">
        <v>0</v>
      </c>
      <c r="L251" s="536">
        <v>0</v>
      </c>
      <c r="M251" s="536">
        <v>0</v>
      </c>
      <c r="N251" s="536">
        <v>0</v>
      </c>
      <c r="O251" s="536">
        <v>0</v>
      </c>
      <c r="P251" s="281">
        <f>SUM(D251:O251)</f>
        <v>0</v>
      </c>
      <c r="S251" s="613"/>
    </row>
    <row r="252" spans="1:19" ht="10.5" x14ac:dyDescent="0.25">
      <c r="A252" s="531">
        <f>A251+1</f>
        <v>30</v>
      </c>
      <c r="B252" s="426" t="s">
        <v>256</v>
      </c>
      <c r="C252" s="532"/>
      <c r="D252" s="282">
        <f t="shared" ref="D252:O252" si="56">SUM(D249:D251)</f>
        <v>0</v>
      </c>
      <c r="E252" s="282">
        <f t="shared" si="56"/>
        <v>0</v>
      </c>
      <c r="F252" s="282">
        <f t="shared" si="56"/>
        <v>0</v>
      </c>
      <c r="G252" s="282">
        <f t="shared" si="56"/>
        <v>0</v>
      </c>
      <c r="H252" s="282">
        <f t="shared" si="56"/>
        <v>0</v>
      </c>
      <c r="I252" s="282">
        <f t="shared" si="56"/>
        <v>0</v>
      </c>
      <c r="J252" s="282">
        <f t="shared" si="56"/>
        <v>0</v>
      </c>
      <c r="K252" s="282">
        <f t="shared" si="56"/>
        <v>0</v>
      </c>
      <c r="L252" s="282">
        <f t="shared" si="56"/>
        <v>0</v>
      </c>
      <c r="M252" s="282">
        <f t="shared" si="56"/>
        <v>0</v>
      </c>
      <c r="N252" s="282">
        <f t="shared" si="56"/>
        <v>0</v>
      </c>
      <c r="O252" s="282">
        <f t="shared" si="56"/>
        <v>0</v>
      </c>
      <c r="P252" s="282">
        <f>SUM(D252:O252)</f>
        <v>0</v>
      </c>
      <c r="S252" s="613"/>
    </row>
    <row r="253" spans="1:19" ht="10.5" x14ac:dyDescent="0.25">
      <c r="A253" s="531"/>
      <c r="B253" s="426"/>
      <c r="C253" s="532"/>
      <c r="D253" s="441"/>
      <c r="E253" s="441"/>
      <c r="F253" s="441"/>
      <c r="G253" s="441"/>
      <c r="H253" s="441"/>
      <c r="I253" s="441"/>
      <c r="J253" s="441"/>
      <c r="K253" s="441"/>
      <c r="L253" s="441"/>
      <c r="M253" s="441"/>
      <c r="N253" s="441"/>
      <c r="O253" s="441"/>
      <c r="P253" s="534"/>
      <c r="S253" s="613"/>
    </row>
    <row r="254" spans="1:19" ht="10.5" x14ac:dyDescent="0.25">
      <c r="A254" s="802" t="s">
        <v>36</v>
      </c>
      <c r="B254" s="802"/>
      <c r="C254" s="802"/>
      <c r="D254" s="802"/>
      <c r="E254" s="802"/>
      <c r="F254" s="802"/>
      <c r="G254" s="802"/>
      <c r="H254" s="802"/>
      <c r="I254" s="802"/>
      <c r="J254" s="802"/>
      <c r="K254" s="802"/>
      <c r="L254" s="802"/>
      <c r="M254" s="802"/>
      <c r="N254" s="802"/>
      <c r="O254" s="802"/>
      <c r="P254" s="802"/>
    </row>
    <row r="255" spans="1:19" ht="10.5" x14ac:dyDescent="0.25">
      <c r="A255" s="802" t="s">
        <v>192</v>
      </c>
      <c r="B255" s="802"/>
      <c r="C255" s="802"/>
      <c r="D255" s="802"/>
      <c r="E255" s="802"/>
      <c r="F255" s="802"/>
      <c r="G255" s="802"/>
      <c r="H255" s="802"/>
      <c r="I255" s="802"/>
      <c r="J255" s="802"/>
      <c r="K255" s="802"/>
      <c r="L255" s="802"/>
      <c r="M255" s="802"/>
      <c r="N255" s="802"/>
      <c r="O255" s="802"/>
      <c r="P255" s="802"/>
    </row>
    <row r="256" spans="1:19" ht="10.5" x14ac:dyDescent="0.25">
      <c r="A256" s="802" t="str">
        <f>A3</f>
        <v>For the 12 Months Ended December 31, 2022</v>
      </c>
      <c r="B256" s="802"/>
      <c r="C256" s="802"/>
      <c r="D256" s="802"/>
      <c r="E256" s="802"/>
      <c r="F256" s="802"/>
      <c r="G256" s="802"/>
      <c r="H256" s="802"/>
      <c r="I256" s="802"/>
      <c r="J256" s="802"/>
      <c r="K256" s="802"/>
      <c r="L256" s="802"/>
      <c r="M256" s="802"/>
      <c r="N256" s="802"/>
      <c r="O256" s="802"/>
      <c r="P256" s="802"/>
    </row>
    <row r="257" spans="1:19" x14ac:dyDescent="0.2">
      <c r="A257" s="279"/>
      <c r="B257" s="279"/>
      <c r="C257" s="280"/>
      <c r="D257" s="279"/>
      <c r="E257" s="280"/>
      <c r="F257" s="280"/>
      <c r="G257" s="280"/>
      <c r="H257" s="279"/>
      <c r="I257" s="279"/>
      <c r="J257" s="279"/>
      <c r="K257" s="279"/>
      <c r="L257" s="279"/>
      <c r="M257" s="279"/>
      <c r="N257" s="279"/>
      <c r="O257" s="279"/>
      <c r="P257" s="279"/>
    </row>
    <row r="258" spans="1:19" ht="10.5" x14ac:dyDescent="0.25">
      <c r="A258" s="463" t="str">
        <f>$A$5</f>
        <v>Data: __ Base Period_X_Forecasted Period</v>
      </c>
      <c r="B258" s="279"/>
      <c r="C258" s="219"/>
      <c r="D258" s="219"/>
      <c r="E258" s="219"/>
      <c r="F258" s="219"/>
      <c r="G258" s="280"/>
      <c r="H258" s="279"/>
      <c r="I258" s="279"/>
      <c r="J258" s="279"/>
      <c r="K258" s="279"/>
      <c r="L258" s="279"/>
      <c r="M258" s="279"/>
      <c r="N258" s="279"/>
      <c r="O258" s="279"/>
      <c r="P258" s="279"/>
    </row>
    <row r="259" spans="1:19" ht="10.5" x14ac:dyDescent="0.25">
      <c r="A259" s="463" t="str">
        <f>$A$6</f>
        <v>Type of Filing: X Original _ Update _ Revised</v>
      </c>
      <c r="B259" s="279"/>
      <c r="C259" s="219"/>
      <c r="D259" s="219"/>
      <c r="E259" s="219"/>
      <c r="F259" s="219"/>
      <c r="G259" s="280"/>
      <c r="H259" s="279"/>
      <c r="I259" s="279"/>
      <c r="J259" s="279"/>
      <c r="K259" s="279"/>
      <c r="L259" s="279"/>
      <c r="M259" s="279"/>
      <c r="N259" s="279"/>
      <c r="O259" s="279"/>
      <c r="P259" s="279"/>
    </row>
    <row r="260" spans="1:19" ht="10.5" x14ac:dyDescent="0.25">
      <c r="A260" s="463" t="str">
        <f>$A$7</f>
        <v>Work Paper Reference No(s):</v>
      </c>
      <c r="B260" s="279"/>
      <c r="C260" s="219"/>
      <c r="D260" s="219"/>
      <c r="E260" s="219"/>
      <c r="F260" s="219"/>
      <c r="G260" s="280"/>
      <c r="H260" s="279"/>
      <c r="I260" s="279"/>
      <c r="J260" s="279"/>
      <c r="K260" s="279"/>
      <c r="L260" s="279"/>
      <c r="M260" s="279"/>
      <c r="N260" s="279"/>
      <c r="O260" s="279"/>
      <c r="P260" s="464" t="str">
        <f>$P$7</f>
        <v>Workpaper WPM-B.2</v>
      </c>
    </row>
    <row r="261" spans="1:19" ht="10.5" x14ac:dyDescent="0.25">
      <c r="A261" s="546" t="str">
        <f>$A$8</f>
        <v>12 Months Forecasted</v>
      </c>
      <c r="B261" s="466"/>
      <c r="C261" s="219"/>
      <c r="D261" s="547"/>
      <c r="E261" s="466"/>
      <c r="F261" s="467"/>
      <c r="G261" s="468"/>
      <c r="H261" s="467"/>
      <c r="I261" s="469"/>
      <c r="J261" s="467"/>
      <c r="K261" s="467"/>
      <c r="L261" s="467"/>
      <c r="M261" s="467"/>
      <c r="N261" s="467"/>
      <c r="O261" s="467"/>
      <c r="P261" s="470" t="s">
        <v>401</v>
      </c>
      <c r="Q261" s="218"/>
      <c r="R261" s="218"/>
    </row>
    <row r="262" spans="1:19" ht="10.5" x14ac:dyDescent="0.25">
      <c r="A262" s="531"/>
      <c r="B262" s="426"/>
      <c r="C262" s="532"/>
      <c r="D262" s="441"/>
      <c r="E262" s="441"/>
      <c r="F262" s="441"/>
      <c r="G262" s="441"/>
      <c r="H262" s="441"/>
      <c r="I262" s="441"/>
      <c r="J262" s="441"/>
      <c r="K262" s="441"/>
      <c r="L262" s="441"/>
      <c r="M262" s="441"/>
      <c r="N262" s="441"/>
      <c r="O262" s="441"/>
      <c r="P262" s="534"/>
      <c r="S262" s="223"/>
    </row>
    <row r="263" spans="1:19" ht="10.5" x14ac:dyDescent="0.25">
      <c r="A263" s="466" t="s">
        <v>1</v>
      </c>
      <c r="B263" s="466"/>
      <c r="C263" s="219"/>
      <c r="D263" s="547"/>
      <c r="E263" s="466"/>
      <c r="F263" s="467"/>
      <c r="G263" s="468"/>
      <c r="H263" s="467"/>
      <c r="I263" s="469"/>
      <c r="J263" s="467"/>
      <c r="K263" s="467"/>
      <c r="L263" s="467"/>
      <c r="M263" s="467"/>
      <c r="N263" s="467"/>
      <c r="O263" s="467"/>
      <c r="P263" s="467"/>
      <c r="Q263" s="223"/>
      <c r="R263" s="223"/>
    </row>
    <row r="264" spans="1:19" ht="10.5" x14ac:dyDescent="0.25">
      <c r="A264" s="221" t="s">
        <v>3</v>
      </c>
      <c r="B264" s="221" t="s">
        <v>4</v>
      </c>
      <c r="C264" s="241" t="s">
        <v>183</v>
      </c>
      <c r="D264" s="548" t="str">
        <f>$D$11</f>
        <v>Jan-22</v>
      </c>
      <c r="E264" s="548" t="str">
        <f>$E$11</f>
        <v>Feb-22</v>
      </c>
      <c r="F264" s="548" t="str">
        <f>$F$11</f>
        <v>Mar-22</v>
      </c>
      <c r="G264" s="548" t="str">
        <f>$G$11</f>
        <v>Apr-22</v>
      </c>
      <c r="H264" s="548" t="str">
        <f>$H$11</f>
        <v>May-22</v>
      </c>
      <c r="I264" s="548" t="str">
        <f>$I$11</f>
        <v>Jun-22</v>
      </c>
      <c r="J264" s="548" t="str">
        <f>$J$11</f>
        <v>Jul-22</v>
      </c>
      <c r="K264" s="548" t="str">
        <f>$K$11</f>
        <v>Aug-22</v>
      </c>
      <c r="L264" s="548" t="str">
        <f>$L$11</f>
        <v>Sep-22</v>
      </c>
      <c r="M264" s="548" t="str">
        <f>$M$11</f>
        <v>Oct-22</v>
      </c>
      <c r="N264" s="548" t="str">
        <f>$N$11</f>
        <v>Nov-22</v>
      </c>
      <c r="O264" s="548" t="str">
        <f>$O$11</f>
        <v>Dec-22</v>
      </c>
      <c r="P264" s="548" t="s">
        <v>9</v>
      </c>
      <c r="S264" s="264"/>
    </row>
    <row r="265" spans="1:19" ht="10.5" x14ac:dyDescent="0.25">
      <c r="A265" s="466"/>
      <c r="B265" s="549" t="s">
        <v>42</v>
      </c>
      <c r="C265" s="540" t="s">
        <v>43</v>
      </c>
      <c r="D265" s="473" t="s">
        <v>45</v>
      </c>
      <c r="E265" s="473" t="s">
        <v>46</v>
      </c>
      <c r="F265" s="473" t="s">
        <v>49</v>
      </c>
      <c r="G265" s="473" t="s">
        <v>50</v>
      </c>
      <c r="H265" s="473" t="s">
        <v>51</v>
      </c>
      <c r="I265" s="473" t="s">
        <v>52</v>
      </c>
      <c r="J265" s="473" t="s">
        <v>53</v>
      </c>
      <c r="K265" s="474" t="s">
        <v>54</v>
      </c>
      <c r="L265" s="474" t="s">
        <v>55</v>
      </c>
      <c r="M265" s="474" t="s">
        <v>56</v>
      </c>
      <c r="N265" s="474" t="s">
        <v>57</v>
      </c>
      <c r="O265" s="474" t="s">
        <v>58</v>
      </c>
      <c r="P265" s="474" t="s">
        <v>59</v>
      </c>
      <c r="S265" s="223"/>
    </row>
    <row r="266" spans="1:19" ht="10.5" x14ac:dyDescent="0.25">
      <c r="A266" s="612"/>
      <c r="B266" s="549"/>
      <c r="C266" s="540"/>
      <c r="D266" s="473"/>
      <c r="E266" s="473"/>
      <c r="F266" s="473"/>
      <c r="G266" s="473"/>
      <c r="H266" s="473"/>
      <c r="I266" s="473"/>
      <c r="J266" s="473"/>
      <c r="K266" s="474"/>
      <c r="L266" s="474"/>
      <c r="M266" s="474"/>
      <c r="N266" s="474"/>
      <c r="O266" s="474"/>
      <c r="P266" s="474"/>
      <c r="S266" s="613"/>
    </row>
    <row r="267" spans="1:19" ht="10.5" x14ac:dyDescent="0.25">
      <c r="A267" s="531">
        <v>1</v>
      </c>
      <c r="B267" s="437" t="s">
        <v>277</v>
      </c>
      <c r="C267" s="540"/>
      <c r="D267" s="543"/>
      <c r="E267" s="543"/>
      <c r="F267" s="543"/>
      <c r="G267" s="543"/>
      <c r="H267" s="543"/>
      <c r="I267" s="543"/>
      <c r="J267" s="544"/>
      <c r="K267" s="544"/>
      <c r="L267" s="544"/>
      <c r="M267" s="544"/>
      <c r="N267" s="544"/>
      <c r="O267" s="544"/>
      <c r="P267" s="474"/>
      <c r="S267" s="613"/>
    </row>
    <row r="268" spans="1:19" ht="10.5" x14ac:dyDescent="0.25">
      <c r="A268" s="531">
        <f>A267+1</f>
        <v>2</v>
      </c>
      <c r="B268" s="426" t="s">
        <v>286</v>
      </c>
      <c r="C268" s="532"/>
      <c r="D268" s="535">
        <v>0</v>
      </c>
      <c r="E268" s="535">
        <v>0</v>
      </c>
      <c r="F268" s="535">
        <v>0</v>
      </c>
      <c r="G268" s="535">
        <v>0</v>
      </c>
      <c r="H268" s="535">
        <v>0</v>
      </c>
      <c r="I268" s="535">
        <v>0</v>
      </c>
      <c r="J268" s="535">
        <v>0</v>
      </c>
      <c r="K268" s="535">
        <v>0</v>
      </c>
      <c r="L268" s="535">
        <v>0</v>
      </c>
      <c r="M268" s="535">
        <v>0</v>
      </c>
      <c r="N268" s="535">
        <v>0</v>
      </c>
      <c r="O268" s="535">
        <v>0</v>
      </c>
      <c r="P268" s="282">
        <f>SUM(D268:O268)</f>
        <v>0</v>
      </c>
      <c r="S268" s="613"/>
    </row>
    <row r="269" spans="1:19" ht="10.5" x14ac:dyDescent="0.25">
      <c r="A269" s="531">
        <f>A268+1</f>
        <v>3</v>
      </c>
      <c r="B269" s="426" t="s">
        <v>241</v>
      </c>
      <c r="C269" s="532" t="s">
        <v>342</v>
      </c>
      <c r="D269" s="535">
        <v>0</v>
      </c>
      <c r="E269" s="535">
        <v>0</v>
      </c>
      <c r="F269" s="535">
        <v>0</v>
      </c>
      <c r="G269" s="535">
        <v>0</v>
      </c>
      <c r="H269" s="535">
        <v>0</v>
      </c>
      <c r="I269" s="535">
        <v>0</v>
      </c>
      <c r="J269" s="535">
        <v>0</v>
      </c>
      <c r="K269" s="535">
        <v>0</v>
      </c>
      <c r="L269" s="535">
        <v>0</v>
      </c>
      <c r="M269" s="535">
        <v>0</v>
      </c>
      <c r="N269" s="535">
        <v>0</v>
      </c>
      <c r="O269" s="535">
        <v>0</v>
      </c>
      <c r="P269" s="282">
        <f>SUM(D269:O269)</f>
        <v>0</v>
      </c>
      <c r="S269" s="613"/>
    </row>
    <row r="270" spans="1:19" ht="10.5" x14ac:dyDescent="0.25">
      <c r="A270" s="531">
        <f>A269+1</f>
        <v>4</v>
      </c>
      <c r="B270" s="426" t="s">
        <v>287</v>
      </c>
      <c r="C270" s="532"/>
      <c r="D270" s="536">
        <v>0</v>
      </c>
      <c r="E270" s="536">
        <v>0</v>
      </c>
      <c r="F270" s="536">
        <v>0</v>
      </c>
      <c r="G270" s="536">
        <v>0</v>
      </c>
      <c r="H270" s="536">
        <v>0</v>
      </c>
      <c r="I270" s="536">
        <v>0</v>
      </c>
      <c r="J270" s="536">
        <v>0</v>
      </c>
      <c r="K270" s="536">
        <v>0</v>
      </c>
      <c r="L270" s="536">
        <v>0</v>
      </c>
      <c r="M270" s="536">
        <v>0</v>
      </c>
      <c r="N270" s="536">
        <v>0</v>
      </c>
      <c r="O270" s="536">
        <v>0</v>
      </c>
      <c r="P270" s="281">
        <f>SUM(D270:O270)</f>
        <v>0</v>
      </c>
      <c r="S270" s="613"/>
    </row>
    <row r="271" spans="1:19" ht="10.5" x14ac:dyDescent="0.25">
      <c r="A271" s="531">
        <f>A270+1</f>
        <v>5</v>
      </c>
      <c r="B271" s="426" t="s">
        <v>256</v>
      </c>
      <c r="C271" s="532"/>
      <c r="D271" s="441">
        <f t="shared" ref="D271:O271" si="57">SUM(D268:D270)</f>
        <v>0</v>
      </c>
      <c r="E271" s="441">
        <f t="shared" si="57"/>
        <v>0</v>
      </c>
      <c r="F271" s="441">
        <f t="shared" si="57"/>
        <v>0</v>
      </c>
      <c r="G271" s="441">
        <f t="shared" si="57"/>
        <v>0</v>
      </c>
      <c r="H271" s="441">
        <f t="shared" si="57"/>
        <v>0</v>
      </c>
      <c r="I271" s="441">
        <f t="shared" si="57"/>
        <v>0</v>
      </c>
      <c r="J271" s="441">
        <f t="shared" si="57"/>
        <v>0</v>
      </c>
      <c r="K271" s="441">
        <f t="shared" si="57"/>
        <v>0</v>
      </c>
      <c r="L271" s="441">
        <f t="shared" si="57"/>
        <v>0</v>
      </c>
      <c r="M271" s="441">
        <f t="shared" si="57"/>
        <v>0</v>
      </c>
      <c r="N271" s="441">
        <f t="shared" si="57"/>
        <v>0</v>
      </c>
      <c r="O271" s="441">
        <f t="shared" si="57"/>
        <v>0</v>
      </c>
      <c r="P271" s="534">
        <f>SUM(D271:O271)</f>
        <v>0</v>
      </c>
      <c r="S271" s="613"/>
    </row>
    <row r="272" spans="1:19" ht="11" thickBot="1" x14ac:dyDescent="0.3">
      <c r="A272" s="466"/>
      <c r="B272" s="549"/>
      <c r="C272" s="540"/>
      <c r="D272" s="473"/>
      <c r="E272" s="473"/>
      <c r="F272" s="473"/>
      <c r="G272" s="473"/>
      <c r="H272" s="473"/>
      <c r="I272" s="473"/>
      <c r="J272" s="474"/>
      <c r="K272" s="474"/>
      <c r="L272" s="474"/>
      <c r="M272" s="474"/>
      <c r="N272" s="474"/>
      <c r="O272" s="474"/>
      <c r="P272" s="474"/>
      <c r="S272" s="223"/>
    </row>
    <row r="273" spans="1:19" s="279" customFormat="1" ht="10.5" x14ac:dyDescent="0.25">
      <c r="A273" s="550">
        <f>A271+1</f>
        <v>6</v>
      </c>
      <c r="B273" s="551" t="s">
        <v>15</v>
      </c>
      <c r="C273" s="553"/>
      <c r="D273" s="458"/>
      <c r="E273" s="553"/>
      <c r="F273" s="553"/>
      <c r="G273" s="553"/>
      <c r="H273" s="458"/>
      <c r="I273" s="458"/>
      <c r="J273" s="458"/>
      <c r="K273" s="397"/>
      <c r="L273" s="397"/>
      <c r="M273" s="397"/>
      <c r="N273" s="397"/>
      <c r="O273" s="397"/>
      <c r="P273" s="398"/>
    </row>
    <row r="274" spans="1:19" s="279" customFormat="1" x14ac:dyDescent="0.2">
      <c r="A274" s="554"/>
      <c r="C274" s="282"/>
      <c r="D274" s="278"/>
      <c r="E274" s="282"/>
      <c r="F274" s="282"/>
      <c r="G274" s="282"/>
      <c r="H274" s="278"/>
      <c r="I274" s="278"/>
      <c r="J274" s="278"/>
      <c r="P274" s="399"/>
    </row>
    <row r="275" spans="1:19" s="279" customFormat="1" ht="10.5" x14ac:dyDescent="0.25">
      <c r="A275" s="554">
        <f>A273+1</f>
        <v>7</v>
      </c>
      <c r="B275" s="437" t="s">
        <v>35</v>
      </c>
      <c r="C275" s="487"/>
      <c r="D275" s="487"/>
      <c r="E275" s="487"/>
      <c r="F275" s="487"/>
      <c r="G275" s="487"/>
      <c r="H275" s="487"/>
      <c r="I275" s="487"/>
      <c r="J275" s="487"/>
      <c r="P275" s="399"/>
    </row>
    <row r="276" spans="1:19" ht="10.5" x14ac:dyDescent="0.25">
      <c r="A276" s="554">
        <f>A275+1</f>
        <v>8</v>
      </c>
      <c r="B276" s="426" t="s">
        <v>286</v>
      </c>
      <c r="C276" s="532"/>
      <c r="D276" s="441">
        <f t="shared" ref="D276:O276" si="58">D162</f>
        <v>14333</v>
      </c>
      <c r="E276" s="441">
        <f t="shared" si="58"/>
        <v>14241</v>
      </c>
      <c r="F276" s="441">
        <f t="shared" si="58"/>
        <v>14150</v>
      </c>
      <c r="G276" s="441">
        <f t="shared" si="58"/>
        <v>14058</v>
      </c>
      <c r="H276" s="441">
        <f t="shared" si="58"/>
        <v>13966</v>
      </c>
      <c r="I276" s="441">
        <f t="shared" si="58"/>
        <v>13875</v>
      </c>
      <c r="J276" s="441">
        <f t="shared" si="58"/>
        <v>13783</v>
      </c>
      <c r="K276" s="441">
        <f t="shared" si="58"/>
        <v>13691</v>
      </c>
      <c r="L276" s="441">
        <f t="shared" si="58"/>
        <v>13600</v>
      </c>
      <c r="M276" s="441">
        <f t="shared" si="58"/>
        <v>13508</v>
      </c>
      <c r="N276" s="441">
        <f t="shared" si="58"/>
        <v>13416</v>
      </c>
      <c r="O276" s="441">
        <f t="shared" si="58"/>
        <v>13325</v>
      </c>
      <c r="P276" s="556">
        <f>SUM(D276:O276)</f>
        <v>165946</v>
      </c>
      <c r="S276" s="223"/>
    </row>
    <row r="277" spans="1:19" ht="11.5" x14ac:dyDescent="0.35">
      <c r="A277" s="554">
        <f>A276+1</f>
        <v>9</v>
      </c>
      <c r="B277" s="426" t="s">
        <v>287</v>
      </c>
      <c r="C277" s="532"/>
      <c r="D277" s="558">
        <f t="shared" ref="D277:O277" si="59">D163</f>
        <v>79</v>
      </c>
      <c r="E277" s="558">
        <f t="shared" si="59"/>
        <v>67</v>
      </c>
      <c r="F277" s="558">
        <f t="shared" si="59"/>
        <v>87</v>
      </c>
      <c r="G277" s="558">
        <f t="shared" si="59"/>
        <v>58</v>
      </c>
      <c r="H277" s="558">
        <f t="shared" si="59"/>
        <v>75</v>
      </c>
      <c r="I277" s="558">
        <f t="shared" si="59"/>
        <v>89</v>
      </c>
      <c r="J277" s="558">
        <f t="shared" si="59"/>
        <v>92</v>
      </c>
      <c r="K277" s="558">
        <f t="shared" si="59"/>
        <v>118</v>
      </c>
      <c r="L277" s="558">
        <f t="shared" si="59"/>
        <v>99</v>
      </c>
      <c r="M277" s="558">
        <f t="shared" si="59"/>
        <v>89</v>
      </c>
      <c r="N277" s="558">
        <f t="shared" si="59"/>
        <v>95</v>
      </c>
      <c r="O277" s="558">
        <f t="shared" si="59"/>
        <v>99</v>
      </c>
      <c r="P277" s="559">
        <f>SUM(D277:O277)</f>
        <v>1047</v>
      </c>
      <c r="S277" s="223"/>
    </row>
    <row r="278" spans="1:19" ht="10.5" x14ac:dyDescent="0.25">
      <c r="A278" s="554">
        <f>A277+1</f>
        <v>10</v>
      </c>
      <c r="B278" s="426" t="s">
        <v>256</v>
      </c>
      <c r="C278" s="532"/>
      <c r="D278" s="441">
        <f t="shared" ref="D278:O278" si="60">SUM(D276:D277)</f>
        <v>14412</v>
      </c>
      <c r="E278" s="441">
        <f t="shared" si="60"/>
        <v>14308</v>
      </c>
      <c r="F278" s="441">
        <f t="shared" si="60"/>
        <v>14237</v>
      </c>
      <c r="G278" s="441">
        <f t="shared" si="60"/>
        <v>14116</v>
      </c>
      <c r="H278" s="441">
        <f t="shared" si="60"/>
        <v>14041</v>
      </c>
      <c r="I278" s="441">
        <f t="shared" si="60"/>
        <v>13964</v>
      </c>
      <c r="J278" s="441">
        <f t="shared" si="60"/>
        <v>13875</v>
      </c>
      <c r="K278" s="441">
        <f t="shared" si="60"/>
        <v>13809</v>
      </c>
      <c r="L278" s="441">
        <f t="shared" si="60"/>
        <v>13699</v>
      </c>
      <c r="M278" s="441">
        <f t="shared" si="60"/>
        <v>13597</v>
      </c>
      <c r="N278" s="441">
        <f t="shared" si="60"/>
        <v>13511</v>
      </c>
      <c r="O278" s="441">
        <f t="shared" si="60"/>
        <v>13424</v>
      </c>
      <c r="P278" s="556">
        <f>SUM(D278:O278)</f>
        <v>166993</v>
      </c>
      <c r="S278" s="223"/>
    </row>
    <row r="279" spans="1:19" s="279" customFormat="1" x14ac:dyDescent="0.2">
      <c r="A279" s="401"/>
      <c r="C279" s="487"/>
      <c r="D279" s="487"/>
      <c r="E279" s="487"/>
      <c r="F279" s="487"/>
      <c r="G279" s="487"/>
      <c r="H279" s="487"/>
      <c r="I279" s="487"/>
      <c r="J279" s="487"/>
      <c r="P279" s="399"/>
    </row>
    <row r="280" spans="1:19" s="279" customFormat="1" ht="10.5" x14ac:dyDescent="0.25">
      <c r="A280" s="554">
        <f>A278+1</f>
        <v>11</v>
      </c>
      <c r="B280" s="437" t="s">
        <v>16</v>
      </c>
      <c r="C280" s="487"/>
      <c r="D280" s="487"/>
      <c r="E280" s="487"/>
      <c r="F280" s="487"/>
      <c r="G280" s="487"/>
      <c r="H280" s="487"/>
      <c r="I280" s="487"/>
      <c r="J280" s="240"/>
      <c r="P280" s="399"/>
    </row>
    <row r="281" spans="1:19" ht="10.5" x14ac:dyDescent="0.25">
      <c r="A281" s="554">
        <f>A280+1</f>
        <v>12</v>
      </c>
      <c r="B281" s="426" t="s">
        <v>286</v>
      </c>
      <c r="C281" s="532"/>
      <c r="D281" s="441">
        <f t="shared" ref="D281:O281" si="61">D167+D179+D191+D225+D231+D249</f>
        <v>3026</v>
      </c>
      <c r="E281" s="441">
        <f t="shared" si="61"/>
        <v>3023</v>
      </c>
      <c r="F281" s="441">
        <f t="shared" si="61"/>
        <v>3256</v>
      </c>
      <c r="G281" s="441">
        <f t="shared" si="61"/>
        <v>3257</v>
      </c>
      <c r="H281" s="441">
        <f t="shared" si="61"/>
        <v>3267</v>
      </c>
      <c r="I281" s="441">
        <f t="shared" si="61"/>
        <v>3270</v>
      </c>
      <c r="J281" s="441">
        <f t="shared" si="61"/>
        <v>3275</v>
      </c>
      <c r="K281" s="441">
        <f t="shared" si="61"/>
        <v>3270</v>
      </c>
      <c r="L281" s="441">
        <f t="shared" si="61"/>
        <v>3259</v>
      </c>
      <c r="M281" s="441">
        <f t="shared" si="61"/>
        <v>3264</v>
      </c>
      <c r="N281" s="441">
        <f t="shared" si="61"/>
        <v>3264</v>
      </c>
      <c r="O281" s="441">
        <f t="shared" si="61"/>
        <v>3265</v>
      </c>
      <c r="P281" s="556">
        <f>SUM(D281:O281)</f>
        <v>38696</v>
      </c>
      <c r="S281" s="223"/>
    </row>
    <row r="282" spans="1:19" ht="10.5" x14ac:dyDescent="0.25">
      <c r="A282" s="554">
        <f>A281+1</f>
        <v>13</v>
      </c>
      <c r="B282" s="426" t="s">
        <v>241</v>
      </c>
      <c r="C282" s="532"/>
      <c r="D282" s="282">
        <f t="shared" ref="D282:O282" si="62">D168+D180+D192+D226+D232+D250</f>
        <v>0</v>
      </c>
      <c r="E282" s="282">
        <f t="shared" si="62"/>
        <v>0</v>
      </c>
      <c r="F282" s="282">
        <f t="shared" si="62"/>
        <v>0</v>
      </c>
      <c r="G282" s="282">
        <f t="shared" si="62"/>
        <v>0</v>
      </c>
      <c r="H282" s="282">
        <f t="shared" si="62"/>
        <v>0</v>
      </c>
      <c r="I282" s="282">
        <f t="shared" si="62"/>
        <v>0</v>
      </c>
      <c r="J282" s="282">
        <f t="shared" si="62"/>
        <v>0</v>
      </c>
      <c r="K282" s="282">
        <f t="shared" si="62"/>
        <v>0</v>
      </c>
      <c r="L282" s="282">
        <f t="shared" si="62"/>
        <v>0</v>
      </c>
      <c r="M282" s="282">
        <f t="shared" si="62"/>
        <v>0</v>
      </c>
      <c r="N282" s="282">
        <f t="shared" si="62"/>
        <v>0</v>
      </c>
      <c r="O282" s="282">
        <f t="shared" si="62"/>
        <v>0</v>
      </c>
      <c r="P282" s="557">
        <f>SUM(D282:O282)</f>
        <v>0</v>
      </c>
      <c r="S282" s="223"/>
    </row>
    <row r="283" spans="1:19" ht="11.5" x14ac:dyDescent="0.35">
      <c r="A283" s="554">
        <f>A282+1</f>
        <v>14</v>
      </c>
      <c r="B283" s="426" t="s">
        <v>287</v>
      </c>
      <c r="C283" s="532"/>
      <c r="D283" s="558">
        <f t="shared" ref="D283:O283" si="63">D169+D181+D193+D227+D233+D251</f>
        <v>6</v>
      </c>
      <c r="E283" s="558">
        <f t="shared" si="63"/>
        <v>8</v>
      </c>
      <c r="F283" s="558">
        <f t="shared" si="63"/>
        <v>6</v>
      </c>
      <c r="G283" s="558">
        <f t="shared" si="63"/>
        <v>8</v>
      </c>
      <c r="H283" s="558">
        <f t="shared" si="63"/>
        <v>5</v>
      </c>
      <c r="I283" s="558">
        <f t="shared" si="63"/>
        <v>5</v>
      </c>
      <c r="J283" s="558">
        <f t="shared" si="63"/>
        <v>3</v>
      </c>
      <c r="K283" s="558">
        <f t="shared" si="63"/>
        <v>9</v>
      </c>
      <c r="L283" s="558">
        <f t="shared" si="63"/>
        <v>9</v>
      </c>
      <c r="M283" s="558">
        <f t="shared" si="63"/>
        <v>10</v>
      </c>
      <c r="N283" s="558">
        <f t="shared" si="63"/>
        <v>9</v>
      </c>
      <c r="O283" s="558">
        <f t="shared" si="63"/>
        <v>6</v>
      </c>
      <c r="P283" s="559">
        <f>SUM(D283:O283)</f>
        <v>84</v>
      </c>
      <c r="S283" s="223"/>
    </row>
    <row r="284" spans="1:19" ht="10.5" x14ac:dyDescent="0.25">
      <c r="A284" s="554">
        <f>A283+1</f>
        <v>15</v>
      </c>
      <c r="B284" s="426" t="s">
        <v>256</v>
      </c>
      <c r="C284" s="532"/>
      <c r="D284" s="441">
        <f t="shared" ref="D284:O284" si="64">SUM(D281:D283)</f>
        <v>3032</v>
      </c>
      <c r="E284" s="441">
        <f t="shared" si="64"/>
        <v>3031</v>
      </c>
      <c r="F284" s="441">
        <f t="shared" si="64"/>
        <v>3262</v>
      </c>
      <c r="G284" s="441">
        <f t="shared" si="64"/>
        <v>3265</v>
      </c>
      <c r="H284" s="441">
        <f t="shared" si="64"/>
        <v>3272</v>
      </c>
      <c r="I284" s="441">
        <f t="shared" si="64"/>
        <v>3275</v>
      </c>
      <c r="J284" s="441">
        <f t="shared" si="64"/>
        <v>3278</v>
      </c>
      <c r="K284" s="441">
        <f t="shared" si="64"/>
        <v>3279</v>
      </c>
      <c r="L284" s="441">
        <f t="shared" si="64"/>
        <v>3268</v>
      </c>
      <c r="M284" s="441">
        <f t="shared" si="64"/>
        <v>3274</v>
      </c>
      <c r="N284" s="441">
        <f t="shared" si="64"/>
        <v>3273</v>
      </c>
      <c r="O284" s="441">
        <f t="shared" si="64"/>
        <v>3271</v>
      </c>
      <c r="P284" s="556">
        <f>SUM(D284:O284)</f>
        <v>38780</v>
      </c>
      <c r="S284" s="223"/>
    </row>
    <row r="285" spans="1:19" s="279" customFormat="1" x14ac:dyDescent="0.2">
      <c r="A285" s="401"/>
      <c r="C285" s="487"/>
      <c r="D285" s="487"/>
      <c r="E285" s="487"/>
      <c r="F285" s="487"/>
      <c r="G285" s="487"/>
      <c r="H285" s="487"/>
      <c r="I285" s="487"/>
      <c r="J285" s="240"/>
      <c r="P285" s="399"/>
    </row>
    <row r="286" spans="1:19" s="279" customFormat="1" ht="10.5" x14ac:dyDescent="0.25">
      <c r="A286" s="554">
        <f>A284+1</f>
        <v>16</v>
      </c>
      <c r="B286" s="437" t="s">
        <v>17</v>
      </c>
      <c r="C286" s="501"/>
      <c r="D286" s="501"/>
      <c r="E286" s="501"/>
      <c r="F286" s="501"/>
      <c r="G286" s="501"/>
      <c r="H286" s="501"/>
      <c r="I286" s="501"/>
      <c r="J286" s="561"/>
      <c r="P286" s="399"/>
    </row>
    <row r="287" spans="1:19" ht="10.5" x14ac:dyDescent="0.25">
      <c r="A287" s="554">
        <f>A286+1</f>
        <v>17</v>
      </c>
      <c r="B287" s="426" t="s">
        <v>286</v>
      </c>
      <c r="C287" s="532"/>
      <c r="D287" s="441">
        <f t="shared" ref="D287:O287" si="65">D173+D185+D197+D219+D237+D243+D268</f>
        <v>66</v>
      </c>
      <c r="E287" s="441">
        <f t="shared" si="65"/>
        <v>66</v>
      </c>
      <c r="F287" s="441">
        <f t="shared" si="65"/>
        <v>66</v>
      </c>
      <c r="G287" s="441">
        <f t="shared" si="65"/>
        <v>66</v>
      </c>
      <c r="H287" s="441">
        <f t="shared" si="65"/>
        <v>66</v>
      </c>
      <c r="I287" s="441">
        <f t="shared" si="65"/>
        <v>66</v>
      </c>
      <c r="J287" s="441">
        <f t="shared" si="65"/>
        <v>66</v>
      </c>
      <c r="K287" s="441">
        <f t="shared" si="65"/>
        <v>66</v>
      </c>
      <c r="L287" s="441">
        <f t="shared" si="65"/>
        <v>66</v>
      </c>
      <c r="M287" s="441">
        <f t="shared" si="65"/>
        <v>66</v>
      </c>
      <c r="N287" s="441">
        <f t="shared" si="65"/>
        <v>66</v>
      </c>
      <c r="O287" s="441">
        <f t="shared" si="65"/>
        <v>66</v>
      </c>
      <c r="P287" s="556">
        <f>SUM(D287:O287)</f>
        <v>792</v>
      </c>
      <c r="S287" s="223"/>
    </row>
    <row r="288" spans="1:19" ht="10.5" x14ac:dyDescent="0.25">
      <c r="A288" s="554">
        <f>A287+1</f>
        <v>18</v>
      </c>
      <c r="B288" s="426" t="s">
        <v>241</v>
      </c>
      <c r="C288" s="532"/>
      <c r="D288" s="282">
        <f t="shared" ref="D288:O288" si="66">D174+D186+D198+D220+D238+D244+D269</f>
        <v>0</v>
      </c>
      <c r="E288" s="282">
        <f t="shared" si="66"/>
        <v>0</v>
      </c>
      <c r="F288" s="282">
        <f t="shared" si="66"/>
        <v>0</v>
      </c>
      <c r="G288" s="282">
        <f t="shared" si="66"/>
        <v>0</v>
      </c>
      <c r="H288" s="282">
        <f t="shared" si="66"/>
        <v>0</v>
      </c>
      <c r="I288" s="282">
        <f t="shared" si="66"/>
        <v>0</v>
      </c>
      <c r="J288" s="282">
        <f t="shared" si="66"/>
        <v>0</v>
      </c>
      <c r="K288" s="282">
        <f t="shared" si="66"/>
        <v>0</v>
      </c>
      <c r="L288" s="282">
        <f t="shared" si="66"/>
        <v>0</v>
      </c>
      <c r="M288" s="282">
        <f t="shared" si="66"/>
        <v>0</v>
      </c>
      <c r="N288" s="282">
        <f t="shared" si="66"/>
        <v>0</v>
      </c>
      <c r="O288" s="282">
        <f t="shared" si="66"/>
        <v>0</v>
      </c>
      <c r="P288" s="557">
        <f>SUM(D288:O288)</f>
        <v>0</v>
      </c>
      <c r="S288" s="223"/>
    </row>
    <row r="289" spans="1:19" ht="11.5" x14ac:dyDescent="0.35">
      <c r="A289" s="554">
        <f>A288+1</f>
        <v>19</v>
      </c>
      <c r="B289" s="426" t="s">
        <v>287</v>
      </c>
      <c r="C289" s="532"/>
      <c r="D289" s="570">
        <f t="shared" ref="D289:O289" si="67">D175+D187+D199+D221+D239+D245+D270</f>
        <v>0</v>
      </c>
      <c r="E289" s="570">
        <f t="shared" si="67"/>
        <v>0</v>
      </c>
      <c r="F289" s="570">
        <f t="shared" si="67"/>
        <v>0</v>
      </c>
      <c r="G289" s="570">
        <f t="shared" si="67"/>
        <v>0</v>
      </c>
      <c r="H289" s="570">
        <f t="shared" si="67"/>
        <v>0</v>
      </c>
      <c r="I289" s="570">
        <f t="shared" si="67"/>
        <v>0</v>
      </c>
      <c r="J289" s="570">
        <f t="shared" si="67"/>
        <v>1</v>
      </c>
      <c r="K289" s="570">
        <f t="shared" si="67"/>
        <v>0</v>
      </c>
      <c r="L289" s="570">
        <f t="shared" si="67"/>
        <v>1</v>
      </c>
      <c r="M289" s="570">
        <f t="shared" si="67"/>
        <v>0</v>
      </c>
      <c r="N289" s="570">
        <f t="shared" si="67"/>
        <v>0</v>
      </c>
      <c r="O289" s="570">
        <f t="shared" si="67"/>
        <v>0</v>
      </c>
      <c r="P289" s="559">
        <f>SUM(D289:O289)</f>
        <v>2</v>
      </c>
      <c r="S289" s="223"/>
    </row>
    <row r="290" spans="1:19" ht="10.5" x14ac:dyDescent="0.25">
      <c r="A290" s="554">
        <f>A289+1</f>
        <v>20</v>
      </c>
      <c r="B290" s="426" t="s">
        <v>256</v>
      </c>
      <c r="C290" s="532"/>
      <c r="D290" s="441">
        <f t="shared" ref="D290:O290" si="68">SUM(D287:D289)</f>
        <v>66</v>
      </c>
      <c r="E290" s="441">
        <f t="shared" si="68"/>
        <v>66</v>
      </c>
      <c r="F290" s="441">
        <f t="shared" si="68"/>
        <v>66</v>
      </c>
      <c r="G290" s="441">
        <f t="shared" si="68"/>
        <v>66</v>
      </c>
      <c r="H290" s="441">
        <f t="shared" si="68"/>
        <v>66</v>
      </c>
      <c r="I290" s="441">
        <f t="shared" si="68"/>
        <v>66</v>
      </c>
      <c r="J290" s="441">
        <f t="shared" si="68"/>
        <v>67</v>
      </c>
      <c r="K290" s="441">
        <f t="shared" si="68"/>
        <v>66</v>
      </c>
      <c r="L290" s="441">
        <f t="shared" si="68"/>
        <v>67</v>
      </c>
      <c r="M290" s="441">
        <f t="shared" si="68"/>
        <v>66</v>
      </c>
      <c r="N290" s="441">
        <f t="shared" si="68"/>
        <v>66</v>
      </c>
      <c r="O290" s="441">
        <f t="shared" si="68"/>
        <v>66</v>
      </c>
      <c r="P290" s="556">
        <f>SUM(D290:O290)</f>
        <v>794</v>
      </c>
      <c r="S290" s="223"/>
    </row>
    <row r="291" spans="1:19" s="279" customFormat="1" x14ac:dyDescent="0.2">
      <c r="A291" s="401"/>
      <c r="C291" s="501"/>
      <c r="D291" s="501"/>
      <c r="E291" s="501"/>
      <c r="F291" s="501"/>
      <c r="G291" s="501"/>
      <c r="H291" s="501"/>
      <c r="I291" s="501"/>
      <c r="J291" s="561"/>
      <c r="P291" s="399"/>
    </row>
    <row r="292" spans="1:19" s="279" customFormat="1" ht="10.5" x14ac:dyDescent="0.25">
      <c r="A292" s="554">
        <f>A290+1</f>
        <v>21</v>
      </c>
      <c r="B292" s="437" t="s">
        <v>18</v>
      </c>
      <c r="C292" s="487"/>
      <c r="D292" s="240"/>
      <c r="E292" s="487"/>
      <c r="F292" s="487"/>
      <c r="G292" s="487"/>
      <c r="H292" s="240"/>
      <c r="I292" s="240"/>
      <c r="J292" s="240"/>
      <c r="P292" s="399"/>
    </row>
    <row r="293" spans="1:19" ht="10.5" x14ac:dyDescent="0.25">
      <c r="A293" s="554">
        <f>A292+1</f>
        <v>22</v>
      </c>
      <c r="B293" s="426" t="s">
        <v>286</v>
      </c>
      <c r="C293" s="532"/>
      <c r="D293" s="441">
        <f t="shared" ref="D293:O293" si="69">D276+D281+D287</f>
        <v>17425</v>
      </c>
      <c r="E293" s="441">
        <f t="shared" si="69"/>
        <v>17330</v>
      </c>
      <c r="F293" s="441">
        <f t="shared" si="69"/>
        <v>17472</v>
      </c>
      <c r="G293" s="441">
        <f t="shared" si="69"/>
        <v>17381</v>
      </c>
      <c r="H293" s="441">
        <f t="shared" si="69"/>
        <v>17299</v>
      </c>
      <c r="I293" s="441">
        <f t="shared" si="69"/>
        <v>17211</v>
      </c>
      <c r="J293" s="441">
        <f t="shared" si="69"/>
        <v>17124</v>
      </c>
      <c r="K293" s="441">
        <f t="shared" si="69"/>
        <v>17027</v>
      </c>
      <c r="L293" s="441">
        <f t="shared" si="69"/>
        <v>16925</v>
      </c>
      <c r="M293" s="441">
        <f t="shared" si="69"/>
        <v>16838</v>
      </c>
      <c r="N293" s="441">
        <f t="shared" si="69"/>
        <v>16746</v>
      </c>
      <c r="O293" s="441">
        <f t="shared" si="69"/>
        <v>16656</v>
      </c>
      <c r="P293" s="556">
        <f>SUM(D293:O293)</f>
        <v>205434</v>
      </c>
      <c r="S293" s="223"/>
    </row>
    <row r="294" spans="1:19" ht="10.5" x14ac:dyDescent="0.25">
      <c r="A294" s="554">
        <f>A293+1</f>
        <v>23</v>
      </c>
      <c r="B294" s="426" t="s">
        <v>241</v>
      </c>
      <c r="C294" s="532"/>
      <c r="D294" s="282">
        <f>D282+D288</f>
        <v>0</v>
      </c>
      <c r="E294" s="282">
        <f t="shared" ref="E294:P294" si="70">E282+E288</f>
        <v>0</v>
      </c>
      <c r="F294" s="282">
        <f t="shared" si="70"/>
        <v>0</v>
      </c>
      <c r="G294" s="282">
        <f t="shared" si="70"/>
        <v>0</v>
      </c>
      <c r="H294" s="282">
        <f t="shared" si="70"/>
        <v>0</v>
      </c>
      <c r="I294" s="282">
        <f t="shared" si="70"/>
        <v>0</v>
      </c>
      <c r="J294" s="282">
        <f t="shared" si="70"/>
        <v>0</v>
      </c>
      <c r="K294" s="282">
        <f t="shared" si="70"/>
        <v>0</v>
      </c>
      <c r="L294" s="282">
        <f t="shared" si="70"/>
        <v>0</v>
      </c>
      <c r="M294" s="282">
        <f t="shared" si="70"/>
        <v>0</v>
      </c>
      <c r="N294" s="282">
        <f t="shared" si="70"/>
        <v>0</v>
      </c>
      <c r="O294" s="282">
        <f t="shared" si="70"/>
        <v>0</v>
      </c>
      <c r="P294" s="556">
        <f t="shared" si="70"/>
        <v>0</v>
      </c>
      <c r="S294" s="223"/>
    </row>
    <row r="295" spans="1:19" ht="11.5" x14ac:dyDescent="0.35">
      <c r="A295" s="554">
        <f>A294+1</f>
        <v>24</v>
      </c>
      <c r="B295" s="426" t="s">
        <v>287</v>
      </c>
      <c r="C295" s="532"/>
      <c r="D295" s="558">
        <f t="shared" ref="D295:O295" si="71">D277+D283+D289</f>
        <v>85</v>
      </c>
      <c r="E295" s="558">
        <f t="shared" si="71"/>
        <v>75</v>
      </c>
      <c r="F295" s="558">
        <f t="shared" si="71"/>
        <v>93</v>
      </c>
      <c r="G295" s="558">
        <f t="shared" si="71"/>
        <v>66</v>
      </c>
      <c r="H295" s="558">
        <f t="shared" si="71"/>
        <v>80</v>
      </c>
      <c r="I295" s="558">
        <f t="shared" si="71"/>
        <v>94</v>
      </c>
      <c r="J295" s="558">
        <f t="shared" si="71"/>
        <v>96</v>
      </c>
      <c r="K295" s="558">
        <f t="shared" si="71"/>
        <v>127</v>
      </c>
      <c r="L295" s="558">
        <f t="shared" si="71"/>
        <v>109</v>
      </c>
      <c r="M295" s="558">
        <f t="shared" si="71"/>
        <v>99</v>
      </c>
      <c r="N295" s="558">
        <f t="shared" si="71"/>
        <v>104</v>
      </c>
      <c r="O295" s="558">
        <f t="shared" si="71"/>
        <v>105</v>
      </c>
      <c r="P295" s="559">
        <f>SUM(D295:O295)</f>
        <v>1133</v>
      </c>
      <c r="S295" s="223"/>
    </row>
    <row r="296" spans="1:19" ht="10.5" x14ac:dyDescent="0.25">
      <c r="A296" s="554">
        <f>A295+1</f>
        <v>25</v>
      </c>
      <c r="B296" s="426" t="s">
        <v>256</v>
      </c>
      <c r="C296" s="532"/>
      <c r="D296" s="441">
        <f t="shared" ref="D296:O296" si="72">SUM(D293:D295)</f>
        <v>17510</v>
      </c>
      <c r="E296" s="441">
        <f t="shared" si="72"/>
        <v>17405</v>
      </c>
      <c r="F296" s="441">
        <f t="shared" si="72"/>
        <v>17565</v>
      </c>
      <c r="G296" s="441">
        <f t="shared" si="72"/>
        <v>17447</v>
      </c>
      <c r="H296" s="441">
        <f t="shared" si="72"/>
        <v>17379</v>
      </c>
      <c r="I296" s="441">
        <f t="shared" si="72"/>
        <v>17305</v>
      </c>
      <c r="J296" s="441">
        <f t="shared" si="72"/>
        <v>17220</v>
      </c>
      <c r="K296" s="441">
        <f t="shared" si="72"/>
        <v>17154</v>
      </c>
      <c r="L296" s="441">
        <f t="shared" si="72"/>
        <v>17034</v>
      </c>
      <c r="M296" s="441">
        <f t="shared" si="72"/>
        <v>16937</v>
      </c>
      <c r="N296" s="441">
        <f t="shared" si="72"/>
        <v>16850</v>
      </c>
      <c r="O296" s="441">
        <f t="shared" si="72"/>
        <v>16761</v>
      </c>
      <c r="P296" s="556">
        <f>SUM(D296:O296)</f>
        <v>206567</v>
      </c>
      <c r="S296" s="223"/>
    </row>
    <row r="297" spans="1:19" s="279" customFormat="1" x14ac:dyDescent="0.2">
      <c r="A297" s="401"/>
      <c r="C297" s="487"/>
      <c r="D297" s="240"/>
      <c r="E297" s="487"/>
      <c r="F297" s="487"/>
      <c r="G297" s="487"/>
      <c r="H297" s="240"/>
      <c r="I297" s="240"/>
      <c r="J297" s="240"/>
      <c r="P297" s="399"/>
    </row>
    <row r="298" spans="1:19" s="279" customFormat="1" ht="10.5" x14ac:dyDescent="0.25">
      <c r="A298" s="554">
        <f>A296+1</f>
        <v>26</v>
      </c>
      <c r="B298" s="437" t="s">
        <v>298</v>
      </c>
      <c r="C298" s="487"/>
      <c r="D298" s="240"/>
      <c r="E298" s="487"/>
      <c r="F298" s="487"/>
      <c r="G298" s="487"/>
      <c r="H298" s="240"/>
      <c r="I298" s="240"/>
      <c r="J298" s="240"/>
      <c r="P298" s="399"/>
    </row>
    <row r="299" spans="1:19" ht="10.5" x14ac:dyDescent="0.25">
      <c r="A299" s="554">
        <f>A298+1</f>
        <v>27</v>
      </c>
      <c r="B299" s="426" t="s">
        <v>286</v>
      </c>
      <c r="C299" s="532"/>
      <c r="D299" s="441">
        <f t="shared" ref="D299:O299" si="73">D143+D293</f>
        <v>137834</v>
      </c>
      <c r="E299" s="441">
        <f t="shared" si="73"/>
        <v>138091</v>
      </c>
      <c r="F299" s="441">
        <f t="shared" si="73"/>
        <v>138219</v>
      </c>
      <c r="G299" s="441">
        <f t="shared" si="73"/>
        <v>137592</v>
      </c>
      <c r="H299" s="441">
        <f t="shared" si="73"/>
        <v>136771</v>
      </c>
      <c r="I299" s="441">
        <f t="shared" si="73"/>
        <v>135760</v>
      </c>
      <c r="J299" s="441">
        <f t="shared" si="73"/>
        <v>135193</v>
      </c>
      <c r="K299" s="441">
        <f t="shared" si="73"/>
        <v>134860</v>
      </c>
      <c r="L299" s="441">
        <f t="shared" si="73"/>
        <v>134629</v>
      </c>
      <c r="M299" s="441">
        <f t="shared" si="73"/>
        <v>134946</v>
      </c>
      <c r="N299" s="441">
        <f t="shared" si="73"/>
        <v>136438</v>
      </c>
      <c r="O299" s="441">
        <f t="shared" si="73"/>
        <v>137942</v>
      </c>
      <c r="P299" s="556">
        <f>SUM(D299:O299)</f>
        <v>1638275</v>
      </c>
      <c r="S299" s="223"/>
    </row>
    <row r="300" spans="1:19" ht="10.5" x14ac:dyDescent="0.25">
      <c r="A300" s="554">
        <f>A299+1</f>
        <v>28</v>
      </c>
      <c r="B300" s="426" t="s">
        <v>241</v>
      </c>
      <c r="C300" s="532"/>
      <c r="D300" s="441">
        <f t="shared" ref="D300:O300" si="74">D144+D294</f>
        <v>0</v>
      </c>
      <c r="E300" s="282">
        <f t="shared" si="74"/>
        <v>0</v>
      </c>
      <c r="F300" s="282">
        <f t="shared" si="74"/>
        <v>0</v>
      </c>
      <c r="G300" s="282">
        <f t="shared" si="74"/>
        <v>0</v>
      </c>
      <c r="H300" s="282">
        <f t="shared" si="74"/>
        <v>0</v>
      </c>
      <c r="I300" s="282">
        <f t="shared" si="74"/>
        <v>0</v>
      </c>
      <c r="J300" s="282">
        <f t="shared" si="74"/>
        <v>0</v>
      </c>
      <c r="K300" s="282">
        <f t="shared" si="74"/>
        <v>0</v>
      </c>
      <c r="L300" s="282">
        <f t="shared" si="74"/>
        <v>0</v>
      </c>
      <c r="M300" s="282">
        <f t="shared" si="74"/>
        <v>0</v>
      </c>
      <c r="N300" s="282">
        <f t="shared" si="74"/>
        <v>0</v>
      </c>
      <c r="O300" s="282">
        <f t="shared" si="74"/>
        <v>0</v>
      </c>
      <c r="P300" s="556">
        <f>SUM(D300:O300)</f>
        <v>0</v>
      </c>
      <c r="S300" s="223"/>
    </row>
    <row r="301" spans="1:19" ht="11.5" x14ac:dyDescent="0.35">
      <c r="A301" s="554">
        <f>A300+1</f>
        <v>29</v>
      </c>
      <c r="B301" s="426" t="s">
        <v>287</v>
      </c>
      <c r="C301" s="532"/>
      <c r="D301" s="558">
        <f t="shared" ref="D301:O301" si="75">D145+D295</f>
        <v>1575</v>
      </c>
      <c r="E301" s="558">
        <f t="shared" si="75"/>
        <v>1503</v>
      </c>
      <c r="F301" s="558">
        <f t="shared" si="75"/>
        <v>1896</v>
      </c>
      <c r="G301" s="558">
        <f t="shared" si="75"/>
        <v>1536</v>
      </c>
      <c r="H301" s="558">
        <f t="shared" si="75"/>
        <v>1639</v>
      </c>
      <c r="I301" s="558">
        <f t="shared" si="75"/>
        <v>1854</v>
      </c>
      <c r="J301" s="558">
        <f t="shared" si="75"/>
        <v>2142</v>
      </c>
      <c r="K301" s="558">
        <f t="shared" si="75"/>
        <v>2266</v>
      </c>
      <c r="L301" s="558">
        <f t="shared" si="75"/>
        <v>1925</v>
      </c>
      <c r="M301" s="558">
        <f t="shared" si="75"/>
        <v>1658</v>
      </c>
      <c r="N301" s="558">
        <f t="shared" si="75"/>
        <v>1668</v>
      </c>
      <c r="O301" s="558">
        <f t="shared" si="75"/>
        <v>1699</v>
      </c>
      <c r="P301" s="559">
        <f>SUM(D301:O301)</f>
        <v>21361</v>
      </c>
      <c r="S301" s="223"/>
    </row>
    <row r="302" spans="1:19" ht="11" thickBot="1" x14ac:dyDescent="0.3">
      <c r="A302" s="562">
        <f>A301+1</f>
        <v>30</v>
      </c>
      <c r="B302" s="563" t="s">
        <v>256</v>
      </c>
      <c r="C302" s="564"/>
      <c r="D302" s="565">
        <f t="shared" ref="D302:O302" si="76">SUM(D299:D301)</f>
        <v>139409</v>
      </c>
      <c r="E302" s="565">
        <f t="shared" si="76"/>
        <v>139594</v>
      </c>
      <c r="F302" s="565">
        <f t="shared" si="76"/>
        <v>140115</v>
      </c>
      <c r="G302" s="565">
        <f t="shared" si="76"/>
        <v>139128</v>
      </c>
      <c r="H302" s="565">
        <f t="shared" si="76"/>
        <v>138410</v>
      </c>
      <c r="I302" s="565">
        <f t="shared" si="76"/>
        <v>137614</v>
      </c>
      <c r="J302" s="565">
        <f t="shared" si="76"/>
        <v>137335</v>
      </c>
      <c r="K302" s="565">
        <f t="shared" si="76"/>
        <v>137126</v>
      </c>
      <c r="L302" s="565">
        <f t="shared" si="76"/>
        <v>136554</v>
      </c>
      <c r="M302" s="565">
        <f t="shared" si="76"/>
        <v>136604</v>
      </c>
      <c r="N302" s="565">
        <f t="shared" si="76"/>
        <v>138106</v>
      </c>
      <c r="O302" s="565">
        <f t="shared" si="76"/>
        <v>139641</v>
      </c>
      <c r="P302" s="566">
        <f>SUM(D302:O302)</f>
        <v>1659636</v>
      </c>
      <c r="S302" s="223"/>
    </row>
    <row r="303" spans="1:19" ht="10.5" x14ac:dyDescent="0.25">
      <c r="A303" s="466"/>
      <c r="B303" s="549"/>
      <c r="C303" s="540"/>
      <c r="D303" s="473"/>
      <c r="E303" s="473"/>
      <c r="F303" s="473"/>
      <c r="G303" s="473"/>
      <c r="H303" s="473"/>
      <c r="I303" s="473"/>
      <c r="J303" s="474"/>
      <c r="K303" s="474"/>
      <c r="L303" s="474"/>
      <c r="M303" s="474"/>
      <c r="N303" s="474"/>
      <c r="O303" s="474"/>
      <c r="P303" s="474"/>
      <c r="S303" s="223"/>
    </row>
    <row r="304" spans="1:19" ht="10.5" x14ac:dyDescent="0.25">
      <c r="A304" s="466"/>
      <c r="B304" s="549"/>
      <c r="C304" s="540"/>
      <c r="D304" s="473"/>
      <c r="E304" s="473"/>
      <c r="F304" s="473"/>
      <c r="G304" s="473"/>
      <c r="H304" s="473"/>
      <c r="I304" s="473"/>
      <c r="J304" s="474"/>
      <c r="K304" s="474"/>
      <c r="L304" s="474"/>
      <c r="M304" s="474"/>
      <c r="N304" s="474"/>
      <c r="O304" s="474"/>
      <c r="P304" s="474"/>
      <c r="S304" s="223"/>
    </row>
    <row r="305" spans="1:19" ht="10.5" x14ac:dyDescent="0.25">
      <c r="A305" s="466"/>
      <c r="B305" s="549"/>
      <c r="C305" s="540"/>
      <c r="D305" s="473"/>
      <c r="E305" s="473"/>
      <c r="F305" s="473"/>
      <c r="G305" s="473"/>
      <c r="H305" s="473"/>
      <c r="I305" s="473"/>
      <c r="J305" s="474"/>
      <c r="K305" s="474"/>
      <c r="L305" s="474"/>
      <c r="M305" s="474"/>
      <c r="N305" s="474"/>
      <c r="O305" s="474"/>
      <c r="P305" s="474"/>
      <c r="S305" s="223"/>
    </row>
    <row r="306" spans="1:19" ht="10.5" x14ac:dyDescent="0.25">
      <c r="A306" s="466"/>
      <c r="B306" s="777"/>
      <c r="C306" s="219"/>
      <c r="D306" s="497"/>
      <c r="E306" s="440"/>
      <c r="F306" s="474"/>
      <c r="G306" s="474"/>
      <c r="H306" s="474"/>
      <c r="I306" s="474"/>
      <c r="J306" s="474"/>
      <c r="K306" s="474"/>
      <c r="L306" s="384"/>
      <c r="O306" s="223"/>
    </row>
    <row r="307" spans="1:19" x14ac:dyDescent="0.2">
      <c r="A307" s="279"/>
      <c r="B307" s="497"/>
      <c r="C307" s="532"/>
      <c r="D307" s="532"/>
      <c r="E307" s="778"/>
      <c r="F307" s="279"/>
      <c r="G307" s="279"/>
      <c r="H307" s="279"/>
      <c r="I307" s="279"/>
      <c r="J307" s="279"/>
      <c r="K307" s="279"/>
    </row>
    <row r="308" spans="1:19" x14ac:dyDescent="0.2">
      <c r="A308" s="279"/>
      <c r="B308" s="779"/>
      <c r="C308" s="773"/>
      <c r="D308" s="774"/>
      <c r="E308" s="773"/>
      <c r="F308" s="279"/>
      <c r="G308" s="279"/>
      <c r="H308" s="279"/>
      <c r="I308" s="279"/>
      <c r="J308" s="279"/>
      <c r="K308" s="279"/>
    </row>
    <row r="309" spans="1:19" x14ac:dyDescent="0.2">
      <c r="A309" s="279"/>
      <c r="B309" s="280"/>
      <c r="C309" s="773"/>
      <c r="D309" s="774"/>
      <c r="E309" s="773"/>
      <c r="F309" s="279"/>
      <c r="G309" s="279"/>
      <c r="H309" s="279"/>
      <c r="I309" s="279"/>
      <c r="J309" s="279"/>
      <c r="K309" s="279"/>
    </row>
    <row r="310" spans="1:19" x14ac:dyDescent="0.2">
      <c r="A310" s="279"/>
      <c r="B310" s="280"/>
      <c r="C310" s="773"/>
      <c r="D310" s="774"/>
      <c r="E310" s="773"/>
      <c r="F310" s="279"/>
      <c r="G310" s="279"/>
      <c r="H310" s="279"/>
      <c r="I310" s="279"/>
      <c r="J310" s="279"/>
      <c r="K310" s="279"/>
    </row>
    <row r="311" spans="1:19" x14ac:dyDescent="0.2">
      <c r="A311" s="279"/>
      <c r="B311" s="280"/>
      <c r="C311" s="773"/>
      <c r="D311" s="774"/>
      <c r="E311" s="773"/>
      <c r="F311" s="669"/>
      <c r="G311" s="279"/>
      <c r="H311" s="279"/>
      <c r="I311" s="279"/>
      <c r="J311" s="279"/>
      <c r="K311" s="279"/>
    </row>
    <row r="312" spans="1:19" ht="11.5" x14ac:dyDescent="0.35">
      <c r="A312" s="279"/>
      <c r="B312" s="280"/>
      <c r="C312" s="775"/>
      <c r="D312" s="776"/>
      <c r="E312" s="780"/>
      <c r="F312" s="279"/>
      <c r="G312" s="279"/>
      <c r="H312" s="279"/>
      <c r="I312" s="279"/>
      <c r="J312" s="279"/>
      <c r="K312" s="279"/>
    </row>
    <row r="313" spans="1:19" x14ac:dyDescent="0.2">
      <c r="A313" s="279"/>
      <c r="B313" s="280"/>
      <c r="C313" s="781"/>
      <c r="D313" s="781"/>
      <c r="E313" s="781"/>
      <c r="F313" s="279"/>
      <c r="G313" s="279"/>
      <c r="H313" s="279"/>
      <c r="I313" s="279"/>
      <c r="J313" s="279"/>
      <c r="K313" s="279"/>
    </row>
    <row r="314" spans="1:19" x14ac:dyDescent="0.2">
      <c r="A314" s="279"/>
      <c r="B314" s="279"/>
      <c r="C314" s="280"/>
      <c r="D314" s="279"/>
      <c r="E314" s="280"/>
      <c r="F314" s="279"/>
      <c r="G314" s="279"/>
      <c r="H314" s="279"/>
      <c r="I314" s="279"/>
      <c r="J314" s="279"/>
      <c r="K314" s="279"/>
    </row>
    <row r="315" spans="1:19" ht="15" customHeight="1" x14ac:dyDescent="0.25">
      <c r="A315" s="279"/>
      <c r="B315" s="571"/>
      <c r="C315" s="572"/>
      <c r="D315" s="572"/>
      <c r="E315" s="573"/>
      <c r="F315" s="279"/>
      <c r="G315" s="279"/>
      <c r="H315" s="279"/>
      <c r="I315" s="279"/>
      <c r="J315" s="279"/>
      <c r="K315" s="279"/>
    </row>
    <row r="316" spans="1:19" ht="15" customHeight="1" x14ac:dyDescent="0.2">
      <c r="A316" s="279"/>
      <c r="B316" s="279"/>
      <c r="C316" s="280"/>
      <c r="D316" s="279"/>
      <c r="E316" s="280"/>
      <c r="F316" s="279"/>
      <c r="G316" s="279"/>
      <c r="H316" s="279"/>
      <c r="I316" s="279"/>
      <c r="J316" s="279"/>
      <c r="K316" s="279"/>
    </row>
    <row r="317" spans="1:19" ht="15" customHeight="1" x14ac:dyDescent="0.2">
      <c r="A317" s="279"/>
      <c r="B317" s="279"/>
      <c r="C317" s="280"/>
      <c r="D317" s="279"/>
      <c r="E317" s="280"/>
      <c r="F317" s="279"/>
      <c r="G317" s="279"/>
      <c r="H317" s="279"/>
      <c r="I317" s="279"/>
      <c r="J317" s="279"/>
      <c r="K317" s="279"/>
    </row>
    <row r="318" spans="1:19" ht="15" customHeight="1" x14ac:dyDescent="0.2">
      <c r="A318" s="279"/>
      <c r="B318" s="279"/>
      <c r="C318" s="280"/>
      <c r="D318" s="279"/>
      <c r="E318" s="280"/>
      <c r="F318" s="279"/>
      <c r="G318" s="279"/>
      <c r="H318" s="279"/>
      <c r="I318" s="279"/>
      <c r="J318" s="279"/>
      <c r="K318" s="279"/>
    </row>
    <row r="319" spans="1:19" ht="15" customHeight="1" x14ac:dyDescent="0.2">
      <c r="A319" s="279"/>
      <c r="B319" s="279"/>
      <c r="C319" s="280"/>
      <c r="D319" s="279"/>
      <c r="E319" s="280"/>
      <c r="F319" s="279"/>
      <c r="G319" s="279"/>
      <c r="H319" s="279"/>
      <c r="I319" s="279"/>
      <c r="J319" s="279"/>
      <c r="K319" s="279"/>
    </row>
    <row r="320" spans="1:19" ht="15" customHeight="1" x14ac:dyDescent="0.2">
      <c r="A320" s="279"/>
      <c r="B320" s="279"/>
      <c r="C320" s="280"/>
      <c r="D320" s="279"/>
      <c r="E320" s="280"/>
      <c r="F320" s="279"/>
      <c r="G320" s="279"/>
      <c r="H320" s="279"/>
      <c r="I320" s="279"/>
      <c r="J320" s="279"/>
      <c r="K320" s="279"/>
    </row>
    <row r="321" spans="1:16" ht="15" customHeight="1" x14ac:dyDescent="0.2">
      <c r="A321" s="279"/>
      <c r="B321" s="279"/>
      <c r="C321" s="280"/>
      <c r="D321" s="279"/>
      <c r="E321" s="280"/>
      <c r="F321" s="279"/>
      <c r="G321" s="279"/>
      <c r="H321" s="279"/>
      <c r="I321" s="279"/>
      <c r="J321" s="279"/>
      <c r="K321" s="279"/>
    </row>
    <row r="322" spans="1:16" ht="15" customHeight="1" x14ac:dyDescent="0.2">
      <c r="A322" s="279"/>
      <c r="B322" s="279"/>
      <c r="C322" s="280"/>
      <c r="D322" s="279"/>
      <c r="E322" s="280"/>
      <c r="F322" s="279"/>
      <c r="G322" s="279"/>
      <c r="H322" s="279"/>
      <c r="I322" s="279"/>
      <c r="J322" s="279"/>
      <c r="K322" s="279"/>
    </row>
    <row r="323" spans="1:16" ht="15" customHeight="1" x14ac:dyDescent="0.25">
      <c r="A323" s="279"/>
      <c r="B323" s="279"/>
      <c r="C323" s="280"/>
      <c r="D323" s="279"/>
      <c r="E323" s="280"/>
      <c r="F323" s="573"/>
      <c r="G323" s="573"/>
      <c r="H323" s="573"/>
      <c r="I323" s="573"/>
      <c r="J323" s="573"/>
      <c r="K323" s="574"/>
      <c r="L323" s="574"/>
      <c r="M323" s="574"/>
      <c r="N323" s="574"/>
      <c r="O323" s="574"/>
      <c r="P323" s="574"/>
    </row>
    <row r="324" spans="1:16" x14ac:dyDescent="0.2">
      <c r="A324" s="279"/>
      <c r="B324" s="279"/>
      <c r="C324" s="280"/>
      <c r="D324" s="279"/>
      <c r="E324" s="280"/>
      <c r="F324" s="280"/>
      <c r="G324" s="280"/>
      <c r="H324" s="279"/>
      <c r="I324" s="279"/>
      <c r="J324" s="279"/>
      <c r="K324" s="279"/>
      <c r="L324" s="279"/>
      <c r="M324" s="279"/>
      <c r="N324" s="279"/>
      <c r="O324" s="279"/>
      <c r="P324" s="279"/>
    </row>
    <row r="325" spans="1:16" x14ac:dyDescent="0.2">
      <c r="A325" s="279"/>
      <c r="B325" s="279"/>
      <c r="C325" s="280"/>
      <c r="D325" s="279"/>
      <c r="E325" s="280"/>
      <c r="F325" s="280"/>
      <c r="G325" s="280"/>
      <c r="H325" s="279"/>
      <c r="I325" s="279"/>
      <c r="J325" s="279"/>
      <c r="K325" s="279"/>
      <c r="L325" s="279"/>
      <c r="M325" s="279"/>
      <c r="N325" s="279"/>
      <c r="O325" s="279"/>
      <c r="P325" s="279"/>
    </row>
    <row r="326" spans="1:16" x14ac:dyDescent="0.2">
      <c r="A326" s="279"/>
      <c r="B326" s="279"/>
      <c r="C326" s="280"/>
      <c r="D326" s="279"/>
      <c r="E326" s="280"/>
      <c r="F326" s="280"/>
      <c r="G326" s="280"/>
      <c r="H326" s="279"/>
      <c r="I326" s="279"/>
      <c r="J326" s="279"/>
      <c r="K326" s="279"/>
      <c r="L326" s="279"/>
      <c r="M326" s="279"/>
      <c r="N326" s="279"/>
      <c r="O326" s="279"/>
      <c r="P326" s="279"/>
    </row>
    <row r="327" spans="1:16" x14ac:dyDescent="0.2">
      <c r="A327" s="279"/>
      <c r="B327" s="279"/>
      <c r="C327" s="280"/>
      <c r="D327" s="279"/>
      <c r="E327" s="280"/>
      <c r="F327" s="280"/>
      <c r="G327" s="280"/>
      <c r="H327" s="279"/>
      <c r="I327" s="279"/>
      <c r="J327" s="279"/>
      <c r="K327" s="279"/>
      <c r="L327" s="279"/>
      <c r="M327" s="279"/>
      <c r="N327" s="279"/>
      <c r="O327" s="279"/>
      <c r="P327" s="279"/>
    </row>
    <row r="328" spans="1:16" x14ac:dyDescent="0.2">
      <c r="A328" s="279"/>
      <c r="B328" s="279"/>
      <c r="C328" s="280"/>
      <c r="D328" s="279"/>
      <c r="E328" s="280"/>
      <c r="F328" s="280"/>
      <c r="G328" s="280"/>
      <c r="H328" s="279"/>
      <c r="I328" s="279"/>
      <c r="J328" s="279"/>
      <c r="K328" s="279"/>
      <c r="L328" s="279"/>
      <c r="M328" s="279"/>
      <c r="N328" s="279"/>
      <c r="O328" s="279"/>
      <c r="P328" s="279"/>
    </row>
    <row r="329" spans="1:16" x14ac:dyDescent="0.2">
      <c r="A329" s="279"/>
      <c r="B329" s="279"/>
      <c r="C329" s="280"/>
      <c r="D329" s="279"/>
      <c r="E329" s="280"/>
      <c r="F329" s="280"/>
      <c r="G329" s="280"/>
      <c r="H329" s="279"/>
      <c r="I329" s="279"/>
      <c r="J329" s="279"/>
      <c r="K329" s="279"/>
      <c r="L329" s="279"/>
      <c r="M329" s="279"/>
      <c r="N329" s="279"/>
      <c r="O329" s="279"/>
      <c r="P329" s="279"/>
    </row>
    <row r="330" spans="1:16" x14ac:dyDescent="0.2">
      <c r="A330" s="279"/>
      <c r="B330" s="279"/>
      <c r="C330" s="280"/>
      <c r="D330" s="279"/>
      <c r="E330" s="280"/>
      <c r="F330" s="280"/>
      <c r="G330" s="280"/>
      <c r="H330" s="279"/>
      <c r="I330" s="279"/>
      <c r="J330" s="279"/>
      <c r="K330" s="279"/>
      <c r="L330" s="279"/>
      <c r="M330" s="279"/>
      <c r="N330" s="279"/>
      <c r="O330" s="279"/>
      <c r="P330" s="279"/>
    </row>
    <row r="331" spans="1:16" x14ac:dyDescent="0.2">
      <c r="A331" s="279"/>
      <c r="B331" s="279"/>
      <c r="C331" s="280"/>
      <c r="D331" s="279"/>
      <c r="E331" s="280"/>
      <c r="F331" s="280"/>
      <c r="G331" s="280"/>
      <c r="H331" s="279"/>
      <c r="I331" s="279"/>
      <c r="J331" s="279"/>
      <c r="K331" s="279"/>
      <c r="L331" s="279"/>
      <c r="M331" s="279"/>
      <c r="N331" s="279"/>
      <c r="O331" s="279"/>
      <c r="P331" s="279"/>
    </row>
    <row r="332" spans="1:16" x14ac:dyDescent="0.2">
      <c r="A332" s="279"/>
      <c r="B332" s="279"/>
      <c r="C332" s="280"/>
      <c r="D332" s="279"/>
      <c r="E332" s="280"/>
      <c r="F332" s="280"/>
      <c r="G332" s="280"/>
      <c r="H332" s="279"/>
      <c r="I332" s="279"/>
      <c r="J332" s="279"/>
      <c r="K332" s="279"/>
      <c r="L332" s="279"/>
      <c r="M332" s="279"/>
      <c r="N332" s="279"/>
      <c r="O332" s="279"/>
      <c r="P332" s="279"/>
    </row>
    <row r="333" spans="1:16" x14ac:dyDescent="0.2">
      <c r="A333" s="279"/>
      <c r="B333" s="279"/>
      <c r="C333" s="280"/>
      <c r="D333" s="279"/>
      <c r="E333" s="280"/>
      <c r="F333" s="280"/>
      <c r="G333" s="280"/>
      <c r="H333" s="279"/>
      <c r="I333" s="279"/>
      <c r="J333" s="279"/>
      <c r="K333" s="279"/>
      <c r="L333" s="279"/>
      <c r="M333" s="279"/>
      <c r="N333" s="279"/>
      <c r="O333" s="279"/>
      <c r="P333" s="279"/>
    </row>
    <row r="334" spans="1:16" x14ac:dyDescent="0.2">
      <c r="A334" s="279"/>
      <c r="B334" s="279"/>
      <c r="C334" s="280"/>
      <c r="D334" s="279"/>
      <c r="E334" s="280"/>
      <c r="F334" s="280"/>
      <c r="G334" s="280"/>
      <c r="H334" s="279"/>
      <c r="I334" s="279"/>
      <c r="J334" s="279"/>
      <c r="K334" s="279"/>
      <c r="L334" s="279"/>
      <c r="M334" s="279"/>
      <c r="N334" s="279"/>
      <c r="O334" s="279"/>
      <c r="P334" s="279"/>
    </row>
    <row r="335" spans="1:16" x14ac:dyDescent="0.2">
      <c r="A335" s="279"/>
      <c r="B335" s="279"/>
      <c r="C335" s="280"/>
      <c r="D335" s="279"/>
      <c r="E335" s="280"/>
      <c r="F335" s="280"/>
      <c r="G335" s="280"/>
      <c r="H335" s="279"/>
      <c r="I335" s="279"/>
      <c r="J335" s="279"/>
      <c r="K335" s="279"/>
      <c r="L335" s="279"/>
      <c r="M335" s="279"/>
      <c r="N335" s="279"/>
      <c r="O335" s="279"/>
      <c r="P335" s="279"/>
    </row>
    <row r="336" spans="1:16" x14ac:dyDescent="0.2">
      <c r="A336" s="279"/>
      <c r="B336" s="279"/>
      <c r="C336" s="280"/>
      <c r="D336" s="279"/>
      <c r="E336" s="280"/>
      <c r="F336" s="280"/>
      <c r="G336" s="280"/>
      <c r="H336" s="279"/>
      <c r="I336" s="279"/>
      <c r="J336" s="279"/>
      <c r="K336" s="279"/>
      <c r="L336" s="279"/>
      <c r="M336" s="279"/>
      <c r="N336" s="279"/>
      <c r="O336" s="279"/>
      <c r="P336" s="279"/>
    </row>
    <row r="337" spans="1:16" x14ac:dyDescent="0.2">
      <c r="A337" s="279"/>
      <c r="B337" s="279"/>
      <c r="C337" s="280"/>
      <c r="D337" s="279"/>
      <c r="E337" s="280"/>
      <c r="F337" s="280"/>
      <c r="G337" s="280"/>
      <c r="H337" s="279"/>
      <c r="I337" s="279"/>
      <c r="J337" s="279"/>
      <c r="K337" s="279"/>
      <c r="L337" s="279"/>
      <c r="M337" s="279"/>
      <c r="N337" s="279"/>
      <c r="O337" s="279"/>
      <c r="P337" s="279"/>
    </row>
    <row r="338" spans="1:16" x14ac:dyDescent="0.2">
      <c r="A338" s="279"/>
      <c r="B338" s="279"/>
      <c r="C338" s="280"/>
      <c r="D338" s="279"/>
      <c r="E338" s="280"/>
      <c r="F338" s="280"/>
      <c r="G338" s="280"/>
      <c r="H338" s="279"/>
      <c r="I338" s="279"/>
      <c r="J338" s="279"/>
      <c r="K338" s="279"/>
      <c r="L338" s="279"/>
      <c r="M338" s="279"/>
      <c r="N338" s="279"/>
      <c r="O338" s="279"/>
      <c r="P338" s="279"/>
    </row>
    <row r="339" spans="1:16" x14ac:dyDescent="0.2">
      <c r="A339" s="279"/>
      <c r="B339" s="279"/>
      <c r="C339" s="280"/>
      <c r="D339" s="279"/>
      <c r="E339" s="280"/>
      <c r="F339" s="280"/>
      <c r="G339" s="280"/>
      <c r="H339" s="279"/>
      <c r="I339" s="279"/>
      <c r="J339" s="279"/>
      <c r="K339" s="279"/>
      <c r="L339" s="279"/>
      <c r="M339" s="279"/>
      <c r="N339" s="279"/>
      <c r="O339" s="279"/>
      <c r="P339" s="279"/>
    </row>
    <row r="340" spans="1:16" x14ac:dyDescent="0.2">
      <c r="A340" s="279"/>
      <c r="B340" s="279"/>
      <c r="C340" s="280"/>
      <c r="D340" s="279"/>
      <c r="E340" s="280"/>
      <c r="F340" s="280"/>
      <c r="G340" s="280"/>
      <c r="H340" s="279"/>
      <c r="I340" s="279"/>
      <c r="J340" s="279"/>
      <c r="K340" s="279"/>
      <c r="L340" s="279"/>
      <c r="M340" s="279"/>
      <c r="N340" s="279"/>
      <c r="O340" s="279"/>
      <c r="P340" s="279"/>
    </row>
    <row r="341" spans="1:16" x14ac:dyDescent="0.2">
      <c r="A341" s="279"/>
      <c r="B341" s="279"/>
      <c r="C341" s="280"/>
      <c r="D341" s="279"/>
      <c r="E341" s="280"/>
      <c r="F341" s="280"/>
      <c r="G341" s="280"/>
      <c r="H341" s="279"/>
      <c r="I341" s="279"/>
      <c r="J341" s="279"/>
      <c r="K341" s="279"/>
      <c r="L341" s="279"/>
      <c r="M341" s="279"/>
      <c r="N341" s="279"/>
      <c r="O341" s="279"/>
      <c r="P341" s="279"/>
    </row>
    <row r="342" spans="1:16" x14ac:dyDescent="0.2">
      <c r="A342" s="279"/>
      <c r="B342" s="279"/>
      <c r="C342" s="280"/>
      <c r="D342" s="279"/>
      <c r="E342" s="280"/>
      <c r="F342" s="280"/>
      <c r="G342" s="280"/>
      <c r="H342" s="279"/>
      <c r="I342" s="279"/>
      <c r="J342" s="279"/>
      <c r="K342" s="279"/>
      <c r="L342" s="279"/>
      <c r="M342" s="279"/>
      <c r="N342" s="279"/>
      <c r="O342" s="279"/>
      <c r="P342" s="279"/>
    </row>
    <row r="343" spans="1:16" x14ac:dyDescent="0.2">
      <c r="A343" s="279"/>
      <c r="B343" s="279"/>
      <c r="C343" s="280"/>
      <c r="D343" s="279"/>
      <c r="E343" s="280"/>
      <c r="F343" s="280"/>
      <c r="G343" s="280"/>
      <c r="H343" s="279"/>
      <c r="I343" s="279"/>
      <c r="J343" s="279"/>
      <c r="K343" s="279"/>
      <c r="L343" s="279"/>
      <c r="M343" s="279"/>
      <c r="N343" s="279"/>
      <c r="O343" s="279"/>
      <c r="P343" s="279"/>
    </row>
    <row r="344" spans="1:16" x14ac:dyDescent="0.2">
      <c r="A344" s="279"/>
      <c r="B344" s="279"/>
      <c r="C344" s="280"/>
      <c r="D344" s="279"/>
      <c r="E344" s="280"/>
      <c r="F344" s="280"/>
      <c r="G344" s="280"/>
      <c r="H344" s="279"/>
      <c r="I344" s="279"/>
      <c r="J344" s="279"/>
      <c r="K344" s="279"/>
      <c r="L344" s="279"/>
      <c r="M344" s="279"/>
      <c r="N344" s="279"/>
      <c r="O344" s="279"/>
      <c r="P344" s="279"/>
    </row>
    <row r="345" spans="1:16" x14ac:dyDescent="0.2">
      <c r="A345" s="279"/>
      <c r="B345" s="279"/>
      <c r="C345" s="280"/>
      <c r="D345" s="279"/>
      <c r="E345" s="280"/>
      <c r="F345" s="280"/>
      <c r="G345" s="280"/>
      <c r="H345" s="279"/>
      <c r="I345" s="279"/>
      <c r="J345" s="279"/>
      <c r="K345" s="279"/>
      <c r="L345" s="279"/>
      <c r="M345" s="279"/>
      <c r="N345" s="279"/>
      <c r="O345" s="279"/>
      <c r="P345" s="279"/>
    </row>
    <row r="346" spans="1:16" x14ac:dyDescent="0.2">
      <c r="A346" s="279"/>
      <c r="B346" s="279"/>
      <c r="C346" s="280"/>
      <c r="D346" s="279"/>
      <c r="E346" s="280"/>
      <c r="F346" s="280"/>
      <c r="G346" s="280"/>
      <c r="H346" s="279"/>
      <c r="I346" s="279"/>
      <c r="J346" s="279"/>
      <c r="K346" s="279"/>
      <c r="L346" s="279"/>
      <c r="M346" s="279"/>
      <c r="N346" s="279"/>
      <c r="O346" s="279"/>
      <c r="P346" s="279"/>
    </row>
    <row r="347" spans="1:16" x14ac:dyDescent="0.2">
      <c r="A347" s="279"/>
      <c r="B347" s="279"/>
      <c r="C347" s="280"/>
      <c r="D347" s="279"/>
      <c r="E347" s="280"/>
      <c r="F347" s="280"/>
      <c r="G347" s="280"/>
      <c r="H347" s="279"/>
      <c r="I347" s="279"/>
      <c r="J347" s="279"/>
      <c r="K347" s="279"/>
      <c r="L347" s="279"/>
      <c r="M347" s="279"/>
      <c r="N347" s="279"/>
      <c r="O347" s="279"/>
      <c r="P347" s="279"/>
    </row>
    <row r="348" spans="1:16" x14ac:dyDescent="0.2">
      <c r="A348" s="279"/>
      <c r="B348" s="279"/>
      <c r="C348" s="280"/>
      <c r="D348" s="279"/>
      <c r="E348" s="280"/>
      <c r="F348" s="280"/>
      <c r="G348" s="280"/>
      <c r="H348" s="279"/>
      <c r="I348" s="279"/>
      <c r="J348" s="279"/>
      <c r="K348" s="279"/>
      <c r="L348" s="279"/>
      <c r="M348" s="279"/>
      <c r="N348" s="279"/>
      <c r="O348" s="279"/>
      <c r="P348" s="279"/>
    </row>
    <row r="349" spans="1:16" x14ac:dyDescent="0.2">
      <c r="A349" s="279"/>
      <c r="B349" s="279"/>
      <c r="C349" s="280"/>
      <c r="D349" s="279"/>
      <c r="E349" s="280"/>
      <c r="F349" s="280"/>
      <c r="G349" s="280"/>
      <c r="H349" s="279"/>
      <c r="I349" s="279"/>
      <c r="J349" s="279"/>
      <c r="K349" s="279"/>
      <c r="L349" s="279"/>
      <c r="M349" s="279"/>
      <c r="N349" s="279"/>
      <c r="O349" s="279"/>
      <c r="P349" s="279"/>
    </row>
    <row r="350" spans="1:16" x14ac:dyDescent="0.2">
      <c r="A350" s="279"/>
      <c r="B350" s="279"/>
      <c r="C350" s="280"/>
      <c r="D350" s="279"/>
      <c r="E350" s="280"/>
      <c r="F350" s="280"/>
      <c r="G350" s="280"/>
      <c r="H350" s="279"/>
      <c r="I350" s="279"/>
      <c r="J350" s="279"/>
      <c r="K350" s="279"/>
      <c r="L350" s="279"/>
      <c r="M350" s="279"/>
      <c r="N350" s="279"/>
      <c r="O350" s="279"/>
      <c r="P350" s="279"/>
    </row>
    <row r="351" spans="1:16" x14ac:dyDescent="0.2">
      <c r="A351" s="279"/>
      <c r="B351" s="279"/>
      <c r="C351" s="280"/>
      <c r="D351" s="279"/>
      <c r="E351" s="280"/>
      <c r="F351" s="280"/>
      <c r="G351" s="280"/>
      <c r="H351" s="279"/>
      <c r="I351" s="279"/>
      <c r="J351" s="279"/>
      <c r="K351" s="279"/>
      <c r="L351" s="279"/>
      <c r="M351" s="279"/>
      <c r="N351" s="279"/>
      <c r="O351" s="279"/>
      <c r="P351" s="279"/>
    </row>
    <row r="352" spans="1:16" x14ac:dyDescent="0.2">
      <c r="A352" s="279"/>
      <c r="B352" s="279"/>
      <c r="C352" s="280"/>
      <c r="D352" s="279"/>
      <c r="E352" s="280"/>
      <c r="F352" s="280"/>
      <c r="G352" s="280"/>
      <c r="H352" s="279"/>
      <c r="I352" s="279"/>
      <c r="J352" s="279"/>
      <c r="K352" s="279"/>
      <c r="L352" s="279"/>
      <c r="M352" s="279"/>
      <c r="N352" s="279"/>
      <c r="O352" s="279"/>
      <c r="P352" s="279"/>
    </row>
    <row r="353" spans="1:16" x14ac:dyDescent="0.2">
      <c r="A353" s="279"/>
      <c r="B353" s="279"/>
      <c r="C353" s="280"/>
      <c r="D353" s="279"/>
      <c r="E353" s="280"/>
      <c r="F353" s="280"/>
      <c r="G353" s="280"/>
      <c r="H353" s="279"/>
      <c r="I353" s="279"/>
      <c r="J353" s="279"/>
      <c r="K353" s="279"/>
      <c r="L353" s="279"/>
      <c r="M353" s="279"/>
      <c r="N353" s="279"/>
      <c r="O353" s="279"/>
      <c r="P353" s="279"/>
    </row>
    <row r="354" spans="1:16" x14ac:dyDescent="0.2">
      <c r="A354" s="279"/>
      <c r="B354" s="279"/>
      <c r="C354" s="280"/>
      <c r="D354" s="279"/>
      <c r="E354" s="280"/>
      <c r="F354" s="280"/>
      <c r="G354" s="280"/>
      <c r="H354" s="279"/>
      <c r="I354" s="279"/>
      <c r="J354" s="279"/>
      <c r="K354" s="279"/>
      <c r="L354" s="279"/>
      <c r="M354" s="279"/>
      <c r="N354" s="279"/>
      <c r="O354" s="279"/>
      <c r="P354" s="279"/>
    </row>
    <row r="355" spans="1:16" x14ac:dyDescent="0.2">
      <c r="A355" s="279"/>
      <c r="F355" s="280"/>
      <c r="G355" s="280"/>
      <c r="H355" s="279"/>
      <c r="I355" s="279"/>
      <c r="J355" s="279"/>
      <c r="K355" s="279"/>
      <c r="L355" s="279"/>
      <c r="M355" s="279"/>
      <c r="N355" s="279"/>
      <c r="O355" s="279"/>
      <c r="P355" s="279"/>
    </row>
    <row r="356" spans="1:16" x14ac:dyDescent="0.2">
      <c r="A356" s="279"/>
      <c r="F356" s="280"/>
      <c r="G356" s="280"/>
      <c r="H356" s="279"/>
      <c r="I356" s="279"/>
      <c r="J356" s="279"/>
      <c r="K356" s="279"/>
      <c r="L356" s="279"/>
      <c r="M356" s="279"/>
      <c r="N356" s="279"/>
      <c r="O356" s="279"/>
      <c r="P356" s="279"/>
    </row>
    <row r="357" spans="1:16" x14ac:dyDescent="0.2">
      <c r="A357" s="279"/>
      <c r="F357" s="280"/>
      <c r="G357" s="280"/>
      <c r="H357" s="279"/>
      <c r="I357" s="279"/>
      <c r="J357" s="279"/>
      <c r="K357" s="279"/>
      <c r="L357" s="279"/>
      <c r="M357" s="279"/>
      <c r="N357" s="279"/>
      <c r="O357" s="279"/>
      <c r="P357" s="279"/>
    </row>
    <row r="358" spans="1:16" x14ac:dyDescent="0.2">
      <c r="A358" s="279"/>
      <c r="F358" s="280"/>
      <c r="G358" s="280"/>
      <c r="H358" s="279"/>
      <c r="I358" s="279"/>
      <c r="J358" s="279"/>
      <c r="K358" s="279"/>
      <c r="L358" s="279"/>
      <c r="M358" s="279"/>
      <c r="N358" s="279"/>
      <c r="O358" s="279"/>
      <c r="P358" s="279"/>
    </row>
    <row r="359" spans="1:16" x14ac:dyDescent="0.2">
      <c r="A359" s="279"/>
      <c r="F359" s="280"/>
      <c r="G359" s="280"/>
      <c r="H359" s="279"/>
      <c r="I359" s="279"/>
      <c r="J359" s="279"/>
      <c r="K359" s="279"/>
      <c r="L359" s="279"/>
      <c r="M359" s="279"/>
      <c r="N359" s="279"/>
      <c r="O359" s="279"/>
      <c r="P359" s="279"/>
    </row>
    <row r="360" spans="1:16" x14ac:dyDescent="0.2">
      <c r="A360" s="279"/>
      <c r="F360" s="280"/>
      <c r="G360" s="280"/>
      <c r="H360" s="279"/>
      <c r="I360" s="279"/>
      <c r="J360" s="279"/>
      <c r="K360" s="279"/>
      <c r="L360" s="279"/>
      <c r="M360" s="279"/>
      <c r="N360" s="279"/>
      <c r="O360" s="279"/>
      <c r="P360" s="279"/>
    </row>
    <row r="361" spans="1:16" x14ac:dyDescent="0.2">
      <c r="A361" s="279"/>
      <c r="F361" s="280"/>
      <c r="G361" s="280"/>
      <c r="H361" s="279"/>
      <c r="I361" s="279"/>
      <c r="J361" s="279"/>
      <c r="K361" s="279"/>
      <c r="L361" s="279"/>
      <c r="M361" s="279"/>
      <c r="N361" s="279"/>
      <c r="O361" s="279"/>
      <c r="P361" s="279"/>
    </row>
    <row r="362" spans="1:16" x14ac:dyDescent="0.2">
      <c r="A362" s="279"/>
      <c r="F362" s="280"/>
      <c r="G362" s="280"/>
      <c r="H362" s="279"/>
      <c r="I362" s="279"/>
      <c r="J362" s="279"/>
      <c r="K362" s="279"/>
      <c r="L362" s="279"/>
      <c r="M362" s="279"/>
      <c r="N362" s="279"/>
      <c r="O362" s="279"/>
      <c r="P362" s="279"/>
    </row>
  </sheetData>
  <mergeCells count="18">
    <mergeCell ref="A106:P106"/>
    <mergeCell ref="A1:P1"/>
    <mergeCell ref="A54:P54"/>
    <mergeCell ref="A55:P55"/>
    <mergeCell ref="A105:P105"/>
    <mergeCell ref="A104:P104"/>
    <mergeCell ref="A56:P56"/>
    <mergeCell ref="A3:P3"/>
    <mergeCell ref="A2:P2"/>
    <mergeCell ref="A254:P254"/>
    <mergeCell ref="A255:P255"/>
    <mergeCell ref="A256:P256"/>
    <mergeCell ref="A148:P148"/>
    <mergeCell ref="A149:P149"/>
    <mergeCell ref="A150:P150"/>
    <mergeCell ref="A207:P207"/>
    <mergeCell ref="A206:P206"/>
    <mergeCell ref="A205:P205"/>
  </mergeCells>
  <phoneticPr fontId="0" type="noConversion"/>
  <printOptions horizontalCentered="1"/>
  <pageMargins left="0" right="0" top="0.5" bottom="0" header="0" footer="0"/>
  <pageSetup scale="94" orientation="landscape" r:id="rId1"/>
  <headerFooter alignWithMargins="0"/>
  <rowBreaks count="7" manualBreakCount="7">
    <brk id="53" max="15" man="1"/>
    <brk id="102" max="15" man="1"/>
    <brk id="147" max="15" man="1"/>
    <brk id="203" max="15" man="1"/>
    <brk id="253" max="15" man="1"/>
    <brk id="302" max="15" man="1"/>
    <brk id="304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">
    <tabColor rgb="FF92D050"/>
  </sheetPr>
  <dimension ref="A1:CP459"/>
  <sheetViews>
    <sheetView zoomScale="80" zoomScaleNormal="80" workbookViewId="0">
      <selection activeCell="E460" sqref="E460"/>
    </sheetView>
  </sheetViews>
  <sheetFormatPr defaultColWidth="7" defaultRowHeight="15.5" x14ac:dyDescent="0.35"/>
  <cols>
    <col min="1" max="1" width="8.625" style="87" bestFit="1" customWidth="1"/>
    <col min="2" max="2" width="51" style="45" customWidth="1"/>
    <col min="3" max="3" width="26.625" style="63" bestFit="1" customWidth="1"/>
    <col min="4" max="4" width="24.375" style="63" bestFit="1" customWidth="1"/>
    <col min="5" max="5" width="25.625" style="63" bestFit="1" customWidth="1"/>
    <col min="6" max="6" width="22.375" style="63" bestFit="1" customWidth="1"/>
    <col min="7" max="7" width="21.375" style="63" bestFit="1" customWidth="1"/>
    <col min="8" max="8" width="21.625" style="63" bestFit="1" customWidth="1"/>
    <col min="9" max="12" width="21.375" style="63" bestFit="1" customWidth="1"/>
    <col min="13" max="13" width="20.625" style="63" customWidth="1"/>
    <col min="14" max="14" width="21.125" style="63" bestFit="1" customWidth="1"/>
    <col min="15" max="15" width="22.375" style="63" bestFit="1" customWidth="1"/>
    <col min="16" max="16" width="22.625" style="45" customWidth="1"/>
    <col min="17" max="17" width="7" style="52"/>
    <col min="18" max="18" width="20.625" style="52" bestFit="1" customWidth="1"/>
    <col min="19" max="94" width="7" style="52"/>
    <col min="95" max="16384" width="7" style="45"/>
  </cols>
  <sheetData>
    <row r="1" spans="1:24" x14ac:dyDescent="0.35">
      <c r="A1" s="808" t="str">
        <f>CONAME</f>
        <v>Columbia Gas of Kentucky, Inc.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</row>
    <row r="2" spans="1:24" x14ac:dyDescent="0.35">
      <c r="A2" s="808" t="s">
        <v>194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</row>
    <row r="3" spans="1:24" x14ac:dyDescent="0.35">
      <c r="A3" s="807" t="str">
        <f>TYDESC</f>
        <v>For the 12 Months Ended December 31, 2022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</row>
    <row r="4" spans="1:24" x14ac:dyDescent="0.3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24" x14ac:dyDescent="0.35">
      <c r="A5" s="96" t="s">
        <v>334</v>
      </c>
      <c r="C5" s="75"/>
      <c r="D5" s="75"/>
      <c r="E5" s="75"/>
      <c r="F5" s="75"/>
      <c r="P5" s="88" t="s">
        <v>332</v>
      </c>
      <c r="R5" s="51"/>
      <c r="S5" s="51"/>
      <c r="T5" s="51"/>
      <c r="U5" s="51"/>
      <c r="V5" s="51"/>
      <c r="W5" s="51"/>
      <c r="X5" s="51"/>
    </row>
    <row r="6" spans="1:24" x14ac:dyDescent="0.35">
      <c r="A6" s="96" t="s">
        <v>220</v>
      </c>
      <c r="C6" s="75"/>
      <c r="D6" s="75"/>
      <c r="E6" s="75"/>
      <c r="F6" s="75"/>
      <c r="P6" s="89" t="s">
        <v>343</v>
      </c>
    </row>
    <row r="7" spans="1:24" x14ac:dyDescent="0.35">
      <c r="A7" s="97" t="s">
        <v>63</v>
      </c>
      <c r="C7" s="75"/>
      <c r="D7" s="75"/>
      <c r="E7" s="75"/>
      <c r="F7" s="75"/>
      <c r="P7" s="89"/>
    </row>
    <row r="8" spans="1:24" x14ac:dyDescent="0.35">
      <c r="A8" s="98" t="s">
        <v>299</v>
      </c>
      <c r="B8" s="46"/>
      <c r="C8" s="75"/>
      <c r="D8" s="163"/>
      <c r="E8" s="75"/>
      <c r="F8" s="164"/>
      <c r="G8" s="165"/>
      <c r="H8" s="164"/>
      <c r="I8" s="166"/>
      <c r="J8" s="164"/>
      <c r="K8" s="164"/>
      <c r="L8" s="164"/>
      <c r="M8" s="164"/>
      <c r="N8" s="164"/>
      <c r="O8" s="164"/>
      <c r="P8" s="54"/>
      <c r="Q8" s="120"/>
      <c r="R8" s="120"/>
    </row>
    <row r="9" spans="1:24" x14ac:dyDescent="0.35">
      <c r="A9" s="90"/>
      <c r="B9" s="46"/>
      <c r="C9" s="75"/>
      <c r="D9" s="163"/>
      <c r="E9" s="75"/>
      <c r="F9" s="164"/>
      <c r="G9" s="165"/>
      <c r="H9" s="164"/>
      <c r="I9" s="166"/>
      <c r="J9" s="164"/>
      <c r="K9" s="164"/>
      <c r="L9" s="164"/>
      <c r="M9" s="164"/>
      <c r="N9" s="164"/>
      <c r="O9" s="164"/>
      <c r="P9" s="54"/>
      <c r="Q9" s="120"/>
      <c r="R9" s="120"/>
    </row>
    <row r="10" spans="1:24" x14ac:dyDescent="0.35">
      <c r="A10" s="46" t="s">
        <v>1</v>
      </c>
      <c r="B10" s="46"/>
      <c r="C10" s="75"/>
      <c r="D10" s="163"/>
      <c r="E10" s="75"/>
      <c r="F10" s="164"/>
      <c r="G10" s="165"/>
      <c r="H10" s="164"/>
      <c r="I10" s="166"/>
      <c r="J10" s="164"/>
      <c r="K10" s="164"/>
      <c r="L10" s="164"/>
      <c r="M10" s="164"/>
      <c r="N10" s="164"/>
      <c r="O10" s="164"/>
      <c r="P10" s="54"/>
      <c r="Q10" s="131"/>
      <c r="R10" s="131"/>
    </row>
    <row r="11" spans="1:24" x14ac:dyDescent="0.35">
      <c r="A11" s="56" t="s">
        <v>3</v>
      </c>
      <c r="B11" s="56" t="s">
        <v>4</v>
      </c>
      <c r="C11" s="77" t="s">
        <v>183</v>
      </c>
      <c r="D11" s="157" t="str">
        <f>B!$D$11</f>
        <v>Jan-22</v>
      </c>
      <c r="E11" s="157" t="str">
        <f>B!$E$11</f>
        <v>Feb-22</v>
      </c>
      <c r="F11" s="157" t="str">
        <f>B!$F$11</f>
        <v>Mar-22</v>
      </c>
      <c r="G11" s="157" t="str">
        <f>B!$G$11</f>
        <v>Apr-22</v>
      </c>
      <c r="H11" s="157" t="str">
        <f>B!$H$11</f>
        <v>May-22</v>
      </c>
      <c r="I11" s="157" t="str">
        <f>B!$I$11</f>
        <v>Jun-22</v>
      </c>
      <c r="J11" s="157" t="str">
        <f>B!$J$11</f>
        <v>Jul-22</v>
      </c>
      <c r="K11" s="157" t="str">
        <f>B!$K$11</f>
        <v>Aug-22</v>
      </c>
      <c r="L11" s="157" t="str">
        <f>B!$L$11</f>
        <v>Sep-22</v>
      </c>
      <c r="M11" s="157" t="str">
        <f>B!$M$11</f>
        <v>Oct-22</v>
      </c>
      <c r="N11" s="157" t="str">
        <f>B!$N$11</f>
        <v>Nov-22</v>
      </c>
      <c r="O11" s="157" t="str">
        <f>B!$O$11</f>
        <v>Dec-22</v>
      </c>
      <c r="P11" s="57" t="s">
        <v>9</v>
      </c>
      <c r="S11" s="208"/>
    </row>
    <row r="12" spans="1:24" x14ac:dyDescent="0.35">
      <c r="A12" s="46"/>
      <c r="B12" s="47" t="s">
        <v>42</v>
      </c>
      <c r="C12" s="78" t="s">
        <v>43</v>
      </c>
      <c r="D12" s="55" t="s">
        <v>45</v>
      </c>
      <c r="E12" s="55" t="s">
        <v>46</v>
      </c>
      <c r="F12" s="55" t="s">
        <v>49</v>
      </c>
      <c r="G12" s="55" t="s">
        <v>50</v>
      </c>
      <c r="H12" s="55" t="s">
        <v>51</v>
      </c>
      <c r="I12" s="55" t="s">
        <v>52</v>
      </c>
      <c r="J12" s="55" t="s">
        <v>53</v>
      </c>
      <c r="K12" s="59" t="s">
        <v>54</v>
      </c>
      <c r="L12" s="59" t="s">
        <v>55</v>
      </c>
      <c r="M12" s="59" t="s">
        <v>56</v>
      </c>
      <c r="N12" s="59" t="s">
        <v>57</v>
      </c>
      <c r="O12" s="59" t="s">
        <v>58</v>
      </c>
      <c r="P12" s="59" t="s">
        <v>59</v>
      </c>
      <c r="S12" s="131"/>
    </row>
    <row r="13" spans="1:24" x14ac:dyDescent="0.35">
      <c r="A13" s="46"/>
      <c r="B13" s="47"/>
      <c r="C13" s="78"/>
      <c r="D13" s="167"/>
      <c r="E13" s="160"/>
      <c r="F13" s="160"/>
      <c r="G13" s="160"/>
      <c r="H13" s="160"/>
      <c r="I13" s="160"/>
      <c r="J13" s="160"/>
      <c r="K13" s="158"/>
      <c r="L13" s="158"/>
      <c r="M13" s="158"/>
      <c r="N13" s="158"/>
      <c r="O13" s="158"/>
      <c r="P13" s="59"/>
      <c r="Q13" s="132"/>
      <c r="R13" s="132"/>
      <c r="S13" s="131"/>
    </row>
    <row r="14" spans="1:24" x14ac:dyDescent="0.35">
      <c r="A14" s="87">
        <v>1</v>
      </c>
      <c r="B14" s="48" t="s">
        <v>238</v>
      </c>
    </row>
    <row r="15" spans="1:24" x14ac:dyDescent="0.35">
      <c r="A15" s="87">
        <f>A14+1</f>
        <v>2</v>
      </c>
      <c r="B15" s="45" t="s">
        <v>339</v>
      </c>
      <c r="C15" s="74"/>
      <c r="D15" s="99">
        <v>1484059.2</v>
      </c>
      <c r="E15" s="99">
        <v>1502349.6</v>
      </c>
      <c r="F15" s="99">
        <v>1166162.7</v>
      </c>
      <c r="G15" s="99">
        <v>664959.6</v>
      </c>
      <c r="H15" s="99">
        <v>284958.40000000002</v>
      </c>
      <c r="I15" s="99">
        <v>148158.1</v>
      </c>
      <c r="J15" s="99">
        <v>83378.5</v>
      </c>
      <c r="K15" s="99">
        <v>87613.7</v>
      </c>
      <c r="L15" s="99">
        <v>102204</v>
      </c>
      <c r="M15" s="99">
        <v>177653.4</v>
      </c>
      <c r="N15" s="99">
        <v>461545.8</v>
      </c>
      <c r="O15" s="99">
        <v>1093564.7</v>
      </c>
      <c r="P15" s="65">
        <f>SUM(D15:O15)</f>
        <v>7256607.7000000002</v>
      </c>
    </row>
    <row r="16" spans="1:24" x14ac:dyDescent="0.35">
      <c r="A16" s="87">
        <f>A15+1</f>
        <v>3</v>
      </c>
      <c r="B16" s="45" t="s">
        <v>241</v>
      </c>
      <c r="C16" s="106" t="s">
        <v>342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68">
        <f>SUM(D16:O16)</f>
        <v>0</v>
      </c>
    </row>
    <row r="17" spans="1:16" x14ac:dyDescent="0.35">
      <c r="A17" s="91">
        <f>A16+1</f>
        <v>4</v>
      </c>
      <c r="B17" s="52" t="s">
        <v>260</v>
      </c>
      <c r="C17" s="105"/>
      <c r="D17" s="102">
        <f t="shared" ref="D17:O17" si="0">SUM(D15:D16)</f>
        <v>1484059.2</v>
      </c>
      <c r="E17" s="102">
        <f t="shared" si="0"/>
        <v>1502349.6</v>
      </c>
      <c r="F17" s="102">
        <f t="shared" si="0"/>
        <v>1166162.7</v>
      </c>
      <c r="G17" s="102">
        <f t="shared" si="0"/>
        <v>664959.6</v>
      </c>
      <c r="H17" s="102">
        <f t="shared" si="0"/>
        <v>284958.40000000002</v>
      </c>
      <c r="I17" s="102">
        <f t="shared" si="0"/>
        <v>148158.1</v>
      </c>
      <c r="J17" s="102">
        <f t="shared" si="0"/>
        <v>83378.5</v>
      </c>
      <c r="K17" s="102">
        <f t="shared" si="0"/>
        <v>87613.7</v>
      </c>
      <c r="L17" s="102">
        <f t="shared" si="0"/>
        <v>102204</v>
      </c>
      <c r="M17" s="102">
        <f t="shared" si="0"/>
        <v>177653.4</v>
      </c>
      <c r="N17" s="102">
        <f t="shared" si="0"/>
        <v>461545.8</v>
      </c>
      <c r="O17" s="102">
        <f t="shared" si="0"/>
        <v>1093564.7</v>
      </c>
      <c r="P17" s="103">
        <f>SUM(D17:O17)</f>
        <v>7256607.7000000002</v>
      </c>
    </row>
    <row r="18" spans="1:16" x14ac:dyDescent="0.35">
      <c r="A18" s="91"/>
      <c r="B18" s="51"/>
      <c r="C18" s="105"/>
      <c r="D18" s="93"/>
      <c r="E18" s="93"/>
      <c r="F18" s="101"/>
      <c r="G18" s="93"/>
      <c r="H18" s="129"/>
      <c r="I18" s="101"/>
      <c r="J18" s="101"/>
      <c r="K18" s="93"/>
      <c r="L18" s="93"/>
      <c r="M18" s="93"/>
      <c r="N18" s="93"/>
      <c r="O18" s="93"/>
      <c r="P18" s="52"/>
    </row>
    <row r="19" spans="1:16" x14ac:dyDescent="0.35">
      <c r="A19" s="91">
        <f>A17+1</f>
        <v>5</v>
      </c>
      <c r="B19" s="51" t="s">
        <v>239</v>
      </c>
      <c r="C19" s="129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52"/>
    </row>
    <row r="20" spans="1:16" x14ac:dyDescent="0.35">
      <c r="A20" s="91">
        <f>A19+1</f>
        <v>6</v>
      </c>
      <c r="B20" s="52" t="s">
        <v>339</v>
      </c>
      <c r="C20" s="129"/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62">
        <f>SUM(D20:O20)</f>
        <v>0</v>
      </c>
    </row>
    <row r="21" spans="1:16" x14ac:dyDescent="0.35">
      <c r="A21" s="91">
        <f>A20+1</f>
        <v>7</v>
      </c>
      <c r="B21" s="52" t="s">
        <v>241</v>
      </c>
      <c r="C21" s="139" t="s">
        <v>342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68">
        <f>SUM(D21:O21)</f>
        <v>0</v>
      </c>
    </row>
    <row r="22" spans="1:16" x14ac:dyDescent="0.35">
      <c r="A22" s="91">
        <f>A21+1</f>
        <v>8</v>
      </c>
      <c r="B22" s="52" t="s">
        <v>260</v>
      </c>
      <c r="C22" s="105"/>
      <c r="D22" s="102">
        <f t="shared" ref="D22:O22" si="1">SUM(D20:D21)</f>
        <v>0</v>
      </c>
      <c r="E22" s="102">
        <f t="shared" si="1"/>
        <v>0</v>
      </c>
      <c r="F22" s="102">
        <f t="shared" si="1"/>
        <v>0</v>
      </c>
      <c r="G22" s="102">
        <f t="shared" si="1"/>
        <v>0</v>
      </c>
      <c r="H22" s="102">
        <f t="shared" si="1"/>
        <v>0</v>
      </c>
      <c r="I22" s="102">
        <f t="shared" si="1"/>
        <v>0</v>
      </c>
      <c r="J22" s="102">
        <f t="shared" si="1"/>
        <v>0</v>
      </c>
      <c r="K22" s="102">
        <f t="shared" si="1"/>
        <v>0</v>
      </c>
      <c r="L22" s="102">
        <f t="shared" si="1"/>
        <v>0</v>
      </c>
      <c r="M22" s="102">
        <f t="shared" si="1"/>
        <v>0</v>
      </c>
      <c r="N22" s="102">
        <f t="shared" si="1"/>
        <v>0</v>
      </c>
      <c r="O22" s="102">
        <f t="shared" si="1"/>
        <v>0</v>
      </c>
      <c r="P22" s="103">
        <f>SUM(D22:O22)</f>
        <v>0</v>
      </c>
    </row>
    <row r="23" spans="1:16" x14ac:dyDescent="0.35">
      <c r="A23" s="120"/>
      <c r="B23" s="51"/>
      <c r="C23" s="105"/>
      <c r="D23" s="93"/>
      <c r="E23" s="93"/>
      <c r="F23" s="101"/>
      <c r="G23" s="93"/>
      <c r="H23" s="129"/>
      <c r="I23" s="101"/>
      <c r="J23" s="101"/>
      <c r="K23" s="93"/>
      <c r="L23" s="93"/>
      <c r="M23" s="93"/>
      <c r="N23" s="93"/>
      <c r="O23" s="93"/>
      <c r="P23" s="52"/>
    </row>
    <row r="24" spans="1:16" x14ac:dyDescent="0.35">
      <c r="A24" s="91">
        <f>A22+1</f>
        <v>9</v>
      </c>
      <c r="B24" s="51" t="s">
        <v>240</v>
      </c>
      <c r="C24" s="129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52"/>
    </row>
    <row r="25" spans="1:16" x14ac:dyDescent="0.35">
      <c r="A25" s="91">
        <f>A24+1</f>
        <v>10</v>
      </c>
      <c r="B25" s="52" t="s">
        <v>339</v>
      </c>
      <c r="C25" s="129"/>
      <c r="D25" s="284">
        <v>90.7</v>
      </c>
      <c r="E25" s="284">
        <v>99.9</v>
      </c>
      <c r="F25" s="284">
        <v>67.7</v>
      </c>
      <c r="G25" s="284">
        <v>41.7</v>
      </c>
      <c r="H25" s="284">
        <v>15.5</v>
      </c>
      <c r="I25" s="292">
        <v>6.8</v>
      </c>
      <c r="J25" s="292">
        <v>2</v>
      </c>
      <c r="K25" s="292">
        <v>2.2000000000000002</v>
      </c>
      <c r="L25" s="284">
        <v>3.5</v>
      </c>
      <c r="M25" s="284">
        <v>14.4</v>
      </c>
      <c r="N25" s="284">
        <v>39.299999999999997</v>
      </c>
      <c r="O25" s="284">
        <v>68.7</v>
      </c>
      <c r="P25" s="103">
        <f>SUM(D25:O25)</f>
        <v>452.4</v>
      </c>
    </row>
    <row r="26" spans="1:16" x14ac:dyDescent="0.35">
      <c r="A26" s="91">
        <f>A25+1</f>
        <v>11</v>
      </c>
      <c r="B26" s="52" t="s">
        <v>241</v>
      </c>
      <c r="C26" s="139" t="s">
        <v>342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68">
        <f>SUM(D26:O26)</f>
        <v>0</v>
      </c>
    </row>
    <row r="27" spans="1:16" x14ac:dyDescent="0.35">
      <c r="A27" s="91">
        <f>A26+1</f>
        <v>12</v>
      </c>
      <c r="B27" s="52" t="s">
        <v>260</v>
      </c>
      <c r="C27" s="105"/>
      <c r="D27" s="102">
        <f t="shared" ref="D27:O27" si="2">SUM(D25:D26)</f>
        <v>90.7</v>
      </c>
      <c r="E27" s="102">
        <f t="shared" si="2"/>
        <v>99.9</v>
      </c>
      <c r="F27" s="102">
        <f t="shared" si="2"/>
        <v>67.7</v>
      </c>
      <c r="G27" s="102">
        <f t="shared" si="2"/>
        <v>41.7</v>
      </c>
      <c r="H27" s="102">
        <f t="shared" si="2"/>
        <v>15.5</v>
      </c>
      <c r="I27" s="102">
        <f t="shared" si="2"/>
        <v>6.8</v>
      </c>
      <c r="J27" s="102">
        <f t="shared" si="2"/>
        <v>2</v>
      </c>
      <c r="K27" s="102">
        <f t="shared" si="2"/>
        <v>2.2000000000000002</v>
      </c>
      <c r="L27" s="102">
        <f t="shared" si="2"/>
        <v>3.5</v>
      </c>
      <c r="M27" s="102">
        <f t="shared" si="2"/>
        <v>14.4</v>
      </c>
      <c r="N27" s="102">
        <f t="shared" si="2"/>
        <v>39.299999999999997</v>
      </c>
      <c r="O27" s="102">
        <f t="shared" si="2"/>
        <v>68.7</v>
      </c>
      <c r="P27" s="103">
        <f>SUM(D27:O27)</f>
        <v>452.4</v>
      </c>
    </row>
    <row r="28" spans="1:16" x14ac:dyDescent="0.35">
      <c r="A28" s="120"/>
      <c r="B28" s="51"/>
      <c r="C28" s="105"/>
      <c r="D28" s="93"/>
      <c r="E28" s="93"/>
      <c r="F28" s="101"/>
      <c r="G28" s="93"/>
      <c r="H28" s="129"/>
      <c r="I28" s="101"/>
      <c r="J28" s="101"/>
      <c r="K28" s="93"/>
      <c r="L28" s="93"/>
      <c r="M28" s="93"/>
      <c r="N28" s="93"/>
      <c r="O28" s="93"/>
      <c r="P28" s="52"/>
    </row>
    <row r="29" spans="1:16" x14ac:dyDescent="0.35">
      <c r="A29" s="91">
        <f>A27+1</f>
        <v>13</v>
      </c>
      <c r="B29" s="51" t="s">
        <v>242</v>
      </c>
      <c r="C29" s="129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52"/>
    </row>
    <row r="30" spans="1:16" x14ac:dyDescent="0.35">
      <c r="A30" s="91">
        <f>A29+1</f>
        <v>14</v>
      </c>
      <c r="B30" s="52" t="s">
        <v>339</v>
      </c>
      <c r="C30" s="129"/>
      <c r="D30" s="284">
        <v>277.89999999999998</v>
      </c>
      <c r="E30" s="284">
        <v>245</v>
      </c>
      <c r="F30" s="284">
        <v>198.6</v>
      </c>
      <c r="G30" s="284">
        <v>145.4</v>
      </c>
      <c r="H30" s="284">
        <v>58.8</v>
      </c>
      <c r="I30" s="292">
        <v>19.399999999999999</v>
      </c>
      <c r="J30" s="292">
        <v>11.6</v>
      </c>
      <c r="K30" s="292">
        <v>12.1</v>
      </c>
      <c r="L30" s="284">
        <v>15.1</v>
      </c>
      <c r="M30" s="284">
        <v>45.2</v>
      </c>
      <c r="N30" s="284">
        <v>118.1</v>
      </c>
      <c r="O30" s="284">
        <v>235.4</v>
      </c>
      <c r="P30" s="103">
        <f>SUM(D30:O30)</f>
        <v>1382.6</v>
      </c>
    </row>
    <row r="31" spans="1:16" x14ac:dyDescent="0.35">
      <c r="A31" s="91">
        <f>A30+1</f>
        <v>15</v>
      </c>
      <c r="B31" s="52" t="s">
        <v>241</v>
      </c>
      <c r="C31" s="139" t="s">
        <v>342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68">
        <f>SUM(D31:O31)</f>
        <v>0</v>
      </c>
    </row>
    <row r="32" spans="1:16" x14ac:dyDescent="0.35">
      <c r="A32" s="91">
        <f>A31+1</f>
        <v>16</v>
      </c>
      <c r="B32" s="52" t="s">
        <v>260</v>
      </c>
      <c r="C32" s="105"/>
      <c r="D32" s="102">
        <f t="shared" ref="D32:O32" si="3">SUM(D30:D31)</f>
        <v>277.89999999999998</v>
      </c>
      <c r="E32" s="102">
        <f t="shared" si="3"/>
        <v>245</v>
      </c>
      <c r="F32" s="102">
        <f t="shared" si="3"/>
        <v>198.6</v>
      </c>
      <c r="G32" s="102">
        <f t="shared" si="3"/>
        <v>145.4</v>
      </c>
      <c r="H32" s="102">
        <f t="shared" si="3"/>
        <v>58.8</v>
      </c>
      <c r="I32" s="102">
        <f t="shared" si="3"/>
        <v>19.399999999999999</v>
      </c>
      <c r="J32" s="102">
        <f t="shared" si="3"/>
        <v>11.6</v>
      </c>
      <c r="K32" s="102">
        <f t="shared" si="3"/>
        <v>12.1</v>
      </c>
      <c r="L32" s="102">
        <f t="shared" si="3"/>
        <v>15.1</v>
      </c>
      <c r="M32" s="102">
        <f t="shared" si="3"/>
        <v>45.2</v>
      </c>
      <c r="N32" s="102">
        <f t="shared" si="3"/>
        <v>118.1</v>
      </c>
      <c r="O32" s="102">
        <f t="shared" si="3"/>
        <v>235.4</v>
      </c>
      <c r="P32" s="103">
        <f>SUM(D32:O32)</f>
        <v>1382.6</v>
      </c>
    </row>
    <row r="33" spans="1:19" x14ac:dyDescent="0.35">
      <c r="A33" s="91"/>
      <c r="B33" s="52"/>
      <c r="C33" s="105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9" x14ac:dyDescent="0.35">
      <c r="A34" s="91">
        <f>A32+1</f>
        <v>17</v>
      </c>
      <c r="B34" s="51" t="s">
        <v>243</v>
      </c>
      <c r="C34" s="129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52"/>
    </row>
    <row r="35" spans="1:19" x14ac:dyDescent="0.35">
      <c r="A35" s="91">
        <f>A34+1</f>
        <v>18</v>
      </c>
      <c r="B35" s="52" t="s">
        <v>339</v>
      </c>
      <c r="C35" s="129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62">
        <f>SUM(D35:O35)</f>
        <v>0</v>
      </c>
    </row>
    <row r="36" spans="1:19" x14ac:dyDescent="0.35">
      <c r="A36" s="91">
        <f>A35+1</f>
        <v>19</v>
      </c>
      <c r="B36" s="52" t="s">
        <v>241</v>
      </c>
      <c r="C36" s="139" t="s">
        <v>342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68">
        <f>SUM(D36:O36)</f>
        <v>0</v>
      </c>
    </row>
    <row r="37" spans="1:19" x14ac:dyDescent="0.35">
      <c r="A37" s="91">
        <f>A36+1</f>
        <v>20</v>
      </c>
      <c r="B37" s="52" t="s">
        <v>260</v>
      </c>
      <c r="C37" s="105"/>
      <c r="D37" s="62">
        <f t="shared" ref="D37:O37" si="4">SUM(D35:D36)</f>
        <v>0</v>
      </c>
      <c r="E37" s="62">
        <f t="shared" si="4"/>
        <v>0</v>
      </c>
      <c r="F37" s="62">
        <f t="shared" si="4"/>
        <v>0</v>
      </c>
      <c r="G37" s="62">
        <f t="shared" si="4"/>
        <v>0</v>
      </c>
      <c r="H37" s="62">
        <f t="shared" si="4"/>
        <v>0</v>
      </c>
      <c r="I37" s="62">
        <f t="shared" si="4"/>
        <v>0</v>
      </c>
      <c r="J37" s="62">
        <f t="shared" si="4"/>
        <v>0</v>
      </c>
      <c r="K37" s="62">
        <f t="shared" si="4"/>
        <v>0</v>
      </c>
      <c r="L37" s="62">
        <f t="shared" si="4"/>
        <v>0</v>
      </c>
      <c r="M37" s="62">
        <f t="shared" si="4"/>
        <v>0</v>
      </c>
      <c r="N37" s="62">
        <f t="shared" si="4"/>
        <v>0</v>
      </c>
      <c r="O37" s="62">
        <f t="shared" si="4"/>
        <v>0</v>
      </c>
      <c r="P37" s="62">
        <f>SUM(D37:O37)</f>
        <v>0</v>
      </c>
    </row>
    <row r="38" spans="1:19" x14ac:dyDescent="0.35">
      <c r="A38" s="91"/>
      <c r="B38" s="52"/>
      <c r="C38" s="105"/>
      <c r="D38" s="102"/>
      <c r="E38" s="102"/>
      <c r="F38" s="102"/>
      <c r="G38" s="70"/>
      <c r="H38" s="70"/>
      <c r="I38" s="70"/>
      <c r="J38" s="70"/>
      <c r="K38" s="70"/>
      <c r="L38" s="70"/>
      <c r="M38" s="102"/>
      <c r="N38" s="102"/>
      <c r="O38" s="102"/>
      <c r="P38" s="103"/>
    </row>
    <row r="39" spans="1:19" x14ac:dyDescent="0.35">
      <c r="A39" s="91">
        <f>A37+1</f>
        <v>21</v>
      </c>
      <c r="B39" s="51" t="s">
        <v>244</v>
      </c>
      <c r="C39" s="129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52"/>
    </row>
    <row r="40" spans="1:19" x14ac:dyDescent="0.35">
      <c r="A40" s="91">
        <f>A39+1</f>
        <v>22</v>
      </c>
      <c r="B40" s="52" t="s">
        <v>339</v>
      </c>
      <c r="C40" s="129"/>
      <c r="D40" s="284">
        <v>52.6</v>
      </c>
      <c r="E40" s="284">
        <v>46.7</v>
      </c>
      <c r="F40" s="284">
        <v>43.2</v>
      </c>
      <c r="G40" s="292">
        <v>28</v>
      </c>
      <c r="H40" s="292">
        <v>11.2</v>
      </c>
      <c r="I40" s="292">
        <v>2.9</v>
      </c>
      <c r="J40" s="292">
        <v>2.4</v>
      </c>
      <c r="K40" s="292">
        <v>2.7</v>
      </c>
      <c r="L40" s="292">
        <v>2.9</v>
      </c>
      <c r="M40" s="284">
        <v>4.7</v>
      </c>
      <c r="N40" s="284">
        <v>21.8</v>
      </c>
      <c r="O40" s="284">
        <v>44.7</v>
      </c>
      <c r="P40" s="103">
        <f>SUM(D40:O40)</f>
        <v>263.8</v>
      </c>
    </row>
    <row r="41" spans="1:19" x14ac:dyDescent="0.35">
      <c r="A41" s="91">
        <f>A40+1</f>
        <v>23</v>
      </c>
      <c r="B41" s="52" t="s">
        <v>241</v>
      </c>
      <c r="C41" s="139" t="s">
        <v>342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68">
        <f>SUM(D41:O41)</f>
        <v>0</v>
      </c>
    </row>
    <row r="42" spans="1:19" x14ac:dyDescent="0.35">
      <c r="A42" s="91">
        <f>A41+1</f>
        <v>24</v>
      </c>
      <c r="B42" s="52" t="s">
        <v>260</v>
      </c>
      <c r="C42" s="105"/>
      <c r="D42" s="102">
        <f t="shared" ref="D42:O42" si="5">SUM(D40:D41)</f>
        <v>52.6</v>
      </c>
      <c r="E42" s="102">
        <f t="shared" si="5"/>
        <v>46.7</v>
      </c>
      <c r="F42" s="102">
        <f t="shared" si="5"/>
        <v>43.2</v>
      </c>
      <c r="G42" s="70">
        <f t="shared" si="5"/>
        <v>28</v>
      </c>
      <c r="H42" s="70">
        <f t="shared" si="5"/>
        <v>11.2</v>
      </c>
      <c r="I42" s="70">
        <f t="shared" si="5"/>
        <v>2.9</v>
      </c>
      <c r="J42" s="70">
        <f t="shared" si="5"/>
        <v>2.4</v>
      </c>
      <c r="K42" s="70">
        <f t="shared" si="5"/>
        <v>2.7</v>
      </c>
      <c r="L42" s="70">
        <f t="shared" si="5"/>
        <v>2.9</v>
      </c>
      <c r="M42" s="102">
        <f t="shared" si="5"/>
        <v>4.7</v>
      </c>
      <c r="N42" s="102">
        <f t="shared" si="5"/>
        <v>21.8</v>
      </c>
      <c r="O42" s="102">
        <f t="shared" si="5"/>
        <v>44.7</v>
      </c>
      <c r="P42" s="103">
        <f>SUM(D42:O42)</f>
        <v>263.8</v>
      </c>
    </row>
    <row r="43" spans="1:19" x14ac:dyDescent="0.35">
      <c r="A43" s="120"/>
      <c r="B43" s="131"/>
      <c r="C43" s="127"/>
      <c r="D43" s="168"/>
      <c r="E43" s="168"/>
      <c r="F43" s="168"/>
      <c r="G43" s="168"/>
      <c r="H43" s="168"/>
      <c r="I43" s="168"/>
      <c r="J43" s="169"/>
      <c r="K43" s="169"/>
      <c r="L43" s="169"/>
      <c r="M43" s="169"/>
      <c r="N43" s="169"/>
      <c r="O43" s="169"/>
      <c r="P43" s="132"/>
      <c r="S43" s="131"/>
    </row>
    <row r="44" spans="1:19" x14ac:dyDescent="0.35">
      <c r="A44" s="91">
        <f>A42+1</f>
        <v>25</v>
      </c>
      <c r="B44" s="51" t="s">
        <v>245</v>
      </c>
      <c r="C44" s="129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52"/>
    </row>
    <row r="45" spans="1:19" x14ac:dyDescent="0.35">
      <c r="A45" s="91">
        <f>A44+1</f>
        <v>26</v>
      </c>
      <c r="B45" s="52" t="s">
        <v>339</v>
      </c>
      <c r="C45" s="129"/>
      <c r="D45" s="284">
        <v>138.19999999999999</v>
      </c>
      <c r="E45" s="284">
        <v>141.5</v>
      </c>
      <c r="F45" s="284">
        <v>113</v>
      </c>
      <c r="G45" s="292">
        <v>73.099999999999994</v>
      </c>
      <c r="H45" s="292">
        <v>18.100000000000001</v>
      </c>
      <c r="I45" s="292">
        <v>3.1</v>
      </c>
      <c r="J45" s="292">
        <v>2.9</v>
      </c>
      <c r="K45" s="292">
        <v>2.9</v>
      </c>
      <c r="L45" s="292">
        <v>3.9</v>
      </c>
      <c r="M45" s="284">
        <v>22.1</v>
      </c>
      <c r="N45" s="284">
        <v>57.2</v>
      </c>
      <c r="O45" s="284">
        <v>96.3</v>
      </c>
      <c r="P45" s="103">
        <f>SUM(D45:O45)</f>
        <v>672.3</v>
      </c>
    </row>
    <row r="46" spans="1:19" x14ac:dyDescent="0.35">
      <c r="A46" s="91">
        <f>A45+1</f>
        <v>27</v>
      </c>
      <c r="B46" s="52" t="s">
        <v>241</v>
      </c>
      <c r="C46" s="139" t="s">
        <v>342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68">
        <f>SUM(D46:O46)</f>
        <v>0</v>
      </c>
    </row>
    <row r="47" spans="1:19" x14ac:dyDescent="0.35">
      <c r="A47" s="91">
        <f>A46+1</f>
        <v>28</v>
      </c>
      <c r="B47" s="52" t="s">
        <v>260</v>
      </c>
      <c r="C47" s="105"/>
      <c r="D47" s="102">
        <f t="shared" ref="D47:O47" si="6">SUM(D45:D46)</f>
        <v>138.19999999999999</v>
      </c>
      <c r="E47" s="102">
        <f t="shared" si="6"/>
        <v>141.5</v>
      </c>
      <c r="F47" s="102">
        <f t="shared" si="6"/>
        <v>113</v>
      </c>
      <c r="G47" s="70">
        <f t="shared" si="6"/>
        <v>73.099999999999994</v>
      </c>
      <c r="H47" s="70">
        <f t="shared" si="6"/>
        <v>18.100000000000001</v>
      </c>
      <c r="I47" s="70">
        <f t="shared" si="6"/>
        <v>3.1</v>
      </c>
      <c r="J47" s="70">
        <f t="shared" si="6"/>
        <v>2.9</v>
      </c>
      <c r="K47" s="70">
        <f t="shared" si="6"/>
        <v>2.9</v>
      </c>
      <c r="L47" s="70">
        <f t="shared" si="6"/>
        <v>3.9</v>
      </c>
      <c r="M47" s="102">
        <f t="shared" si="6"/>
        <v>22.1</v>
      </c>
      <c r="N47" s="102">
        <f t="shared" si="6"/>
        <v>57.2</v>
      </c>
      <c r="O47" s="102">
        <f t="shared" si="6"/>
        <v>96.3</v>
      </c>
      <c r="P47" s="103">
        <f>SUM(D47:O47)</f>
        <v>672.3</v>
      </c>
    </row>
    <row r="48" spans="1:19" x14ac:dyDescent="0.35">
      <c r="A48" s="91"/>
      <c r="B48" s="52"/>
      <c r="C48" s="105"/>
      <c r="D48" s="102"/>
      <c r="E48" s="102"/>
      <c r="F48" s="102"/>
      <c r="G48" s="70"/>
      <c r="H48" s="70"/>
      <c r="I48" s="70"/>
      <c r="J48" s="70"/>
      <c r="K48" s="70"/>
      <c r="L48" s="70"/>
      <c r="M48" s="102"/>
      <c r="N48" s="102"/>
      <c r="O48" s="102"/>
      <c r="P48" s="103"/>
    </row>
    <row r="49" spans="1:19" x14ac:dyDescent="0.35">
      <c r="A49" s="91">
        <f>A47+1</f>
        <v>29</v>
      </c>
      <c r="B49" s="51" t="s">
        <v>246</v>
      </c>
      <c r="C49" s="129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52"/>
    </row>
    <row r="50" spans="1:19" x14ac:dyDescent="0.35">
      <c r="A50" s="91">
        <f>A49+1</f>
        <v>30</v>
      </c>
      <c r="B50" s="52" t="s">
        <v>339</v>
      </c>
      <c r="C50" s="129"/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62">
        <f>SUM(D50:O50)</f>
        <v>0</v>
      </c>
    </row>
    <row r="51" spans="1:19" x14ac:dyDescent="0.35">
      <c r="A51" s="91">
        <f>A50+1</f>
        <v>31</v>
      </c>
      <c r="B51" s="52" t="s">
        <v>241</v>
      </c>
      <c r="C51" s="139" t="s">
        <v>342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68">
        <f>SUM(D51:O51)</f>
        <v>0</v>
      </c>
    </row>
    <row r="52" spans="1:19" x14ac:dyDescent="0.35">
      <c r="A52" s="91">
        <f>A51+1</f>
        <v>32</v>
      </c>
      <c r="B52" s="52" t="s">
        <v>260</v>
      </c>
      <c r="C52" s="105"/>
      <c r="D52" s="62">
        <f t="shared" ref="D52:O52" si="7">SUM(D50:D51)</f>
        <v>0</v>
      </c>
      <c r="E52" s="62">
        <f t="shared" si="7"/>
        <v>0</v>
      </c>
      <c r="F52" s="62">
        <f t="shared" si="7"/>
        <v>0</v>
      </c>
      <c r="G52" s="62">
        <f t="shared" si="7"/>
        <v>0</v>
      </c>
      <c r="H52" s="62">
        <f t="shared" si="7"/>
        <v>0</v>
      </c>
      <c r="I52" s="62">
        <f t="shared" si="7"/>
        <v>0</v>
      </c>
      <c r="J52" s="62">
        <f t="shared" si="7"/>
        <v>0</v>
      </c>
      <c r="K52" s="62">
        <f t="shared" si="7"/>
        <v>0</v>
      </c>
      <c r="L52" s="62">
        <f t="shared" si="7"/>
        <v>0</v>
      </c>
      <c r="M52" s="62">
        <f t="shared" si="7"/>
        <v>0</v>
      </c>
      <c r="N52" s="62">
        <f t="shared" si="7"/>
        <v>0</v>
      </c>
      <c r="O52" s="62">
        <f t="shared" si="7"/>
        <v>0</v>
      </c>
      <c r="P52" s="62">
        <f>SUM(D52:O52)</f>
        <v>0</v>
      </c>
    </row>
    <row r="53" spans="1:19" x14ac:dyDescent="0.35">
      <c r="A53" s="91"/>
      <c r="B53" s="52"/>
      <c r="C53" s="105"/>
      <c r="D53" s="102"/>
      <c r="E53" s="102"/>
      <c r="F53" s="102"/>
      <c r="G53" s="70"/>
      <c r="H53" s="70"/>
      <c r="I53" s="70"/>
      <c r="J53" s="70"/>
      <c r="K53" s="70"/>
      <c r="L53" s="70"/>
      <c r="M53" s="102"/>
      <c r="N53" s="102"/>
      <c r="O53" s="102"/>
      <c r="P53" s="103"/>
    </row>
    <row r="54" spans="1:19" ht="15.75" customHeight="1" x14ac:dyDescent="0.35">
      <c r="A54" s="806" t="str">
        <f>CONAME</f>
        <v>Columbia Gas of Kentucky, Inc.</v>
      </c>
      <c r="B54" s="806"/>
      <c r="C54" s="806"/>
      <c r="D54" s="806"/>
      <c r="E54" s="806"/>
      <c r="F54" s="806"/>
      <c r="G54" s="806"/>
      <c r="H54" s="806"/>
      <c r="I54" s="806"/>
      <c r="J54" s="806"/>
      <c r="K54" s="806"/>
      <c r="L54" s="806"/>
      <c r="M54" s="806"/>
      <c r="N54" s="806"/>
      <c r="O54" s="806"/>
      <c r="P54" s="806"/>
    </row>
    <row r="55" spans="1:19" ht="15.75" customHeight="1" x14ac:dyDescent="0.35">
      <c r="A55" s="806" t="s">
        <v>194</v>
      </c>
      <c r="B55" s="806"/>
      <c r="C55" s="806"/>
      <c r="D55" s="806"/>
      <c r="E55" s="806"/>
      <c r="F55" s="806"/>
      <c r="G55" s="806"/>
      <c r="H55" s="806"/>
      <c r="I55" s="806"/>
      <c r="J55" s="806"/>
      <c r="K55" s="806"/>
      <c r="L55" s="806"/>
      <c r="M55" s="806"/>
      <c r="N55" s="806"/>
      <c r="O55" s="806"/>
      <c r="P55" s="806"/>
    </row>
    <row r="56" spans="1:19" ht="15.75" customHeight="1" x14ac:dyDescent="0.35">
      <c r="A56" s="805" t="str">
        <f>TYDESC</f>
        <v>For the 12 Months Ended December 31, 2022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</row>
    <row r="57" spans="1:19" x14ac:dyDescent="0.3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</row>
    <row r="58" spans="1:19" x14ac:dyDescent="0.35">
      <c r="A58" s="97" t="str">
        <f>$A$5</f>
        <v>Data: __ Base Period_X_Forecasted Period</v>
      </c>
      <c r="B58" s="52"/>
      <c r="C58" s="105"/>
      <c r="D58" s="105"/>
      <c r="E58" s="105"/>
      <c r="F58" s="105"/>
      <c r="G58" s="93"/>
      <c r="H58" s="93"/>
      <c r="I58" s="93"/>
      <c r="J58" s="93"/>
      <c r="K58" s="93"/>
      <c r="L58" s="93"/>
      <c r="M58" s="93"/>
      <c r="N58" s="93"/>
      <c r="O58" s="93"/>
      <c r="P58" s="293" t="str">
        <f>$P$5</f>
        <v>Workpaper WPM-C.2</v>
      </c>
    </row>
    <row r="59" spans="1:19" x14ac:dyDescent="0.35">
      <c r="A59" s="97" t="str">
        <f>$A$6</f>
        <v>Type of Filing: X Original _ Update _ Revised</v>
      </c>
      <c r="B59" s="52"/>
      <c r="C59" s="105"/>
      <c r="D59" s="105"/>
      <c r="E59" s="105"/>
      <c r="F59" s="105"/>
      <c r="G59" s="93"/>
      <c r="H59" s="93"/>
      <c r="I59" s="93"/>
      <c r="J59" s="93"/>
      <c r="K59" s="93"/>
      <c r="L59" s="93"/>
      <c r="M59" s="93"/>
      <c r="N59" s="93"/>
      <c r="O59" s="93"/>
      <c r="P59" s="294" t="s">
        <v>344</v>
      </c>
    </row>
    <row r="60" spans="1:19" x14ac:dyDescent="0.35">
      <c r="A60" s="97" t="str">
        <f>$A$7</f>
        <v>Work Paper Reference No(s):</v>
      </c>
      <c r="B60" s="52"/>
      <c r="C60" s="105"/>
      <c r="D60" s="105"/>
      <c r="E60" s="105"/>
      <c r="F60" s="105"/>
      <c r="G60" s="93"/>
      <c r="H60" s="93"/>
      <c r="I60" s="93"/>
      <c r="J60" s="93"/>
      <c r="K60" s="93"/>
      <c r="L60" s="93"/>
      <c r="M60" s="93"/>
      <c r="N60" s="93"/>
      <c r="O60" s="93"/>
      <c r="P60" s="294"/>
    </row>
    <row r="61" spans="1:19" x14ac:dyDescent="0.35">
      <c r="A61" s="128" t="str">
        <f>$A$8</f>
        <v>12 Months Forecasted</v>
      </c>
      <c r="B61" s="120"/>
      <c r="C61" s="105"/>
      <c r="D61" s="295"/>
      <c r="E61" s="105"/>
      <c r="F61" s="296"/>
      <c r="G61" s="297"/>
      <c r="H61" s="296"/>
      <c r="I61" s="298"/>
      <c r="J61" s="296"/>
      <c r="K61" s="296"/>
      <c r="L61" s="296"/>
      <c r="M61" s="296"/>
      <c r="N61" s="296"/>
      <c r="O61" s="296"/>
      <c r="P61" s="286"/>
      <c r="Q61" s="120"/>
      <c r="R61" s="120"/>
    </row>
    <row r="62" spans="1:19" x14ac:dyDescent="0.35">
      <c r="A62" s="90"/>
      <c r="B62" s="120"/>
      <c r="C62" s="105"/>
      <c r="D62" s="295"/>
      <c r="E62" s="105"/>
      <c r="F62" s="296"/>
      <c r="G62" s="297"/>
      <c r="H62" s="296"/>
      <c r="I62" s="298"/>
      <c r="J62" s="296"/>
      <c r="K62" s="296"/>
      <c r="L62" s="296"/>
      <c r="M62" s="296"/>
      <c r="N62" s="296"/>
      <c r="O62" s="296"/>
      <c r="P62" s="286"/>
      <c r="Q62" s="120"/>
      <c r="R62" s="120"/>
    </row>
    <row r="63" spans="1:19" x14ac:dyDescent="0.35">
      <c r="A63" s="120" t="s">
        <v>1</v>
      </c>
      <c r="B63" s="120"/>
      <c r="C63" s="105"/>
      <c r="D63" s="295"/>
      <c r="E63" s="105"/>
      <c r="F63" s="296"/>
      <c r="G63" s="297"/>
      <c r="H63" s="296"/>
      <c r="I63" s="298"/>
      <c r="J63" s="296"/>
      <c r="K63" s="296"/>
      <c r="L63" s="296"/>
      <c r="M63" s="296"/>
      <c r="N63" s="296"/>
      <c r="O63" s="296"/>
      <c r="P63" s="286"/>
      <c r="Q63" s="131"/>
      <c r="R63" s="131"/>
    </row>
    <row r="64" spans="1:19" x14ac:dyDescent="0.35">
      <c r="A64" s="288" t="s">
        <v>3</v>
      </c>
      <c r="B64" s="288" t="s">
        <v>4</v>
      </c>
      <c r="C64" s="289" t="s">
        <v>183</v>
      </c>
      <c r="D64" s="290" t="str">
        <f>B!$D$11</f>
        <v>Jan-22</v>
      </c>
      <c r="E64" s="290" t="str">
        <f>B!$E$11</f>
        <v>Feb-22</v>
      </c>
      <c r="F64" s="290" t="str">
        <f>B!$F$11</f>
        <v>Mar-22</v>
      </c>
      <c r="G64" s="290" t="str">
        <f>B!$G$11</f>
        <v>Apr-22</v>
      </c>
      <c r="H64" s="290" t="str">
        <f>B!$H$11</f>
        <v>May-22</v>
      </c>
      <c r="I64" s="290" t="str">
        <f>B!$I$11</f>
        <v>Jun-22</v>
      </c>
      <c r="J64" s="290" t="str">
        <f>B!$J$11</f>
        <v>Jul-22</v>
      </c>
      <c r="K64" s="290" t="str">
        <f>B!$K$11</f>
        <v>Aug-22</v>
      </c>
      <c r="L64" s="290" t="str">
        <f>B!$L$11</f>
        <v>Sep-22</v>
      </c>
      <c r="M64" s="290" t="str">
        <f>B!$M$11</f>
        <v>Oct-22</v>
      </c>
      <c r="N64" s="290" t="str">
        <f>B!$N$11</f>
        <v>Nov-22</v>
      </c>
      <c r="O64" s="290" t="str">
        <f>B!$O$11</f>
        <v>Dec-22</v>
      </c>
      <c r="P64" s="211" t="s">
        <v>9</v>
      </c>
      <c r="S64" s="208"/>
    </row>
    <row r="65" spans="1:19" x14ac:dyDescent="0.35">
      <c r="A65" s="120"/>
      <c r="B65" s="131" t="s">
        <v>42</v>
      </c>
      <c r="C65" s="127" t="s">
        <v>43</v>
      </c>
      <c r="D65" s="285" t="s">
        <v>45</v>
      </c>
      <c r="E65" s="285" t="s">
        <v>46</v>
      </c>
      <c r="F65" s="285" t="s">
        <v>49</v>
      </c>
      <c r="G65" s="285" t="s">
        <v>50</v>
      </c>
      <c r="H65" s="285" t="s">
        <v>51</v>
      </c>
      <c r="I65" s="285" t="s">
        <v>52</v>
      </c>
      <c r="J65" s="285" t="s">
        <v>53</v>
      </c>
      <c r="K65" s="132" t="s">
        <v>54</v>
      </c>
      <c r="L65" s="132" t="s">
        <v>55</v>
      </c>
      <c r="M65" s="132" t="s">
        <v>56</v>
      </c>
      <c r="N65" s="132" t="s">
        <v>57</v>
      </c>
      <c r="O65" s="132" t="s">
        <v>58</v>
      </c>
      <c r="P65" s="132" t="s">
        <v>59</v>
      </c>
      <c r="S65" s="131"/>
    </row>
    <row r="66" spans="1:19" x14ac:dyDescent="0.35">
      <c r="A66" s="120"/>
      <c r="B66" s="131"/>
      <c r="C66" s="127"/>
      <c r="D66" s="168"/>
      <c r="E66" s="168"/>
      <c r="F66" s="168"/>
      <c r="G66" s="168"/>
      <c r="H66" s="168"/>
      <c r="I66" s="168"/>
      <c r="J66" s="169"/>
      <c r="K66" s="169"/>
      <c r="L66" s="169"/>
      <c r="M66" s="169"/>
      <c r="N66" s="169"/>
      <c r="O66" s="169"/>
      <c r="P66" s="132"/>
      <c r="S66" s="131"/>
    </row>
    <row r="67" spans="1:19" x14ac:dyDescent="0.35">
      <c r="A67" s="91">
        <v>1</v>
      </c>
      <c r="B67" s="51" t="s">
        <v>247</v>
      </c>
      <c r="C67" s="129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52"/>
    </row>
    <row r="68" spans="1:19" x14ac:dyDescent="0.35">
      <c r="A68" s="91">
        <f>A67+1</f>
        <v>2</v>
      </c>
      <c r="B68" s="52" t="s">
        <v>339</v>
      </c>
      <c r="C68" s="129"/>
      <c r="D68" s="284"/>
      <c r="E68" s="284"/>
      <c r="F68" s="284"/>
      <c r="G68" s="292"/>
      <c r="H68" s="292"/>
      <c r="I68" s="292"/>
      <c r="J68" s="292"/>
      <c r="K68" s="292"/>
      <c r="L68" s="292"/>
      <c r="M68" s="284"/>
      <c r="N68" s="284"/>
      <c r="O68" s="284"/>
      <c r="P68" s="103"/>
    </row>
    <row r="69" spans="1:19" x14ac:dyDescent="0.35">
      <c r="A69" s="91">
        <f>A68+1</f>
        <v>3</v>
      </c>
      <c r="B69" s="299" t="s">
        <v>248</v>
      </c>
      <c r="C69" s="129"/>
      <c r="D69" s="292">
        <v>2</v>
      </c>
      <c r="E69" s="284">
        <v>2</v>
      </c>
      <c r="F69" s="284">
        <v>2</v>
      </c>
      <c r="G69" s="292">
        <v>2</v>
      </c>
      <c r="H69" s="292">
        <v>2</v>
      </c>
      <c r="I69" s="292">
        <f>2+0.4</f>
        <v>2.4</v>
      </c>
      <c r="J69" s="292">
        <v>2</v>
      </c>
      <c r="K69" s="292">
        <v>2</v>
      </c>
      <c r="L69" s="292">
        <v>2</v>
      </c>
      <c r="M69" s="284">
        <v>2</v>
      </c>
      <c r="N69" s="284">
        <v>2</v>
      </c>
      <c r="O69" s="284">
        <v>2</v>
      </c>
      <c r="P69" s="103">
        <f>SUM(D69:O69)</f>
        <v>24.4</v>
      </c>
    </row>
    <row r="70" spans="1:19" ht="18.5" x14ac:dyDescent="0.65">
      <c r="A70" s="91">
        <f>A69+1</f>
        <v>4</v>
      </c>
      <c r="B70" s="299" t="s">
        <v>249</v>
      </c>
      <c r="C70" s="129"/>
      <c r="D70" s="300">
        <f>D71-D69</f>
        <v>80.400000000000006</v>
      </c>
      <c r="E70" s="300">
        <f t="shared" ref="E70:O70" si="8">E71-E69</f>
        <v>86.1</v>
      </c>
      <c r="F70" s="300">
        <f t="shared" si="8"/>
        <v>73.599999999999994</v>
      </c>
      <c r="G70" s="300">
        <f t="shared" si="8"/>
        <v>48</v>
      </c>
      <c r="H70" s="300">
        <f t="shared" si="8"/>
        <v>18.100000000000001</v>
      </c>
      <c r="I70" s="300">
        <f t="shared" si="8"/>
        <v>9.1</v>
      </c>
      <c r="J70" s="300">
        <f t="shared" si="8"/>
        <v>8</v>
      </c>
      <c r="K70" s="300">
        <f t="shared" si="8"/>
        <v>15.7</v>
      </c>
      <c r="L70" s="300">
        <f t="shared" si="8"/>
        <v>36.799999999999997</v>
      </c>
      <c r="M70" s="300">
        <f t="shared" si="8"/>
        <v>42.7</v>
      </c>
      <c r="N70" s="300">
        <f t="shared" si="8"/>
        <v>50.1</v>
      </c>
      <c r="O70" s="300">
        <f t="shared" si="8"/>
        <v>95.9</v>
      </c>
      <c r="P70" s="134">
        <f>SUM(D70:O70)</f>
        <v>564.50000000000011</v>
      </c>
    </row>
    <row r="71" spans="1:19" x14ac:dyDescent="0.35">
      <c r="A71" s="91">
        <f>A70+1</f>
        <v>5</v>
      </c>
      <c r="B71" s="52" t="s">
        <v>339</v>
      </c>
      <c r="C71" s="129"/>
      <c r="D71" s="70">
        <v>82.4</v>
      </c>
      <c r="E71" s="102">
        <v>88.1</v>
      </c>
      <c r="F71" s="102">
        <v>75.599999999999994</v>
      </c>
      <c r="G71" s="102">
        <v>50</v>
      </c>
      <c r="H71" s="102">
        <v>20.100000000000001</v>
      </c>
      <c r="I71" s="102">
        <v>11.5</v>
      </c>
      <c r="J71" s="102">
        <v>10</v>
      </c>
      <c r="K71" s="102">
        <v>17.7</v>
      </c>
      <c r="L71" s="102">
        <v>38.799999999999997</v>
      </c>
      <c r="M71" s="102">
        <v>44.7</v>
      </c>
      <c r="N71" s="102">
        <v>52.1</v>
      </c>
      <c r="O71" s="102">
        <v>97.9</v>
      </c>
      <c r="P71" s="103">
        <f>SUM(D71:O71)</f>
        <v>588.90000000000009</v>
      </c>
    </row>
    <row r="72" spans="1:19" x14ac:dyDescent="0.35">
      <c r="A72" s="91"/>
      <c r="B72" s="52"/>
      <c r="C72" s="105"/>
      <c r="D72" s="102"/>
      <c r="E72" s="102"/>
      <c r="F72" s="102"/>
      <c r="G72" s="70"/>
      <c r="H72" s="70"/>
      <c r="I72" s="70"/>
      <c r="J72" s="70"/>
      <c r="K72" s="70"/>
      <c r="L72" s="70"/>
      <c r="M72" s="102"/>
      <c r="N72" s="102"/>
      <c r="O72" s="102"/>
      <c r="P72" s="103"/>
    </row>
    <row r="73" spans="1:19" x14ac:dyDescent="0.35">
      <c r="A73" s="91">
        <f>A71+1</f>
        <v>6</v>
      </c>
      <c r="B73" s="51" t="s">
        <v>250</v>
      </c>
      <c r="C73" s="129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52"/>
    </row>
    <row r="74" spans="1:19" x14ac:dyDescent="0.35">
      <c r="A74" s="91">
        <f>A73+1</f>
        <v>7</v>
      </c>
      <c r="B74" s="52" t="s">
        <v>339</v>
      </c>
      <c r="C74" s="129"/>
      <c r="D74" s="284">
        <v>33</v>
      </c>
      <c r="E74" s="284">
        <v>31.8</v>
      </c>
      <c r="F74" s="284">
        <v>30.3</v>
      </c>
      <c r="G74" s="292">
        <v>15.7</v>
      </c>
      <c r="H74" s="292">
        <v>8.8000000000000007</v>
      </c>
      <c r="I74" s="292">
        <v>2.5</v>
      </c>
      <c r="J74" s="292">
        <v>2.4</v>
      </c>
      <c r="K74" s="292">
        <v>2.4</v>
      </c>
      <c r="L74" s="292">
        <v>2.8</v>
      </c>
      <c r="M74" s="284">
        <v>3.9</v>
      </c>
      <c r="N74" s="292">
        <v>10.3</v>
      </c>
      <c r="O74" s="292">
        <v>22.9</v>
      </c>
      <c r="P74" s="103">
        <f>SUM(D74:O74)</f>
        <v>166.80000000000004</v>
      </c>
    </row>
    <row r="75" spans="1:19" x14ac:dyDescent="0.35">
      <c r="A75" s="91">
        <f>A74+1</f>
        <v>8</v>
      </c>
      <c r="B75" s="52" t="s">
        <v>241</v>
      </c>
      <c r="C75" s="139" t="s">
        <v>342</v>
      </c>
      <c r="D75" s="301">
        <v>0</v>
      </c>
      <c r="E75" s="301">
        <v>0</v>
      </c>
      <c r="F75" s="301">
        <v>0</v>
      </c>
      <c r="G75" s="301">
        <v>0</v>
      </c>
      <c r="H75" s="301">
        <v>0</v>
      </c>
      <c r="I75" s="301">
        <v>0</v>
      </c>
      <c r="J75" s="301">
        <v>0</v>
      </c>
      <c r="K75" s="301">
        <v>0</v>
      </c>
      <c r="L75" s="301">
        <v>0</v>
      </c>
      <c r="M75" s="301">
        <v>0</v>
      </c>
      <c r="N75" s="301">
        <v>0</v>
      </c>
      <c r="O75" s="301">
        <v>0</v>
      </c>
      <c r="P75" s="134">
        <f>SUM(D75:O75)</f>
        <v>0</v>
      </c>
    </row>
    <row r="76" spans="1:19" x14ac:dyDescent="0.35">
      <c r="A76" s="91">
        <f>A75+1</f>
        <v>9</v>
      </c>
      <c r="B76" s="52" t="s">
        <v>260</v>
      </c>
      <c r="C76" s="105"/>
      <c r="D76" s="102">
        <f t="shared" ref="D76:O76" si="9">SUM(D74:D75)</f>
        <v>33</v>
      </c>
      <c r="E76" s="102">
        <f t="shared" si="9"/>
        <v>31.8</v>
      </c>
      <c r="F76" s="102">
        <f t="shared" si="9"/>
        <v>30.3</v>
      </c>
      <c r="G76" s="70">
        <f t="shared" si="9"/>
        <v>15.7</v>
      </c>
      <c r="H76" s="70">
        <f t="shared" si="9"/>
        <v>8.8000000000000007</v>
      </c>
      <c r="I76" s="70">
        <f t="shared" si="9"/>
        <v>2.5</v>
      </c>
      <c r="J76" s="70">
        <f t="shared" si="9"/>
        <v>2.4</v>
      </c>
      <c r="K76" s="70">
        <f t="shared" si="9"/>
        <v>2.4</v>
      </c>
      <c r="L76" s="70">
        <f t="shared" si="9"/>
        <v>2.8</v>
      </c>
      <c r="M76" s="102">
        <f t="shared" si="9"/>
        <v>3.9</v>
      </c>
      <c r="N76" s="70">
        <f t="shared" si="9"/>
        <v>10.3</v>
      </c>
      <c r="O76" s="70">
        <f t="shared" si="9"/>
        <v>22.9</v>
      </c>
      <c r="P76" s="103">
        <f>SUM(D76:O76)</f>
        <v>166.80000000000004</v>
      </c>
    </row>
    <row r="77" spans="1:19" x14ac:dyDescent="0.35">
      <c r="A77" s="91"/>
      <c r="B77" s="52"/>
      <c r="C77" s="105"/>
      <c r="D77" s="102"/>
      <c r="E77" s="102"/>
      <c r="F77" s="102"/>
      <c r="G77" s="70"/>
      <c r="H77" s="70"/>
      <c r="I77" s="70"/>
      <c r="J77" s="70"/>
      <c r="K77" s="70"/>
      <c r="L77" s="70"/>
      <c r="M77" s="102"/>
      <c r="N77" s="102"/>
      <c r="O77" s="102"/>
      <c r="P77" s="103"/>
    </row>
    <row r="78" spans="1:19" x14ac:dyDescent="0.35">
      <c r="A78" s="91">
        <f>A76+1</f>
        <v>10</v>
      </c>
      <c r="B78" s="51" t="s">
        <v>251</v>
      </c>
      <c r="C78" s="129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70"/>
      <c r="O78" s="70"/>
      <c r="P78" s="52"/>
    </row>
    <row r="79" spans="1:19" x14ac:dyDescent="0.35">
      <c r="A79" s="91">
        <f>A78+1</f>
        <v>11</v>
      </c>
      <c r="B79" s="52" t="s">
        <v>339</v>
      </c>
      <c r="C79" s="129"/>
      <c r="D79" s="284"/>
      <c r="E79" s="284"/>
      <c r="F79" s="284"/>
      <c r="G79" s="292"/>
      <c r="H79" s="292"/>
      <c r="I79" s="292"/>
      <c r="J79" s="292"/>
      <c r="K79" s="292"/>
      <c r="L79" s="292"/>
      <c r="M79" s="284"/>
      <c r="N79" s="284"/>
      <c r="O79" s="284"/>
      <c r="P79" s="103"/>
    </row>
    <row r="80" spans="1:19" x14ac:dyDescent="0.35">
      <c r="A80" s="91">
        <f>A79+1</f>
        <v>12</v>
      </c>
      <c r="B80" s="299" t="s">
        <v>252</v>
      </c>
      <c r="C80" s="129"/>
      <c r="D80" s="292">
        <v>301663.90000000002</v>
      </c>
      <c r="E80" s="284">
        <v>302959.2</v>
      </c>
      <c r="F80" s="284">
        <v>260556.9</v>
      </c>
      <c r="G80" s="292">
        <v>158803.79999999999</v>
      </c>
      <c r="H80" s="292">
        <v>111004.7</v>
      </c>
      <c r="I80" s="292">
        <v>72519</v>
      </c>
      <c r="J80" s="292">
        <v>57495.5</v>
      </c>
      <c r="K80" s="292">
        <v>53813.4</v>
      </c>
      <c r="L80" s="292">
        <v>55491.199999999997</v>
      </c>
      <c r="M80" s="284">
        <v>68357.600000000006</v>
      </c>
      <c r="N80" s="284">
        <v>127148.7</v>
      </c>
      <c r="O80" s="284">
        <v>237716.7</v>
      </c>
      <c r="P80" s="103">
        <f>SUM(D80:O80)</f>
        <v>1807530.5999999999</v>
      </c>
      <c r="Q80" s="51"/>
    </row>
    <row r="81" spans="1:94" x14ac:dyDescent="0.35">
      <c r="A81" s="91">
        <f>A80+1</f>
        <v>13</v>
      </c>
      <c r="B81" s="299" t="s">
        <v>253</v>
      </c>
      <c r="C81" s="129"/>
      <c r="D81" s="292">
        <v>297277.8</v>
      </c>
      <c r="E81" s="284">
        <v>286181.40000000002</v>
      </c>
      <c r="F81" s="284">
        <v>236024.2</v>
      </c>
      <c r="G81" s="292">
        <v>103688.7</v>
      </c>
      <c r="H81" s="292">
        <v>51445.7</v>
      </c>
      <c r="I81" s="292">
        <v>35643.300000000003</v>
      </c>
      <c r="J81" s="292">
        <v>30872.6</v>
      </c>
      <c r="K81" s="292">
        <v>25999.1</v>
      </c>
      <c r="L81" s="292">
        <v>28865.599999999999</v>
      </c>
      <c r="M81" s="284">
        <v>37399</v>
      </c>
      <c r="N81" s="284">
        <v>82862.899999999994</v>
      </c>
      <c r="O81" s="284">
        <v>199877</v>
      </c>
      <c r="P81" s="103">
        <f>SUM(D81:O81)</f>
        <v>1416137.2999999998</v>
      </c>
      <c r="Q81" s="51"/>
    </row>
    <row r="82" spans="1:94" x14ac:dyDescent="0.35">
      <c r="A82" s="91">
        <f>A81+1</f>
        <v>14</v>
      </c>
      <c r="B82" s="299" t="s">
        <v>254</v>
      </c>
      <c r="C82" s="129"/>
      <c r="D82" s="292">
        <v>79248.899999999994</v>
      </c>
      <c r="E82" s="284">
        <v>75073</v>
      </c>
      <c r="F82" s="284">
        <v>56078.400000000001</v>
      </c>
      <c r="G82" s="292">
        <v>19218.2</v>
      </c>
      <c r="H82" s="292">
        <v>7741.4</v>
      </c>
      <c r="I82" s="292">
        <v>7465.1</v>
      </c>
      <c r="J82" s="292">
        <v>7224.6</v>
      </c>
      <c r="K82" s="292">
        <v>7114.7</v>
      </c>
      <c r="L82" s="292">
        <v>6893.4</v>
      </c>
      <c r="M82" s="284">
        <v>8447.2000000000007</v>
      </c>
      <c r="N82" s="284">
        <v>16011.3</v>
      </c>
      <c r="O82" s="284">
        <v>47437.5</v>
      </c>
      <c r="P82" s="103">
        <f>SUM(D82:O82)</f>
        <v>337953.7</v>
      </c>
      <c r="Q82" s="51"/>
    </row>
    <row r="83" spans="1:94" ht="18.5" x14ac:dyDescent="0.65">
      <c r="A83" s="91">
        <f>A82+1</f>
        <v>15</v>
      </c>
      <c r="B83" s="299" t="s">
        <v>255</v>
      </c>
      <c r="C83" s="129"/>
      <c r="D83" s="300">
        <v>54852.4</v>
      </c>
      <c r="E83" s="300">
        <v>36770.400000000001</v>
      </c>
      <c r="F83" s="300">
        <v>30077.3</v>
      </c>
      <c r="G83" s="300">
        <v>12432.3</v>
      </c>
      <c r="H83" s="300">
        <v>4105.1000000000004</v>
      </c>
      <c r="I83" s="300">
        <v>6103.1</v>
      </c>
      <c r="J83" s="300">
        <v>4433.6000000000004</v>
      </c>
      <c r="K83" s="300">
        <v>3454.3</v>
      </c>
      <c r="L83" s="300">
        <v>4143.6000000000004</v>
      </c>
      <c r="M83" s="300">
        <v>3921.9</v>
      </c>
      <c r="N83" s="300">
        <v>10445.799999999999</v>
      </c>
      <c r="O83" s="300">
        <v>31647.7</v>
      </c>
      <c r="P83" s="134">
        <f>SUM(D83:O83)</f>
        <v>202387.5</v>
      </c>
      <c r="Q83" s="51"/>
    </row>
    <row r="84" spans="1:94" x14ac:dyDescent="0.35">
      <c r="A84" s="91"/>
      <c r="B84" s="299"/>
      <c r="C84" s="129"/>
      <c r="D84" s="102">
        <f t="shared" ref="D84:N84" si="10">SUM(D80:D83)</f>
        <v>733043</v>
      </c>
      <c r="E84" s="102">
        <f t="shared" si="10"/>
        <v>700984.00000000012</v>
      </c>
      <c r="F84" s="102">
        <f t="shared" si="10"/>
        <v>582736.80000000005</v>
      </c>
      <c r="G84" s="102">
        <f t="shared" si="10"/>
        <v>294143</v>
      </c>
      <c r="H84" s="102">
        <f t="shared" si="10"/>
        <v>174296.9</v>
      </c>
      <c r="I84" s="102">
        <f t="shared" si="10"/>
        <v>121730.50000000001</v>
      </c>
      <c r="J84" s="102">
        <f t="shared" si="10"/>
        <v>100026.30000000002</v>
      </c>
      <c r="K84" s="102">
        <f t="shared" si="10"/>
        <v>90381.5</v>
      </c>
      <c r="L84" s="102">
        <f t="shared" si="10"/>
        <v>95393.799999999988</v>
      </c>
      <c r="M84" s="102">
        <f t="shared" si="10"/>
        <v>118125.7</v>
      </c>
      <c r="N84" s="102">
        <f t="shared" si="10"/>
        <v>236468.69999999995</v>
      </c>
      <c r="O84" s="102">
        <f>SUM(O80:O83)</f>
        <v>516678.9</v>
      </c>
      <c r="P84" s="103">
        <f>SUM(D84:O84)</f>
        <v>3764009.0999999992</v>
      </c>
    </row>
    <row r="85" spans="1:94" x14ac:dyDescent="0.35">
      <c r="A85" s="91">
        <f>A83+1</f>
        <v>16</v>
      </c>
      <c r="B85" s="52" t="s">
        <v>241</v>
      </c>
      <c r="C85" s="139" t="s">
        <v>342</v>
      </c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70"/>
    </row>
    <row r="86" spans="1:94" x14ac:dyDescent="0.35">
      <c r="A86" s="91">
        <f>A85+1</f>
        <v>17</v>
      </c>
      <c r="B86" s="52" t="str">
        <f>B80</f>
        <v xml:space="preserve">    First 50 Mcf</v>
      </c>
      <c r="C86" s="139"/>
      <c r="D86" s="70">
        <f>'D pg 1'!D29</f>
        <v>0</v>
      </c>
      <c r="E86" s="70">
        <f>'D pg 1'!E29</f>
        <v>0</v>
      </c>
      <c r="F86" s="70">
        <f>'D pg 1'!F29</f>
        <v>0</v>
      </c>
      <c r="G86" s="70">
        <f>'D pg 1'!G29</f>
        <v>0</v>
      </c>
      <c r="H86" s="70">
        <f>'D pg 1'!H29</f>
        <v>0</v>
      </c>
      <c r="I86" s="70">
        <f>'D pg 1'!I29</f>
        <v>0</v>
      </c>
      <c r="J86" s="70">
        <f>'D pg 1'!J29</f>
        <v>0</v>
      </c>
      <c r="K86" s="70">
        <f>'D pg 1'!K29</f>
        <v>0</v>
      </c>
      <c r="L86" s="70">
        <f>'D pg 1'!L29</f>
        <v>0</v>
      </c>
      <c r="M86" s="70">
        <f>'D pg 1'!M29</f>
        <v>0</v>
      </c>
      <c r="N86" s="70">
        <f>'D pg 1'!N29</f>
        <v>0</v>
      </c>
      <c r="O86" s="70">
        <f>'D pg 1'!O29</f>
        <v>0</v>
      </c>
      <c r="P86" s="70">
        <f>SUM(D86:O86)</f>
        <v>0</v>
      </c>
    </row>
    <row r="87" spans="1:94" x14ac:dyDescent="0.35">
      <c r="A87" s="91">
        <f>A86+1</f>
        <v>18</v>
      </c>
      <c r="B87" s="52" t="str">
        <f>B81</f>
        <v xml:space="preserve">    Next 350 Mcf</v>
      </c>
      <c r="C87" s="139"/>
      <c r="D87" s="70">
        <f>'D pg 1'!D30</f>
        <v>0</v>
      </c>
      <c r="E87" s="70">
        <f>'D pg 1'!E30</f>
        <v>0</v>
      </c>
      <c r="F87" s="70">
        <f>'D pg 1'!F30</f>
        <v>0</v>
      </c>
      <c r="G87" s="70">
        <f>'D pg 1'!G30</f>
        <v>0</v>
      </c>
      <c r="H87" s="70">
        <f>'D pg 1'!H30</f>
        <v>0</v>
      </c>
      <c r="I87" s="70">
        <f>'D pg 1'!I30</f>
        <v>0</v>
      </c>
      <c r="J87" s="70">
        <f>'D pg 1'!J30</f>
        <v>0</v>
      </c>
      <c r="K87" s="70">
        <f>'D pg 1'!K30</f>
        <v>0</v>
      </c>
      <c r="L87" s="70">
        <f>'D pg 1'!L30</f>
        <v>0</v>
      </c>
      <c r="M87" s="70">
        <f>'D pg 1'!M30</f>
        <v>0</v>
      </c>
      <c r="N87" s="70">
        <f>'D pg 1'!N30</f>
        <v>0</v>
      </c>
      <c r="O87" s="70">
        <f>'D pg 1'!O30</f>
        <v>0</v>
      </c>
      <c r="P87" s="70">
        <f>SUM(D87:O87)</f>
        <v>0</v>
      </c>
    </row>
    <row r="88" spans="1:94" x14ac:dyDescent="0.35">
      <c r="A88" s="91">
        <f>A87+1</f>
        <v>19</v>
      </c>
      <c r="B88" s="52" t="str">
        <f>B82</f>
        <v xml:space="preserve">    Next 600 Mcf</v>
      </c>
      <c r="C88" s="139"/>
      <c r="D88" s="70">
        <f>'D pg 1'!D31</f>
        <v>0</v>
      </c>
      <c r="E88" s="70">
        <f>'D pg 1'!E31</f>
        <v>0</v>
      </c>
      <c r="F88" s="70">
        <f>'D pg 1'!F31</f>
        <v>0</v>
      </c>
      <c r="G88" s="70">
        <f>'D pg 1'!G31</f>
        <v>0</v>
      </c>
      <c r="H88" s="70">
        <f>'D pg 1'!H31</f>
        <v>0</v>
      </c>
      <c r="I88" s="70">
        <f>'D pg 1'!I31</f>
        <v>0</v>
      </c>
      <c r="J88" s="70">
        <f>'D pg 1'!J31</f>
        <v>0</v>
      </c>
      <c r="K88" s="70">
        <f>'D pg 1'!K31</f>
        <v>0</v>
      </c>
      <c r="L88" s="70">
        <f>'D pg 1'!L31</f>
        <v>0</v>
      </c>
      <c r="M88" s="70">
        <f>'D pg 1'!M31</f>
        <v>0</v>
      </c>
      <c r="N88" s="70">
        <f>'D pg 1'!N31</f>
        <v>0</v>
      </c>
      <c r="O88" s="70">
        <f>'D pg 1'!O31</f>
        <v>0</v>
      </c>
      <c r="P88" s="70">
        <f>SUM(D88:O88)</f>
        <v>0</v>
      </c>
    </row>
    <row r="89" spans="1:94" x14ac:dyDescent="0.35">
      <c r="A89" s="91">
        <f>A88+1</f>
        <v>20</v>
      </c>
      <c r="B89" s="52" t="str">
        <f>B83</f>
        <v xml:space="preserve">    Over 1,000 Mcf</v>
      </c>
      <c r="C89" s="139"/>
      <c r="D89" s="134">
        <f>'D pg 1'!D32</f>
        <v>0</v>
      </c>
      <c r="E89" s="134">
        <f>'D pg 1'!E32</f>
        <v>0</v>
      </c>
      <c r="F89" s="134">
        <f>'D pg 1'!F32</f>
        <v>0</v>
      </c>
      <c r="G89" s="134">
        <f>'D pg 1'!G32</f>
        <v>0</v>
      </c>
      <c r="H89" s="134">
        <f>'D pg 1'!H32</f>
        <v>0</v>
      </c>
      <c r="I89" s="134">
        <f>'D pg 1'!I32</f>
        <v>0</v>
      </c>
      <c r="J89" s="134">
        <f>'D pg 1'!J32</f>
        <v>0</v>
      </c>
      <c r="K89" s="134">
        <f>'D pg 1'!K32</f>
        <v>0</v>
      </c>
      <c r="L89" s="134">
        <f>'D pg 1'!L32</f>
        <v>0</v>
      </c>
      <c r="M89" s="134">
        <f>'D pg 1'!M32</f>
        <v>0</v>
      </c>
      <c r="N89" s="134">
        <f>'D pg 1'!N32</f>
        <v>0</v>
      </c>
      <c r="O89" s="134">
        <f>'D pg 1'!O32</f>
        <v>0</v>
      </c>
      <c r="P89" s="134">
        <f>SUM(D89:O89)</f>
        <v>0</v>
      </c>
    </row>
    <row r="90" spans="1:94" x14ac:dyDescent="0.35">
      <c r="A90" s="91"/>
      <c r="B90" s="52"/>
      <c r="C90" s="139"/>
      <c r="D90" s="70">
        <f t="shared" ref="D90:N90" si="11">SUM(D86:D89)</f>
        <v>0</v>
      </c>
      <c r="E90" s="70">
        <f t="shared" si="11"/>
        <v>0</v>
      </c>
      <c r="F90" s="70">
        <f t="shared" si="11"/>
        <v>0</v>
      </c>
      <c r="G90" s="70">
        <f t="shared" si="11"/>
        <v>0</v>
      </c>
      <c r="H90" s="70">
        <f t="shared" si="11"/>
        <v>0</v>
      </c>
      <c r="I90" s="70">
        <f t="shared" si="11"/>
        <v>0</v>
      </c>
      <c r="J90" s="70">
        <f t="shared" si="11"/>
        <v>0</v>
      </c>
      <c r="K90" s="70">
        <f t="shared" si="11"/>
        <v>0</v>
      </c>
      <c r="L90" s="70">
        <f t="shared" si="11"/>
        <v>0</v>
      </c>
      <c r="M90" s="70">
        <f t="shared" si="11"/>
        <v>0</v>
      </c>
      <c r="N90" s="70">
        <f t="shared" si="11"/>
        <v>0</v>
      </c>
      <c r="O90" s="70">
        <f>SUM(O86:O89)</f>
        <v>0</v>
      </c>
      <c r="P90" s="70">
        <f>SUM(D90:O90)</f>
        <v>0</v>
      </c>
    </row>
    <row r="91" spans="1:94" s="100" customFormat="1" x14ac:dyDescent="0.35">
      <c r="A91" s="91">
        <f>A89+1</f>
        <v>21</v>
      </c>
      <c r="B91" s="52" t="s">
        <v>260</v>
      </c>
      <c r="C91" s="105"/>
      <c r="D91" s="102"/>
      <c r="E91" s="102"/>
      <c r="F91" s="102"/>
      <c r="G91" s="70"/>
      <c r="H91" s="70"/>
      <c r="I91" s="70"/>
      <c r="J91" s="70"/>
      <c r="K91" s="70"/>
      <c r="L91" s="70"/>
      <c r="M91" s="102"/>
      <c r="N91" s="102"/>
      <c r="O91" s="102"/>
      <c r="P91" s="103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</row>
    <row r="92" spans="1:94" x14ac:dyDescent="0.35">
      <c r="A92" s="91">
        <f>A91+1</f>
        <v>22</v>
      </c>
      <c r="B92" s="52" t="str">
        <f>B80</f>
        <v xml:space="preserve">    First 50 Mcf</v>
      </c>
      <c r="C92" s="127"/>
      <c r="D92" s="161">
        <f>D80+D86</f>
        <v>301663.90000000002</v>
      </c>
      <c r="E92" s="161">
        <f t="shared" ref="E92:O92" si="12">E80+E86</f>
        <v>302959.2</v>
      </c>
      <c r="F92" s="161">
        <f t="shared" si="12"/>
        <v>260556.9</v>
      </c>
      <c r="G92" s="161">
        <f t="shared" si="12"/>
        <v>158803.79999999999</v>
      </c>
      <c r="H92" s="161">
        <f t="shared" si="12"/>
        <v>111004.7</v>
      </c>
      <c r="I92" s="161">
        <f t="shared" si="12"/>
        <v>72519</v>
      </c>
      <c r="J92" s="161">
        <f t="shared" si="12"/>
        <v>57495.5</v>
      </c>
      <c r="K92" s="161">
        <f t="shared" si="12"/>
        <v>53813.4</v>
      </c>
      <c r="L92" s="161">
        <f t="shared" si="12"/>
        <v>55491.199999999997</v>
      </c>
      <c r="M92" s="161">
        <f t="shared" si="12"/>
        <v>68357.600000000006</v>
      </c>
      <c r="N92" s="161">
        <f t="shared" si="12"/>
        <v>127148.7</v>
      </c>
      <c r="O92" s="161">
        <f t="shared" si="12"/>
        <v>237716.7</v>
      </c>
      <c r="P92" s="102">
        <f>SUM(D92:O92)</f>
        <v>1807530.5999999999</v>
      </c>
      <c r="S92" s="131"/>
    </row>
    <row r="93" spans="1:94" x14ac:dyDescent="0.35">
      <c r="A93" s="91">
        <f>A92+1</f>
        <v>23</v>
      </c>
      <c r="B93" s="52" t="str">
        <f>B81</f>
        <v xml:space="preserve">    Next 350 Mcf</v>
      </c>
      <c r="C93" s="127"/>
      <c r="D93" s="161">
        <f t="shared" ref="D93:O95" si="13">D81+D87</f>
        <v>297277.8</v>
      </c>
      <c r="E93" s="161">
        <f t="shared" si="13"/>
        <v>286181.40000000002</v>
      </c>
      <c r="F93" s="161">
        <f t="shared" si="13"/>
        <v>236024.2</v>
      </c>
      <c r="G93" s="161">
        <f t="shared" si="13"/>
        <v>103688.7</v>
      </c>
      <c r="H93" s="161">
        <f t="shared" si="13"/>
        <v>51445.7</v>
      </c>
      <c r="I93" s="161">
        <f t="shared" si="13"/>
        <v>35643.300000000003</v>
      </c>
      <c r="J93" s="161">
        <f t="shared" si="13"/>
        <v>30872.6</v>
      </c>
      <c r="K93" s="161">
        <f t="shared" si="13"/>
        <v>25999.1</v>
      </c>
      <c r="L93" s="161">
        <f t="shared" si="13"/>
        <v>28865.599999999999</v>
      </c>
      <c r="M93" s="161">
        <f t="shared" si="13"/>
        <v>37399</v>
      </c>
      <c r="N93" s="161">
        <f t="shared" si="13"/>
        <v>82862.899999999994</v>
      </c>
      <c r="O93" s="161">
        <f t="shared" si="13"/>
        <v>199877</v>
      </c>
      <c r="P93" s="102">
        <f>SUM(D93:O93)</f>
        <v>1416137.2999999998</v>
      </c>
      <c r="S93" s="131"/>
    </row>
    <row r="94" spans="1:94" x14ac:dyDescent="0.35">
      <c r="A94" s="91">
        <f>A93+1</f>
        <v>24</v>
      </c>
      <c r="B94" s="52" t="str">
        <f>B82</f>
        <v xml:space="preserve">    Next 600 Mcf</v>
      </c>
      <c r="C94" s="127"/>
      <c r="D94" s="161">
        <f t="shared" si="13"/>
        <v>79248.899999999994</v>
      </c>
      <c r="E94" s="161">
        <f t="shared" si="13"/>
        <v>75073</v>
      </c>
      <c r="F94" s="161">
        <f t="shared" si="13"/>
        <v>56078.400000000001</v>
      </c>
      <c r="G94" s="161">
        <f t="shared" si="13"/>
        <v>19218.2</v>
      </c>
      <c r="H94" s="161">
        <f t="shared" si="13"/>
        <v>7741.4</v>
      </c>
      <c r="I94" s="161">
        <f t="shared" si="13"/>
        <v>7465.1</v>
      </c>
      <c r="J94" s="161">
        <f t="shared" si="13"/>
        <v>7224.6</v>
      </c>
      <c r="K94" s="161">
        <f t="shared" si="13"/>
        <v>7114.7</v>
      </c>
      <c r="L94" s="161">
        <f t="shared" si="13"/>
        <v>6893.4</v>
      </c>
      <c r="M94" s="161">
        <f t="shared" si="13"/>
        <v>8447.2000000000007</v>
      </c>
      <c r="N94" s="161">
        <f t="shared" si="13"/>
        <v>16011.3</v>
      </c>
      <c r="O94" s="161">
        <f t="shared" si="13"/>
        <v>47437.5</v>
      </c>
      <c r="P94" s="102">
        <f>SUM(D94:O94)</f>
        <v>337953.7</v>
      </c>
      <c r="S94" s="131"/>
    </row>
    <row r="95" spans="1:94" x14ac:dyDescent="0.35">
      <c r="A95" s="91">
        <f>A94+1</f>
        <v>25</v>
      </c>
      <c r="B95" s="52" t="str">
        <f>B83</f>
        <v xml:space="preserve">    Over 1,000 Mcf</v>
      </c>
      <c r="C95" s="127"/>
      <c r="D95" s="136">
        <f t="shared" si="13"/>
        <v>54852.4</v>
      </c>
      <c r="E95" s="136">
        <f t="shared" si="13"/>
        <v>36770.400000000001</v>
      </c>
      <c r="F95" s="136">
        <f t="shared" si="13"/>
        <v>30077.3</v>
      </c>
      <c r="G95" s="136">
        <f t="shared" si="13"/>
        <v>12432.3</v>
      </c>
      <c r="H95" s="136">
        <f t="shared" si="13"/>
        <v>4105.1000000000004</v>
      </c>
      <c r="I95" s="136">
        <f t="shared" si="13"/>
        <v>6103.1</v>
      </c>
      <c r="J95" s="136">
        <f t="shared" si="13"/>
        <v>4433.6000000000004</v>
      </c>
      <c r="K95" s="136">
        <f t="shared" si="13"/>
        <v>3454.3</v>
      </c>
      <c r="L95" s="136">
        <f t="shared" si="13"/>
        <v>4143.6000000000004</v>
      </c>
      <c r="M95" s="136">
        <f t="shared" si="13"/>
        <v>3921.9</v>
      </c>
      <c r="N95" s="136">
        <f t="shared" si="13"/>
        <v>10445.799999999999</v>
      </c>
      <c r="O95" s="136">
        <f t="shared" si="13"/>
        <v>31647.7</v>
      </c>
      <c r="P95" s="134">
        <f>SUM(D95:O95)</f>
        <v>202387.5</v>
      </c>
      <c r="S95" s="131"/>
    </row>
    <row r="96" spans="1:94" x14ac:dyDescent="0.35">
      <c r="A96" s="91">
        <f>A95+1</f>
        <v>26</v>
      </c>
      <c r="B96" s="66" t="s">
        <v>340</v>
      </c>
      <c r="C96" s="127"/>
      <c r="D96" s="161">
        <f>D84+D90</f>
        <v>733043</v>
      </c>
      <c r="E96" s="161">
        <f t="shared" ref="E96:O96" si="14">E84+E90</f>
        <v>700984.00000000012</v>
      </c>
      <c r="F96" s="161">
        <f t="shared" si="14"/>
        <v>582736.80000000005</v>
      </c>
      <c r="G96" s="161">
        <f t="shared" si="14"/>
        <v>294143</v>
      </c>
      <c r="H96" s="161">
        <f t="shared" si="14"/>
        <v>174296.9</v>
      </c>
      <c r="I96" s="161">
        <f t="shared" si="14"/>
        <v>121730.50000000001</v>
      </c>
      <c r="J96" s="161">
        <f t="shared" si="14"/>
        <v>100026.30000000002</v>
      </c>
      <c r="K96" s="161">
        <f t="shared" si="14"/>
        <v>90381.5</v>
      </c>
      <c r="L96" s="161">
        <f t="shared" si="14"/>
        <v>95393.799999999988</v>
      </c>
      <c r="M96" s="161">
        <f t="shared" si="14"/>
        <v>118125.7</v>
      </c>
      <c r="N96" s="161">
        <f t="shared" si="14"/>
        <v>236468.69999999995</v>
      </c>
      <c r="O96" s="161">
        <f t="shared" si="14"/>
        <v>516678.9</v>
      </c>
      <c r="P96" s="70">
        <f>SUM(D96:O96)</f>
        <v>3764009.0999999992</v>
      </c>
      <c r="S96" s="131"/>
    </row>
    <row r="97" spans="1:19" x14ac:dyDescent="0.35">
      <c r="A97" s="91"/>
      <c r="B97" s="66"/>
      <c r="C97" s="127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70"/>
      <c r="S97" s="131"/>
    </row>
    <row r="98" spans="1:19" x14ac:dyDescent="0.35">
      <c r="A98" s="806" t="str">
        <f>CONAME</f>
        <v>Columbia Gas of Kentucky, Inc.</v>
      </c>
      <c r="B98" s="806"/>
      <c r="C98" s="806"/>
      <c r="D98" s="806"/>
      <c r="E98" s="806"/>
      <c r="F98" s="806"/>
      <c r="G98" s="806"/>
      <c r="H98" s="806"/>
      <c r="I98" s="806"/>
      <c r="J98" s="806"/>
      <c r="K98" s="806"/>
      <c r="L98" s="806"/>
      <c r="M98" s="806"/>
      <c r="N98" s="806"/>
      <c r="O98" s="806"/>
      <c r="P98" s="806"/>
      <c r="S98" s="131"/>
    </row>
    <row r="99" spans="1:19" x14ac:dyDescent="0.35">
      <c r="A99" s="806" t="s">
        <v>194</v>
      </c>
      <c r="B99" s="806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S99" s="131"/>
    </row>
    <row r="100" spans="1:19" x14ac:dyDescent="0.35">
      <c r="A100" s="805" t="str">
        <f>TYDESC</f>
        <v>For the 12 Months Ended December 31, 2022</v>
      </c>
      <c r="B100" s="805"/>
      <c r="C100" s="805"/>
      <c r="D100" s="805"/>
      <c r="E100" s="805"/>
      <c r="F100" s="805"/>
      <c r="G100" s="805"/>
      <c r="H100" s="805"/>
      <c r="I100" s="805"/>
      <c r="J100" s="805"/>
      <c r="K100" s="805"/>
      <c r="L100" s="805"/>
      <c r="M100" s="805"/>
      <c r="N100" s="805"/>
      <c r="O100" s="805"/>
      <c r="P100" s="805"/>
      <c r="S100" s="131"/>
    </row>
    <row r="101" spans="1:19" x14ac:dyDescent="0.35">
      <c r="A101" s="120"/>
      <c r="B101" s="131"/>
      <c r="C101" s="127"/>
      <c r="D101" s="168"/>
      <c r="E101" s="168"/>
      <c r="F101" s="168"/>
      <c r="G101" s="168"/>
      <c r="H101" s="168"/>
      <c r="I101" s="168"/>
      <c r="J101" s="169"/>
      <c r="K101" s="169"/>
      <c r="L101" s="169"/>
      <c r="M101" s="169"/>
      <c r="N101" s="169"/>
      <c r="O101" s="169"/>
      <c r="P101" s="132"/>
      <c r="S101" s="131"/>
    </row>
    <row r="102" spans="1:19" x14ac:dyDescent="0.35">
      <c r="A102" s="97" t="str">
        <f>$A$5</f>
        <v>Data: __ Base Period_X_Forecasted Period</v>
      </c>
      <c r="B102" s="52"/>
      <c r="C102" s="105"/>
      <c r="D102" s="105"/>
      <c r="E102" s="105"/>
      <c r="F102" s="105"/>
      <c r="G102" s="93"/>
      <c r="H102" s="93"/>
      <c r="I102" s="93"/>
      <c r="J102" s="93"/>
      <c r="K102" s="93"/>
      <c r="L102" s="93"/>
      <c r="M102" s="93"/>
      <c r="N102" s="93"/>
      <c r="O102" s="93"/>
      <c r="P102" s="293" t="str">
        <f>$P$5</f>
        <v>Workpaper WPM-C.2</v>
      </c>
    </row>
    <row r="103" spans="1:19" x14ac:dyDescent="0.35">
      <c r="A103" s="97" t="str">
        <f>$A$6</f>
        <v>Type of Filing: X Original _ Update _ Revised</v>
      </c>
      <c r="B103" s="52"/>
      <c r="C103" s="105"/>
      <c r="D103" s="105"/>
      <c r="E103" s="105"/>
      <c r="F103" s="105"/>
      <c r="G103" s="93"/>
      <c r="H103" s="93"/>
      <c r="I103" s="93"/>
      <c r="J103" s="93"/>
      <c r="K103" s="93"/>
      <c r="L103" s="93"/>
      <c r="M103" s="93"/>
      <c r="N103" s="93"/>
      <c r="O103" s="93"/>
      <c r="P103" s="294" t="s">
        <v>345</v>
      </c>
    </row>
    <row r="104" spans="1:19" x14ac:dyDescent="0.35">
      <c r="A104" s="97" t="str">
        <f>$A$7</f>
        <v>Work Paper Reference No(s):</v>
      </c>
      <c r="B104" s="52"/>
      <c r="C104" s="105"/>
      <c r="D104" s="105"/>
      <c r="E104" s="105"/>
      <c r="F104" s="105"/>
      <c r="G104" s="93"/>
      <c r="H104" s="93"/>
      <c r="I104" s="93"/>
      <c r="J104" s="93"/>
      <c r="K104" s="93"/>
      <c r="L104" s="93"/>
      <c r="M104" s="93"/>
      <c r="N104" s="93"/>
      <c r="O104" s="93"/>
      <c r="P104" s="294"/>
    </row>
    <row r="105" spans="1:19" x14ac:dyDescent="0.35">
      <c r="A105" s="128" t="str">
        <f>$A$8</f>
        <v>12 Months Forecasted</v>
      </c>
      <c r="B105" s="120"/>
      <c r="C105" s="105"/>
      <c r="D105" s="295"/>
      <c r="E105" s="105"/>
      <c r="F105" s="296"/>
      <c r="G105" s="297"/>
      <c r="H105" s="296"/>
      <c r="I105" s="298"/>
      <c r="J105" s="296"/>
      <c r="K105" s="296"/>
      <c r="L105" s="296"/>
      <c r="M105" s="296"/>
      <c r="N105" s="296"/>
      <c r="O105" s="296"/>
      <c r="P105" s="286"/>
      <c r="Q105" s="120"/>
      <c r="R105" s="120"/>
    </row>
    <row r="106" spans="1:19" x14ac:dyDescent="0.35">
      <c r="A106" s="90"/>
      <c r="B106" s="120"/>
      <c r="C106" s="105"/>
      <c r="D106" s="295"/>
      <c r="E106" s="105"/>
      <c r="F106" s="296"/>
      <c r="G106" s="297"/>
      <c r="H106" s="296"/>
      <c r="I106" s="298"/>
      <c r="J106" s="296"/>
      <c r="K106" s="296"/>
      <c r="L106" s="296"/>
      <c r="M106" s="296"/>
      <c r="N106" s="296"/>
      <c r="O106" s="296"/>
      <c r="P106" s="286"/>
      <c r="Q106" s="120"/>
      <c r="R106" s="120"/>
    </row>
    <row r="107" spans="1:19" x14ac:dyDescent="0.35">
      <c r="A107" s="120" t="s">
        <v>1</v>
      </c>
      <c r="B107" s="120"/>
      <c r="C107" s="105"/>
      <c r="D107" s="295"/>
      <c r="E107" s="105"/>
      <c r="F107" s="296"/>
      <c r="G107" s="297"/>
      <c r="H107" s="296"/>
      <c r="I107" s="298"/>
      <c r="J107" s="296"/>
      <c r="K107" s="296"/>
      <c r="L107" s="296"/>
      <c r="M107" s="296"/>
      <c r="N107" s="296"/>
      <c r="O107" s="296"/>
      <c r="P107" s="286"/>
      <c r="Q107" s="131"/>
      <c r="R107" s="131"/>
    </row>
    <row r="108" spans="1:19" x14ac:dyDescent="0.35">
      <c r="A108" s="288" t="s">
        <v>3</v>
      </c>
      <c r="B108" s="288" t="s">
        <v>4</v>
      </c>
      <c r="C108" s="289" t="s">
        <v>183</v>
      </c>
      <c r="D108" s="290" t="str">
        <f>B!$D$11</f>
        <v>Jan-22</v>
      </c>
      <c r="E108" s="290" t="str">
        <f>B!$E$11</f>
        <v>Feb-22</v>
      </c>
      <c r="F108" s="290" t="str">
        <f>B!$F$11</f>
        <v>Mar-22</v>
      </c>
      <c r="G108" s="290" t="str">
        <f>B!$G$11</f>
        <v>Apr-22</v>
      </c>
      <c r="H108" s="290" t="str">
        <f>B!$H$11</f>
        <v>May-22</v>
      </c>
      <c r="I108" s="290" t="str">
        <f>B!$I$11</f>
        <v>Jun-22</v>
      </c>
      <c r="J108" s="290" t="str">
        <f>B!$J$11</f>
        <v>Jul-22</v>
      </c>
      <c r="K108" s="290" t="str">
        <f>B!$K$11</f>
        <v>Aug-22</v>
      </c>
      <c r="L108" s="290" t="str">
        <f>B!$L$11</f>
        <v>Sep-22</v>
      </c>
      <c r="M108" s="290" t="str">
        <f>B!$M$11</f>
        <v>Oct-22</v>
      </c>
      <c r="N108" s="290" t="str">
        <f>B!$N$11</f>
        <v>Nov-22</v>
      </c>
      <c r="O108" s="290" t="str">
        <f>B!$O$11</f>
        <v>Dec-22</v>
      </c>
      <c r="P108" s="211" t="s">
        <v>9</v>
      </c>
      <c r="S108" s="208"/>
    </row>
    <row r="109" spans="1:19" x14ac:dyDescent="0.35">
      <c r="A109" s="120"/>
      <c r="B109" s="131" t="s">
        <v>42</v>
      </c>
      <c r="C109" s="127" t="s">
        <v>43</v>
      </c>
      <c r="D109" s="285" t="s">
        <v>45</v>
      </c>
      <c r="E109" s="285" t="s">
        <v>46</v>
      </c>
      <c r="F109" s="285" t="s">
        <v>49</v>
      </c>
      <c r="G109" s="285" t="s">
        <v>50</v>
      </c>
      <c r="H109" s="285" t="s">
        <v>51</v>
      </c>
      <c r="I109" s="285" t="s">
        <v>52</v>
      </c>
      <c r="J109" s="285" t="s">
        <v>53</v>
      </c>
      <c r="K109" s="132" t="s">
        <v>54</v>
      </c>
      <c r="L109" s="132" t="s">
        <v>55</v>
      </c>
      <c r="M109" s="132" t="s">
        <v>56</v>
      </c>
      <c r="N109" s="132" t="s">
        <v>57</v>
      </c>
      <c r="O109" s="132" t="s">
        <v>58</v>
      </c>
      <c r="P109" s="132" t="s">
        <v>59</v>
      </c>
      <c r="S109" s="131"/>
    </row>
    <row r="110" spans="1:19" x14ac:dyDescent="0.35">
      <c r="A110" s="120"/>
      <c r="B110" s="131"/>
      <c r="C110" s="127"/>
      <c r="D110" s="168"/>
      <c r="E110" s="168"/>
      <c r="F110" s="168"/>
      <c r="G110" s="168"/>
      <c r="H110" s="168"/>
      <c r="I110" s="168"/>
      <c r="J110" s="169"/>
      <c r="K110" s="169"/>
      <c r="L110" s="169"/>
      <c r="M110" s="169"/>
      <c r="N110" s="169"/>
      <c r="O110" s="169"/>
      <c r="P110" s="132"/>
      <c r="S110" s="131"/>
    </row>
    <row r="111" spans="1:19" x14ac:dyDescent="0.35">
      <c r="A111" s="91">
        <f>A109+1</f>
        <v>1</v>
      </c>
      <c r="B111" s="51" t="s">
        <v>261</v>
      </c>
      <c r="C111" s="129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52"/>
    </row>
    <row r="112" spans="1:19" x14ac:dyDescent="0.35">
      <c r="A112" s="91">
        <f>A111+1</f>
        <v>2</v>
      </c>
      <c r="B112" s="52" t="s">
        <v>339</v>
      </c>
      <c r="C112" s="129"/>
      <c r="D112" s="284"/>
      <c r="E112" s="284"/>
      <c r="F112" s="284"/>
      <c r="G112" s="292"/>
      <c r="H112" s="292"/>
      <c r="I112" s="292"/>
      <c r="J112" s="292"/>
      <c r="K112" s="292"/>
      <c r="L112" s="292"/>
      <c r="M112" s="284"/>
      <c r="N112" s="284"/>
      <c r="O112" s="284"/>
      <c r="P112" s="103"/>
    </row>
    <row r="113" spans="1:94" x14ac:dyDescent="0.35">
      <c r="A113" s="91">
        <f>A112+1</f>
        <v>3</v>
      </c>
      <c r="B113" s="299" t="s">
        <v>252</v>
      </c>
      <c r="C113" s="129"/>
      <c r="D113" s="292">
        <v>2145.3000000000002</v>
      </c>
      <c r="E113" s="284">
        <v>2115.6</v>
      </c>
      <c r="F113" s="284">
        <v>2045.5</v>
      </c>
      <c r="G113" s="292">
        <v>1652.2</v>
      </c>
      <c r="H113" s="292">
        <f>50+1532.2</f>
        <v>1582.2</v>
      </c>
      <c r="I113" s="292">
        <v>1148.7</v>
      </c>
      <c r="J113" s="292">
        <v>747.9</v>
      </c>
      <c r="K113" s="292">
        <v>837.7</v>
      </c>
      <c r="L113" s="292">
        <v>1025.9000000000001</v>
      </c>
      <c r="M113" s="284">
        <v>1208.8</v>
      </c>
      <c r="N113" s="284">
        <v>1668.8</v>
      </c>
      <c r="O113" s="284">
        <f>50+1980.3</f>
        <v>2030.3</v>
      </c>
      <c r="P113" s="70">
        <f>SUM(D113:O113)</f>
        <v>18208.899999999998</v>
      </c>
      <c r="Q113" s="51"/>
    </row>
    <row r="114" spans="1:94" x14ac:dyDescent="0.35">
      <c r="A114" s="91">
        <f>A113+1</f>
        <v>4</v>
      </c>
      <c r="B114" s="299" t="s">
        <v>253</v>
      </c>
      <c r="C114" s="129"/>
      <c r="D114" s="292">
        <v>9954.7000000000007</v>
      </c>
      <c r="E114" s="284">
        <v>9961.7000000000007</v>
      </c>
      <c r="F114" s="284">
        <v>9287</v>
      </c>
      <c r="G114" s="292">
        <v>5626</v>
      </c>
      <c r="H114" s="292">
        <f>196+5129.6</f>
        <v>5325.6</v>
      </c>
      <c r="I114" s="292">
        <v>3671.8</v>
      </c>
      <c r="J114" s="292">
        <v>3224.1</v>
      </c>
      <c r="K114" s="292">
        <v>3915.9</v>
      </c>
      <c r="L114" s="292">
        <v>4195.5</v>
      </c>
      <c r="M114" s="284">
        <v>5273.7</v>
      </c>
      <c r="N114" s="284">
        <v>7257.1</v>
      </c>
      <c r="O114" s="284">
        <f>219+9240.3</f>
        <v>9459.2999999999993</v>
      </c>
      <c r="P114" s="70">
        <f>SUM(D114:O114)</f>
        <v>77152.400000000009</v>
      </c>
      <c r="Q114" s="51"/>
    </row>
    <row r="115" spans="1:94" x14ac:dyDescent="0.35">
      <c r="A115" s="91">
        <f>A114+1</f>
        <v>5</v>
      </c>
      <c r="B115" s="299" t="s">
        <v>254</v>
      </c>
      <c r="C115" s="129"/>
      <c r="D115" s="292">
        <v>11094.6</v>
      </c>
      <c r="E115" s="284">
        <v>11265.1</v>
      </c>
      <c r="F115" s="284">
        <v>10457.6</v>
      </c>
      <c r="G115" s="292">
        <v>1893.4</v>
      </c>
      <c r="H115" s="292">
        <v>2289.1</v>
      </c>
      <c r="I115" s="292">
        <v>1178.9000000000001</v>
      </c>
      <c r="J115" s="292">
        <v>1053.0999999999999</v>
      </c>
      <c r="K115" s="292">
        <v>2126.5</v>
      </c>
      <c r="L115" s="292">
        <v>2718.9</v>
      </c>
      <c r="M115" s="284">
        <v>4845.1000000000004</v>
      </c>
      <c r="N115" s="284">
        <v>8264.9</v>
      </c>
      <c r="O115" s="284">
        <v>9666.7999999999993</v>
      </c>
      <c r="P115" s="70">
        <f>SUM(D115:O115)</f>
        <v>66854</v>
      </c>
      <c r="Q115" s="51"/>
    </row>
    <row r="116" spans="1:94" ht="18.5" x14ac:dyDescent="0.65">
      <c r="A116" s="91">
        <f>A115+1</f>
        <v>6</v>
      </c>
      <c r="B116" s="299" t="s">
        <v>255</v>
      </c>
      <c r="C116" s="129"/>
      <c r="D116" s="300">
        <v>21264.2</v>
      </c>
      <c r="E116" s="300">
        <v>18844</v>
      </c>
      <c r="F116" s="300">
        <v>8198.1</v>
      </c>
      <c r="G116" s="300">
        <v>1200</v>
      </c>
      <c r="H116" s="300">
        <v>1275</v>
      </c>
      <c r="I116" s="300">
        <v>1000</v>
      </c>
      <c r="J116" s="300">
        <v>1000</v>
      </c>
      <c r="K116" s="300">
        <v>1000</v>
      </c>
      <c r="L116" s="300">
        <v>1000</v>
      </c>
      <c r="M116" s="300">
        <v>1815.8</v>
      </c>
      <c r="N116" s="300">
        <v>8034.9</v>
      </c>
      <c r="O116" s="300">
        <v>15622.1</v>
      </c>
      <c r="P116" s="134">
        <f>SUM(D116:O116)</f>
        <v>80254.100000000006</v>
      </c>
      <c r="Q116" s="51"/>
    </row>
    <row r="117" spans="1:94" x14ac:dyDescent="0.35">
      <c r="A117" s="91"/>
      <c r="B117" s="299"/>
      <c r="C117" s="129"/>
      <c r="D117" s="102">
        <f t="shared" ref="D117:O117" si="15">SUM(D113:D116)</f>
        <v>44458.8</v>
      </c>
      <c r="E117" s="102">
        <f t="shared" si="15"/>
        <v>42186.400000000001</v>
      </c>
      <c r="F117" s="102">
        <f t="shared" si="15"/>
        <v>29988.199999999997</v>
      </c>
      <c r="G117" s="102">
        <f t="shared" si="15"/>
        <v>10371.6</v>
      </c>
      <c r="H117" s="102">
        <f t="shared" si="15"/>
        <v>10471.9</v>
      </c>
      <c r="I117" s="102">
        <f t="shared" si="15"/>
        <v>6999.4</v>
      </c>
      <c r="J117" s="102">
        <f t="shared" si="15"/>
        <v>6025.1</v>
      </c>
      <c r="K117" s="102">
        <f t="shared" si="15"/>
        <v>7880.1</v>
      </c>
      <c r="L117" s="102">
        <f t="shared" si="15"/>
        <v>8940.2999999999993</v>
      </c>
      <c r="M117" s="102">
        <f t="shared" si="15"/>
        <v>13143.4</v>
      </c>
      <c r="N117" s="102">
        <f t="shared" si="15"/>
        <v>25225.699999999997</v>
      </c>
      <c r="O117" s="102">
        <f t="shared" si="15"/>
        <v>36778.5</v>
      </c>
      <c r="P117" s="70">
        <f>SUM(D117:O117)</f>
        <v>242469.40000000002</v>
      </c>
    </row>
    <row r="118" spans="1:94" x14ac:dyDescent="0.35">
      <c r="A118" s="91">
        <f>A116+1</f>
        <v>7</v>
      </c>
      <c r="B118" s="52" t="s">
        <v>241</v>
      </c>
      <c r="C118" s="139" t="s">
        <v>342</v>
      </c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70"/>
    </row>
    <row r="119" spans="1:94" x14ac:dyDescent="0.35">
      <c r="A119" s="91">
        <f>A118+1</f>
        <v>8</v>
      </c>
      <c r="B119" s="52" t="str">
        <f>B113</f>
        <v xml:space="preserve">    First 50 Mcf</v>
      </c>
      <c r="C119" s="139"/>
      <c r="D119" s="302">
        <f>'D pg 1'!D36</f>
        <v>0</v>
      </c>
      <c r="E119" s="302">
        <f>'D pg 1'!E36</f>
        <v>0</v>
      </c>
      <c r="F119" s="302">
        <f>'D pg 1'!F36</f>
        <v>0</v>
      </c>
      <c r="G119" s="302">
        <f>'D pg 1'!G36</f>
        <v>0</v>
      </c>
      <c r="H119" s="302">
        <f>'D pg 1'!H36</f>
        <v>0</v>
      </c>
      <c r="I119" s="302">
        <f>'D pg 1'!I36</f>
        <v>-50</v>
      </c>
      <c r="J119" s="302">
        <f>'D pg 1'!J36</f>
        <v>0</v>
      </c>
      <c r="K119" s="302">
        <f>'D pg 1'!K36</f>
        <v>0</v>
      </c>
      <c r="L119" s="302">
        <f>'D pg 1'!L36</f>
        <v>-50</v>
      </c>
      <c r="M119" s="302">
        <f>'D pg 1'!M36</f>
        <v>0</v>
      </c>
      <c r="N119" s="302">
        <f>'D pg 1'!N36</f>
        <v>0</v>
      </c>
      <c r="O119" s="302">
        <f>'D pg 1'!O36</f>
        <v>0</v>
      </c>
      <c r="P119" s="70">
        <f>SUM(D119:O119)</f>
        <v>-100</v>
      </c>
    </row>
    <row r="120" spans="1:94" x14ac:dyDescent="0.35">
      <c r="A120" s="91">
        <f>A119+1</f>
        <v>9</v>
      </c>
      <c r="B120" s="52" t="str">
        <f>B114</f>
        <v xml:space="preserve">    Next 350 Mcf</v>
      </c>
      <c r="C120" s="139"/>
      <c r="D120" s="302">
        <f>'D pg 1'!D37</f>
        <v>0</v>
      </c>
      <c r="E120" s="302">
        <f>'D pg 1'!E37</f>
        <v>0</v>
      </c>
      <c r="F120" s="302">
        <f>'D pg 1'!F37</f>
        <v>0</v>
      </c>
      <c r="G120" s="302">
        <f>'D pg 1'!G37</f>
        <v>0</v>
      </c>
      <c r="H120" s="302">
        <f>'D pg 1'!H37</f>
        <v>-100</v>
      </c>
      <c r="I120" s="302">
        <f>'D pg 1'!I37</f>
        <v>0</v>
      </c>
      <c r="J120" s="302">
        <f>'D pg 1'!J37</f>
        <v>0</v>
      </c>
      <c r="K120" s="302">
        <f>'D pg 1'!K37</f>
        <v>0</v>
      </c>
      <c r="L120" s="302">
        <f>'D pg 1'!L37</f>
        <v>0</v>
      </c>
      <c r="M120" s="302">
        <f>'D pg 1'!M37</f>
        <v>0</v>
      </c>
      <c r="N120" s="302">
        <f>'D pg 1'!N37</f>
        <v>0</v>
      </c>
      <c r="O120" s="302">
        <f>'D pg 1'!O37</f>
        <v>0</v>
      </c>
      <c r="P120" s="70">
        <f>SUM(D120:O120)</f>
        <v>-100</v>
      </c>
    </row>
    <row r="121" spans="1:94" x14ac:dyDescent="0.35">
      <c r="A121" s="91">
        <f>A120+1</f>
        <v>10</v>
      </c>
      <c r="B121" s="52" t="str">
        <f>B115</f>
        <v xml:space="preserve">    Next 600 Mcf</v>
      </c>
      <c r="C121" s="139"/>
      <c r="D121" s="302">
        <f>'D pg 1'!D38</f>
        <v>0</v>
      </c>
      <c r="E121" s="302">
        <f>'D pg 1'!E38</f>
        <v>0</v>
      </c>
      <c r="F121" s="302">
        <f>'D pg 1'!F38</f>
        <v>0</v>
      </c>
      <c r="G121" s="302">
        <f>'D pg 1'!G38</f>
        <v>-500</v>
      </c>
      <c r="H121" s="302">
        <f>'D pg 1'!H38</f>
        <v>-600</v>
      </c>
      <c r="I121" s="302">
        <f>'D pg 1'!I38</f>
        <v>0</v>
      </c>
      <c r="J121" s="302">
        <f>'D pg 1'!J38</f>
        <v>0</v>
      </c>
      <c r="K121" s="302">
        <f>'D pg 1'!K38</f>
        <v>0</v>
      </c>
      <c r="L121" s="302">
        <f>'D pg 1'!L38</f>
        <v>0</v>
      </c>
      <c r="M121" s="302">
        <f>'D pg 1'!M38</f>
        <v>0</v>
      </c>
      <c r="N121" s="302">
        <f>'D pg 1'!N38</f>
        <v>100</v>
      </c>
      <c r="O121" s="302">
        <f>'D pg 1'!O38</f>
        <v>0</v>
      </c>
      <c r="P121" s="70">
        <f>SUM(D121:O121)</f>
        <v>-1000</v>
      </c>
    </row>
    <row r="122" spans="1:94" x14ac:dyDescent="0.35">
      <c r="A122" s="91">
        <f>A121+1</f>
        <v>11</v>
      </c>
      <c r="B122" s="52" t="str">
        <f>B116</f>
        <v xml:space="preserve">    Over 1,000 Mcf</v>
      </c>
      <c r="C122" s="139"/>
      <c r="D122" s="303">
        <f>'D pg 1'!D39</f>
        <v>4000</v>
      </c>
      <c r="E122" s="303">
        <f>'D pg 1'!E39</f>
        <v>4000</v>
      </c>
      <c r="F122" s="303">
        <f>'D pg 1'!F39</f>
        <v>500</v>
      </c>
      <c r="G122" s="303">
        <f>'D pg 1'!G39</f>
        <v>0</v>
      </c>
      <c r="H122" s="303">
        <f>'D pg 1'!H39</f>
        <v>0</v>
      </c>
      <c r="I122" s="303">
        <f>'D pg 1'!I39</f>
        <v>0</v>
      </c>
      <c r="J122" s="303">
        <f>'D pg 1'!J39</f>
        <v>0</v>
      </c>
      <c r="K122" s="303">
        <f>'D pg 1'!K39</f>
        <v>0</v>
      </c>
      <c r="L122" s="303">
        <f>'D pg 1'!L39</f>
        <v>0</v>
      </c>
      <c r="M122" s="303">
        <f>'D pg 1'!M39</f>
        <v>0</v>
      </c>
      <c r="N122" s="303">
        <f>'D pg 1'!N39</f>
        <v>2200</v>
      </c>
      <c r="O122" s="303">
        <f>'D pg 1'!O39</f>
        <v>4000</v>
      </c>
      <c r="P122" s="134">
        <f>SUM(D122:O122)</f>
        <v>14700</v>
      </c>
    </row>
    <row r="123" spans="1:94" x14ac:dyDescent="0.35">
      <c r="A123" s="91"/>
      <c r="B123" s="52"/>
      <c r="C123" s="139"/>
      <c r="D123" s="70">
        <f t="shared" ref="D123:O123" si="16">SUM(D119:D122)</f>
        <v>4000</v>
      </c>
      <c r="E123" s="70">
        <f t="shared" si="16"/>
        <v>4000</v>
      </c>
      <c r="F123" s="70">
        <f t="shared" si="16"/>
        <v>500</v>
      </c>
      <c r="G123" s="70">
        <f t="shared" si="16"/>
        <v>-500</v>
      </c>
      <c r="H123" s="70">
        <f t="shared" si="16"/>
        <v>-700</v>
      </c>
      <c r="I123" s="70">
        <f t="shared" si="16"/>
        <v>-50</v>
      </c>
      <c r="J123" s="70">
        <f t="shared" si="16"/>
        <v>0</v>
      </c>
      <c r="K123" s="70">
        <f t="shared" si="16"/>
        <v>0</v>
      </c>
      <c r="L123" s="70">
        <f t="shared" si="16"/>
        <v>-50</v>
      </c>
      <c r="M123" s="70">
        <f t="shared" si="16"/>
        <v>0</v>
      </c>
      <c r="N123" s="70">
        <f t="shared" si="16"/>
        <v>2300</v>
      </c>
      <c r="O123" s="70">
        <f t="shared" si="16"/>
        <v>4000</v>
      </c>
      <c r="P123" s="70">
        <f>SUM(D123:O123)</f>
        <v>13500</v>
      </c>
    </row>
    <row r="124" spans="1:94" s="100" customFormat="1" x14ac:dyDescent="0.35">
      <c r="A124" s="91">
        <f>A122+1</f>
        <v>12</v>
      </c>
      <c r="B124" s="52" t="s">
        <v>260</v>
      </c>
      <c r="C124" s="105"/>
      <c r="D124" s="102"/>
      <c r="E124" s="102"/>
      <c r="F124" s="102"/>
      <c r="G124" s="70"/>
      <c r="H124" s="70"/>
      <c r="I124" s="70"/>
      <c r="J124" s="70"/>
      <c r="K124" s="70"/>
      <c r="L124" s="70"/>
      <c r="M124" s="102"/>
      <c r="N124" s="102"/>
      <c r="O124" s="102"/>
      <c r="P124" s="103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</row>
    <row r="125" spans="1:94" x14ac:dyDescent="0.35">
      <c r="A125" s="91">
        <f>A124+1</f>
        <v>13</v>
      </c>
      <c r="B125" s="52" t="str">
        <f>B113</f>
        <v xml:space="preserve">    First 50 Mcf</v>
      </c>
      <c r="C125" s="127"/>
      <c r="D125" s="161">
        <f t="shared" ref="D125:O125" si="17">D113+D119</f>
        <v>2145.3000000000002</v>
      </c>
      <c r="E125" s="161">
        <f t="shared" si="17"/>
        <v>2115.6</v>
      </c>
      <c r="F125" s="161">
        <f t="shared" si="17"/>
        <v>2045.5</v>
      </c>
      <c r="G125" s="161">
        <f t="shared" si="17"/>
        <v>1652.2</v>
      </c>
      <c r="H125" s="161">
        <f t="shared" si="17"/>
        <v>1582.2</v>
      </c>
      <c r="I125" s="161">
        <f t="shared" si="17"/>
        <v>1098.7</v>
      </c>
      <c r="J125" s="161">
        <f t="shared" si="17"/>
        <v>747.9</v>
      </c>
      <c r="K125" s="161">
        <f t="shared" si="17"/>
        <v>837.7</v>
      </c>
      <c r="L125" s="161">
        <f t="shared" si="17"/>
        <v>975.90000000000009</v>
      </c>
      <c r="M125" s="161">
        <f t="shared" si="17"/>
        <v>1208.8</v>
      </c>
      <c r="N125" s="161">
        <f t="shared" si="17"/>
        <v>1668.8</v>
      </c>
      <c r="O125" s="161">
        <f t="shared" si="17"/>
        <v>2030.3</v>
      </c>
      <c r="P125" s="102">
        <f>SUM(D125:O125)</f>
        <v>18108.899999999998</v>
      </c>
      <c r="S125" s="131"/>
    </row>
    <row r="126" spans="1:94" x14ac:dyDescent="0.35">
      <c r="A126" s="91">
        <f>A125+1</f>
        <v>14</v>
      </c>
      <c r="B126" s="52" t="str">
        <f>B114</f>
        <v xml:space="preserve">    Next 350 Mcf</v>
      </c>
      <c r="C126" s="127"/>
      <c r="D126" s="161">
        <f t="shared" ref="D126:O126" si="18">D114+D120</f>
        <v>9954.7000000000007</v>
      </c>
      <c r="E126" s="161">
        <f t="shared" si="18"/>
        <v>9961.7000000000007</v>
      </c>
      <c r="F126" s="161">
        <f t="shared" si="18"/>
        <v>9287</v>
      </c>
      <c r="G126" s="161">
        <f t="shared" si="18"/>
        <v>5626</v>
      </c>
      <c r="H126" s="161">
        <f t="shared" si="18"/>
        <v>5225.6000000000004</v>
      </c>
      <c r="I126" s="161">
        <f t="shared" si="18"/>
        <v>3671.8</v>
      </c>
      <c r="J126" s="161">
        <f t="shared" si="18"/>
        <v>3224.1</v>
      </c>
      <c r="K126" s="161">
        <f t="shared" si="18"/>
        <v>3915.9</v>
      </c>
      <c r="L126" s="161">
        <f t="shared" si="18"/>
        <v>4195.5</v>
      </c>
      <c r="M126" s="161">
        <f t="shared" si="18"/>
        <v>5273.7</v>
      </c>
      <c r="N126" s="161">
        <f t="shared" si="18"/>
        <v>7257.1</v>
      </c>
      <c r="O126" s="161">
        <f t="shared" si="18"/>
        <v>9459.2999999999993</v>
      </c>
      <c r="P126" s="102">
        <f>SUM(D126:O126)</f>
        <v>77052.400000000009</v>
      </c>
      <c r="S126" s="131"/>
    </row>
    <row r="127" spans="1:94" x14ac:dyDescent="0.35">
      <c r="A127" s="91">
        <f>A126+1</f>
        <v>15</v>
      </c>
      <c r="B127" s="52" t="str">
        <f>B115</f>
        <v xml:space="preserve">    Next 600 Mcf</v>
      </c>
      <c r="C127" s="127"/>
      <c r="D127" s="161">
        <f t="shared" ref="D127:O127" si="19">D115+D121</f>
        <v>11094.6</v>
      </c>
      <c r="E127" s="161">
        <f t="shared" si="19"/>
        <v>11265.1</v>
      </c>
      <c r="F127" s="161">
        <f t="shared" si="19"/>
        <v>10457.6</v>
      </c>
      <c r="G127" s="161">
        <f t="shared" si="19"/>
        <v>1393.4</v>
      </c>
      <c r="H127" s="161">
        <f t="shared" si="19"/>
        <v>1689.1</v>
      </c>
      <c r="I127" s="161">
        <f t="shared" si="19"/>
        <v>1178.9000000000001</v>
      </c>
      <c r="J127" s="161">
        <f t="shared" si="19"/>
        <v>1053.0999999999999</v>
      </c>
      <c r="K127" s="161">
        <f t="shared" si="19"/>
        <v>2126.5</v>
      </c>
      <c r="L127" s="161">
        <f t="shared" si="19"/>
        <v>2718.9</v>
      </c>
      <c r="M127" s="161">
        <f t="shared" si="19"/>
        <v>4845.1000000000004</v>
      </c>
      <c r="N127" s="161">
        <f t="shared" si="19"/>
        <v>8364.9</v>
      </c>
      <c r="O127" s="161">
        <f t="shared" si="19"/>
        <v>9666.7999999999993</v>
      </c>
      <c r="P127" s="102">
        <f>SUM(D127:O127)</f>
        <v>65854</v>
      </c>
      <c r="S127" s="131"/>
    </row>
    <row r="128" spans="1:94" x14ac:dyDescent="0.35">
      <c r="A128" s="91">
        <f>A127+1</f>
        <v>16</v>
      </c>
      <c r="B128" s="52" t="str">
        <f>B116</f>
        <v xml:space="preserve">    Over 1,000 Mcf</v>
      </c>
      <c r="C128" s="127"/>
      <c r="D128" s="136">
        <f t="shared" ref="D128:O128" si="20">D116+D122</f>
        <v>25264.2</v>
      </c>
      <c r="E128" s="136">
        <f t="shared" si="20"/>
        <v>22844</v>
      </c>
      <c r="F128" s="136">
        <f t="shared" si="20"/>
        <v>8698.1</v>
      </c>
      <c r="G128" s="136">
        <f t="shared" si="20"/>
        <v>1200</v>
      </c>
      <c r="H128" s="136">
        <f t="shared" si="20"/>
        <v>1275</v>
      </c>
      <c r="I128" s="136">
        <f t="shared" si="20"/>
        <v>1000</v>
      </c>
      <c r="J128" s="136">
        <f t="shared" si="20"/>
        <v>1000</v>
      </c>
      <c r="K128" s="136">
        <f t="shared" si="20"/>
        <v>1000</v>
      </c>
      <c r="L128" s="136">
        <f t="shared" si="20"/>
        <v>1000</v>
      </c>
      <c r="M128" s="136">
        <f t="shared" si="20"/>
        <v>1815.8</v>
      </c>
      <c r="N128" s="136">
        <f t="shared" si="20"/>
        <v>10234.9</v>
      </c>
      <c r="O128" s="136">
        <f t="shared" si="20"/>
        <v>19622.099999999999</v>
      </c>
      <c r="P128" s="134">
        <f>SUM(D128:O128)</f>
        <v>94954.1</v>
      </c>
      <c r="S128" s="131"/>
    </row>
    <row r="129" spans="1:19" x14ac:dyDescent="0.35">
      <c r="A129" s="91">
        <f>A128+1</f>
        <v>17</v>
      </c>
      <c r="B129" s="204" t="s">
        <v>340</v>
      </c>
      <c r="C129" s="127"/>
      <c r="D129" s="70">
        <f t="shared" ref="D129:O129" si="21">D117+D123</f>
        <v>48458.8</v>
      </c>
      <c r="E129" s="70">
        <f t="shared" si="21"/>
        <v>46186.400000000001</v>
      </c>
      <c r="F129" s="70">
        <f t="shared" si="21"/>
        <v>30488.199999999997</v>
      </c>
      <c r="G129" s="70">
        <f t="shared" si="21"/>
        <v>9871.6</v>
      </c>
      <c r="H129" s="70">
        <f t="shared" si="21"/>
        <v>9771.9</v>
      </c>
      <c r="I129" s="70">
        <f t="shared" si="21"/>
        <v>6949.4</v>
      </c>
      <c r="J129" s="70">
        <f t="shared" si="21"/>
        <v>6025.1</v>
      </c>
      <c r="K129" s="70">
        <f t="shared" si="21"/>
        <v>7880.1</v>
      </c>
      <c r="L129" s="70">
        <f t="shared" si="21"/>
        <v>8890.2999999999993</v>
      </c>
      <c r="M129" s="70">
        <f t="shared" si="21"/>
        <v>13143.4</v>
      </c>
      <c r="N129" s="70">
        <f t="shared" si="21"/>
        <v>27525.699999999997</v>
      </c>
      <c r="O129" s="70">
        <f t="shared" si="21"/>
        <v>40778.5</v>
      </c>
      <c r="P129" s="70">
        <f>SUM(D129:O129)</f>
        <v>255969.39999999997</v>
      </c>
      <c r="S129" s="131"/>
    </row>
    <row r="130" spans="1:19" x14ac:dyDescent="0.35">
      <c r="A130" s="120"/>
      <c r="B130" s="131"/>
      <c r="C130" s="127"/>
      <c r="D130" s="168"/>
      <c r="E130" s="168"/>
      <c r="F130" s="168"/>
      <c r="G130" s="168"/>
      <c r="H130" s="168"/>
      <c r="I130" s="168"/>
      <c r="J130" s="169"/>
      <c r="K130" s="169"/>
      <c r="L130" s="169"/>
      <c r="M130" s="169"/>
      <c r="N130" s="169"/>
      <c r="O130" s="169"/>
      <c r="P130" s="132"/>
      <c r="S130" s="131"/>
    </row>
    <row r="131" spans="1:19" x14ac:dyDescent="0.35">
      <c r="A131" s="91">
        <f>A129+1</f>
        <v>18</v>
      </c>
      <c r="B131" s="51" t="s">
        <v>281</v>
      </c>
      <c r="C131" s="129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52"/>
      <c r="S131" s="131"/>
    </row>
    <row r="132" spans="1:19" x14ac:dyDescent="0.35">
      <c r="A132" s="91">
        <f>A131+1</f>
        <v>19</v>
      </c>
      <c r="B132" s="52" t="s">
        <v>339</v>
      </c>
      <c r="C132" s="129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52"/>
      <c r="S132" s="131"/>
    </row>
    <row r="133" spans="1:19" x14ac:dyDescent="0.35">
      <c r="A133" s="91">
        <f>A132+1</f>
        <v>20</v>
      </c>
      <c r="B133" s="299" t="s">
        <v>266</v>
      </c>
      <c r="C133" s="129"/>
      <c r="D133" s="292">
        <v>0</v>
      </c>
      <c r="E133" s="292">
        <v>0</v>
      </c>
      <c r="F133" s="292">
        <v>0</v>
      </c>
      <c r="G133" s="292">
        <v>0</v>
      </c>
      <c r="H133" s="292">
        <v>0</v>
      </c>
      <c r="I133" s="292">
        <v>0</v>
      </c>
      <c r="J133" s="292">
        <v>0</v>
      </c>
      <c r="K133" s="292">
        <v>0</v>
      </c>
      <c r="L133" s="292">
        <v>0</v>
      </c>
      <c r="M133" s="292">
        <v>0</v>
      </c>
      <c r="N133" s="292">
        <v>0</v>
      </c>
      <c r="O133" s="292">
        <v>0</v>
      </c>
      <c r="P133" s="70">
        <f>SUM(D133:O133)</f>
        <v>0</v>
      </c>
      <c r="S133" s="131"/>
    </row>
    <row r="134" spans="1:19" x14ac:dyDescent="0.35">
      <c r="A134" s="91">
        <f t="shared" ref="A134:A135" si="22">A133+1</f>
        <v>21</v>
      </c>
      <c r="B134" s="299" t="s">
        <v>546</v>
      </c>
      <c r="C134" s="129"/>
      <c r="D134" s="292">
        <v>0</v>
      </c>
      <c r="E134" s="292">
        <v>0</v>
      </c>
      <c r="F134" s="292">
        <v>0</v>
      </c>
      <c r="G134" s="292">
        <v>0</v>
      </c>
      <c r="H134" s="292">
        <v>0</v>
      </c>
      <c r="I134" s="292">
        <v>0</v>
      </c>
      <c r="J134" s="292">
        <v>0</v>
      </c>
      <c r="K134" s="292">
        <v>0</v>
      </c>
      <c r="L134" s="292">
        <v>0</v>
      </c>
      <c r="M134" s="292">
        <v>0</v>
      </c>
      <c r="N134" s="292">
        <v>0</v>
      </c>
      <c r="O134" s="292">
        <v>0</v>
      </c>
      <c r="P134" s="70">
        <f>SUM(D134:O134)</f>
        <v>0</v>
      </c>
      <c r="S134" s="131"/>
    </row>
    <row r="135" spans="1:19" x14ac:dyDescent="0.35">
      <c r="A135" s="91">
        <f t="shared" si="22"/>
        <v>22</v>
      </c>
      <c r="B135" s="299" t="s">
        <v>548</v>
      </c>
      <c r="C135" s="129"/>
      <c r="D135" s="301">
        <v>0</v>
      </c>
      <c r="E135" s="301">
        <v>0</v>
      </c>
      <c r="F135" s="301">
        <v>0</v>
      </c>
      <c r="G135" s="301">
        <v>0</v>
      </c>
      <c r="H135" s="301">
        <v>0</v>
      </c>
      <c r="I135" s="301">
        <v>0</v>
      </c>
      <c r="J135" s="301">
        <v>0</v>
      </c>
      <c r="K135" s="301">
        <v>0</v>
      </c>
      <c r="L135" s="301">
        <v>0</v>
      </c>
      <c r="M135" s="301">
        <v>0</v>
      </c>
      <c r="N135" s="301">
        <v>0</v>
      </c>
      <c r="O135" s="301">
        <v>0</v>
      </c>
      <c r="P135" s="134">
        <f>SUM(D135:O135)</f>
        <v>0</v>
      </c>
      <c r="S135" s="131"/>
    </row>
    <row r="136" spans="1:19" x14ac:dyDescent="0.35">
      <c r="A136" s="91">
        <f>A135+1</f>
        <v>23</v>
      </c>
      <c r="B136" s="52" t="s">
        <v>217</v>
      </c>
      <c r="C136" s="129"/>
      <c r="D136" s="70">
        <f>SUM(D133:D135)</f>
        <v>0</v>
      </c>
      <c r="E136" s="70">
        <f t="shared" ref="E136:N136" si="23">SUM(E133:E135)</f>
        <v>0</v>
      </c>
      <c r="F136" s="70">
        <f t="shared" si="23"/>
        <v>0</v>
      </c>
      <c r="G136" s="70">
        <f t="shared" si="23"/>
        <v>0</v>
      </c>
      <c r="H136" s="70">
        <f t="shared" si="23"/>
        <v>0</v>
      </c>
      <c r="I136" s="70">
        <f t="shared" si="23"/>
        <v>0</v>
      </c>
      <c r="J136" s="70">
        <f t="shared" si="23"/>
        <v>0</v>
      </c>
      <c r="K136" s="70">
        <f t="shared" si="23"/>
        <v>0</v>
      </c>
      <c r="L136" s="70">
        <f t="shared" si="23"/>
        <v>0</v>
      </c>
      <c r="M136" s="70">
        <f t="shared" si="23"/>
        <v>0</v>
      </c>
      <c r="N136" s="70">
        <f t="shared" si="23"/>
        <v>0</v>
      </c>
      <c r="O136" s="70">
        <f>SUM(O133:O135)</f>
        <v>0</v>
      </c>
      <c r="P136" s="70">
        <f>SUM(D136:O136)</f>
        <v>0</v>
      </c>
      <c r="S136" s="131"/>
    </row>
    <row r="137" spans="1:19" x14ac:dyDescent="0.35">
      <c r="A137" s="91"/>
      <c r="B137" s="299"/>
      <c r="C137" s="129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S137" s="131"/>
    </row>
    <row r="138" spans="1:19" x14ac:dyDescent="0.35">
      <c r="A138" s="91">
        <f>A136+1</f>
        <v>24</v>
      </c>
      <c r="B138" s="51" t="s">
        <v>262</v>
      </c>
      <c r="C138" s="127"/>
      <c r="D138" s="168"/>
      <c r="E138" s="168"/>
      <c r="F138" s="168"/>
      <c r="G138" s="168"/>
      <c r="H138" s="168"/>
      <c r="I138" s="168"/>
      <c r="J138" s="169"/>
      <c r="K138" s="169"/>
      <c r="L138" s="169"/>
      <c r="M138" s="169"/>
      <c r="N138" s="169"/>
      <c r="O138" s="169"/>
      <c r="P138" s="132"/>
      <c r="S138" s="131"/>
    </row>
    <row r="139" spans="1:19" x14ac:dyDescent="0.35">
      <c r="A139" s="91">
        <f>A138+1</f>
        <v>25</v>
      </c>
      <c r="B139" s="52" t="s">
        <v>339</v>
      </c>
      <c r="C139" s="129"/>
      <c r="D139" s="292">
        <v>1938.9</v>
      </c>
      <c r="E139" s="292">
        <v>1673.4</v>
      </c>
      <c r="F139" s="292">
        <v>1850.8</v>
      </c>
      <c r="G139" s="292">
        <v>714.5</v>
      </c>
      <c r="H139" s="292">
        <v>576.5</v>
      </c>
      <c r="I139" s="292">
        <v>489.9</v>
      </c>
      <c r="J139" s="292">
        <v>341.7</v>
      </c>
      <c r="K139" s="292">
        <v>376.6</v>
      </c>
      <c r="L139" s="292">
        <v>306.3</v>
      </c>
      <c r="M139" s="292">
        <v>562.5</v>
      </c>
      <c r="N139" s="292">
        <v>936.2</v>
      </c>
      <c r="O139" s="292">
        <v>1483.9</v>
      </c>
      <c r="P139" s="70">
        <f>SUM(D139:O139)</f>
        <v>11251.2</v>
      </c>
      <c r="S139" s="131"/>
    </row>
    <row r="140" spans="1:19" x14ac:dyDescent="0.35">
      <c r="A140" s="91">
        <f>A139+1</f>
        <v>26</v>
      </c>
      <c r="B140" s="52" t="s">
        <v>241</v>
      </c>
      <c r="C140" s="139" t="s">
        <v>342</v>
      </c>
      <c r="D140" s="301">
        <v>0</v>
      </c>
      <c r="E140" s="301">
        <v>0</v>
      </c>
      <c r="F140" s="301">
        <v>0</v>
      </c>
      <c r="G140" s="301">
        <v>0</v>
      </c>
      <c r="H140" s="301">
        <v>0</v>
      </c>
      <c r="I140" s="301">
        <v>0</v>
      </c>
      <c r="J140" s="301">
        <v>0</v>
      </c>
      <c r="K140" s="301">
        <v>0</v>
      </c>
      <c r="L140" s="301">
        <v>0</v>
      </c>
      <c r="M140" s="301">
        <v>0</v>
      </c>
      <c r="N140" s="301">
        <v>0</v>
      </c>
      <c r="O140" s="301">
        <v>0</v>
      </c>
      <c r="P140" s="134">
        <f>SUM(D140:O140)</f>
        <v>0</v>
      </c>
      <c r="S140" s="131"/>
    </row>
    <row r="141" spans="1:19" x14ac:dyDescent="0.35">
      <c r="A141" s="91">
        <f>A140+1</f>
        <v>27</v>
      </c>
      <c r="B141" s="52" t="s">
        <v>260</v>
      </c>
      <c r="C141" s="105"/>
      <c r="D141" s="70">
        <f t="shared" ref="D141:O141" si="24">SUM(D139:D140)</f>
        <v>1938.9</v>
      </c>
      <c r="E141" s="70">
        <f t="shared" si="24"/>
        <v>1673.4</v>
      </c>
      <c r="F141" s="70">
        <f t="shared" si="24"/>
        <v>1850.8</v>
      </c>
      <c r="G141" s="70">
        <f t="shared" si="24"/>
        <v>714.5</v>
      </c>
      <c r="H141" s="70">
        <f t="shared" si="24"/>
        <v>576.5</v>
      </c>
      <c r="I141" s="70">
        <f t="shared" si="24"/>
        <v>489.9</v>
      </c>
      <c r="J141" s="70">
        <f t="shared" si="24"/>
        <v>341.7</v>
      </c>
      <c r="K141" s="70">
        <f t="shared" si="24"/>
        <v>376.6</v>
      </c>
      <c r="L141" s="70">
        <f t="shared" si="24"/>
        <v>306.3</v>
      </c>
      <c r="M141" s="70">
        <f t="shared" si="24"/>
        <v>562.5</v>
      </c>
      <c r="N141" s="70">
        <f t="shared" si="24"/>
        <v>936.2</v>
      </c>
      <c r="O141" s="70">
        <f t="shared" si="24"/>
        <v>1483.9</v>
      </c>
      <c r="P141" s="70">
        <f>SUM(D141:O141)</f>
        <v>11251.2</v>
      </c>
      <c r="S141" s="131"/>
    </row>
    <row r="142" spans="1:19" x14ac:dyDescent="0.35">
      <c r="A142" s="91"/>
      <c r="B142" s="52"/>
      <c r="C142" s="105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S142" s="131"/>
    </row>
    <row r="143" spans="1:19" x14ac:dyDescent="0.35">
      <c r="A143" s="806" t="str">
        <f>CONAME</f>
        <v>Columbia Gas of Kentucky, Inc.</v>
      </c>
      <c r="B143" s="806"/>
      <c r="C143" s="806"/>
      <c r="D143" s="806"/>
      <c r="E143" s="806"/>
      <c r="F143" s="806"/>
      <c r="G143" s="806"/>
      <c r="H143" s="806"/>
      <c r="I143" s="806"/>
      <c r="J143" s="806"/>
      <c r="K143" s="806"/>
      <c r="L143" s="806"/>
      <c r="M143" s="806"/>
      <c r="N143" s="806"/>
      <c r="O143" s="806"/>
      <c r="P143" s="806"/>
      <c r="S143" s="131"/>
    </row>
    <row r="144" spans="1:19" x14ac:dyDescent="0.35">
      <c r="A144" s="806" t="s">
        <v>194</v>
      </c>
      <c r="B144" s="806"/>
      <c r="C144" s="806"/>
      <c r="D144" s="806"/>
      <c r="E144" s="806"/>
      <c r="F144" s="806"/>
      <c r="G144" s="806"/>
      <c r="H144" s="806"/>
      <c r="I144" s="806"/>
      <c r="J144" s="806"/>
      <c r="K144" s="806"/>
      <c r="L144" s="806"/>
      <c r="M144" s="806"/>
      <c r="N144" s="806"/>
      <c r="O144" s="806"/>
      <c r="P144" s="806"/>
      <c r="S144" s="131"/>
    </row>
    <row r="145" spans="1:19" x14ac:dyDescent="0.35">
      <c r="A145" s="805" t="str">
        <f>TYDESC</f>
        <v>For the 12 Months Ended December 31, 2022</v>
      </c>
      <c r="B145" s="805"/>
      <c r="C145" s="805"/>
      <c r="D145" s="805"/>
      <c r="E145" s="805"/>
      <c r="F145" s="805"/>
      <c r="G145" s="805"/>
      <c r="H145" s="805"/>
      <c r="I145" s="805"/>
      <c r="J145" s="805"/>
      <c r="K145" s="805"/>
      <c r="L145" s="805"/>
      <c r="M145" s="805"/>
      <c r="N145" s="805"/>
      <c r="O145" s="805"/>
      <c r="P145" s="805"/>
      <c r="S145" s="131"/>
    </row>
    <row r="146" spans="1:19" x14ac:dyDescent="0.35">
      <c r="A146" s="120"/>
      <c r="B146" s="131"/>
      <c r="C146" s="127"/>
      <c r="D146" s="168"/>
      <c r="E146" s="168"/>
      <c r="F146" s="168"/>
      <c r="G146" s="168"/>
      <c r="H146" s="168"/>
      <c r="I146" s="168"/>
      <c r="J146" s="169"/>
      <c r="K146" s="169"/>
      <c r="L146" s="169"/>
      <c r="M146" s="169"/>
      <c r="N146" s="169"/>
      <c r="O146" s="169"/>
      <c r="P146" s="132"/>
      <c r="S146" s="131"/>
    </row>
    <row r="147" spans="1:19" x14ac:dyDescent="0.35">
      <c r="A147" s="97" t="str">
        <f>$A$5</f>
        <v>Data: __ Base Period_X_Forecasted Period</v>
      </c>
      <c r="B147" s="52"/>
      <c r="C147" s="105"/>
      <c r="D147" s="105"/>
      <c r="E147" s="105"/>
      <c r="F147" s="105"/>
      <c r="G147" s="93"/>
      <c r="H147" s="93"/>
      <c r="I147" s="93"/>
      <c r="J147" s="93"/>
      <c r="K147" s="93"/>
      <c r="L147" s="93"/>
      <c r="M147" s="93"/>
      <c r="N147" s="93"/>
      <c r="O147" s="93"/>
      <c r="P147" s="293" t="str">
        <f>$P$5</f>
        <v>Workpaper WPM-C.2</v>
      </c>
      <c r="S147" s="131"/>
    </row>
    <row r="148" spans="1:19" x14ac:dyDescent="0.35">
      <c r="A148" s="97" t="str">
        <f>$A$6</f>
        <v>Type of Filing: X Original _ Update _ Revised</v>
      </c>
      <c r="B148" s="52"/>
      <c r="C148" s="105"/>
      <c r="D148" s="105"/>
      <c r="E148" s="105"/>
      <c r="F148" s="105"/>
      <c r="G148" s="93"/>
      <c r="H148" s="93"/>
      <c r="I148" s="93"/>
      <c r="J148" s="93"/>
      <c r="K148" s="93"/>
      <c r="L148" s="93"/>
      <c r="M148" s="93"/>
      <c r="N148" s="93"/>
      <c r="O148" s="93"/>
      <c r="P148" s="294" t="s">
        <v>346</v>
      </c>
      <c r="S148" s="131"/>
    </row>
    <row r="149" spans="1:19" x14ac:dyDescent="0.35">
      <c r="A149" s="97" t="str">
        <f>$A$7</f>
        <v>Work Paper Reference No(s):</v>
      </c>
      <c r="B149" s="52"/>
      <c r="C149" s="105"/>
      <c r="D149" s="105"/>
      <c r="E149" s="105"/>
      <c r="F149" s="105"/>
      <c r="G149" s="93"/>
      <c r="H149" s="93"/>
      <c r="I149" s="93"/>
      <c r="J149" s="93"/>
      <c r="K149" s="93"/>
      <c r="L149" s="93"/>
      <c r="M149" s="93"/>
      <c r="N149" s="93"/>
      <c r="O149" s="93"/>
      <c r="P149" s="294"/>
      <c r="S149" s="131"/>
    </row>
    <row r="150" spans="1:19" x14ac:dyDescent="0.35">
      <c r="A150" s="128" t="str">
        <f>$A$8</f>
        <v>12 Months Forecasted</v>
      </c>
      <c r="B150" s="120"/>
      <c r="C150" s="105"/>
      <c r="D150" s="295"/>
      <c r="E150" s="105"/>
      <c r="F150" s="296"/>
      <c r="G150" s="297"/>
      <c r="H150" s="296"/>
      <c r="I150" s="298"/>
      <c r="J150" s="296"/>
      <c r="K150" s="296"/>
      <c r="L150" s="296"/>
      <c r="M150" s="296"/>
      <c r="N150" s="296"/>
      <c r="O150" s="296"/>
      <c r="P150" s="286"/>
      <c r="S150" s="131"/>
    </row>
    <row r="151" spans="1:19" x14ac:dyDescent="0.35">
      <c r="A151" s="90"/>
      <c r="B151" s="120"/>
      <c r="C151" s="105"/>
      <c r="D151" s="295"/>
      <c r="E151" s="105"/>
      <c r="F151" s="296"/>
      <c r="G151" s="297"/>
      <c r="H151" s="296"/>
      <c r="I151" s="298"/>
      <c r="J151" s="296"/>
      <c r="K151" s="296"/>
      <c r="L151" s="296"/>
      <c r="M151" s="296"/>
      <c r="N151" s="296"/>
      <c r="O151" s="296"/>
      <c r="P151" s="286"/>
      <c r="S151" s="131"/>
    </row>
    <row r="152" spans="1:19" x14ac:dyDescent="0.35">
      <c r="A152" s="120" t="s">
        <v>1</v>
      </c>
      <c r="B152" s="120"/>
      <c r="C152" s="105"/>
      <c r="D152" s="295"/>
      <c r="E152" s="105"/>
      <c r="F152" s="296"/>
      <c r="G152" s="297"/>
      <c r="H152" s="296"/>
      <c r="I152" s="298"/>
      <c r="J152" s="296"/>
      <c r="K152" s="296"/>
      <c r="L152" s="296"/>
      <c r="M152" s="296"/>
      <c r="N152" s="296"/>
      <c r="O152" s="296"/>
      <c r="P152" s="286"/>
      <c r="S152" s="131"/>
    </row>
    <row r="153" spans="1:19" x14ac:dyDescent="0.35">
      <c r="A153" s="288" t="s">
        <v>3</v>
      </c>
      <c r="B153" s="288" t="s">
        <v>4</v>
      </c>
      <c r="C153" s="289" t="s">
        <v>183</v>
      </c>
      <c r="D153" s="290" t="str">
        <f>B!$D$11</f>
        <v>Jan-22</v>
      </c>
      <c r="E153" s="290" t="str">
        <f>B!$E$11</f>
        <v>Feb-22</v>
      </c>
      <c r="F153" s="290" t="str">
        <f>B!$F$11</f>
        <v>Mar-22</v>
      </c>
      <c r="G153" s="290" t="str">
        <f>B!$G$11</f>
        <v>Apr-22</v>
      </c>
      <c r="H153" s="290" t="str">
        <f>B!$H$11</f>
        <v>May-22</v>
      </c>
      <c r="I153" s="290" t="str">
        <f>B!$I$11</f>
        <v>Jun-22</v>
      </c>
      <c r="J153" s="290" t="str">
        <f>B!$J$11</f>
        <v>Jul-22</v>
      </c>
      <c r="K153" s="290" t="str">
        <f>B!$K$11</f>
        <v>Aug-22</v>
      </c>
      <c r="L153" s="290" t="str">
        <f>B!$L$11</f>
        <v>Sep-22</v>
      </c>
      <c r="M153" s="290" t="str">
        <f>B!$M$11</f>
        <v>Oct-22</v>
      </c>
      <c r="N153" s="290" t="str">
        <f>B!$N$11</f>
        <v>Nov-22</v>
      </c>
      <c r="O153" s="290" t="str">
        <f>B!$O$11</f>
        <v>Dec-22</v>
      </c>
      <c r="P153" s="211" t="s">
        <v>9</v>
      </c>
      <c r="S153" s="131"/>
    </row>
    <row r="154" spans="1:19" x14ac:dyDescent="0.35">
      <c r="A154" s="120"/>
      <c r="B154" s="131" t="s">
        <v>42</v>
      </c>
      <c r="C154" s="127" t="s">
        <v>43</v>
      </c>
      <c r="D154" s="285" t="s">
        <v>45</v>
      </c>
      <c r="E154" s="285" t="s">
        <v>46</v>
      </c>
      <c r="F154" s="285" t="s">
        <v>49</v>
      </c>
      <c r="G154" s="285" t="s">
        <v>50</v>
      </c>
      <c r="H154" s="285" t="s">
        <v>51</v>
      </c>
      <c r="I154" s="285" t="s">
        <v>52</v>
      </c>
      <c r="J154" s="285" t="s">
        <v>53</v>
      </c>
      <c r="K154" s="132" t="s">
        <v>54</v>
      </c>
      <c r="L154" s="132" t="s">
        <v>55</v>
      </c>
      <c r="M154" s="132" t="s">
        <v>56</v>
      </c>
      <c r="N154" s="132" t="s">
        <v>57</v>
      </c>
      <c r="O154" s="132" t="s">
        <v>58</v>
      </c>
      <c r="P154" s="132" t="s">
        <v>59</v>
      </c>
      <c r="S154" s="131"/>
    </row>
    <row r="155" spans="1:19" ht="16" thickBot="1" x14ac:dyDescent="0.4">
      <c r="A155" s="120"/>
      <c r="B155" s="131"/>
      <c r="C155" s="127"/>
      <c r="D155" s="168"/>
      <c r="E155" s="168"/>
      <c r="F155" s="168"/>
      <c r="G155" s="168"/>
      <c r="H155" s="168"/>
      <c r="I155" s="168"/>
      <c r="J155" s="169"/>
      <c r="K155" s="169"/>
      <c r="L155" s="169"/>
      <c r="M155" s="169"/>
      <c r="N155" s="169"/>
      <c r="O155" s="169"/>
      <c r="P155" s="132"/>
      <c r="S155" s="131"/>
    </row>
    <row r="156" spans="1:19" x14ac:dyDescent="0.35">
      <c r="A156" s="137">
        <v>1</v>
      </c>
      <c r="B156" s="121" t="s">
        <v>10</v>
      </c>
      <c r="C156" s="122"/>
      <c r="D156" s="122"/>
      <c r="E156" s="122"/>
      <c r="F156" s="122"/>
      <c r="G156" s="122"/>
      <c r="H156" s="122"/>
      <c r="I156" s="122"/>
      <c r="J156" s="122"/>
      <c r="K156" s="144"/>
      <c r="L156" s="144"/>
      <c r="M156" s="144"/>
      <c r="N156" s="144"/>
      <c r="O156" s="144"/>
      <c r="P156" s="138"/>
    </row>
    <row r="157" spans="1:19" x14ac:dyDescent="0.35">
      <c r="A157" s="125"/>
      <c r="B157" s="52"/>
      <c r="C157" s="85"/>
      <c r="D157" s="85"/>
      <c r="E157" s="85"/>
      <c r="F157" s="85"/>
      <c r="G157" s="85"/>
      <c r="H157" s="85"/>
      <c r="I157" s="85"/>
      <c r="J157" s="85"/>
      <c r="K157" s="93"/>
      <c r="L157" s="93"/>
      <c r="M157" s="93"/>
      <c r="N157" s="93"/>
      <c r="O157" s="93"/>
      <c r="P157" s="124"/>
    </row>
    <row r="158" spans="1:19" x14ac:dyDescent="0.35">
      <c r="A158" s="125">
        <f>A156+1</f>
        <v>2</v>
      </c>
      <c r="B158" s="51" t="s">
        <v>11</v>
      </c>
      <c r="C158" s="85"/>
      <c r="D158" s="85"/>
      <c r="E158" s="85"/>
      <c r="F158" s="85"/>
      <c r="G158" s="85"/>
      <c r="H158" s="85"/>
      <c r="I158" s="85"/>
      <c r="J158" s="85"/>
      <c r="K158" s="93"/>
      <c r="L158" s="93"/>
      <c r="M158" s="93"/>
      <c r="N158" s="93"/>
      <c r="O158" s="93"/>
      <c r="P158" s="124"/>
    </row>
    <row r="159" spans="1:19" x14ac:dyDescent="0.35">
      <c r="A159" s="125">
        <f>A158+1</f>
        <v>3</v>
      </c>
      <c r="B159" s="52" t="s">
        <v>339</v>
      </c>
      <c r="C159" s="129"/>
      <c r="D159" s="70">
        <f t="shared" ref="D159:O159" si="25">D15+D25+D30+D35+D40+D45+D71+D74</f>
        <v>1484733.9999999998</v>
      </c>
      <c r="E159" s="70">
        <f t="shared" si="25"/>
        <v>1503002.6</v>
      </c>
      <c r="F159" s="70">
        <f t="shared" si="25"/>
        <v>1166691.1000000001</v>
      </c>
      <c r="G159" s="70">
        <f t="shared" si="25"/>
        <v>665313.49999999988</v>
      </c>
      <c r="H159" s="70">
        <f t="shared" si="25"/>
        <v>285090.89999999997</v>
      </c>
      <c r="I159" s="70">
        <f t="shared" si="25"/>
        <v>148204.29999999999</v>
      </c>
      <c r="J159" s="70">
        <f t="shared" si="25"/>
        <v>83409.799999999988</v>
      </c>
      <c r="K159" s="70">
        <f t="shared" si="25"/>
        <v>87653.699999999983</v>
      </c>
      <c r="L159" s="70">
        <f t="shared" si="25"/>
        <v>102271</v>
      </c>
      <c r="M159" s="70">
        <f t="shared" si="25"/>
        <v>177788.40000000002</v>
      </c>
      <c r="N159" s="70">
        <f t="shared" si="25"/>
        <v>461844.59999999992</v>
      </c>
      <c r="O159" s="70">
        <f t="shared" si="25"/>
        <v>1094130.5999999996</v>
      </c>
      <c r="P159" s="145">
        <f>SUM(D159:O159)</f>
        <v>7260134.4999999991</v>
      </c>
    </row>
    <row r="160" spans="1:19" x14ac:dyDescent="0.35">
      <c r="A160" s="125">
        <f>A159+1</f>
        <v>4</v>
      </c>
      <c r="B160" s="52" t="s">
        <v>241</v>
      </c>
      <c r="C160" s="139"/>
      <c r="D160" s="134">
        <f t="shared" ref="D160:P160" si="26">D16+D26+D31+D36+D41+D46+D75</f>
        <v>0</v>
      </c>
      <c r="E160" s="134">
        <f t="shared" si="26"/>
        <v>0</v>
      </c>
      <c r="F160" s="134">
        <f t="shared" si="26"/>
        <v>0</v>
      </c>
      <c r="G160" s="134">
        <f t="shared" si="26"/>
        <v>0</v>
      </c>
      <c r="H160" s="134">
        <f t="shared" si="26"/>
        <v>0</v>
      </c>
      <c r="I160" s="134">
        <f t="shared" si="26"/>
        <v>0</v>
      </c>
      <c r="J160" s="134">
        <f t="shared" si="26"/>
        <v>0</v>
      </c>
      <c r="K160" s="134">
        <f t="shared" si="26"/>
        <v>0</v>
      </c>
      <c r="L160" s="134">
        <f t="shared" si="26"/>
        <v>0</v>
      </c>
      <c r="M160" s="134">
        <f t="shared" si="26"/>
        <v>0</v>
      </c>
      <c r="N160" s="134">
        <f t="shared" si="26"/>
        <v>0</v>
      </c>
      <c r="O160" s="134">
        <f t="shared" si="26"/>
        <v>0</v>
      </c>
      <c r="P160" s="309">
        <f t="shared" si="26"/>
        <v>0</v>
      </c>
    </row>
    <row r="161" spans="1:16" x14ac:dyDescent="0.35">
      <c r="A161" s="125">
        <f>A160+1</f>
        <v>5</v>
      </c>
      <c r="B161" s="52" t="s">
        <v>260</v>
      </c>
      <c r="C161" s="105"/>
      <c r="D161" s="70">
        <f t="shared" ref="D161:O161" si="27">SUM(D159:D160)</f>
        <v>1484733.9999999998</v>
      </c>
      <c r="E161" s="70">
        <f t="shared" si="27"/>
        <v>1503002.6</v>
      </c>
      <c r="F161" s="70">
        <f t="shared" si="27"/>
        <v>1166691.1000000001</v>
      </c>
      <c r="G161" s="70">
        <f t="shared" si="27"/>
        <v>665313.49999999988</v>
      </c>
      <c r="H161" s="70">
        <f t="shared" si="27"/>
        <v>285090.89999999997</v>
      </c>
      <c r="I161" s="70">
        <f t="shared" si="27"/>
        <v>148204.29999999999</v>
      </c>
      <c r="J161" s="70">
        <f t="shared" si="27"/>
        <v>83409.799999999988</v>
      </c>
      <c r="K161" s="70">
        <f t="shared" si="27"/>
        <v>87653.699999999983</v>
      </c>
      <c r="L161" s="70">
        <f t="shared" si="27"/>
        <v>102271</v>
      </c>
      <c r="M161" s="70">
        <f t="shared" si="27"/>
        <v>177788.40000000002</v>
      </c>
      <c r="N161" s="70">
        <f t="shared" si="27"/>
        <v>461844.59999999992</v>
      </c>
      <c r="O161" s="70">
        <f t="shared" si="27"/>
        <v>1094130.5999999996</v>
      </c>
      <c r="P161" s="145">
        <f>SUM(D161:O161)</f>
        <v>7260134.4999999991</v>
      </c>
    </row>
    <row r="162" spans="1:16" x14ac:dyDescent="0.35">
      <c r="A162" s="125"/>
      <c r="B162" s="52"/>
      <c r="C162" s="85"/>
      <c r="D162" s="85"/>
      <c r="E162" s="85"/>
      <c r="F162" s="85"/>
      <c r="G162" s="85"/>
      <c r="H162" s="85"/>
      <c r="I162" s="85"/>
      <c r="J162" s="85"/>
      <c r="K162" s="93"/>
      <c r="L162" s="93"/>
      <c r="M162" s="93"/>
      <c r="N162" s="93"/>
      <c r="O162" s="93"/>
      <c r="P162" s="124"/>
    </row>
    <row r="163" spans="1:16" x14ac:dyDescent="0.35">
      <c r="A163" s="125">
        <f>A161+1</f>
        <v>6</v>
      </c>
      <c r="B163" s="51" t="s">
        <v>12</v>
      </c>
      <c r="C163" s="85"/>
      <c r="D163" s="85"/>
      <c r="E163" s="85"/>
      <c r="F163" s="85"/>
      <c r="G163" s="85"/>
      <c r="H163" s="85"/>
      <c r="I163" s="85"/>
      <c r="J163" s="85"/>
      <c r="K163" s="93"/>
      <c r="L163" s="93"/>
      <c r="M163" s="93"/>
      <c r="N163" s="93"/>
      <c r="O163" s="93"/>
      <c r="P163" s="124"/>
    </row>
    <row r="164" spans="1:16" x14ac:dyDescent="0.35">
      <c r="A164" s="125">
        <f>A163+1</f>
        <v>7</v>
      </c>
      <c r="B164" s="52" t="s">
        <v>339</v>
      </c>
      <c r="C164" s="129"/>
      <c r="D164" s="70">
        <f>D20+D50+D84</f>
        <v>733043</v>
      </c>
      <c r="E164" s="70">
        <f t="shared" ref="E164:O164" si="28">E20+E50+E84</f>
        <v>700984.00000000012</v>
      </c>
      <c r="F164" s="70">
        <f t="shared" si="28"/>
        <v>582736.80000000005</v>
      </c>
      <c r="G164" s="70">
        <f t="shared" si="28"/>
        <v>294143</v>
      </c>
      <c r="H164" s="70">
        <f t="shared" si="28"/>
        <v>174296.9</v>
      </c>
      <c r="I164" s="70">
        <f t="shared" si="28"/>
        <v>121730.50000000001</v>
      </c>
      <c r="J164" s="70">
        <f t="shared" si="28"/>
        <v>100026.30000000002</v>
      </c>
      <c r="K164" s="70">
        <f t="shared" si="28"/>
        <v>90381.5</v>
      </c>
      <c r="L164" s="70">
        <f t="shared" si="28"/>
        <v>95393.799999999988</v>
      </c>
      <c r="M164" s="70">
        <f t="shared" si="28"/>
        <v>118125.7</v>
      </c>
      <c r="N164" s="70">
        <f t="shared" si="28"/>
        <v>236468.69999999995</v>
      </c>
      <c r="O164" s="70">
        <f t="shared" si="28"/>
        <v>516678.9</v>
      </c>
      <c r="P164" s="145">
        <f>P20+P50+P84</f>
        <v>3764009.0999999992</v>
      </c>
    </row>
    <row r="165" spans="1:16" x14ac:dyDescent="0.35">
      <c r="A165" s="125">
        <f>A164+1</f>
        <v>8</v>
      </c>
      <c r="B165" s="52" t="s">
        <v>241</v>
      </c>
      <c r="C165" s="139"/>
      <c r="D165" s="134">
        <f>D21+D51+D90</f>
        <v>0</v>
      </c>
      <c r="E165" s="134">
        <f t="shared" ref="E165:O165" si="29">E21+E51+E90</f>
        <v>0</v>
      </c>
      <c r="F165" s="134">
        <f t="shared" si="29"/>
        <v>0</v>
      </c>
      <c r="G165" s="134">
        <f t="shared" si="29"/>
        <v>0</v>
      </c>
      <c r="H165" s="134">
        <f t="shared" si="29"/>
        <v>0</v>
      </c>
      <c r="I165" s="134">
        <f t="shared" si="29"/>
        <v>0</v>
      </c>
      <c r="J165" s="134">
        <f t="shared" si="29"/>
        <v>0</v>
      </c>
      <c r="K165" s="134">
        <f t="shared" si="29"/>
        <v>0</v>
      </c>
      <c r="L165" s="134">
        <f t="shared" si="29"/>
        <v>0</v>
      </c>
      <c r="M165" s="134">
        <f t="shared" si="29"/>
        <v>0</v>
      </c>
      <c r="N165" s="134">
        <f t="shared" si="29"/>
        <v>0</v>
      </c>
      <c r="O165" s="134">
        <f t="shared" si="29"/>
        <v>0</v>
      </c>
      <c r="P165" s="309">
        <f>P21+P51+P90</f>
        <v>0</v>
      </c>
    </row>
    <row r="166" spans="1:16" x14ac:dyDescent="0.35">
      <c r="A166" s="125">
        <f>A165+1</f>
        <v>9</v>
      </c>
      <c r="B166" s="52" t="s">
        <v>260</v>
      </c>
      <c r="C166" s="105"/>
      <c r="D166" s="70">
        <f t="shared" ref="D166:O166" si="30">SUM(D164:D165)</f>
        <v>733043</v>
      </c>
      <c r="E166" s="70">
        <f t="shared" si="30"/>
        <v>700984.00000000012</v>
      </c>
      <c r="F166" s="70">
        <f t="shared" si="30"/>
        <v>582736.80000000005</v>
      </c>
      <c r="G166" s="70">
        <f t="shared" si="30"/>
        <v>294143</v>
      </c>
      <c r="H166" s="70">
        <f t="shared" si="30"/>
        <v>174296.9</v>
      </c>
      <c r="I166" s="70">
        <f t="shared" si="30"/>
        <v>121730.50000000001</v>
      </c>
      <c r="J166" s="70">
        <f t="shared" si="30"/>
        <v>100026.30000000002</v>
      </c>
      <c r="K166" s="70">
        <f t="shared" si="30"/>
        <v>90381.5</v>
      </c>
      <c r="L166" s="70">
        <f t="shared" si="30"/>
        <v>95393.799999999988</v>
      </c>
      <c r="M166" s="70">
        <f t="shared" si="30"/>
        <v>118125.7</v>
      </c>
      <c r="N166" s="70">
        <f t="shared" si="30"/>
        <v>236468.69999999995</v>
      </c>
      <c r="O166" s="70">
        <f t="shared" si="30"/>
        <v>516678.9</v>
      </c>
      <c r="P166" s="145">
        <f>SUM(D166:O166)</f>
        <v>3764009.0999999992</v>
      </c>
    </row>
    <row r="167" spans="1:16" x14ac:dyDescent="0.35">
      <c r="A167" s="125"/>
      <c r="B167" s="52"/>
      <c r="C167" s="85"/>
      <c r="D167" s="85"/>
      <c r="E167" s="85"/>
      <c r="F167" s="85"/>
      <c r="G167" s="85"/>
      <c r="H167" s="85"/>
      <c r="I167" s="85"/>
      <c r="J167" s="85"/>
      <c r="K167" s="93"/>
      <c r="L167" s="93"/>
      <c r="M167" s="93"/>
      <c r="N167" s="93"/>
      <c r="O167" s="93"/>
      <c r="P167" s="124"/>
    </row>
    <row r="168" spans="1:16" x14ac:dyDescent="0.35">
      <c r="A168" s="125">
        <f>A166+1</f>
        <v>10</v>
      </c>
      <c r="B168" s="51" t="s">
        <v>13</v>
      </c>
      <c r="C168" s="85"/>
      <c r="D168" s="85"/>
      <c r="E168" s="85"/>
      <c r="F168" s="85"/>
      <c r="G168" s="85"/>
      <c r="H168" s="85"/>
      <c r="I168" s="85"/>
      <c r="J168" s="85"/>
      <c r="K168" s="93"/>
      <c r="L168" s="93"/>
      <c r="M168" s="93"/>
      <c r="N168" s="93"/>
      <c r="O168" s="93"/>
      <c r="P168" s="124"/>
    </row>
    <row r="169" spans="1:16" x14ac:dyDescent="0.35">
      <c r="A169" s="125">
        <f>A168+1</f>
        <v>11</v>
      </c>
      <c r="B169" s="52" t="s">
        <v>339</v>
      </c>
      <c r="C169" s="129"/>
      <c r="D169" s="70">
        <f>D117+D136</f>
        <v>44458.8</v>
      </c>
      <c r="E169" s="70">
        <f t="shared" ref="E169:P169" si="31">E117+E136</f>
        <v>42186.400000000001</v>
      </c>
      <c r="F169" s="70">
        <f t="shared" si="31"/>
        <v>29988.199999999997</v>
      </c>
      <c r="G169" s="70">
        <f t="shared" si="31"/>
        <v>10371.6</v>
      </c>
      <c r="H169" s="70">
        <f t="shared" si="31"/>
        <v>10471.9</v>
      </c>
      <c r="I169" s="70">
        <f t="shared" si="31"/>
        <v>6999.4</v>
      </c>
      <c r="J169" s="70">
        <f t="shared" si="31"/>
        <v>6025.1</v>
      </c>
      <c r="K169" s="70">
        <f t="shared" si="31"/>
        <v>7880.1</v>
      </c>
      <c r="L169" s="70">
        <f t="shared" si="31"/>
        <v>8940.2999999999993</v>
      </c>
      <c r="M169" s="70">
        <f t="shared" si="31"/>
        <v>13143.4</v>
      </c>
      <c r="N169" s="70">
        <f t="shared" si="31"/>
        <v>25225.699999999997</v>
      </c>
      <c r="O169" s="70">
        <f t="shared" si="31"/>
        <v>36778.5</v>
      </c>
      <c r="P169" s="145">
        <f t="shared" si="31"/>
        <v>242469.40000000002</v>
      </c>
    </row>
    <row r="170" spans="1:16" x14ac:dyDescent="0.35">
      <c r="A170" s="125">
        <f>A169+1</f>
        <v>12</v>
      </c>
      <c r="B170" s="52" t="s">
        <v>241</v>
      </c>
      <c r="C170" s="139"/>
      <c r="D170" s="134">
        <f>D123</f>
        <v>4000</v>
      </c>
      <c r="E170" s="134">
        <f t="shared" ref="E170:P170" si="32">E123</f>
        <v>4000</v>
      </c>
      <c r="F170" s="134">
        <f t="shared" si="32"/>
        <v>500</v>
      </c>
      <c r="G170" s="134">
        <f t="shared" si="32"/>
        <v>-500</v>
      </c>
      <c r="H170" s="134">
        <f t="shared" si="32"/>
        <v>-700</v>
      </c>
      <c r="I170" s="134">
        <f t="shared" si="32"/>
        <v>-50</v>
      </c>
      <c r="J170" s="134">
        <f t="shared" si="32"/>
        <v>0</v>
      </c>
      <c r="K170" s="134">
        <f t="shared" si="32"/>
        <v>0</v>
      </c>
      <c r="L170" s="134">
        <f t="shared" si="32"/>
        <v>-50</v>
      </c>
      <c r="M170" s="134">
        <f t="shared" si="32"/>
        <v>0</v>
      </c>
      <c r="N170" s="134">
        <f t="shared" si="32"/>
        <v>2300</v>
      </c>
      <c r="O170" s="134">
        <f t="shared" si="32"/>
        <v>4000</v>
      </c>
      <c r="P170" s="309">
        <f t="shared" si="32"/>
        <v>13500</v>
      </c>
    </row>
    <row r="171" spans="1:16" x14ac:dyDescent="0.35">
      <c r="A171" s="125">
        <f>A170+1</f>
        <v>13</v>
      </c>
      <c r="B171" s="52" t="s">
        <v>260</v>
      </c>
      <c r="C171" s="105"/>
      <c r="D171" s="70">
        <f t="shared" ref="D171:O171" si="33">SUM(D169:D170)</f>
        <v>48458.8</v>
      </c>
      <c r="E171" s="70">
        <f t="shared" si="33"/>
        <v>46186.400000000001</v>
      </c>
      <c r="F171" s="70">
        <f t="shared" si="33"/>
        <v>30488.199999999997</v>
      </c>
      <c r="G171" s="70">
        <f t="shared" si="33"/>
        <v>9871.6</v>
      </c>
      <c r="H171" s="70">
        <f t="shared" si="33"/>
        <v>9771.9</v>
      </c>
      <c r="I171" s="70">
        <f t="shared" si="33"/>
        <v>6949.4</v>
      </c>
      <c r="J171" s="70">
        <f t="shared" si="33"/>
        <v>6025.1</v>
      </c>
      <c r="K171" s="70">
        <f t="shared" si="33"/>
        <v>7880.1</v>
      </c>
      <c r="L171" s="70">
        <f t="shared" si="33"/>
        <v>8890.2999999999993</v>
      </c>
      <c r="M171" s="70">
        <f t="shared" si="33"/>
        <v>13143.4</v>
      </c>
      <c r="N171" s="70">
        <f t="shared" si="33"/>
        <v>27525.699999999997</v>
      </c>
      <c r="O171" s="70">
        <f t="shared" si="33"/>
        <v>40778.5</v>
      </c>
      <c r="P171" s="145">
        <f>SUM(D171:O171)</f>
        <v>255969.39999999997</v>
      </c>
    </row>
    <row r="172" spans="1:16" x14ac:dyDescent="0.35">
      <c r="A172" s="125"/>
      <c r="B172" s="52"/>
      <c r="C172" s="85"/>
      <c r="D172" s="85"/>
      <c r="E172" s="85"/>
      <c r="F172" s="85"/>
      <c r="G172" s="85"/>
      <c r="H172" s="85"/>
      <c r="I172" s="85"/>
      <c r="J172" s="85"/>
      <c r="K172" s="93"/>
      <c r="L172" s="93"/>
      <c r="M172" s="93"/>
      <c r="N172" s="93"/>
      <c r="O172" s="93"/>
      <c r="P172" s="124"/>
    </row>
    <row r="173" spans="1:16" x14ac:dyDescent="0.35">
      <c r="A173" s="125">
        <f>A171+1</f>
        <v>14</v>
      </c>
      <c r="B173" s="51" t="s">
        <v>72</v>
      </c>
      <c r="C173" s="85"/>
      <c r="D173" s="85"/>
      <c r="E173" s="85"/>
      <c r="F173" s="85"/>
      <c r="G173" s="85"/>
      <c r="H173" s="85"/>
      <c r="I173" s="85"/>
      <c r="J173" s="119"/>
      <c r="K173" s="93"/>
      <c r="L173" s="93"/>
      <c r="M173" s="93"/>
      <c r="N173" s="93"/>
      <c r="O173" s="93"/>
      <c r="P173" s="124"/>
    </row>
    <row r="174" spans="1:16" x14ac:dyDescent="0.35">
      <c r="A174" s="125">
        <f>A173+1</f>
        <v>15</v>
      </c>
      <c r="B174" s="52" t="s">
        <v>339</v>
      </c>
      <c r="C174" s="129"/>
      <c r="D174" s="70">
        <f t="shared" ref="D174:O174" si="34">D139</f>
        <v>1938.9</v>
      </c>
      <c r="E174" s="70">
        <f t="shared" si="34"/>
        <v>1673.4</v>
      </c>
      <c r="F174" s="70">
        <f t="shared" si="34"/>
        <v>1850.8</v>
      </c>
      <c r="G174" s="70">
        <f t="shared" si="34"/>
        <v>714.5</v>
      </c>
      <c r="H174" s="70">
        <f t="shared" si="34"/>
        <v>576.5</v>
      </c>
      <c r="I174" s="70">
        <f t="shared" si="34"/>
        <v>489.9</v>
      </c>
      <c r="J174" s="70">
        <f t="shared" si="34"/>
        <v>341.7</v>
      </c>
      <c r="K174" s="70">
        <f t="shared" si="34"/>
        <v>376.6</v>
      </c>
      <c r="L174" s="70">
        <f t="shared" si="34"/>
        <v>306.3</v>
      </c>
      <c r="M174" s="70">
        <f t="shared" si="34"/>
        <v>562.5</v>
      </c>
      <c r="N174" s="70">
        <f t="shared" si="34"/>
        <v>936.2</v>
      </c>
      <c r="O174" s="70">
        <f t="shared" si="34"/>
        <v>1483.9</v>
      </c>
      <c r="P174" s="145">
        <f>SUM(D174:O174)</f>
        <v>11251.2</v>
      </c>
    </row>
    <row r="175" spans="1:16" x14ac:dyDescent="0.35">
      <c r="A175" s="125">
        <f>A174+1</f>
        <v>16</v>
      </c>
      <c r="B175" s="52" t="s">
        <v>241</v>
      </c>
      <c r="C175" s="139"/>
      <c r="D175" s="134">
        <f t="shared" ref="D175:O175" si="35">D140</f>
        <v>0</v>
      </c>
      <c r="E175" s="134">
        <f t="shared" si="35"/>
        <v>0</v>
      </c>
      <c r="F175" s="134">
        <f t="shared" si="35"/>
        <v>0</v>
      </c>
      <c r="G175" s="134">
        <f t="shared" si="35"/>
        <v>0</v>
      </c>
      <c r="H175" s="134">
        <f t="shared" si="35"/>
        <v>0</v>
      </c>
      <c r="I175" s="134">
        <f t="shared" si="35"/>
        <v>0</v>
      </c>
      <c r="J175" s="134">
        <f t="shared" si="35"/>
        <v>0</v>
      </c>
      <c r="K175" s="134">
        <f t="shared" si="35"/>
        <v>0</v>
      </c>
      <c r="L175" s="134">
        <f t="shared" si="35"/>
        <v>0</v>
      </c>
      <c r="M175" s="134">
        <f t="shared" si="35"/>
        <v>0</v>
      </c>
      <c r="N175" s="134">
        <f t="shared" si="35"/>
        <v>0</v>
      </c>
      <c r="O175" s="134">
        <f t="shared" si="35"/>
        <v>0</v>
      </c>
      <c r="P175" s="309">
        <f>SUM(D175:O175)</f>
        <v>0</v>
      </c>
    </row>
    <row r="176" spans="1:16" x14ac:dyDescent="0.35">
      <c r="A176" s="125">
        <f>A175+1</f>
        <v>17</v>
      </c>
      <c r="B176" s="52" t="s">
        <v>260</v>
      </c>
      <c r="C176" s="105"/>
      <c r="D176" s="70">
        <f t="shared" ref="D176:O176" si="36">SUM(D174:D175)</f>
        <v>1938.9</v>
      </c>
      <c r="E176" s="70">
        <f t="shared" si="36"/>
        <v>1673.4</v>
      </c>
      <c r="F176" s="70">
        <f t="shared" si="36"/>
        <v>1850.8</v>
      </c>
      <c r="G176" s="70">
        <f t="shared" si="36"/>
        <v>714.5</v>
      </c>
      <c r="H176" s="70">
        <f t="shared" si="36"/>
        <v>576.5</v>
      </c>
      <c r="I176" s="70">
        <f t="shared" si="36"/>
        <v>489.9</v>
      </c>
      <c r="J176" s="70">
        <f t="shared" si="36"/>
        <v>341.7</v>
      </c>
      <c r="K176" s="70">
        <f t="shared" si="36"/>
        <v>376.6</v>
      </c>
      <c r="L176" s="70">
        <f t="shared" si="36"/>
        <v>306.3</v>
      </c>
      <c r="M176" s="70">
        <f t="shared" si="36"/>
        <v>562.5</v>
      </c>
      <c r="N176" s="70">
        <f t="shared" si="36"/>
        <v>936.2</v>
      </c>
      <c r="O176" s="70">
        <f t="shared" si="36"/>
        <v>1483.9</v>
      </c>
      <c r="P176" s="145">
        <f>SUM(D176:O176)</f>
        <v>11251.2</v>
      </c>
    </row>
    <row r="177" spans="1:19" x14ac:dyDescent="0.35">
      <c r="A177" s="125"/>
      <c r="B177" s="52"/>
      <c r="C177" s="119"/>
      <c r="D177" s="119"/>
      <c r="E177" s="119"/>
      <c r="F177" s="119"/>
      <c r="G177" s="119"/>
      <c r="H177" s="119"/>
      <c r="I177" s="119"/>
      <c r="J177" s="119"/>
      <c r="K177" s="93"/>
      <c r="L177" s="93"/>
      <c r="M177" s="93"/>
      <c r="N177" s="93"/>
      <c r="O177" s="93"/>
      <c r="P177" s="124"/>
    </row>
    <row r="178" spans="1:19" x14ac:dyDescent="0.35">
      <c r="A178" s="125">
        <f>A176+1</f>
        <v>18</v>
      </c>
      <c r="B178" s="51" t="s">
        <v>14</v>
      </c>
      <c r="C178" s="85"/>
      <c r="D178" s="85"/>
      <c r="E178" s="85"/>
      <c r="F178" s="85"/>
      <c r="G178" s="85"/>
      <c r="H178" s="85"/>
      <c r="I178" s="85"/>
      <c r="J178" s="85"/>
      <c r="K178" s="93"/>
      <c r="L178" s="93"/>
      <c r="M178" s="93"/>
      <c r="N178" s="93"/>
      <c r="O178" s="93"/>
      <c r="P178" s="124"/>
    </row>
    <row r="179" spans="1:19" x14ac:dyDescent="0.35">
      <c r="A179" s="125">
        <f>A178+1</f>
        <v>19</v>
      </c>
      <c r="B179" s="52" t="s">
        <v>339</v>
      </c>
      <c r="C179" s="129"/>
      <c r="D179" s="70">
        <f t="shared" ref="D179:O179" si="37">D159+D164+D169+D174</f>
        <v>2264174.6999999997</v>
      </c>
      <c r="E179" s="70">
        <f t="shared" si="37"/>
        <v>2247846.4</v>
      </c>
      <c r="F179" s="70">
        <f t="shared" si="37"/>
        <v>1781266.9000000001</v>
      </c>
      <c r="G179" s="70">
        <f t="shared" si="37"/>
        <v>970542.59999999986</v>
      </c>
      <c r="H179" s="70">
        <f t="shared" si="37"/>
        <v>470436.19999999995</v>
      </c>
      <c r="I179" s="70">
        <f t="shared" si="37"/>
        <v>277424.10000000003</v>
      </c>
      <c r="J179" s="70">
        <f t="shared" si="37"/>
        <v>189802.90000000002</v>
      </c>
      <c r="K179" s="70">
        <f t="shared" si="37"/>
        <v>186291.9</v>
      </c>
      <c r="L179" s="70">
        <f t="shared" si="37"/>
        <v>206911.39999999997</v>
      </c>
      <c r="M179" s="70">
        <f t="shared" si="37"/>
        <v>309620.00000000006</v>
      </c>
      <c r="N179" s="70">
        <f t="shared" si="37"/>
        <v>724475.19999999972</v>
      </c>
      <c r="O179" s="70">
        <f t="shared" si="37"/>
        <v>1649071.8999999994</v>
      </c>
      <c r="P179" s="145">
        <f>SUM(D179:O179)</f>
        <v>11277864.199999999</v>
      </c>
    </row>
    <row r="180" spans="1:19" x14ac:dyDescent="0.35">
      <c r="A180" s="125">
        <f>A179+1</f>
        <v>20</v>
      </c>
      <c r="B180" s="52" t="s">
        <v>241</v>
      </c>
      <c r="C180" s="139"/>
      <c r="D180" s="134">
        <f t="shared" ref="D180:O180" si="38">D160+D165+D170+D175</f>
        <v>4000</v>
      </c>
      <c r="E180" s="134">
        <f t="shared" si="38"/>
        <v>4000</v>
      </c>
      <c r="F180" s="134">
        <f t="shared" si="38"/>
        <v>500</v>
      </c>
      <c r="G180" s="134">
        <f t="shared" si="38"/>
        <v>-500</v>
      </c>
      <c r="H180" s="134">
        <f t="shared" si="38"/>
        <v>-700</v>
      </c>
      <c r="I180" s="134">
        <f t="shared" si="38"/>
        <v>-50</v>
      </c>
      <c r="J180" s="134">
        <f t="shared" si="38"/>
        <v>0</v>
      </c>
      <c r="K180" s="134">
        <f t="shared" si="38"/>
        <v>0</v>
      </c>
      <c r="L180" s="134">
        <f t="shared" si="38"/>
        <v>-50</v>
      </c>
      <c r="M180" s="134">
        <f t="shared" si="38"/>
        <v>0</v>
      </c>
      <c r="N180" s="134">
        <f t="shared" si="38"/>
        <v>2300</v>
      </c>
      <c r="O180" s="134">
        <f t="shared" si="38"/>
        <v>4000</v>
      </c>
      <c r="P180" s="309">
        <f>SUM(D180:O180)</f>
        <v>13500</v>
      </c>
    </row>
    <row r="181" spans="1:19" ht="16" thickBot="1" x14ac:dyDescent="0.4">
      <c r="A181" s="126">
        <f>A180+1</f>
        <v>21</v>
      </c>
      <c r="B181" s="140" t="s">
        <v>260</v>
      </c>
      <c r="C181" s="308"/>
      <c r="D181" s="142">
        <f t="shared" ref="D181:O181" si="39">SUM(D179:D180)</f>
        <v>2268174.6999999997</v>
      </c>
      <c r="E181" s="142">
        <f t="shared" si="39"/>
        <v>2251846.4</v>
      </c>
      <c r="F181" s="142">
        <f t="shared" si="39"/>
        <v>1781766.9000000001</v>
      </c>
      <c r="G181" s="142">
        <f t="shared" si="39"/>
        <v>970042.59999999986</v>
      </c>
      <c r="H181" s="142">
        <f t="shared" si="39"/>
        <v>469736.19999999995</v>
      </c>
      <c r="I181" s="142">
        <f t="shared" si="39"/>
        <v>277374.10000000003</v>
      </c>
      <c r="J181" s="142">
        <f t="shared" si="39"/>
        <v>189802.90000000002</v>
      </c>
      <c r="K181" s="142">
        <f t="shared" si="39"/>
        <v>186291.9</v>
      </c>
      <c r="L181" s="142">
        <f t="shared" si="39"/>
        <v>206861.39999999997</v>
      </c>
      <c r="M181" s="142">
        <f t="shared" si="39"/>
        <v>309620.00000000006</v>
      </c>
      <c r="N181" s="142">
        <f t="shared" si="39"/>
        <v>726775.19999999972</v>
      </c>
      <c r="O181" s="142">
        <f t="shared" si="39"/>
        <v>1653071.8999999994</v>
      </c>
      <c r="P181" s="143">
        <f>SUM(D181:O181)</f>
        <v>11291364.199999999</v>
      </c>
    </row>
    <row r="182" spans="1:19" x14ac:dyDescent="0.35">
      <c r="A182" s="120"/>
      <c r="B182" s="131"/>
      <c r="C182" s="127"/>
      <c r="D182" s="168"/>
      <c r="E182" s="168"/>
      <c r="F182" s="168"/>
      <c r="G182" s="168"/>
      <c r="H182" s="168"/>
      <c r="I182" s="168"/>
      <c r="J182" s="169"/>
      <c r="K182" s="169"/>
      <c r="L182" s="169"/>
      <c r="M182" s="169"/>
      <c r="N182" s="169"/>
      <c r="O182" s="169"/>
      <c r="P182" s="132"/>
      <c r="S182" s="131"/>
    </row>
    <row r="183" spans="1:19" x14ac:dyDescent="0.35">
      <c r="A183" s="120"/>
      <c r="B183" s="131"/>
      <c r="C183" s="127"/>
      <c r="D183" s="168"/>
      <c r="E183" s="168"/>
      <c r="F183" s="168"/>
      <c r="G183" s="168"/>
      <c r="H183" s="168"/>
      <c r="I183" s="168"/>
      <c r="J183" s="169"/>
      <c r="K183" s="169"/>
      <c r="L183" s="169"/>
      <c r="M183" s="169"/>
      <c r="N183" s="169"/>
      <c r="O183" s="169"/>
      <c r="P183" s="132"/>
      <c r="S183" s="131"/>
    </row>
    <row r="184" spans="1:19" x14ac:dyDescent="0.35">
      <c r="A184" s="91">
        <f>A181+1</f>
        <v>22</v>
      </c>
      <c r="B184" s="51" t="s">
        <v>263</v>
      </c>
      <c r="C184" s="127"/>
      <c r="D184" s="168"/>
      <c r="E184" s="168"/>
      <c r="F184" s="168"/>
      <c r="G184" s="168"/>
      <c r="H184" s="168"/>
      <c r="I184" s="168"/>
      <c r="J184" s="169"/>
      <c r="K184" s="169"/>
      <c r="L184" s="169"/>
      <c r="M184" s="169"/>
      <c r="N184" s="169"/>
      <c r="O184" s="169"/>
      <c r="P184" s="132"/>
      <c r="S184" s="131"/>
    </row>
    <row r="185" spans="1:19" x14ac:dyDescent="0.35">
      <c r="A185" s="91">
        <f>A184+1</f>
        <v>23</v>
      </c>
      <c r="B185" s="52" t="s">
        <v>339</v>
      </c>
      <c r="C185" s="129"/>
      <c r="D185" s="292">
        <v>212675.3</v>
      </c>
      <c r="E185" s="292">
        <v>214378.7</v>
      </c>
      <c r="F185" s="292">
        <v>164319.6</v>
      </c>
      <c r="G185" s="292">
        <v>95714.2</v>
      </c>
      <c r="H185" s="292">
        <v>41538.6</v>
      </c>
      <c r="I185" s="292">
        <v>20296.2</v>
      </c>
      <c r="J185" s="292">
        <v>10992.1</v>
      </c>
      <c r="K185" s="292">
        <v>11810.7</v>
      </c>
      <c r="L185" s="292">
        <v>13181.9</v>
      </c>
      <c r="M185" s="292">
        <v>24764.3</v>
      </c>
      <c r="N185" s="292">
        <v>64840.6</v>
      </c>
      <c r="O185" s="292">
        <v>148097.5</v>
      </c>
      <c r="P185" s="70">
        <f>SUM(D185:O185)</f>
        <v>1022609.6999999998</v>
      </c>
      <c r="S185" s="131"/>
    </row>
    <row r="186" spans="1:19" x14ac:dyDescent="0.35">
      <c r="A186" s="91">
        <f>A185+1</f>
        <v>24</v>
      </c>
      <c r="B186" s="52" t="s">
        <v>241</v>
      </c>
      <c r="C186" s="139" t="s">
        <v>342</v>
      </c>
      <c r="D186" s="301">
        <v>0</v>
      </c>
      <c r="E186" s="301">
        <v>0</v>
      </c>
      <c r="F186" s="301">
        <v>0</v>
      </c>
      <c r="G186" s="301">
        <v>0</v>
      </c>
      <c r="H186" s="301">
        <v>0</v>
      </c>
      <c r="I186" s="301">
        <v>0</v>
      </c>
      <c r="J186" s="301">
        <v>0</v>
      </c>
      <c r="K186" s="301">
        <v>0</v>
      </c>
      <c r="L186" s="301">
        <v>0</v>
      </c>
      <c r="M186" s="301">
        <v>0</v>
      </c>
      <c r="N186" s="301">
        <v>0</v>
      </c>
      <c r="O186" s="301">
        <v>0</v>
      </c>
      <c r="P186" s="134">
        <f>SUM(D186:O186)</f>
        <v>0</v>
      </c>
      <c r="S186" s="131"/>
    </row>
    <row r="187" spans="1:19" x14ac:dyDescent="0.35">
      <c r="A187" s="91">
        <f>A186+1</f>
        <v>25</v>
      </c>
      <c r="B187" s="52" t="s">
        <v>260</v>
      </c>
      <c r="C187" s="105"/>
      <c r="D187" s="70">
        <f t="shared" ref="D187:O187" si="40">SUM(D185:D186)</f>
        <v>212675.3</v>
      </c>
      <c r="E187" s="70">
        <f t="shared" si="40"/>
        <v>214378.7</v>
      </c>
      <c r="F187" s="70">
        <f t="shared" si="40"/>
        <v>164319.6</v>
      </c>
      <c r="G187" s="70">
        <f t="shared" si="40"/>
        <v>95714.2</v>
      </c>
      <c r="H187" s="70">
        <f t="shared" si="40"/>
        <v>41538.6</v>
      </c>
      <c r="I187" s="70">
        <f t="shared" si="40"/>
        <v>20296.2</v>
      </c>
      <c r="J187" s="70">
        <f t="shared" si="40"/>
        <v>10992.1</v>
      </c>
      <c r="K187" s="70">
        <f t="shared" si="40"/>
        <v>11810.7</v>
      </c>
      <c r="L187" s="70">
        <f t="shared" si="40"/>
        <v>13181.9</v>
      </c>
      <c r="M187" s="70">
        <f t="shared" si="40"/>
        <v>24764.3</v>
      </c>
      <c r="N187" s="70">
        <f t="shared" si="40"/>
        <v>64840.6</v>
      </c>
      <c r="O187" s="70">
        <f t="shared" si="40"/>
        <v>148097.5</v>
      </c>
      <c r="P187" s="70">
        <f>SUM(D187:O187)</f>
        <v>1022609.6999999998</v>
      </c>
      <c r="S187" s="131"/>
    </row>
    <row r="188" spans="1:19" x14ac:dyDescent="0.35">
      <c r="A188" s="91"/>
      <c r="B188" s="52"/>
      <c r="C188" s="105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53"/>
      <c r="S188" s="131"/>
    </row>
    <row r="189" spans="1:19" x14ac:dyDescent="0.35">
      <c r="A189" s="91">
        <f>A187+1</f>
        <v>26</v>
      </c>
      <c r="B189" s="51" t="s">
        <v>264</v>
      </c>
      <c r="C189" s="129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52"/>
      <c r="S189" s="131"/>
    </row>
    <row r="190" spans="1:19" x14ac:dyDescent="0.35">
      <c r="A190" s="91">
        <f>A189+1</f>
        <v>27</v>
      </c>
      <c r="B190" s="52" t="s">
        <v>339</v>
      </c>
      <c r="C190" s="129"/>
      <c r="D190" s="284"/>
      <c r="E190" s="284"/>
      <c r="F190" s="284"/>
      <c r="G190" s="292"/>
      <c r="H190" s="292"/>
      <c r="I190" s="292"/>
      <c r="J190" s="292"/>
      <c r="K190" s="292"/>
      <c r="L190" s="292"/>
      <c r="M190" s="284"/>
      <c r="N190" s="284"/>
      <c r="O190" s="284"/>
      <c r="P190" s="103"/>
      <c r="S190" s="131"/>
    </row>
    <row r="191" spans="1:19" x14ac:dyDescent="0.35">
      <c r="A191" s="91">
        <f>A190+1</f>
        <v>28</v>
      </c>
      <c r="B191" s="299" t="s">
        <v>252</v>
      </c>
      <c r="C191" s="129"/>
      <c r="D191" s="292">
        <v>89918.2</v>
      </c>
      <c r="E191" s="284">
        <v>90045.7</v>
      </c>
      <c r="F191" s="284">
        <v>81475</v>
      </c>
      <c r="G191" s="292">
        <v>55183.9</v>
      </c>
      <c r="H191" s="292">
        <v>42704.6</v>
      </c>
      <c r="I191" s="292">
        <v>27100.2</v>
      </c>
      <c r="J191" s="292">
        <v>20573</v>
      </c>
      <c r="K191" s="292">
        <v>19647.099999999999</v>
      </c>
      <c r="L191" s="292">
        <v>20361.400000000001</v>
      </c>
      <c r="M191" s="284">
        <v>25159</v>
      </c>
      <c r="N191" s="284">
        <v>45291.199999999997</v>
      </c>
      <c r="O191" s="284">
        <v>73567</v>
      </c>
      <c r="P191" s="103">
        <f>SUM(D191:O191)</f>
        <v>591026.30000000005</v>
      </c>
      <c r="S191" s="131"/>
    </row>
    <row r="192" spans="1:19" x14ac:dyDescent="0.35">
      <c r="A192" s="91">
        <f>A191+1</f>
        <v>29</v>
      </c>
      <c r="B192" s="299" t="s">
        <v>253</v>
      </c>
      <c r="C192" s="129"/>
      <c r="D192" s="292">
        <v>132725.29999999999</v>
      </c>
      <c r="E192" s="284">
        <v>126451.3</v>
      </c>
      <c r="F192" s="284">
        <v>104252.8</v>
      </c>
      <c r="G192" s="292">
        <v>50775.8</v>
      </c>
      <c r="H192" s="292">
        <v>32530.3</v>
      </c>
      <c r="I192" s="292">
        <v>23049.4</v>
      </c>
      <c r="J192" s="292">
        <v>16342.5</v>
      </c>
      <c r="K192" s="292">
        <v>15042.4</v>
      </c>
      <c r="L192" s="292">
        <v>16572</v>
      </c>
      <c r="M192" s="284">
        <v>21101.200000000001</v>
      </c>
      <c r="N192" s="284">
        <v>42393.8</v>
      </c>
      <c r="O192" s="284">
        <v>87220.1</v>
      </c>
      <c r="P192" s="103">
        <f>SUM(D192:O192)</f>
        <v>668456.9</v>
      </c>
      <c r="S192" s="131"/>
    </row>
    <row r="193" spans="1:19" x14ac:dyDescent="0.35">
      <c r="A193" s="91">
        <f>A192+1</f>
        <v>30</v>
      </c>
      <c r="B193" s="299" t="s">
        <v>254</v>
      </c>
      <c r="C193" s="129"/>
      <c r="D193" s="292">
        <v>38854.6</v>
      </c>
      <c r="E193" s="284">
        <v>35384.400000000001</v>
      </c>
      <c r="F193" s="284">
        <v>28835.4</v>
      </c>
      <c r="G193" s="292">
        <v>9699.6</v>
      </c>
      <c r="H193" s="292">
        <v>3903.4</v>
      </c>
      <c r="I193" s="292">
        <v>3727.8</v>
      </c>
      <c r="J193" s="292">
        <v>3354</v>
      </c>
      <c r="K193" s="292">
        <v>3243.8</v>
      </c>
      <c r="L193" s="292">
        <v>4678.6000000000004</v>
      </c>
      <c r="M193" s="284">
        <v>5004.7</v>
      </c>
      <c r="N193" s="284">
        <v>9489.5</v>
      </c>
      <c r="O193" s="284">
        <v>19791.400000000001</v>
      </c>
      <c r="P193" s="103">
        <f>SUM(D193:O193)</f>
        <v>165967.20000000001</v>
      </c>
      <c r="S193" s="131"/>
    </row>
    <row r="194" spans="1:19" x14ac:dyDescent="0.35">
      <c r="A194" s="91">
        <f>A193+1</f>
        <v>31</v>
      </c>
      <c r="B194" s="299" t="s">
        <v>255</v>
      </c>
      <c r="C194" s="129"/>
      <c r="D194" s="301">
        <v>14396.1</v>
      </c>
      <c r="E194" s="301">
        <v>12237.7</v>
      </c>
      <c r="F194" s="301">
        <v>8399.2999999999993</v>
      </c>
      <c r="G194" s="301">
        <v>2143.3000000000002</v>
      </c>
      <c r="H194" s="301">
        <v>494.6</v>
      </c>
      <c r="I194" s="301">
        <v>316.5</v>
      </c>
      <c r="J194" s="301">
        <v>331.7</v>
      </c>
      <c r="K194" s="301">
        <v>630</v>
      </c>
      <c r="L194" s="301">
        <v>1176.4000000000001</v>
      </c>
      <c r="M194" s="301">
        <v>1193.0999999999999</v>
      </c>
      <c r="N194" s="301">
        <v>2542.8000000000002</v>
      </c>
      <c r="O194" s="301">
        <v>6955.7</v>
      </c>
      <c r="P194" s="134">
        <f>SUM(D194:O194)</f>
        <v>50817.200000000004</v>
      </c>
      <c r="S194" s="131"/>
    </row>
    <row r="195" spans="1:19" x14ac:dyDescent="0.35">
      <c r="A195" s="91"/>
      <c r="B195" s="299"/>
      <c r="C195" s="129"/>
      <c r="D195" s="102">
        <f t="shared" ref="D195:N195" si="41">SUM(D191:D194)</f>
        <v>275894.2</v>
      </c>
      <c r="E195" s="102">
        <f t="shared" si="41"/>
        <v>264119.09999999998</v>
      </c>
      <c r="F195" s="102">
        <f t="shared" si="41"/>
        <v>222962.49999999997</v>
      </c>
      <c r="G195" s="102">
        <f t="shared" si="41"/>
        <v>117802.60000000002</v>
      </c>
      <c r="H195" s="102">
        <f t="shared" si="41"/>
        <v>79632.899999999994</v>
      </c>
      <c r="I195" s="102">
        <f t="shared" si="41"/>
        <v>54193.900000000009</v>
      </c>
      <c r="J195" s="102">
        <f t="shared" si="41"/>
        <v>40601.199999999997</v>
      </c>
      <c r="K195" s="102">
        <f t="shared" si="41"/>
        <v>38563.300000000003</v>
      </c>
      <c r="L195" s="102">
        <f t="shared" si="41"/>
        <v>42788.4</v>
      </c>
      <c r="M195" s="102">
        <f t="shared" si="41"/>
        <v>52457.999999999993</v>
      </c>
      <c r="N195" s="102">
        <f t="shared" si="41"/>
        <v>99717.3</v>
      </c>
      <c r="O195" s="102">
        <f>SUM(O191:O194)</f>
        <v>187534.2</v>
      </c>
      <c r="P195" s="103">
        <f>SUM(D195:O195)</f>
        <v>1476267.6</v>
      </c>
      <c r="S195" s="131"/>
    </row>
    <row r="196" spans="1:19" x14ac:dyDescent="0.35">
      <c r="A196" s="91">
        <f>A194+1</f>
        <v>32</v>
      </c>
      <c r="B196" s="52" t="s">
        <v>241</v>
      </c>
      <c r="C196" s="139" t="s">
        <v>342</v>
      </c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70"/>
      <c r="S196" s="131"/>
    </row>
    <row r="197" spans="1:19" x14ac:dyDescent="0.35">
      <c r="A197" s="91">
        <f>A196+1</f>
        <v>33</v>
      </c>
      <c r="B197" s="52" t="str">
        <f>B191</f>
        <v xml:space="preserve">    First 50 Mcf</v>
      </c>
      <c r="C197" s="139"/>
      <c r="D197" s="292">
        <v>0</v>
      </c>
      <c r="E197" s="292">
        <v>0</v>
      </c>
      <c r="F197" s="292">
        <v>0</v>
      </c>
      <c r="G197" s="292">
        <v>0</v>
      </c>
      <c r="H197" s="292">
        <v>0</v>
      </c>
      <c r="I197" s="292">
        <v>0</v>
      </c>
      <c r="J197" s="292">
        <v>0</v>
      </c>
      <c r="K197" s="292">
        <v>0</v>
      </c>
      <c r="L197" s="292">
        <v>0</v>
      </c>
      <c r="M197" s="292">
        <v>0</v>
      </c>
      <c r="N197" s="292">
        <v>0</v>
      </c>
      <c r="O197" s="292">
        <v>0</v>
      </c>
      <c r="P197" s="70">
        <f>SUM(D197:O197)</f>
        <v>0</v>
      </c>
      <c r="S197" s="131"/>
    </row>
    <row r="198" spans="1:19" x14ac:dyDescent="0.35">
      <c r="A198" s="91">
        <f>A197+1</f>
        <v>34</v>
      </c>
      <c r="B198" s="52" t="str">
        <f>B192</f>
        <v xml:space="preserve">    Next 350 Mcf</v>
      </c>
      <c r="C198" s="139"/>
      <c r="D198" s="292">
        <v>0</v>
      </c>
      <c r="E198" s="292">
        <v>0</v>
      </c>
      <c r="F198" s="292">
        <v>0</v>
      </c>
      <c r="G198" s="292">
        <v>0</v>
      </c>
      <c r="H198" s="292">
        <v>0</v>
      </c>
      <c r="I198" s="292">
        <v>0</v>
      </c>
      <c r="J198" s="292">
        <v>0</v>
      </c>
      <c r="K198" s="292">
        <v>0</v>
      </c>
      <c r="L198" s="292">
        <v>0</v>
      </c>
      <c r="M198" s="292">
        <v>0</v>
      </c>
      <c r="N198" s="292">
        <v>0</v>
      </c>
      <c r="O198" s="292">
        <v>0</v>
      </c>
      <c r="P198" s="70">
        <f>SUM(D198:O198)</f>
        <v>0</v>
      </c>
      <c r="S198" s="131"/>
    </row>
    <row r="199" spans="1:19" x14ac:dyDescent="0.35">
      <c r="A199" s="91">
        <f>A198+1</f>
        <v>35</v>
      </c>
      <c r="B199" s="52" t="str">
        <f>B193</f>
        <v xml:space="preserve">    Next 600 Mcf</v>
      </c>
      <c r="C199" s="139"/>
      <c r="D199" s="292">
        <v>0</v>
      </c>
      <c r="E199" s="292">
        <v>0</v>
      </c>
      <c r="F199" s="292">
        <v>0</v>
      </c>
      <c r="G199" s="292">
        <v>0</v>
      </c>
      <c r="H199" s="292">
        <v>0</v>
      </c>
      <c r="I199" s="292">
        <v>0</v>
      </c>
      <c r="J199" s="292">
        <v>0</v>
      </c>
      <c r="K199" s="292">
        <v>0</v>
      </c>
      <c r="L199" s="292">
        <v>0</v>
      </c>
      <c r="M199" s="292">
        <v>0</v>
      </c>
      <c r="N199" s="292">
        <v>0</v>
      </c>
      <c r="O199" s="292">
        <v>0</v>
      </c>
      <c r="P199" s="70">
        <f>SUM(D199:O199)</f>
        <v>0</v>
      </c>
      <c r="S199" s="131"/>
    </row>
    <row r="200" spans="1:19" x14ac:dyDescent="0.35">
      <c r="A200" s="91">
        <f>A199+1</f>
        <v>36</v>
      </c>
      <c r="B200" s="52" t="str">
        <f>B194</f>
        <v xml:space="preserve">    Over 1,000 Mcf</v>
      </c>
      <c r="C200" s="139"/>
      <c r="D200" s="301">
        <v>0</v>
      </c>
      <c r="E200" s="301">
        <v>0</v>
      </c>
      <c r="F200" s="301">
        <v>0</v>
      </c>
      <c r="G200" s="301">
        <v>0</v>
      </c>
      <c r="H200" s="301">
        <v>0</v>
      </c>
      <c r="I200" s="301">
        <v>0</v>
      </c>
      <c r="J200" s="301">
        <v>0</v>
      </c>
      <c r="K200" s="301">
        <v>0</v>
      </c>
      <c r="L200" s="301">
        <v>0</v>
      </c>
      <c r="M200" s="301">
        <v>0</v>
      </c>
      <c r="N200" s="301">
        <v>0</v>
      </c>
      <c r="O200" s="301">
        <v>0</v>
      </c>
      <c r="P200" s="134">
        <f>SUM(D200:O200)</f>
        <v>0</v>
      </c>
      <c r="S200" s="131"/>
    </row>
    <row r="201" spans="1:19" x14ac:dyDescent="0.35">
      <c r="A201" s="91"/>
      <c r="B201" s="52"/>
      <c r="C201" s="139"/>
      <c r="D201" s="70">
        <f t="shared" ref="D201:N201" si="42">SUM(D197:D200)</f>
        <v>0</v>
      </c>
      <c r="E201" s="70">
        <f t="shared" si="42"/>
        <v>0</v>
      </c>
      <c r="F201" s="70">
        <f t="shared" si="42"/>
        <v>0</v>
      </c>
      <c r="G201" s="70">
        <f t="shared" si="42"/>
        <v>0</v>
      </c>
      <c r="H201" s="70">
        <f t="shared" si="42"/>
        <v>0</v>
      </c>
      <c r="I201" s="70">
        <f t="shared" si="42"/>
        <v>0</v>
      </c>
      <c r="J201" s="70">
        <f t="shared" si="42"/>
        <v>0</v>
      </c>
      <c r="K201" s="70">
        <f t="shared" si="42"/>
        <v>0</v>
      </c>
      <c r="L201" s="70">
        <f t="shared" si="42"/>
        <v>0</v>
      </c>
      <c r="M201" s="70">
        <f t="shared" si="42"/>
        <v>0</v>
      </c>
      <c r="N201" s="70">
        <f t="shared" si="42"/>
        <v>0</v>
      </c>
      <c r="O201" s="70">
        <f>SUM(O197:O200)</f>
        <v>0</v>
      </c>
      <c r="P201" s="70">
        <f>SUM(D201:O201)</f>
        <v>0</v>
      </c>
      <c r="S201" s="131"/>
    </row>
    <row r="202" spans="1:19" x14ac:dyDescent="0.35">
      <c r="A202" s="91">
        <f>A200+1</f>
        <v>37</v>
      </c>
      <c r="B202" s="52" t="s">
        <v>260</v>
      </c>
      <c r="C202" s="105"/>
      <c r="D202" s="102"/>
      <c r="E202" s="102"/>
      <c r="F202" s="102"/>
      <c r="G202" s="70"/>
      <c r="H202" s="70"/>
      <c r="I202" s="70"/>
      <c r="J202" s="70"/>
      <c r="K202" s="70"/>
      <c r="L202" s="70"/>
      <c r="M202" s="102"/>
      <c r="N202" s="102"/>
      <c r="O202" s="102"/>
      <c r="P202" s="103"/>
      <c r="S202" s="131"/>
    </row>
    <row r="203" spans="1:19" x14ac:dyDescent="0.35">
      <c r="A203" s="91">
        <f>A202+1</f>
        <v>38</v>
      </c>
      <c r="B203" s="52" t="str">
        <f>B191</f>
        <v xml:space="preserve">    First 50 Mcf</v>
      </c>
      <c r="C203" s="127"/>
      <c r="D203" s="161">
        <f>D191+D197</f>
        <v>89918.2</v>
      </c>
      <c r="E203" s="161">
        <f t="shared" ref="E203:O203" si="43">E191+E197</f>
        <v>90045.7</v>
      </c>
      <c r="F203" s="161">
        <f t="shared" si="43"/>
        <v>81475</v>
      </c>
      <c r="G203" s="161">
        <f t="shared" si="43"/>
        <v>55183.9</v>
      </c>
      <c r="H203" s="161">
        <f t="shared" si="43"/>
        <v>42704.6</v>
      </c>
      <c r="I203" s="161">
        <f t="shared" si="43"/>
        <v>27100.2</v>
      </c>
      <c r="J203" s="161">
        <f t="shared" si="43"/>
        <v>20573</v>
      </c>
      <c r="K203" s="161">
        <f t="shared" si="43"/>
        <v>19647.099999999999</v>
      </c>
      <c r="L203" s="161">
        <f t="shared" si="43"/>
        <v>20361.400000000001</v>
      </c>
      <c r="M203" s="161">
        <f t="shared" si="43"/>
        <v>25159</v>
      </c>
      <c r="N203" s="161">
        <f t="shared" si="43"/>
        <v>45291.199999999997</v>
      </c>
      <c r="O203" s="161">
        <f t="shared" si="43"/>
        <v>73567</v>
      </c>
      <c r="P203" s="102">
        <f>SUM(D203:O203)</f>
        <v>591026.30000000005</v>
      </c>
      <c r="S203" s="131"/>
    </row>
    <row r="204" spans="1:19" x14ac:dyDescent="0.35">
      <c r="A204" s="91">
        <f>A203+1</f>
        <v>39</v>
      </c>
      <c r="B204" s="52" t="str">
        <f>B192</f>
        <v xml:space="preserve">    Next 350 Mcf</v>
      </c>
      <c r="C204" s="127"/>
      <c r="D204" s="161">
        <f t="shared" ref="D204:O206" si="44">D192+D198</f>
        <v>132725.29999999999</v>
      </c>
      <c r="E204" s="161">
        <f t="shared" si="44"/>
        <v>126451.3</v>
      </c>
      <c r="F204" s="161">
        <f t="shared" si="44"/>
        <v>104252.8</v>
      </c>
      <c r="G204" s="161">
        <f t="shared" si="44"/>
        <v>50775.8</v>
      </c>
      <c r="H204" s="161">
        <f t="shared" si="44"/>
        <v>32530.3</v>
      </c>
      <c r="I204" s="161">
        <f t="shared" si="44"/>
        <v>23049.4</v>
      </c>
      <c r="J204" s="161">
        <f t="shared" si="44"/>
        <v>16342.5</v>
      </c>
      <c r="K204" s="161">
        <f t="shared" si="44"/>
        <v>15042.4</v>
      </c>
      <c r="L204" s="161">
        <f t="shared" si="44"/>
        <v>16572</v>
      </c>
      <c r="M204" s="161">
        <f t="shared" si="44"/>
        <v>21101.200000000001</v>
      </c>
      <c r="N204" s="161">
        <f t="shared" si="44"/>
        <v>42393.8</v>
      </c>
      <c r="O204" s="161">
        <f t="shared" si="44"/>
        <v>87220.1</v>
      </c>
      <c r="P204" s="102">
        <f>SUM(D204:O204)</f>
        <v>668456.9</v>
      </c>
      <c r="S204" s="131"/>
    </row>
    <row r="205" spans="1:19" x14ac:dyDescent="0.35">
      <c r="A205" s="91">
        <f>A204+1</f>
        <v>40</v>
      </c>
      <c r="B205" s="52" t="str">
        <f>B193</f>
        <v xml:space="preserve">    Next 600 Mcf</v>
      </c>
      <c r="C205" s="127"/>
      <c r="D205" s="161">
        <f t="shared" si="44"/>
        <v>38854.6</v>
      </c>
      <c r="E205" s="161">
        <f t="shared" si="44"/>
        <v>35384.400000000001</v>
      </c>
      <c r="F205" s="161">
        <f t="shared" si="44"/>
        <v>28835.4</v>
      </c>
      <c r="G205" s="161">
        <f t="shared" si="44"/>
        <v>9699.6</v>
      </c>
      <c r="H205" s="161">
        <f t="shared" si="44"/>
        <v>3903.4</v>
      </c>
      <c r="I205" s="161">
        <f t="shared" si="44"/>
        <v>3727.8</v>
      </c>
      <c r="J205" s="161">
        <f t="shared" si="44"/>
        <v>3354</v>
      </c>
      <c r="K205" s="161">
        <f t="shared" si="44"/>
        <v>3243.8</v>
      </c>
      <c r="L205" s="161">
        <f t="shared" si="44"/>
        <v>4678.6000000000004</v>
      </c>
      <c r="M205" s="161">
        <f t="shared" si="44"/>
        <v>5004.7</v>
      </c>
      <c r="N205" s="161">
        <f t="shared" si="44"/>
        <v>9489.5</v>
      </c>
      <c r="O205" s="161">
        <f t="shared" si="44"/>
        <v>19791.400000000001</v>
      </c>
      <c r="P205" s="102">
        <f>SUM(D205:O205)</f>
        <v>165967.20000000001</v>
      </c>
      <c r="S205" s="131"/>
    </row>
    <row r="206" spans="1:19" x14ac:dyDescent="0.35">
      <c r="A206" s="91">
        <f>A205+1</f>
        <v>41</v>
      </c>
      <c r="B206" s="52" t="str">
        <f>B194</f>
        <v xml:space="preserve">    Over 1,000 Mcf</v>
      </c>
      <c r="C206" s="127"/>
      <c r="D206" s="136">
        <f t="shared" si="44"/>
        <v>14396.1</v>
      </c>
      <c r="E206" s="136">
        <f t="shared" si="44"/>
        <v>12237.7</v>
      </c>
      <c r="F206" s="136">
        <f t="shared" si="44"/>
        <v>8399.2999999999993</v>
      </c>
      <c r="G206" s="136">
        <f t="shared" si="44"/>
        <v>2143.3000000000002</v>
      </c>
      <c r="H206" s="136">
        <f t="shared" si="44"/>
        <v>494.6</v>
      </c>
      <c r="I206" s="136">
        <f t="shared" si="44"/>
        <v>316.5</v>
      </c>
      <c r="J206" s="136">
        <f t="shared" si="44"/>
        <v>331.7</v>
      </c>
      <c r="K206" s="136">
        <f t="shared" si="44"/>
        <v>630</v>
      </c>
      <c r="L206" s="136">
        <f t="shared" si="44"/>
        <v>1176.4000000000001</v>
      </c>
      <c r="M206" s="136">
        <f t="shared" si="44"/>
        <v>1193.0999999999999</v>
      </c>
      <c r="N206" s="136">
        <f t="shared" si="44"/>
        <v>2542.8000000000002</v>
      </c>
      <c r="O206" s="136">
        <f t="shared" si="44"/>
        <v>6955.7</v>
      </c>
      <c r="P206" s="134">
        <f>SUM(D206:O206)</f>
        <v>50817.200000000004</v>
      </c>
      <c r="S206" s="131"/>
    </row>
    <row r="207" spans="1:19" x14ac:dyDescent="0.35">
      <c r="A207" s="91">
        <f>A206+1</f>
        <v>42</v>
      </c>
      <c r="B207" s="52" t="s">
        <v>340</v>
      </c>
      <c r="C207" s="105"/>
      <c r="D207" s="70">
        <f>D195+D201</f>
        <v>275894.2</v>
      </c>
      <c r="E207" s="70">
        <f t="shared" ref="E207:O207" si="45">E195+E201</f>
        <v>264119.09999999998</v>
      </c>
      <c r="F207" s="70">
        <f t="shared" si="45"/>
        <v>222962.49999999997</v>
      </c>
      <c r="G207" s="70">
        <f t="shared" si="45"/>
        <v>117802.60000000002</v>
      </c>
      <c r="H207" s="70">
        <f t="shared" si="45"/>
        <v>79632.899999999994</v>
      </c>
      <c r="I207" s="70">
        <f t="shared" si="45"/>
        <v>54193.900000000009</v>
      </c>
      <c r="J207" s="70">
        <f t="shared" si="45"/>
        <v>40601.199999999997</v>
      </c>
      <c r="K207" s="70">
        <f t="shared" si="45"/>
        <v>38563.300000000003</v>
      </c>
      <c r="L207" s="70">
        <f t="shared" si="45"/>
        <v>42788.4</v>
      </c>
      <c r="M207" s="70">
        <f t="shared" si="45"/>
        <v>52457.999999999993</v>
      </c>
      <c r="N207" s="70">
        <f t="shared" si="45"/>
        <v>99717.3</v>
      </c>
      <c r="O207" s="70">
        <f t="shared" si="45"/>
        <v>187534.2</v>
      </c>
      <c r="P207" s="70">
        <f>SUM(D207:O207)</f>
        <v>1476267.6</v>
      </c>
      <c r="S207" s="131"/>
    </row>
    <row r="208" spans="1:19" x14ac:dyDescent="0.35">
      <c r="A208" s="120"/>
      <c r="B208" s="131"/>
      <c r="C208" s="127"/>
      <c r="D208" s="168"/>
      <c r="E208" s="168"/>
      <c r="F208" s="168"/>
      <c r="G208" s="168"/>
      <c r="H208" s="168"/>
      <c r="I208" s="168"/>
      <c r="J208" s="169"/>
      <c r="K208" s="169"/>
      <c r="L208" s="169"/>
      <c r="M208" s="169"/>
      <c r="N208" s="169"/>
      <c r="O208" s="169"/>
      <c r="P208" s="132"/>
      <c r="S208" s="131"/>
    </row>
    <row r="209" spans="1:19" x14ac:dyDescent="0.35">
      <c r="A209" s="806" t="str">
        <f>CONAME</f>
        <v>Columbia Gas of Kentucky, Inc.</v>
      </c>
      <c r="B209" s="806"/>
      <c r="C209" s="806"/>
      <c r="D209" s="806"/>
      <c r="E209" s="806"/>
      <c r="F209" s="806"/>
      <c r="G209" s="806"/>
      <c r="H209" s="806"/>
      <c r="I209" s="806"/>
      <c r="J209" s="806"/>
      <c r="K209" s="806"/>
      <c r="L209" s="806"/>
      <c r="M209" s="806"/>
      <c r="N209" s="806"/>
      <c r="O209" s="806"/>
      <c r="P209" s="806"/>
    </row>
    <row r="210" spans="1:19" x14ac:dyDescent="0.35">
      <c r="A210" s="806" t="s">
        <v>194</v>
      </c>
      <c r="B210" s="806"/>
      <c r="C210" s="806"/>
      <c r="D210" s="806"/>
      <c r="E210" s="806"/>
      <c r="F210" s="806"/>
      <c r="G210" s="806"/>
      <c r="H210" s="806"/>
      <c r="I210" s="806"/>
      <c r="J210" s="806"/>
      <c r="K210" s="806"/>
      <c r="L210" s="806"/>
      <c r="M210" s="806"/>
      <c r="N210" s="806"/>
      <c r="O210" s="806"/>
      <c r="P210" s="806"/>
    </row>
    <row r="211" spans="1:19" x14ac:dyDescent="0.35">
      <c r="A211" s="805" t="str">
        <f>TYDESC</f>
        <v>For the 12 Months Ended December 31, 2022</v>
      </c>
      <c r="B211" s="805"/>
      <c r="C211" s="805"/>
      <c r="D211" s="805"/>
      <c r="E211" s="805"/>
      <c r="F211" s="805"/>
      <c r="G211" s="805"/>
      <c r="H211" s="805"/>
      <c r="I211" s="805"/>
      <c r="J211" s="805"/>
      <c r="K211" s="805"/>
      <c r="L211" s="805"/>
      <c r="M211" s="805"/>
      <c r="N211" s="805"/>
      <c r="O211" s="805"/>
      <c r="P211" s="805"/>
    </row>
    <row r="212" spans="1:19" x14ac:dyDescent="0.3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1:19" x14ac:dyDescent="0.35">
      <c r="A213" s="97" t="str">
        <f>$A$5</f>
        <v>Data: __ Base Period_X_Forecasted Period</v>
      </c>
      <c r="B213" s="52"/>
      <c r="C213" s="105"/>
      <c r="D213" s="105"/>
      <c r="E213" s="105"/>
      <c r="F213" s="105"/>
      <c r="G213" s="93"/>
      <c r="H213" s="93"/>
      <c r="I213" s="93"/>
      <c r="J213" s="93"/>
      <c r="K213" s="93"/>
      <c r="L213" s="93"/>
      <c r="M213" s="93"/>
      <c r="N213" s="93"/>
      <c r="O213" s="93"/>
      <c r="P213" s="293" t="str">
        <f>$P$5</f>
        <v>Workpaper WPM-C.2</v>
      </c>
    </row>
    <row r="214" spans="1:19" x14ac:dyDescent="0.35">
      <c r="A214" s="97" t="str">
        <f>$A$6</f>
        <v>Type of Filing: X Original _ Update _ Revised</v>
      </c>
      <c r="B214" s="52"/>
      <c r="C214" s="105"/>
      <c r="D214" s="105"/>
      <c r="E214" s="105"/>
      <c r="F214" s="105"/>
      <c r="G214" s="93"/>
      <c r="H214" s="93"/>
      <c r="I214" s="93"/>
      <c r="J214" s="93"/>
      <c r="K214" s="93"/>
      <c r="L214" s="93"/>
      <c r="M214" s="93"/>
      <c r="N214" s="93"/>
      <c r="O214" s="93"/>
      <c r="P214" s="294" t="s">
        <v>347</v>
      </c>
    </row>
    <row r="215" spans="1:19" x14ac:dyDescent="0.35">
      <c r="A215" s="97" t="str">
        <f>$A$7</f>
        <v>Work Paper Reference No(s):</v>
      </c>
      <c r="B215" s="52"/>
      <c r="C215" s="105"/>
      <c r="D215" s="105"/>
      <c r="E215" s="105"/>
      <c r="F215" s="105"/>
      <c r="G215" s="93"/>
      <c r="H215" s="93"/>
      <c r="I215" s="93"/>
      <c r="J215" s="93"/>
      <c r="K215" s="93"/>
      <c r="L215" s="93"/>
      <c r="M215" s="93"/>
      <c r="N215" s="93"/>
      <c r="O215" s="93"/>
      <c r="P215" s="294"/>
    </row>
    <row r="216" spans="1:19" x14ac:dyDescent="0.35">
      <c r="A216" s="128" t="str">
        <f>$A$8</f>
        <v>12 Months Forecasted</v>
      </c>
      <c r="B216" s="120"/>
      <c r="C216" s="105"/>
      <c r="D216" s="295"/>
      <c r="E216" s="105"/>
      <c r="F216" s="296"/>
      <c r="G216" s="297"/>
      <c r="H216" s="296"/>
      <c r="I216" s="298"/>
      <c r="J216" s="296"/>
      <c r="K216" s="296"/>
      <c r="L216" s="296"/>
      <c r="M216" s="296"/>
      <c r="N216" s="296"/>
      <c r="O216" s="296"/>
      <c r="P216" s="286"/>
      <c r="Q216" s="120"/>
      <c r="R216" s="120"/>
    </row>
    <row r="217" spans="1:19" x14ac:dyDescent="0.35">
      <c r="A217" s="98"/>
      <c r="B217" s="120"/>
      <c r="C217" s="105"/>
      <c r="D217" s="295"/>
      <c r="E217" s="105"/>
      <c r="F217" s="296"/>
      <c r="G217" s="297"/>
      <c r="H217" s="296"/>
      <c r="I217" s="298"/>
      <c r="J217" s="296"/>
      <c r="K217" s="296"/>
      <c r="L217" s="296"/>
      <c r="M217" s="296"/>
      <c r="N217" s="296"/>
      <c r="O217" s="296"/>
      <c r="P217" s="286"/>
      <c r="Q217" s="120"/>
      <c r="R217" s="120"/>
    </row>
    <row r="218" spans="1:19" x14ac:dyDescent="0.35">
      <c r="A218" s="120" t="s">
        <v>1</v>
      </c>
      <c r="B218" s="120"/>
      <c r="C218" s="105"/>
      <c r="D218" s="295"/>
      <c r="E218" s="105"/>
      <c r="F218" s="296"/>
      <c r="G218" s="297"/>
      <c r="H218" s="296"/>
      <c r="I218" s="298"/>
      <c r="J218" s="296"/>
      <c r="K218" s="296"/>
      <c r="L218" s="296"/>
      <c r="M218" s="296"/>
      <c r="N218" s="296"/>
      <c r="O218" s="296"/>
      <c r="P218" s="286"/>
      <c r="Q218" s="131"/>
      <c r="R218" s="131"/>
    </row>
    <row r="219" spans="1:19" x14ac:dyDescent="0.35">
      <c r="A219" s="288" t="s">
        <v>3</v>
      </c>
      <c r="B219" s="288" t="s">
        <v>4</v>
      </c>
      <c r="C219" s="289" t="s">
        <v>183</v>
      </c>
      <c r="D219" s="290" t="str">
        <f>B!$D$11</f>
        <v>Jan-22</v>
      </c>
      <c r="E219" s="290" t="str">
        <f>B!$E$11</f>
        <v>Feb-22</v>
      </c>
      <c r="F219" s="290" t="str">
        <f>B!$F$11</f>
        <v>Mar-22</v>
      </c>
      <c r="G219" s="290" t="str">
        <f>B!$G$11</f>
        <v>Apr-22</v>
      </c>
      <c r="H219" s="290" t="str">
        <f>B!$H$11</f>
        <v>May-22</v>
      </c>
      <c r="I219" s="290" t="str">
        <f>B!$I$11</f>
        <v>Jun-22</v>
      </c>
      <c r="J219" s="290" t="str">
        <f>B!$J$11</f>
        <v>Jul-22</v>
      </c>
      <c r="K219" s="290" t="str">
        <f>B!$K$11</f>
        <v>Aug-22</v>
      </c>
      <c r="L219" s="290" t="str">
        <f>B!$L$11</f>
        <v>Sep-22</v>
      </c>
      <c r="M219" s="290" t="str">
        <f>B!$M$11</f>
        <v>Oct-22</v>
      </c>
      <c r="N219" s="290" t="str">
        <f>B!$N$11</f>
        <v>Nov-22</v>
      </c>
      <c r="O219" s="290" t="str">
        <f>B!$O$11</f>
        <v>Dec-22</v>
      </c>
      <c r="P219" s="211" t="s">
        <v>9</v>
      </c>
      <c r="S219" s="208"/>
    </row>
    <row r="220" spans="1:19" x14ac:dyDescent="0.35">
      <c r="A220" s="120"/>
      <c r="B220" s="131" t="s">
        <v>42</v>
      </c>
      <c r="C220" s="127" t="s">
        <v>43</v>
      </c>
      <c r="D220" s="285" t="s">
        <v>45</v>
      </c>
      <c r="E220" s="285" t="s">
        <v>46</v>
      </c>
      <c r="F220" s="285" t="s">
        <v>49</v>
      </c>
      <c r="G220" s="285" t="s">
        <v>50</v>
      </c>
      <c r="H220" s="285" t="s">
        <v>51</v>
      </c>
      <c r="I220" s="285" t="s">
        <v>52</v>
      </c>
      <c r="J220" s="285" t="s">
        <v>53</v>
      </c>
      <c r="K220" s="132" t="s">
        <v>54</v>
      </c>
      <c r="L220" s="132" t="s">
        <v>55</v>
      </c>
      <c r="M220" s="132" t="s">
        <v>56</v>
      </c>
      <c r="N220" s="132" t="s">
        <v>57</v>
      </c>
      <c r="O220" s="132" t="s">
        <v>58</v>
      </c>
      <c r="P220" s="132" t="s">
        <v>59</v>
      </c>
      <c r="S220" s="131"/>
    </row>
    <row r="221" spans="1:19" x14ac:dyDescent="0.35">
      <c r="A221" s="120"/>
      <c r="B221" s="131"/>
      <c r="C221" s="127"/>
      <c r="D221" s="168"/>
      <c r="E221" s="168"/>
      <c r="F221" s="168"/>
      <c r="G221" s="168"/>
      <c r="H221" s="168"/>
      <c r="I221" s="168"/>
      <c r="J221" s="169"/>
      <c r="K221" s="169"/>
      <c r="L221" s="169"/>
      <c r="M221" s="169"/>
      <c r="N221" s="169"/>
      <c r="O221" s="169"/>
      <c r="P221" s="132"/>
      <c r="S221" s="131"/>
    </row>
    <row r="222" spans="1:19" x14ac:dyDescent="0.35">
      <c r="A222" s="91">
        <v>1</v>
      </c>
      <c r="B222" s="51" t="s">
        <v>265</v>
      </c>
      <c r="C222" s="129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52"/>
    </row>
    <row r="223" spans="1:19" x14ac:dyDescent="0.35">
      <c r="A223" s="91">
        <f>A222+1</f>
        <v>2</v>
      </c>
      <c r="B223" s="52" t="s">
        <v>339</v>
      </c>
      <c r="C223" s="129"/>
      <c r="D223" s="284"/>
      <c r="E223" s="284"/>
      <c r="F223" s="284"/>
      <c r="G223" s="292"/>
      <c r="H223" s="292"/>
      <c r="I223" s="292"/>
      <c r="J223" s="292"/>
      <c r="K223" s="292"/>
      <c r="L223" s="292"/>
      <c r="M223" s="284"/>
      <c r="N223" s="284"/>
      <c r="O223" s="284"/>
      <c r="P223" s="103"/>
    </row>
    <row r="224" spans="1:19" x14ac:dyDescent="0.35">
      <c r="A224" s="91">
        <f>A223+1</f>
        <v>3</v>
      </c>
      <c r="B224" s="299" t="s">
        <v>252</v>
      </c>
      <c r="C224" s="129"/>
      <c r="D224" s="292">
        <v>489.2</v>
      </c>
      <c r="E224" s="284">
        <v>480.4</v>
      </c>
      <c r="F224" s="284">
        <v>500.9</v>
      </c>
      <c r="G224" s="292">
        <v>404.6</v>
      </c>
      <c r="H224" s="292">
        <v>401.7</v>
      </c>
      <c r="I224" s="292">
        <v>357</v>
      </c>
      <c r="J224" s="292">
        <v>329</v>
      </c>
      <c r="K224" s="292">
        <v>300.5</v>
      </c>
      <c r="L224" s="292">
        <v>286.89999999999998</v>
      </c>
      <c r="M224" s="284">
        <v>353.4</v>
      </c>
      <c r="N224" s="284">
        <v>434.5</v>
      </c>
      <c r="O224" s="284">
        <v>474</v>
      </c>
      <c r="P224" s="103">
        <f>SUM(D224:O224)</f>
        <v>4812.1000000000004</v>
      </c>
    </row>
    <row r="225" spans="1:94" x14ac:dyDescent="0.35">
      <c r="A225" s="91">
        <f>A224+1</f>
        <v>4</v>
      </c>
      <c r="B225" s="299" t="s">
        <v>253</v>
      </c>
      <c r="C225" s="129"/>
      <c r="D225" s="292">
        <v>2267</v>
      </c>
      <c r="E225" s="284">
        <v>2251.6999999999998</v>
      </c>
      <c r="F225" s="284">
        <v>2233.1999999999998</v>
      </c>
      <c r="G225" s="292">
        <v>1371.5</v>
      </c>
      <c r="H225" s="292">
        <v>1147.4000000000001</v>
      </c>
      <c r="I225" s="292">
        <v>938.6</v>
      </c>
      <c r="J225" s="292">
        <v>877.8</v>
      </c>
      <c r="K225" s="292">
        <v>1342.2</v>
      </c>
      <c r="L225" s="292">
        <v>1279.5</v>
      </c>
      <c r="M225" s="284">
        <v>1297.5999999999999</v>
      </c>
      <c r="N225" s="284">
        <v>1561.5</v>
      </c>
      <c r="O225" s="284">
        <v>2271.3000000000002</v>
      </c>
      <c r="P225" s="103">
        <f>SUM(D225:O225)</f>
        <v>18839.3</v>
      </c>
    </row>
    <row r="226" spans="1:94" x14ac:dyDescent="0.35">
      <c r="A226" s="91">
        <f>A225+1</f>
        <v>5</v>
      </c>
      <c r="B226" s="299" t="s">
        <v>254</v>
      </c>
      <c r="C226" s="129"/>
      <c r="D226" s="292">
        <v>1915.4</v>
      </c>
      <c r="E226" s="284">
        <v>1905.2</v>
      </c>
      <c r="F226" s="284">
        <v>2141.3000000000002</v>
      </c>
      <c r="G226" s="292">
        <v>644</v>
      </c>
      <c r="H226" s="292">
        <v>758.5</v>
      </c>
      <c r="I226" s="292">
        <v>600</v>
      </c>
      <c r="J226" s="292">
        <v>600</v>
      </c>
      <c r="K226" s="292">
        <v>648.9</v>
      </c>
      <c r="L226" s="292">
        <v>1247.9000000000001</v>
      </c>
      <c r="M226" s="284">
        <v>787.6</v>
      </c>
      <c r="N226" s="284">
        <v>1253.4000000000001</v>
      </c>
      <c r="O226" s="284">
        <v>1790.6</v>
      </c>
      <c r="P226" s="103">
        <f>SUM(D226:O226)</f>
        <v>14292.800000000001</v>
      </c>
    </row>
    <row r="227" spans="1:94" ht="18.5" x14ac:dyDescent="0.65">
      <c r="A227" s="91">
        <f>A226+1</f>
        <v>6</v>
      </c>
      <c r="B227" s="299" t="s">
        <v>255</v>
      </c>
      <c r="C227" s="129"/>
      <c r="D227" s="300">
        <v>468.4</v>
      </c>
      <c r="E227" s="304">
        <v>404.5</v>
      </c>
      <c r="F227" s="300">
        <v>814.6</v>
      </c>
      <c r="G227" s="300">
        <v>0</v>
      </c>
      <c r="H227" s="300">
        <v>180.8</v>
      </c>
      <c r="I227" s="300">
        <v>460.2</v>
      </c>
      <c r="J227" s="300">
        <v>573</v>
      </c>
      <c r="K227" s="300">
        <v>624.70000000000005</v>
      </c>
      <c r="L227" s="300">
        <v>35.200000000000003</v>
      </c>
      <c r="M227" s="304">
        <v>856.1</v>
      </c>
      <c r="N227" s="304">
        <v>724.1</v>
      </c>
      <c r="O227" s="304">
        <v>2001</v>
      </c>
      <c r="P227" s="305">
        <f>SUM(D227:O227)</f>
        <v>7142.6</v>
      </c>
    </row>
    <row r="228" spans="1:94" x14ac:dyDescent="0.35">
      <c r="A228" s="91"/>
      <c r="B228" s="299"/>
      <c r="C228" s="129"/>
      <c r="D228" s="102">
        <f t="shared" ref="D228:N228" si="46">SUM(D224:D227)</f>
        <v>5140</v>
      </c>
      <c r="E228" s="102">
        <f t="shared" si="46"/>
        <v>5041.8</v>
      </c>
      <c r="F228" s="102">
        <f t="shared" si="46"/>
        <v>5690</v>
      </c>
      <c r="G228" s="102">
        <f t="shared" si="46"/>
        <v>2420.1</v>
      </c>
      <c r="H228" s="102">
        <f t="shared" si="46"/>
        <v>2488.4000000000005</v>
      </c>
      <c r="I228" s="102">
        <f t="shared" si="46"/>
        <v>2355.7999999999997</v>
      </c>
      <c r="J228" s="102">
        <f t="shared" si="46"/>
        <v>2379.8000000000002</v>
      </c>
      <c r="K228" s="102">
        <f t="shared" si="46"/>
        <v>2916.3</v>
      </c>
      <c r="L228" s="102">
        <f t="shared" si="46"/>
        <v>2849.5</v>
      </c>
      <c r="M228" s="102">
        <f t="shared" si="46"/>
        <v>3294.7</v>
      </c>
      <c r="N228" s="102">
        <f t="shared" si="46"/>
        <v>3973.5</v>
      </c>
      <c r="O228" s="102">
        <f>SUM(O224:O227)</f>
        <v>6536.9</v>
      </c>
      <c r="P228" s="103">
        <f>SUM(D228:O228)</f>
        <v>45086.799999999996</v>
      </c>
    </row>
    <row r="229" spans="1:94" x14ac:dyDescent="0.35">
      <c r="A229" s="91">
        <f>A227+1</f>
        <v>7</v>
      </c>
      <c r="B229" s="52" t="s">
        <v>241</v>
      </c>
      <c r="C229" s="139" t="s">
        <v>342</v>
      </c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70"/>
    </row>
    <row r="230" spans="1:94" x14ac:dyDescent="0.35">
      <c r="A230" s="91">
        <f>A229+1</f>
        <v>8</v>
      </c>
      <c r="B230" s="52" t="str">
        <f>B224</f>
        <v xml:space="preserve">    First 50 Mcf</v>
      </c>
      <c r="C230" s="139"/>
      <c r="D230" s="292">
        <v>0</v>
      </c>
      <c r="E230" s="292">
        <v>0</v>
      </c>
      <c r="F230" s="292">
        <v>0</v>
      </c>
      <c r="G230" s="292">
        <v>0</v>
      </c>
      <c r="H230" s="292">
        <v>0</v>
      </c>
      <c r="I230" s="292">
        <v>0</v>
      </c>
      <c r="J230" s="292">
        <v>0</v>
      </c>
      <c r="K230" s="292">
        <v>0</v>
      </c>
      <c r="L230" s="292">
        <v>0</v>
      </c>
      <c r="M230" s="292">
        <v>0</v>
      </c>
      <c r="N230" s="292">
        <v>0</v>
      </c>
      <c r="O230" s="292">
        <v>0</v>
      </c>
      <c r="P230" s="70">
        <f>SUM(D230:O230)</f>
        <v>0</v>
      </c>
    </row>
    <row r="231" spans="1:94" x14ac:dyDescent="0.35">
      <c r="A231" s="91">
        <f>A230+1</f>
        <v>9</v>
      </c>
      <c r="B231" s="52" t="str">
        <f>B225</f>
        <v xml:space="preserve">    Next 350 Mcf</v>
      </c>
      <c r="C231" s="139"/>
      <c r="D231" s="292">
        <v>0</v>
      </c>
      <c r="E231" s="292">
        <v>0</v>
      </c>
      <c r="F231" s="292">
        <v>0</v>
      </c>
      <c r="G231" s="292">
        <v>0</v>
      </c>
      <c r="H231" s="292">
        <v>0</v>
      </c>
      <c r="I231" s="292">
        <v>0</v>
      </c>
      <c r="J231" s="292">
        <v>0</v>
      </c>
      <c r="K231" s="292">
        <v>0</v>
      </c>
      <c r="L231" s="292">
        <v>0</v>
      </c>
      <c r="M231" s="292">
        <v>0</v>
      </c>
      <c r="N231" s="292">
        <v>0</v>
      </c>
      <c r="O231" s="292">
        <v>0</v>
      </c>
      <c r="P231" s="70">
        <f>SUM(D231:O231)</f>
        <v>0</v>
      </c>
    </row>
    <row r="232" spans="1:94" x14ac:dyDescent="0.35">
      <c r="A232" s="91">
        <f>A231+1</f>
        <v>10</v>
      </c>
      <c r="B232" s="52" t="str">
        <f>B226</f>
        <v xml:space="preserve">    Next 600 Mcf</v>
      </c>
      <c r="C232" s="139"/>
      <c r="D232" s="292">
        <v>0</v>
      </c>
      <c r="E232" s="292">
        <v>0</v>
      </c>
      <c r="F232" s="292">
        <v>0</v>
      </c>
      <c r="G232" s="292">
        <v>0</v>
      </c>
      <c r="H232" s="292">
        <v>0</v>
      </c>
      <c r="I232" s="292">
        <v>0</v>
      </c>
      <c r="J232" s="292">
        <v>0</v>
      </c>
      <c r="K232" s="292">
        <v>0</v>
      </c>
      <c r="L232" s="292">
        <v>0</v>
      </c>
      <c r="M232" s="292">
        <v>0</v>
      </c>
      <c r="N232" s="292">
        <v>0</v>
      </c>
      <c r="O232" s="292">
        <v>0</v>
      </c>
      <c r="P232" s="70">
        <f>SUM(D232:O232)</f>
        <v>0</v>
      </c>
    </row>
    <row r="233" spans="1:94" x14ac:dyDescent="0.35">
      <c r="A233" s="91">
        <f>A232+1</f>
        <v>11</v>
      </c>
      <c r="B233" s="52" t="str">
        <f>B227</f>
        <v xml:space="preserve">    Over 1,000 Mcf</v>
      </c>
      <c r="C233" s="139"/>
      <c r="D233" s="301">
        <v>0</v>
      </c>
      <c r="E233" s="301">
        <v>0</v>
      </c>
      <c r="F233" s="301">
        <v>0</v>
      </c>
      <c r="G233" s="301">
        <v>0</v>
      </c>
      <c r="H233" s="301">
        <v>0</v>
      </c>
      <c r="I233" s="301">
        <v>0</v>
      </c>
      <c r="J233" s="301">
        <v>0</v>
      </c>
      <c r="K233" s="301">
        <v>0</v>
      </c>
      <c r="L233" s="301">
        <v>0</v>
      </c>
      <c r="M233" s="301">
        <v>0</v>
      </c>
      <c r="N233" s="301">
        <v>0</v>
      </c>
      <c r="O233" s="301">
        <v>0</v>
      </c>
      <c r="P233" s="134">
        <f>SUM(D233:O233)</f>
        <v>0</v>
      </c>
    </row>
    <row r="234" spans="1:94" x14ac:dyDescent="0.35">
      <c r="A234" s="91"/>
      <c r="B234" s="52"/>
      <c r="C234" s="139"/>
      <c r="D234" s="70">
        <f t="shared" ref="D234:N234" si="47">SUM(D230:D233)</f>
        <v>0</v>
      </c>
      <c r="E234" s="70">
        <f t="shared" si="47"/>
        <v>0</v>
      </c>
      <c r="F234" s="70">
        <f t="shared" si="47"/>
        <v>0</v>
      </c>
      <c r="G234" s="70">
        <f t="shared" si="47"/>
        <v>0</v>
      </c>
      <c r="H234" s="70">
        <f t="shared" si="47"/>
        <v>0</v>
      </c>
      <c r="I234" s="70">
        <f t="shared" si="47"/>
        <v>0</v>
      </c>
      <c r="J234" s="70">
        <f t="shared" si="47"/>
        <v>0</v>
      </c>
      <c r="K234" s="70">
        <f t="shared" si="47"/>
        <v>0</v>
      </c>
      <c r="L234" s="70">
        <f t="shared" si="47"/>
        <v>0</v>
      </c>
      <c r="M234" s="70">
        <f t="shared" si="47"/>
        <v>0</v>
      </c>
      <c r="N234" s="70">
        <f t="shared" si="47"/>
        <v>0</v>
      </c>
      <c r="O234" s="70">
        <f>SUM(O230:O233)</f>
        <v>0</v>
      </c>
      <c r="P234" s="70">
        <f>SUM(D234:O234)</f>
        <v>0</v>
      </c>
    </row>
    <row r="235" spans="1:94" s="100" customFormat="1" x14ac:dyDescent="0.35">
      <c r="A235" s="91">
        <f>A233+1</f>
        <v>12</v>
      </c>
      <c r="B235" s="52" t="s">
        <v>260</v>
      </c>
      <c r="C235" s="105"/>
      <c r="D235" s="102"/>
      <c r="E235" s="102"/>
      <c r="F235" s="102"/>
      <c r="G235" s="70"/>
      <c r="H235" s="70"/>
      <c r="I235" s="70"/>
      <c r="J235" s="70"/>
      <c r="K235" s="70"/>
      <c r="L235" s="70"/>
      <c r="M235" s="102"/>
      <c r="N235" s="102"/>
      <c r="O235" s="102"/>
      <c r="P235" s="103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</row>
    <row r="236" spans="1:94" x14ac:dyDescent="0.35">
      <c r="A236" s="91">
        <f>A235+1</f>
        <v>13</v>
      </c>
      <c r="B236" s="52" t="str">
        <f>B224</f>
        <v xml:space="preserve">    First 50 Mcf</v>
      </c>
      <c r="C236" s="127"/>
      <c r="D236" s="161">
        <f>D224+D230</f>
        <v>489.2</v>
      </c>
      <c r="E236" s="161">
        <f t="shared" ref="E236:N236" si="48">E224+E230</f>
        <v>480.4</v>
      </c>
      <c r="F236" s="161">
        <f t="shared" si="48"/>
        <v>500.9</v>
      </c>
      <c r="G236" s="161">
        <f t="shared" si="48"/>
        <v>404.6</v>
      </c>
      <c r="H236" s="161">
        <f t="shared" si="48"/>
        <v>401.7</v>
      </c>
      <c r="I236" s="161">
        <f t="shared" si="48"/>
        <v>357</v>
      </c>
      <c r="J236" s="161">
        <f t="shared" si="48"/>
        <v>329</v>
      </c>
      <c r="K236" s="161">
        <f t="shared" si="48"/>
        <v>300.5</v>
      </c>
      <c r="L236" s="161">
        <f t="shared" si="48"/>
        <v>286.89999999999998</v>
      </c>
      <c r="M236" s="161">
        <f t="shared" si="48"/>
        <v>353.4</v>
      </c>
      <c r="N236" s="161">
        <f t="shared" si="48"/>
        <v>434.5</v>
      </c>
      <c r="O236" s="161">
        <f>O224+O230</f>
        <v>474</v>
      </c>
      <c r="P236" s="102">
        <f>SUM(D236:O236)</f>
        <v>4812.1000000000004</v>
      </c>
      <c r="S236" s="131"/>
    </row>
    <row r="237" spans="1:94" x14ac:dyDescent="0.35">
      <c r="A237" s="91">
        <f>A236+1</f>
        <v>14</v>
      </c>
      <c r="B237" s="52" t="str">
        <f>B225</f>
        <v xml:space="preserve">    Next 350 Mcf</v>
      </c>
      <c r="C237" s="127"/>
      <c r="D237" s="161">
        <f t="shared" ref="D237:N239" si="49">D225+D231</f>
        <v>2267</v>
      </c>
      <c r="E237" s="161">
        <f t="shared" si="49"/>
        <v>2251.6999999999998</v>
      </c>
      <c r="F237" s="161">
        <f t="shared" si="49"/>
        <v>2233.1999999999998</v>
      </c>
      <c r="G237" s="161">
        <f t="shared" si="49"/>
        <v>1371.5</v>
      </c>
      <c r="H237" s="161">
        <f t="shared" si="49"/>
        <v>1147.4000000000001</v>
      </c>
      <c r="I237" s="161">
        <f t="shared" si="49"/>
        <v>938.6</v>
      </c>
      <c r="J237" s="161">
        <f t="shared" si="49"/>
        <v>877.8</v>
      </c>
      <c r="K237" s="161">
        <f t="shared" si="49"/>
        <v>1342.2</v>
      </c>
      <c r="L237" s="161">
        <f t="shared" si="49"/>
        <v>1279.5</v>
      </c>
      <c r="M237" s="161">
        <f t="shared" si="49"/>
        <v>1297.5999999999999</v>
      </c>
      <c r="N237" s="161">
        <f t="shared" si="49"/>
        <v>1561.5</v>
      </c>
      <c r="O237" s="161">
        <f>O225+O231</f>
        <v>2271.3000000000002</v>
      </c>
      <c r="P237" s="102">
        <f>SUM(D237:O237)</f>
        <v>18839.3</v>
      </c>
      <c r="S237" s="131"/>
    </row>
    <row r="238" spans="1:94" x14ac:dyDescent="0.35">
      <c r="A238" s="91">
        <f>A237+1</f>
        <v>15</v>
      </c>
      <c r="B238" s="52" t="str">
        <f>B226</f>
        <v xml:space="preserve">    Next 600 Mcf</v>
      </c>
      <c r="C238" s="127"/>
      <c r="D238" s="161">
        <f t="shared" si="49"/>
        <v>1915.4</v>
      </c>
      <c r="E238" s="161">
        <f t="shared" si="49"/>
        <v>1905.2</v>
      </c>
      <c r="F238" s="161">
        <f t="shared" si="49"/>
        <v>2141.3000000000002</v>
      </c>
      <c r="G238" s="161">
        <f t="shared" si="49"/>
        <v>644</v>
      </c>
      <c r="H238" s="161">
        <f t="shared" si="49"/>
        <v>758.5</v>
      </c>
      <c r="I238" s="161">
        <f t="shared" si="49"/>
        <v>600</v>
      </c>
      <c r="J238" s="161">
        <f t="shared" si="49"/>
        <v>600</v>
      </c>
      <c r="K238" s="161">
        <f t="shared" si="49"/>
        <v>648.9</v>
      </c>
      <c r="L238" s="161">
        <f t="shared" si="49"/>
        <v>1247.9000000000001</v>
      </c>
      <c r="M238" s="161">
        <f t="shared" si="49"/>
        <v>787.6</v>
      </c>
      <c r="N238" s="161">
        <f t="shared" si="49"/>
        <v>1253.4000000000001</v>
      </c>
      <c r="O238" s="161">
        <f>O226+O232</f>
        <v>1790.6</v>
      </c>
      <c r="P238" s="102">
        <f>SUM(D238:O238)</f>
        <v>14292.800000000001</v>
      </c>
      <c r="S238" s="131"/>
    </row>
    <row r="239" spans="1:94" x14ac:dyDescent="0.35">
      <c r="A239" s="91">
        <f>A238+1</f>
        <v>16</v>
      </c>
      <c r="B239" s="52" t="str">
        <f>B227</f>
        <v xml:space="preserve">    Over 1,000 Mcf</v>
      </c>
      <c r="C239" s="127"/>
      <c r="D239" s="136">
        <f t="shared" si="49"/>
        <v>468.4</v>
      </c>
      <c r="E239" s="136">
        <f t="shared" si="49"/>
        <v>404.5</v>
      </c>
      <c r="F239" s="136">
        <f t="shared" si="49"/>
        <v>814.6</v>
      </c>
      <c r="G239" s="136">
        <f t="shared" si="49"/>
        <v>0</v>
      </c>
      <c r="H239" s="136">
        <f t="shared" si="49"/>
        <v>180.8</v>
      </c>
      <c r="I239" s="136">
        <f t="shared" si="49"/>
        <v>460.2</v>
      </c>
      <c r="J239" s="136">
        <f t="shared" si="49"/>
        <v>573</v>
      </c>
      <c r="K239" s="136">
        <f t="shared" si="49"/>
        <v>624.70000000000005</v>
      </c>
      <c r="L239" s="136">
        <f t="shared" si="49"/>
        <v>35.200000000000003</v>
      </c>
      <c r="M239" s="136">
        <f t="shared" si="49"/>
        <v>856.1</v>
      </c>
      <c r="N239" s="136">
        <f t="shared" si="49"/>
        <v>724.1</v>
      </c>
      <c r="O239" s="136">
        <f>O227+O233</f>
        <v>2001</v>
      </c>
      <c r="P239" s="134">
        <f>SUM(D239:O239)</f>
        <v>7142.6</v>
      </c>
      <c r="S239" s="131"/>
    </row>
    <row r="240" spans="1:94" x14ac:dyDescent="0.35">
      <c r="A240" s="91">
        <f>A239+1</f>
        <v>17</v>
      </c>
      <c r="B240" s="52" t="s">
        <v>340</v>
      </c>
      <c r="C240" s="105"/>
      <c r="D240" s="161">
        <f>D228+D234</f>
        <v>5140</v>
      </c>
      <c r="E240" s="161">
        <f t="shared" ref="E240:N240" si="50">E228+E234</f>
        <v>5041.8</v>
      </c>
      <c r="F240" s="161">
        <f t="shared" si="50"/>
        <v>5690</v>
      </c>
      <c r="G240" s="161">
        <f t="shared" si="50"/>
        <v>2420.1</v>
      </c>
      <c r="H240" s="161">
        <f t="shared" si="50"/>
        <v>2488.4000000000005</v>
      </c>
      <c r="I240" s="161">
        <f t="shared" si="50"/>
        <v>2355.7999999999997</v>
      </c>
      <c r="J240" s="161">
        <f t="shared" si="50"/>
        <v>2379.8000000000002</v>
      </c>
      <c r="K240" s="161">
        <f t="shared" si="50"/>
        <v>2916.3</v>
      </c>
      <c r="L240" s="161">
        <f t="shared" si="50"/>
        <v>2849.5</v>
      </c>
      <c r="M240" s="161">
        <f t="shared" si="50"/>
        <v>3294.7</v>
      </c>
      <c r="N240" s="161">
        <f t="shared" si="50"/>
        <v>3973.5</v>
      </c>
      <c r="O240" s="161">
        <f>O228+O234</f>
        <v>6536.9</v>
      </c>
      <c r="P240" s="70">
        <f>SUM(D240:O240)</f>
        <v>45086.799999999996</v>
      </c>
    </row>
    <row r="241" spans="1:94" x14ac:dyDescent="0.35">
      <c r="A241" s="91"/>
      <c r="B241" s="52"/>
      <c r="C241" s="105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53"/>
    </row>
    <row r="242" spans="1:94" x14ac:dyDescent="0.35">
      <c r="A242" s="91">
        <f>A240+1</f>
        <v>18</v>
      </c>
      <c r="B242" s="51" t="s">
        <v>257</v>
      </c>
      <c r="C242" s="105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53"/>
    </row>
    <row r="243" spans="1:94" x14ac:dyDescent="0.35">
      <c r="A243" s="91">
        <f>A242+1</f>
        <v>19</v>
      </c>
      <c r="B243" s="52" t="s">
        <v>339</v>
      </c>
      <c r="C243" s="129"/>
      <c r="D243" s="284"/>
      <c r="E243" s="284"/>
      <c r="F243" s="284"/>
      <c r="G243" s="292"/>
      <c r="H243" s="292"/>
      <c r="I243" s="292"/>
      <c r="J243" s="292"/>
      <c r="K243" s="292"/>
      <c r="L243" s="292"/>
      <c r="M243" s="284"/>
      <c r="N243" s="284"/>
      <c r="O243" s="284"/>
      <c r="P243" s="103"/>
    </row>
    <row r="244" spans="1:94" x14ac:dyDescent="0.35">
      <c r="A244" s="91">
        <f>A243+1</f>
        <v>20</v>
      </c>
      <c r="B244" s="299" t="s">
        <v>266</v>
      </c>
      <c r="C244" s="129"/>
      <c r="D244" s="292">
        <v>276510.2</v>
      </c>
      <c r="E244" s="284">
        <v>249661.8</v>
      </c>
      <c r="F244" s="284">
        <v>230122.1</v>
      </c>
      <c r="G244" s="292">
        <v>200391.1</v>
      </c>
      <c r="H244" s="292">
        <v>167235</v>
      </c>
      <c r="I244" s="292">
        <v>151250</v>
      </c>
      <c r="J244" s="292">
        <v>150440.6</v>
      </c>
      <c r="K244" s="292">
        <v>151637.20000000001</v>
      </c>
      <c r="L244" s="292">
        <v>154716.20000000001</v>
      </c>
      <c r="M244" s="284">
        <v>171061.4</v>
      </c>
      <c r="N244" s="284">
        <v>225043.6</v>
      </c>
      <c r="O244" s="284">
        <v>259887.8</v>
      </c>
      <c r="P244" s="103">
        <f>SUM(D244:O244)</f>
        <v>2387956.9999999995</v>
      </c>
    </row>
    <row r="245" spans="1:94" x14ac:dyDescent="0.35">
      <c r="A245" s="91">
        <f>A244+1</f>
        <v>21</v>
      </c>
      <c r="B245" s="299" t="s">
        <v>546</v>
      </c>
      <c r="C245" s="129"/>
      <c r="D245" s="292">
        <v>86500</v>
      </c>
      <c r="E245" s="292">
        <v>58500</v>
      </c>
      <c r="F245" s="292">
        <v>56000</v>
      </c>
      <c r="G245" s="292">
        <v>36000</v>
      </c>
      <c r="H245" s="292">
        <v>17500</v>
      </c>
      <c r="I245" s="292">
        <v>5500</v>
      </c>
      <c r="J245" s="292">
        <v>9000</v>
      </c>
      <c r="K245" s="292">
        <v>5000</v>
      </c>
      <c r="L245" s="292">
        <v>10500</v>
      </c>
      <c r="M245" s="292">
        <v>35000</v>
      </c>
      <c r="N245" s="292">
        <v>62500</v>
      </c>
      <c r="O245" s="292">
        <v>81500</v>
      </c>
      <c r="P245" s="70">
        <f>SUM(D245:O245)</f>
        <v>463500</v>
      </c>
    </row>
    <row r="246" spans="1:94" x14ac:dyDescent="0.35">
      <c r="A246" s="91">
        <f>A245+1</f>
        <v>22</v>
      </c>
      <c r="B246" s="299" t="s">
        <v>548</v>
      </c>
      <c r="C246" s="129"/>
      <c r="D246" s="301">
        <v>0</v>
      </c>
      <c r="E246" s="301">
        <v>0</v>
      </c>
      <c r="F246" s="301">
        <v>0</v>
      </c>
      <c r="G246" s="301">
        <v>0</v>
      </c>
      <c r="H246" s="301">
        <v>0</v>
      </c>
      <c r="I246" s="301">
        <v>0</v>
      </c>
      <c r="J246" s="301">
        <v>0</v>
      </c>
      <c r="K246" s="301">
        <v>0</v>
      </c>
      <c r="L246" s="301">
        <v>0</v>
      </c>
      <c r="M246" s="301">
        <v>0</v>
      </c>
      <c r="N246" s="301">
        <v>0</v>
      </c>
      <c r="O246" s="301">
        <v>0</v>
      </c>
      <c r="P246" s="134">
        <f>SUM(D246:O246)</f>
        <v>0</v>
      </c>
    </row>
    <row r="247" spans="1:94" x14ac:dyDescent="0.35">
      <c r="A247" s="91"/>
      <c r="B247" s="299"/>
      <c r="C247" s="129"/>
      <c r="D247" s="70">
        <f>SUM(D244:D246)</f>
        <v>363010.2</v>
      </c>
      <c r="E247" s="70">
        <f t="shared" ref="E247:O247" si="51">SUM(E244:E246)</f>
        <v>308161.8</v>
      </c>
      <c r="F247" s="70">
        <f t="shared" si="51"/>
        <v>286122.09999999998</v>
      </c>
      <c r="G247" s="70">
        <f t="shared" si="51"/>
        <v>236391.1</v>
      </c>
      <c r="H247" s="70">
        <f t="shared" si="51"/>
        <v>184735</v>
      </c>
      <c r="I247" s="70">
        <f t="shared" si="51"/>
        <v>156750</v>
      </c>
      <c r="J247" s="70">
        <f t="shared" si="51"/>
        <v>159440.6</v>
      </c>
      <c r="K247" s="70">
        <f t="shared" si="51"/>
        <v>156637.20000000001</v>
      </c>
      <c r="L247" s="70">
        <f t="shared" si="51"/>
        <v>165216.20000000001</v>
      </c>
      <c r="M247" s="70">
        <f t="shared" si="51"/>
        <v>206061.4</v>
      </c>
      <c r="N247" s="70">
        <f t="shared" si="51"/>
        <v>287543.59999999998</v>
      </c>
      <c r="O247" s="70">
        <f t="shared" si="51"/>
        <v>341387.8</v>
      </c>
      <c r="P247" s="70">
        <f>SUM(D247:O247)</f>
        <v>2851457</v>
      </c>
    </row>
    <row r="248" spans="1:94" x14ac:dyDescent="0.35">
      <c r="A248" s="91">
        <f>A246+1</f>
        <v>23</v>
      </c>
      <c r="B248" s="52" t="s">
        <v>241</v>
      </c>
      <c r="C248" s="139" t="s">
        <v>342</v>
      </c>
      <c r="D248" s="292"/>
      <c r="E248" s="292"/>
      <c r="F248" s="292"/>
      <c r="G248" s="292"/>
      <c r="H248" s="292"/>
      <c r="I248" s="292"/>
      <c r="J248" s="292"/>
      <c r="K248" s="292"/>
      <c r="L248" s="292"/>
      <c r="M248" s="292"/>
      <c r="N248" s="292"/>
      <c r="O248" s="292"/>
      <c r="P248" s="70"/>
    </row>
    <row r="249" spans="1:94" x14ac:dyDescent="0.35">
      <c r="A249" s="91">
        <f>A248+1</f>
        <v>24</v>
      </c>
      <c r="B249" s="52" t="str">
        <f>B244</f>
        <v xml:space="preserve">    First 30,000 Mcf</v>
      </c>
      <c r="C249" s="139"/>
      <c r="D249" s="292">
        <v>0</v>
      </c>
      <c r="E249" s="292">
        <v>0</v>
      </c>
      <c r="F249" s="292">
        <v>0</v>
      </c>
      <c r="G249" s="292">
        <v>0</v>
      </c>
      <c r="H249" s="292">
        <v>0</v>
      </c>
      <c r="I249" s="292">
        <v>0</v>
      </c>
      <c r="J249" s="292">
        <v>0</v>
      </c>
      <c r="K249" s="292">
        <v>0</v>
      </c>
      <c r="L249" s="292">
        <v>0</v>
      </c>
      <c r="M249" s="292">
        <v>0</v>
      </c>
      <c r="N249" s="292">
        <v>0</v>
      </c>
      <c r="O249" s="292">
        <v>0</v>
      </c>
      <c r="P249" s="70">
        <f>SUM(D249:O249)</f>
        <v>0</v>
      </c>
    </row>
    <row r="250" spans="1:94" x14ac:dyDescent="0.35">
      <c r="A250" s="91">
        <f>A249+1</f>
        <v>25</v>
      </c>
      <c r="B250" s="52" t="str">
        <f>B245</f>
        <v xml:space="preserve">    Next 70,000 Mcf</v>
      </c>
      <c r="C250" s="139"/>
      <c r="D250" s="292">
        <v>0</v>
      </c>
      <c r="E250" s="292">
        <v>0</v>
      </c>
      <c r="F250" s="292">
        <v>0</v>
      </c>
      <c r="G250" s="292">
        <v>0</v>
      </c>
      <c r="H250" s="292">
        <v>0</v>
      </c>
      <c r="I250" s="292">
        <v>0</v>
      </c>
      <c r="J250" s="292">
        <v>0</v>
      </c>
      <c r="K250" s="292">
        <v>0</v>
      </c>
      <c r="L250" s="292">
        <v>0</v>
      </c>
      <c r="M250" s="292">
        <v>0</v>
      </c>
      <c r="N250" s="292">
        <v>0</v>
      </c>
      <c r="O250" s="292">
        <v>0</v>
      </c>
      <c r="P250" s="70">
        <f>SUM(D250:O250)</f>
        <v>0</v>
      </c>
    </row>
    <row r="251" spans="1:94" x14ac:dyDescent="0.35">
      <c r="A251" s="91">
        <f>A250+1</f>
        <v>26</v>
      </c>
      <c r="B251" s="52" t="str">
        <f>B246</f>
        <v xml:space="preserve">    Over 100,000 Mcf</v>
      </c>
      <c r="C251" s="139"/>
      <c r="D251" s="301">
        <v>0</v>
      </c>
      <c r="E251" s="301">
        <v>0</v>
      </c>
      <c r="F251" s="301">
        <v>0</v>
      </c>
      <c r="G251" s="301">
        <v>0</v>
      </c>
      <c r="H251" s="301">
        <v>0</v>
      </c>
      <c r="I251" s="301">
        <v>0</v>
      </c>
      <c r="J251" s="301">
        <v>0</v>
      </c>
      <c r="K251" s="301">
        <v>0</v>
      </c>
      <c r="L251" s="301">
        <v>0</v>
      </c>
      <c r="M251" s="301">
        <v>0</v>
      </c>
      <c r="N251" s="301">
        <v>0</v>
      </c>
      <c r="O251" s="301">
        <v>0</v>
      </c>
      <c r="P251" s="134">
        <f>SUM(D251:O251)</f>
        <v>0</v>
      </c>
    </row>
    <row r="252" spans="1:94" x14ac:dyDescent="0.35">
      <c r="A252" s="91"/>
      <c r="B252" s="52"/>
      <c r="C252" s="139"/>
      <c r="D252" s="70">
        <f>SUM(D249:D251)</f>
        <v>0</v>
      </c>
      <c r="E252" s="70">
        <f t="shared" ref="E252:O252" si="52">SUM(E249:E251)</f>
        <v>0</v>
      </c>
      <c r="F252" s="70">
        <f t="shared" si="52"/>
        <v>0</v>
      </c>
      <c r="G252" s="70">
        <f t="shared" si="52"/>
        <v>0</v>
      </c>
      <c r="H252" s="70">
        <f t="shared" si="52"/>
        <v>0</v>
      </c>
      <c r="I252" s="70">
        <f t="shared" si="52"/>
        <v>0</v>
      </c>
      <c r="J252" s="70">
        <f t="shared" si="52"/>
        <v>0</v>
      </c>
      <c r="K252" s="70">
        <f t="shared" si="52"/>
        <v>0</v>
      </c>
      <c r="L252" s="70">
        <f t="shared" si="52"/>
        <v>0</v>
      </c>
      <c r="M252" s="70">
        <f t="shared" si="52"/>
        <v>0</v>
      </c>
      <c r="N252" s="70">
        <f t="shared" si="52"/>
        <v>0</v>
      </c>
      <c r="O252" s="70">
        <f t="shared" si="52"/>
        <v>0</v>
      </c>
      <c r="P252" s="70">
        <f>SUM(D252:O252)</f>
        <v>0</v>
      </c>
    </row>
    <row r="253" spans="1:94" s="100" customFormat="1" x14ac:dyDescent="0.35">
      <c r="A253" s="91">
        <f>A251+1</f>
        <v>27</v>
      </c>
      <c r="B253" s="52" t="s">
        <v>260</v>
      </c>
      <c r="C253" s="105"/>
      <c r="D253" s="102"/>
      <c r="E253" s="102"/>
      <c r="F253" s="102"/>
      <c r="G253" s="70"/>
      <c r="H253" s="70"/>
      <c r="I253" s="70"/>
      <c r="J253" s="70"/>
      <c r="K253" s="70"/>
      <c r="L253" s="70"/>
      <c r="M253" s="102"/>
      <c r="N253" s="102"/>
      <c r="O253" s="102"/>
      <c r="P253" s="103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</row>
    <row r="254" spans="1:94" x14ac:dyDescent="0.35">
      <c r="A254" s="91">
        <f>A253+1</f>
        <v>28</v>
      </c>
      <c r="B254" s="52" t="str">
        <f>B244</f>
        <v xml:space="preserve">    First 30,000 Mcf</v>
      </c>
      <c r="C254" s="127"/>
      <c r="D254" s="161">
        <f>D244+D249</f>
        <v>276510.2</v>
      </c>
      <c r="E254" s="161">
        <f t="shared" ref="E254:O254" si="53">E244+E249</f>
        <v>249661.8</v>
      </c>
      <c r="F254" s="161">
        <f t="shared" si="53"/>
        <v>230122.1</v>
      </c>
      <c r="G254" s="161">
        <f t="shared" si="53"/>
        <v>200391.1</v>
      </c>
      <c r="H254" s="161">
        <f t="shared" si="53"/>
        <v>167235</v>
      </c>
      <c r="I254" s="161">
        <f t="shared" si="53"/>
        <v>151250</v>
      </c>
      <c r="J254" s="161">
        <f t="shared" si="53"/>
        <v>150440.6</v>
      </c>
      <c r="K254" s="161">
        <f t="shared" si="53"/>
        <v>151637.20000000001</v>
      </c>
      <c r="L254" s="161">
        <f t="shared" si="53"/>
        <v>154716.20000000001</v>
      </c>
      <c r="M254" s="161">
        <f t="shared" si="53"/>
        <v>171061.4</v>
      </c>
      <c r="N254" s="161">
        <f t="shared" si="53"/>
        <v>225043.6</v>
      </c>
      <c r="O254" s="161">
        <f t="shared" si="53"/>
        <v>259887.8</v>
      </c>
      <c r="P254" s="102">
        <f>SUM(D254:O254)</f>
        <v>2387956.9999999995</v>
      </c>
      <c r="S254" s="131"/>
    </row>
    <row r="255" spans="1:94" x14ac:dyDescent="0.35">
      <c r="A255" s="91">
        <f>A254+1</f>
        <v>29</v>
      </c>
      <c r="B255" s="52" t="str">
        <f>B245</f>
        <v xml:space="preserve">    Next 70,000 Mcf</v>
      </c>
      <c r="C255" s="127"/>
      <c r="D255" s="161">
        <f>D245+D250</f>
        <v>86500</v>
      </c>
      <c r="E255" s="161">
        <f t="shared" ref="E255:O256" si="54">E245+E250</f>
        <v>58500</v>
      </c>
      <c r="F255" s="161">
        <f t="shared" si="54"/>
        <v>56000</v>
      </c>
      <c r="G255" s="161">
        <f t="shared" si="54"/>
        <v>36000</v>
      </c>
      <c r="H255" s="161">
        <f t="shared" si="54"/>
        <v>17500</v>
      </c>
      <c r="I255" s="161">
        <f t="shared" si="54"/>
        <v>5500</v>
      </c>
      <c r="J255" s="161">
        <f t="shared" si="54"/>
        <v>9000</v>
      </c>
      <c r="K255" s="161">
        <f t="shared" si="54"/>
        <v>5000</v>
      </c>
      <c r="L255" s="161">
        <f t="shared" si="54"/>
        <v>10500</v>
      </c>
      <c r="M255" s="161">
        <f t="shared" si="54"/>
        <v>35000</v>
      </c>
      <c r="N255" s="161">
        <f t="shared" si="54"/>
        <v>62500</v>
      </c>
      <c r="O255" s="161">
        <f t="shared" si="54"/>
        <v>81500</v>
      </c>
      <c r="P255" s="70">
        <f>SUM(D255:O255)</f>
        <v>463500</v>
      </c>
      <c r="S255" s="131"/>
    </row>
    <row r="256" spans="1:94" x14ac:dyDescent="0.35">
      <c r="A256" s="91">
        <f>A255+1</f>
        <v>30</v>
      </c>
      <c r="B256" s="52" t="str">
        <f>B246</f>
        <v xml:space="preserve">    Over 100,000 Mcf</v>
      </c>
      <c r="C256" s="127"/>
      <c r="D256" s="136">
        <f>D246+D251</f>
        <v>0</v>
      </c>
      <c r="E256" s="136">
        <f t="shared" si="54"/>
        <v>0</v>
      </c>
      <c r="F256" s="136">
        <f t="shared" si="54"/>
        <v>0</v>
      </c>
      <c r="G256" s="136">
        <f t="shared" si="54"/>
        <v>0</v>
      </c>
      <c r="H256" s="136">
        <f t="shared" si="54"/>
        <v>0</v>
      </c>
      <c r="I256" s="136">
        <f t="shared" si="54"/>
        <v>0</v>
      </c>
      <c r="J256" s="136">
        <f t="shared" si="54"/>
        <v>0</v>
      </c>
      <c r="K256" s="136">
        <f t="shared" si="54"/>
        <v>0</v>
      </c>
      <c r="L256" s="136">
        <f t="shared" si="54"/>
        <v>0</v>
      </c>
      <c r="M256" s="136">
        <f t="shared" si="54"/>
        <v>0</v>
      </c>
      <c r="N256" s="136">
        <f t="shared" si="54"/>
        <v>0</v>
      </c>
      <c r="O256" s="136">
        <f t="shared" si="54"/>
        <v>0</v>
      </c>
      <c r="P256" s="134">
        <f>SUM(D256:O256)</f>
        <v>0</v>
      </c>
      <c r="S256" s="131"/>
    </row>
    <row r="257" spans="1:94" x14ac:dyDescent="0.35">
      <c r="A257" s="91">
        <f>A256+1</f>
        <v>31</v>
      </c>
      <c r="B257" s="52" t="s">
        <v>340</v>
      </c>
      <c r="C257" s="127"/>
      <c r="D257" s="161">
        <f>D247+D252</f>
        <v>363010.2</v>
      </c>
      <c r="E257" s="161">
        <f t="shared" ref="E257:O257" si="55">E247+E252</f>
        <v>308161.8</v>
      </c>
      <c r="F257" s="161">
        <f t="shared" si="55"/>
        <v>286122.09999999998</v>
      </c>
      <c r="G257" s="161">
        <f t="shared" si="55"/>
        <v>236391.1</v>
      </c>
      <c r="H257" s="161">
        <f t="shared" si="55"/>
        <v>184735</v>
      </c>
      <c r="I257" s="161">
        <f t="shared" si="55"/>
        <v>156750</v>
      </c>
      <c r="J257" s="161">
        <f t="shared" si="55"/>
        <v>159440.6</v>
      </c>
      <c r="K257" s="161">
        <f t="shared" si="55"/>
        <v>156637.20000000001</v>
      </c>
      <c r="L257" s="161">
        <f t="shared" si="55"/>
        <v>165216.20000000001</v>
      </c>
      <c r="M257" s="161">
        <f t="shared" si="55"/>
        <v>206061.4</v>
      </c>
      <c r="N257" s="161">
        <f t="shared" si="55"/>
        <v>287543.59999999998</v>
      </c>
      <c r="O257" s="161">
        <f t="shared" si="55"/>
        <v>341387.8</v>
      </c>
      <c r="P257" s="70">
        <f>SUM(D257:O257)</f>
        <v>2851457</v>
      </c>
      <c r="S257" s="131"/>
    </row>
    <row r="258" spans="1:94" x14ac:dyDescent="0.35">
      <c r="A258" s="91"/>
      <c r="B258" s="52"/>
      <c r="C258" s="105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53"/>
    </row>
    <row r="259" spans="1:94" x14ac:dyDescent="0.35">
      <c r="A259" s="91">
        <f>A257+1</f>
        <v>32</v>
      </c>
      <c r="B259" s="51" t="s">
        <v>259</v>
      </c>
      <c r="C259" s="105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53"/>
    </row>
    <row r="260" spans="1:94" x14ac:dyDescent="0.35">
      <c r="A260" s="91">
        <f>A259+1</f>
        <v>33</v>
      </c>
      <c r="B260" s="52" t="s">
        <v>339</v>
      </c>
      <c r="C260" s="129"/>
      <c r="D260" s="284"/>
      <c r="E260" s="284"/>
      <c r="F260" s="284"/>
      <c r="G260" s="292"/>
      <c r="H260" s="292"/>
      <c r="I260" s="292"/>
      <c r="J260" s="292"/>
      <c r="K260" s="292"/>
      <c r="L260" s="292"/>
      <c r="M260" s="284"/>
      <c r="N260" s="284"/>
      <c r="O260" s="284"/>
      <c r="P260" s="103"/>
    </row>
    <row r="261" spans="1:94" x14ac:dyDescent="0.35">
      <c r="A261" s="91">
        <f>A260+1</f>
        <v>34</v>
      </c>
      <c r="B261" s="299" t="s">
        <v>266</v>
      </c>
      <c r="C261" s="129"/>
      <c r="D261" s="292">
        <v>353352.4</v>
      </c>
      <c r="E261" s="284">
        <v>328395.7</v>
      </c>
      <c r="F261" s="284">
        <v>336483.6</v>
      </c>
      <c r="G261" s="292">
        <v>319369.5</v>
      </c>
      <c r="H261" s="292">
        <v>312232.59999999998</v>
      </c>
      <c r="I261" s="292">
        <v>296986.7</v>
      </c>
      <c r="J261" s="292">
        <v>254169.5</v>
      </c>
      <c r="K261" s="292">
        <v>301590.5</v>
      </c>
      <c r="L261" s="292">
        <v>294120.2</v>
      </c>
      <c r="M261" s="284">
        <v>334335.3</v>
      </c>
      <c r="N261" s="284">
        <v>357908.4</v>
      </c>
      <c r="O261" s="284">
        <v>346016.8</v>
      </c>
      <c r="P261" s="103">
        <f>SUM(D261:O261)</f>
        <v>3834961.1999999997</v>
      </c>
    </row>
    <row r="262" spans="1:94" x14ac:dyDescent="0.35">
      <c r="A262" s="91">
        <f>A261+1</f>
        <v>35</v>
      </c>
      <c r="B262" s="299" t="s">
        <v>546</v>
      </c>
      <c r="C262" s="129"/>
      <c r="D262" s="292">
        <v>147200</v>
      </c>
      <c r="E262" s="292">
        <v>141100</v>
      </c>
      <c r="F262" s="292">
        <v>142600</v>
      </c>
      <c r="G262" s="292">
        <v>140000</v>
      </c>
      <c r="H262" s="292">
        <v>115826.4</v>
      </c>
      <c r="I262" s="292">
        <v>59415</v>
      </c>
      <c r="J262" s="292">
        <v>26497</v>
      </c>
      <c r="K262" s="292">
        <v>100182.6</v>
      </c>
      <c r="L262" s="292">
        <v>107805</v>
      </c>
      <c r="M262" s="292">
        <v>140000</v>
      </c>
      <c r="N262" s="292">
        <v>140000</v>
      </c>
      <c r="O262" s="292">
        <v>143100</v>
      </c>
      <c r="P262" s="70">
        <f>SUM(D262:O262)</f>
        <v>1403726</v>
      </c>
    </row>
    <row r="263" spans="1:94" x14ac:dyDescent="0.35">
      <c r="A263" s="91">
        <f>A262+1</f>
        <v>36</v>
      </c>
      <c r="B263" s="299" t="s">
        <v>548</v>
      </c>
      <c r="C263" s="129"/>
      <c r="D263" s="301">
        <v>156498.6</v>
      </c>
      <c r="E263" s="301">
        <v>88049.600000000006</v>
      </c>
      <c r="F263" s="301">
        <v>106845.6</v>
      </c>
      <c r="G263" s="301">
        <v>39987.599999999999</v>
      </c>
      <c r="H263" s="301">
        <v>0</v>
      </c>
      <c r="I263" s="301">
        <v>0</v>
      </c>
      <c r="J263" s="301">
        <v>0</v>
      </c>
      <c r="K263" s="301">
        <v>0</v>
      </c>
      <c r="L263" s="301">
        <v>4956.8</v>
      </c>
      <c r="M263" s="301">
        <v>21846.6</v>
      </c>
      <c r="N263" s="301">
        <v>87101</v>
      </c>
      <c r="O263" s="301">
        <v>95922.8</v>
      </c>
      <c r="P263" s="134">
        <f>SUM(D263:O263)</f>
        <v>601208.6</v>
      </c>
    </row>
    <row r="264" spans="1:94" x14ac:dyDescent="0.35">
      <c r="A264" s="91"/>
      <c r="B264" s="299"/>
      <c r="C264" s="129"/>
      <c r="D264" s="70">
        <f>SUM(D261:D263)</f>
        <v>657051</v>
      </c>
      <c r="E264" s="70">
        <f t="shared" ref="E264:O264" si="56">SUM(E261:E263)</f>
        <v>557545.30000000005</v>
      </c>
      <c r="F264" s="70">
        <f t="shared" si="56"/>
        <v>585929.19999999995</v>
      </c>
      <c r="G264" s="70">
        <f t="shared" si="56"/>
        <v>499357.1</v>
      </c>
      <c r="H264" s="70">
        <f t="shared" si="56"/>
        <v>428059</v>
      </c>
      <c r="I264" s="70">
        <f t="shared" si="56"/>
        <v>356401.7</v>
      </c>
      <c r="J264" s="70">
        <f t="shared" si="56"/>
        <v>280666.5</v>
      </c>
      <c r="K264" s="70">
        <f t="shared" si="56"/>
        <v>401773.1</v>
      </c>
      <c r="L264" s="70">
        <f t="shared" si="56"/>
        <v>406882</v>
      </c>
      <c r="M264" s="70">
        <f t="shared" si="56"/>
        <v>496181.89999999997</v>
      </c>
      <c r="N264" s="70">
        <f t="shared" si="56"/>
        <v>585009.4</v>
      </c>
      <c r="O264" s="70">
        <f t="shared" si="56"/>
        <v>585039.6</v>
      </c>
      <c r="P264" s="70">
        <f>SUM(D264:O264)</f>
        <v>5839895.8000000007</v>
      </c>
    </row>
    <row r="265" spans="1:94" x14ac:dyDescent="0.35">
      <c r="A265" s="91">
        <f>A263+1</f>
        <v>37</v>
      </c>
      <c r="B265" s="52" t="s">
        <v>241</v>
      </c>
      <c r="C265" s="139" t="s">
        <v>342</v>
      </c>
      <c r="D265" s="292"/>
      <c r="E265" s="292"/>
      <c r="F265" s="292"/>
      <c r="G265" s="292"/>
      <c r="H265" s="292"/>
      <c r="I265" s="292"/>
      <c r="J265" s="292"/>
      <c r="K265" s="292"/>
      <c r="L265" s="292"/>
      <c r="M265" s="292"/>
      <c r="N265" s="292"/>
      <c r="O265" s="292"/>
      <c r="P265" s="70"/>
    </row>
    <row r="266" spans="1:94" x14ac:dyDescent="0.35">
      <c r="A266" s="91">
        <f>A265+1</f>
        <v>38</v>
      </c>
      <c r="B266" s="52" t="str">
        <f>B261</f>
        <v xml:space="preserve">    First 30,000 Mcf</v>
      </c>
      <c r="C266" s="139"/>
      <c r="D266" s="70">
        <f>'D pg 1'!D57</f>
        <v>0</v>
      </c>
      <c r="E266" s="70">
        <f>'D pg 1'!E57</f>
        <v>0</v>
      </c>
      <c r="F266" s="70">
        <f>'D pg 1'!F57</f>
        <v>0</v>
      </c>
      <c r="G266" s="70">
        <f>'D pg 1'!G57</f>
        <v>0</v>
      </c>
      <c r="H266" s="70">
        <f>'D pg 1'!H57</f>
        <v>0</v>
      </c>
      <c r="I266" s="70">
        <f>'D pg 1'!I57</f>
        <v>0</v>
      </c>
      <c r="J266" s="70">
        <f>'D pg 1'!J57</f>
        <v>0</v>
      </c>
      <c r="K266" s="70">
        <f>'D pg 1'!K57</f>
        <v>0</v>
      </c>
      <c r="L266" s="70">
        <f>'D pg 1'!L57</f>
        <v>0</v>
      </c>
      <c r="M266" s="70">
        <f>'D pg 1'!M57</f>
        <v>0</v>
      </c>
      <c r="N266" s="70">
        <f>'D pg 1'!N57</f>
        <v>0</v>
      </c>
      <c r="O266" s="70">
        <f>'D pg 1'!O57</f>
        <v>0</v>
      </c>
      <c r="P266" s="70">
        <f>SUM(D266:O266)</f>
        <v>0</v>
      </c>
    </row>
    <row r="267" spans="1:94" x14ac:dyDescent="0.35">
      <c r="A267" s="91">
        <f>A266+1</f>
        <v>39</v>
      </c>
      <c r="B267" s="52" t="str">
        <f>B262</f>
        <v xml:space="preserve">    Next 70,000 Mcf</v>
      </c>
      <c r="C267" s="139"/>
      <c r="D267" s="70">
        <f>'D pg 1'!D58</f>
        <v>0</v>
      </c>
      <c r="E267" s="70">
        <f>'D pg 1'!E58</f>
        <v>0</v>
      </c>
      <c r="F267" s="70">
        <f>'D pg 1'!F58</f>
        <v>0</v>
      </c>
      <c r="G267" s="70">
        <f>'D pg 1'!G58</f>
        <v>0</v>
      </c>
      <c r="H267" s="70">
        <f>'D pg 1'!H58</f>
        <v>0</v>
      </c>
      <c r="I267" s="70">
        <f>'D pg 1'!I58</f>
        <v>0</v>
      </c>
      <c r="J267" s="70">
        <f>'D pg 1'!J58</f>
        <v>0</v>
      </c>
      <c r="K267" s="70">
        <f>'D pg 1'!K58</f>
        <v>0</v>
      </c>
      <c r="L267" s="70">
        <f>'D pg 1'!L58</f>
        <v>0</v>
      </c>
      <c r="M267" s="70">
        <f>'D pg 1'!M58</f>
        <v>0</v>
      </c>
      <c r="N267" s="70">
        <f>'D pg 1'!N58</f>
        <v>0</v>
      </c>
      <c r="O267" s="70">
        <f>'D pg 1'!O58</f>
        <v>0</v>
      </c>
      <c r="P267" s="70">
        <f>SUM(D267:O267)</f>
        <v>0</v>
      </c>
    </row>
    <row r="268" spans="1:94" x14ac:dyDescent="0.35">
      <c r="A268" s="91">
        <f>A267+1</f>
        <v>40</v>
      </c>
      <c r="B268" s="52" t="str">
        <f>B263</f>
        <v xml:space="preserve">    Over 100,000 Mcf</v>
      </c>
      <c r="C268" s="139"/>
      <c r="D268" s="134">
        <f>'D pg 1'!D59</f>
        <v>0</v>
      </c>
      <c r="E268" s="134">
        <f>'D pg 1'!E59</f>
        <v>0</v>
      </c>
      <c r="F268" s="134">
        <f>'D pg 1'!F59</f>
        <v>0</v>
      </c>
      <c r="G268" s="134">
        <f>'D pg 1'!G59</f>
        <v>0</v>
      </c>
      <c r="H268" s="134">
        <f>'D pg 1'!H59</f>
        <v>0</v>
      </c>
      <c r="I268" s="134">
        <f>'D pg 1'!I59</f>
        <v>0</v>
      </c>
      <c r="J268" s="134">
        <f>'D pg 1'!J59</f>
        <v>0</v>
      </c>
      <c r="K268" s="134">
        <f>'D pg 1'!K59</f>
        <v>0</v>
      </c>
      <c r="L268" s="134">
        <f>'D pg 1'!L59</f>
        <v>0</v>
      </c>
      <c r="M268" s="134">
        <f>'D pg 1'!M59</f>
        <v>0</v>
      </c>
      <c r="N268" s="134">
        <f>'D pg 1'!N59</f>
        <v>0</v>
      </c>
      <c r="O268" s="134">
        <f>'D pg 1'!O59</f>
        <v>0</v>
      </c>
      <c r="P268" s="134">
        <f>SUM(D268:O268)</f>
        <v>0</v>
      </c>
    </row>
    <row r="269" spans="1:94" x14ac:dyDescent="0.35">
      <c r="A269" s="91"/>
      <c r="B269" s="52"/>
      <c r="C269" s="139"/>
      <c r="D269" s="70">
        <f>SUM(D266:D268)</f>
        <v>0</v>
      </c>
      <c r="E269" s="70">
        <f t="shared" ref="E269:O269" si="57">SUM(E266:E268)</f>
        <v>0</v>
      </c>
      <c r="F269" s="70">
        <f t="shared" si="57"/>
        <v>0</v>
      </c>
      <c r="G269" s="70">
        <f t="shared" si="57"/>
        <v>0</v>
      </c>
      <c r="H269" s="70">
        <f t="shared" si="57"/>
        <v>0</v>
      </c>
      <c r="I269" s="70">
        <f t="shared" si="57"/>
        <v>0</v>
      </c>
      <c r="J269" s="70">
        <f t="shared" si="57"/>
        <v>0</v>
      </c>
      <c r="K269" s="70">
        <f t="shared" si="57"/>
        <v>0</v>
      </c>
      <c r="L269" s="70">
        <f t="shared" si="57"/>
        <v>0</v>
      </c>
      <c r="M269" s="70">
        <f t="shared" si="57"/>
        <v>0</v>
      </c>
      <c r="N269" s="70">
        <f t="shared" si="57"/>
        <v>0</v>
      </c>
      <c r="O269" s="70">
        <f t="shared" si="57"/>
        <v>0</v>
      </c>
      <c r="P269" s="70">
        <f>SUM(D269:O269)</f>
        <v>0</v>
      </c>
    </row>
    <row r="270" spans="1:94" s="100" customFormat="1" x14ac:dyDescent="0.35">
      <c r="A270" s="91">
        <f>A268+1</f>
        <v>41</v>
      </c>
      <c r="B270" s="52" t="s">
        <v>260</v>
      </c>
      <c r="C270" s="105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3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</row>
    <row r="271" spans="1:94" x14ac:dyDescent="0.35">
      <c r="A271" s="91">
        <f>A270+1</f>
        <v>42</v>
      </c>
      <c r="B271" s="52" t="str">
        <f>B261</f>
        <v xml:space="preserve">    First 30,000 Mcf</v>
      </c>
      <c r="C271" s="127"/>
      <c r="D271" s="161">
        <f>D261+D266</f>
        <v>353352.4</v>
      </c>
      <c r="E271" s="161">
        <f t="shared" ref="E271:O271" si="58">E261+E266</f>
        <v>328395.7</v>
      </c>
      <c r="F271" s="161">
        <f t="shared" si="58"/>
        <v>336483.6</v>
      </c>
      <c r="G271" s="161">
        <f t="shared" si="58"/>
        <v>319369.5</v>
      </c>
      <c r="H271" s="161">
        <f>H261+H266</f>
        <v>312232.59999999998</v>
      </c>
      <c r="I271" s="161">
        <f t="shared" si="58"/>
        <v>296986.7</v>
      </c>
      <c r="J271" s="161">
        <f t="shared" si="58"/>
        <v>254169.5</v>
      </c>
      <c r="K271" s="161">
        <f t="shared" si="58"/>
        <v>301590.5</v>
      </c>
      <c r="L271" s="161">
        <f t="shared" si="58"/>
        <v>294120.2</v>
      </c>
      <c r="M271" s="161">
        <f t="shared" si="58"/>
        <v>334335.3</v>
      </c>
      <c r="N271" s="161">
        <f t="shared" si="58"/>
        <v>357908.4</v>
      </c>
      <c r="O271" s="161">
        <f t="shared" si="58"/>
        <v>346016.8</v>
      </c>
      <c r="P271" s="102">
        <f>SUM(D271:O271)</f>
        <v>3834961.1999999997</v>
      </c>
      <c r="S271" s="131"/>
    </row>
    <row r="272" spans="1:94" x14ac:dyDescent="0.35">
      <c r="A272" s="91">
        <f>A271+1</f>
        <v>43</v>
      </c>
      <c r="B272" s="52" t="str">
        <f>B262</f>
        <v xml:space="preserve">    Next 70,000 Mcf</v>
      </c>
      <c r="C272" s="127"/>
      <c r="D272" s="161">
        <f>D262+D267</f>
        <v>147200</v>
      </c>
      <c r="E272" s="161">
        <f t="shared" ref="E272:O273" si="59">E262+E267</f>
        <v>141100</v>
      </c>
      <c r="F272" s="161">
        <f t="shared" si="59"/>
        <v>142600</v>
      </c>
      <c r="G272" s="161">
        <f t="shared" si="59"/>
        <v>140000</v>
      </c>
      <c r="H272" s="161">
        <f t="shared" si="59"/>
        <v>115826.4</v>
      </c>
      <c r="I272" s="161">
        <f t="shared" si="59"/>
        <v>59415</v>
      </c>
      <c r="J272" s="161">
        <f t="shared" si="59"/>
        <v>26497</v>
      </c>
      <c r="K272" s="161">
        <f t="shared" si="59"/>
        <v>100182.6</v>
      </c>
      <c r="L272" s="161">
        <f t="shared" si="59"/>
        <v>107805</v>
      </c>
      <c r="M272" s="161">
        <f t="shared" si="59"/>
        <v>140000</v>
      </c>
      <c r="N272" s="161">
        <f t="shared" si="59"/>
        <v>140000</v>
      </c>
      <c r="O272" s="161">
        <f t="shared" si="59"/>
        <v>143100</v>
      </c>
      <c r="P272" s="70">
        <f>SUM(D272:O272)</f>
        <v>1403726</v>
      </c>
      <c r="S272" s="131"/>
    </row>
    <row r="273" spans="1:19" x14ac:dyDescent="0.35">
      <c r="A273" s="91">
        <f>A272+1</f>
        <v>44</v>
      </c>
      <c r="B273" s="52" t="str">
        <f>B263</f>
        <v xml:space="preserve">    Over 100,000 Mcf</v>
      </c>
      <c r="C273" s="127"/>
      <c r="D273" s="136">
        <f>D263+D268</f>
        <v>156498.6</v>
      </c>
      <c r="E273" s="136">
        <f t="shared" si="59"/>
        <v>88049.600000000006</v>
      </c>
      <c r="F273" s="136">
        <f t="shared" si="59"/>
        <v>106845.6</v>
      </c>
      <c r="G273" s="136">
        <f t="shared" si="59"/>
        <v>39987.599999999999</v>
      </c>
      <c r="H273" s="136">
        <f t="shared" si="59"/>
        <v>0</v>
      </c>
      <c r="I273" s="136">
        <f t="shared" si="59"/>
        <v>0</v>
      </c>
      <c r="J273" s="136">
        <f t="shared" si="59"/>
        <v>0</v>
      </c>
      <c r="K273" s="136">
        <f t="shared" si="59"/>
        <v>0</v>
      </c>
      <c r="L273" s="136">
        <f t="shared" si="59"/>
        <v>4956.8</v>
      </c>
      <c r="M273" s="136">
        <f t="shared" si="59"/>
        <v>21846.6</v>
      </c>
      <c r="N273" s="136">
        <f t="shared" si="59"/>
        <v>87101</v>
      </c>
      <c r="O273" s="136">
        <f t="shared" si="59"/>
        <v>95922.8</v>
      </c>
      <c r="P273" s="134">
        <f>SUM(D273:O273)</f>
        <v>601208.6</v>
      </c>
      <c r="S273" s="131"/>
    </row>
    <row r="274" spans="1:19" x14ac:dyDescent="0.35">
      <c r="A274" s="91">
        <f>A273+1</f>
        <v>45</v>
      </c>
      <c r="B274" s="52" t="s">
        <v>340</v>
      </c>
      <c r="C274" s="105"/>
      <c r="D274" s="70">
        <f>D264+D269</f>
        <v>657051</v>
      </c>
      <c r="E274" s="70">
        <f t="shared" ref="E274:O274" si="60">E264+E269</f>
        <v>557545.30000000005</v>
      </c>
      <c r="F274" s="70">
        <f t="shared" si="60"/>
        <v>585929.19999999995</v>
      </c>
      <c r="G274" s="70">
        <f t="shared" si="60"/>
        <v>499357.1</v>
      </c>
      <c r="H274" s="70">
        <f t="shared" si="60"/>
        <v>428059</v>
      </c>
      <c r="I274" s="70">
        <f t="shared" si="60"/>
        <v>356401.7</v>
      </c>
      <c r="J274" s="70">
        <f t="shared" si="60"/>
        <v>280666.5</v>
      </c>
      <c r="K274" s="70">
        <f t="shared" si="60"/>
        <v>401773.1</v>
      </c>
      <c r="L274" s="70">
        <f t="shared" si="60"/>
        <v>406882</v>
      </c>
      <c r="M274" s="70">
        <f t="shared" si="60"/>
        <v>496181.89999999997</v>
      </c>
      <c r="N274" s="70">
        <f t="shared" si="60"/>
        <v>585009.4</v>
      </c>
      <c r="O274" s="70">
        <f t="shared" si="60"/>
        <v>585039.6</v>
      </c>
      <c r="P274" s="70">
        <f>SUM(D274:O274)</f>
        <v>5839895.8000000007</v>
      </c>
    </row>
    <row r="275" spans="1:19" x14ac:dyDescent="0.35">
      <c r="A275" s="91"/>
      <c r="B275" s="52"/>
      <c r="C275" s="105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</row>
    <row r="276" spans="1:19" x14ac:dyDescent="0.35">
      <c r="A276" s="806" t="str">
        <f>CONAME</f>
        <v>Columbia Gas of Kentucky, Inc.</v>
      </c>
      <c r="B276" s="806"/>
      <c r="C276" s="806"/>
      <c r="D276" s="806"/>
      <c r="E276" s="806"/>
      <c r="F276" s="806"/>
      <c r="G276" s="806"/>
      <c r="H276" s="806"/>
      <c r="I276" s="806"/>
      <c r="J276" s="806"/>
      <c r="K276" s="806"/>
      <c r="L276" s="806"/>
      <c r="M276" s="806"/>
      <c r="N276" s="806"/>
      <c r="O276" s="806"/>
      <c r="P276" s="806"/>
    </row>
    <row r="277" spans="1:19" x14ac:dyDescent="0.35">
      <c r="A277" s="806" t="s">
        <v>194</v>
      </c>
      <c r="B277" s="806"/>
      <c r="C277" s="806"/>
      <c r="D277" s="806"/>
      <c r="E277" s="806"/>
      <c r="F277" s="806"/>
      <c r="G277" s="806"/>
      <c r="H277" s="806"/>
      <c r="I277" s="806"/>
      <c r="J277" s="806"/>
      <c r="K277" s="806"/>
      <c r="L277" s="806"/>
      <c r="M277" s="806"/>
      <c r="N277" s="806"/>
      <c r="O277" s="806"/>
      <c r="P277" s="806"/>
    </row>
    <row r="278" spans="1:19" x14ac:dyDescent="0.35">
      <c r="A278" s="805" t="str">
        <f>TYDESC</f>
        <v>For the 12 Months Ended December 31, 2022</v>
      </c>
      <c r="B278" s="805"/>
      <c r="C278" s="805"/>
      <c r="D278" s="805"/>
      <c r="E278" s="805"/>
      <c r="F278" s="805"/>
      <c r="G278" s="805"/>
      <c r="H278" s="805"/>
      <c r="I278" s="805"/>
      <c r="J278" s="805"/>
      <c r="K278" s="805"/>
      <c r="L278" s="805"/>
      <c r="M278" s="805"/>
      <c r="N278" s="805"/>
      <c r="O278" s="805"/>
      <c r="P278" s="805"/>
    </row>
    <row r="279" spans="1:19" x14ac:dyDescent="0.3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1:19" x14ac:dyDescent="0.35">
      <c r="A280" s="97" t="str">
        <f>$A$5</f>
        <v>Data: __ Base Period_X_Forecasted Period</v>
      </c>
      <c r="B280" s="52"/>
      <c r="C280" s="105"/>
      <c r="D280" s="105"/>
      <c r="E280" s="105"/>
      <c r="F280" s="105"/>
      <c r="G280" s="93"/>
      <c r="H280" s="93"/>
      <c r="I280" s="93"/>
      <c r="J280" s="93"/>
      <c r="K280" s="93"/>
      <c r="L280" s="93"/>
      <c r="M280" s="93"/>
      <c r="N280" s="93"/>
      <c r="O280" s="93"/>
      <c r="P280" s="293" t="str">
        <f>$P$5</f>
        <v>Workpaper WPM-C.2</v>
      </c>
    </row>
    <row r="281" spans="1:19" x14ac:dyDescent="0.35">
      <c r="A281" s="97" t="str">
        <f>$A$6</f>
        <v>Type of Filing: X Original _ Update _ Revised</v>
      </c>
      <c r="B281" s="52"/>
      <c r="C281" s="105"/>
      <c r="D281" s="105"/>
      <c r="E281" s="105"/>
      <c r="F281" s="105"/>
      <c r="G281" s="93"/>
      <c r="H281" s="93"/>
      <c r="I281" s="93"/>
      <c r="J281" s="93"/>
      <c r="K281" s="93"/>
      <c r="L281" s="93"/>
      <c r="M281" s="93"/>
      <c r="N281" s="93"/>
      <c r="O281" s="93"/>
      <c r="P281" s="294" t="s">
        <v>518</v>
      </c>
    </row>
    <row r="282" spans="1:19" x14ac:dyDescent="0.35">
      <c r="A282" s="97" t="str">
        <f>$A$7</f>
        <v>Work Paper Reference No(s):</v>
      </c>
      <c r="B282" s="52"/>
      <c r="C282" s="105"/>
      <c r="D282" s="105"/>
      <c r="E282" s="105"/>
      <c r="F282" s="105"/>
      <c r="G282" s="93"/>
      <c r="H282" s="93"/>
      <c r="I282" s="93"/>
      <c r="J282" s="93"/>
      <c r="K282" s="93"/>
      <c r="L282" s="93"/>
      <c r="M282" s="93"/>
      <c r="N282" s="93"/>
      <c r="O282" s="93"/>
      <c r="P282" s="294"/>
    </row>
    <row r="283" spans="1:19" x14ac:dyDescent="0.35">
      <c r="A283" s="128" t="str">
        <f>$A$8</f>
        <v>12 Months Forecasted</v>
      </c>
      <c r="B283" s="120"/>
      <c r="C283" s="105"/>
      <c r="D283" s="295"/>
      <c r="E283" s="105"/>
      <c r="F283" s="296"/>
      <c r="G283" s="297"/>
      <c r="H283" s="296"/>
      <c r="I283" s="298"/>
      <c r="J283" s="296"/>
      <c r="K283" s="296"/>
      <c r="L283" s="296"/>
      <c r="M283" s="296"/>
      <c r="N283" s="296"/>
      <c r="O283" s="296"/>
      <c r="P283" s="286"/>
    </row>
    <row r="284" spans="1:19" x14ac:dyDescent="0.35">
      <c r="A284" s="98"/>
      <c r="B284" s="120"/>
      <c r="C284" s="105"/>
      <c r="D284" s="295"/>
      <c r="E284" s="105"/>
      <c r="F284" s="296"/>
      <c r="G284" s="297"/>
      <c r="H284" s="296"/>
      <c r="I284" s="298"/>
      <c r="J284" s="296"/>
      <c r="K284" s="296"/>
      <c r="L284" s="296"/>
      <c r="M284" s="296"/>
      <c r="N284" s="296"/>
      <c r="O284" s="296"/>
      <c r="P284" s="286"/>
    </row>
    <row r="285" spans="1:19" x14ac:dyDescent="0.35">
      <c r="A285" s="120" t="s">
        <v>1</v>
      </c>
      <c r="B285" s="120"/>
      <c r="C285" s="105"/>
      <c r="D285" s="295"/>
      <c r="E285" s="105"/>
      <c r="F285" s="296"/>
      <c r="G285" s="297"/>
      <c r="H285" s="296"/>
      <c r="I285" s="298"/>
      <c r="J285" s="296"/>
      <c r="K285" s="296"/>
      <c r="L285" s="296"/>
      <c r="M285" s="296"/>
      <c r="N285" s="296"/>
      <c r="O285" s="296"/>
      <c r="P285" s="286"/>
    </row>
    <row r="286" spans="1:19" x14ac:dyDescent="0.35">
      <c r="A286" s="288" t="s">
        <v>3</v>
      </c>
      <c r="B286" s="288" t="s">
        <v>4</v>
      </c>
      <c r="C286" s="289" t="s">
        <v>183</v>
      </c>
      <c r="D286" s="290" t="str">
        <f>B!$D$11</f>
        <v>Jan-22</v>
      </c>
      <c r="E286" s="290" t="str">
        <f>B!$E$11</f>
        <v>Feb-22</v>
      </c>
      <c r="F286" s="290" t="str">
        <f>B!$F$11</f>
        <v>Mar-22</v>
      </c>
      <c r="G286" s="290" t="str">
        <f>B!$G$11</f>
        <v>Apr-22</v>
      </c>
      <c r="H286" s="290" t="str">
        <f>B!$H$11</f>
        <v>May-22</v>
      </c>
      <c r="I286" s="290" t="str">
        <f>B!$I$11</f>
        <v>Jun-22</v>
      </c>
      <c r="J286" s="290" t="str">
        <f>B!$J$11</f>
        <v>Jul-22</v>
      </c>
      <c r="K286" s="290" t="str">
        <f>B!$K$11</f>
        <v>Aug-22</v>
      </c>
      <c r="L286" s="290" t="str">
        <f>B!$L$11</f>
        <v>Sep-22</v>
      </c>
      <c r="M286" s="290" t="str">
        <f>B!$M$11</f>
        <v>Oct-22</v>
      </c>
      <c r="N286" s="290" t="str">
        <f>B!$N$11</f>
        <v>Nov-22</v>
      </c>
      <c r="O286" s="290" t="str">
        <f>B!$O$11</f>
        <v>Dec-22</v>
      </c>
      <c r="P286" s="211" t="s">
        <v>9</v>
      </c>
    </row>
    <row r="287" spans="1:19" x14ac:dyDescent="0.35">
      <c r="A287" s="120"/>
      <c r="B287" s="131" t="s">
        <v>42</v>
      </c>
      <c r="C287" s="127" t="s">
        <v>43</v>
      </c>
      <c r="D287" s="285" t="s">
        <v>45</v>
      </c>
      <c r="E287" s="285" t="s">
        <v>46</v>
      </c>
      <c r="F287" s="285" t="s">
        <v>49</v>
      </c>
      <c r="G287" s="285" t="s">
        <v>50</v>
      </c>
      <c r="H287" s="285" t="s">
        <v>51</v>
      </c>
      <c r="I287" s="285" t="s">
        <v>52</v>
      </c>
      <c r="J287" s="285" t="s">
        <v>53</v>
      </c>
      <c r="K287" s="132" t="s">
        <v>54</v>
      </c>
      <c r="L287" s="132" t="s">
        <v>55</v>
      </c>
      <c r="M287" s="132" t="s">
        <v>56</v>
      </c>
      <c r="N287" s="132" t="s">
        <v>57</v>
      </c>
      <c r="O287" s="132" t="s">
        <v>58</v>
      </c>
      <c r="P287" s="132" t="s">
        <v>59</v>
      </c>
    </row>
    <row r="288" spans="1:19" x14ac:dyDescent="0.35">
      <c r="A288" s="120"/>
      <c r="B288" s="131"/>
      <c r="C288" s="127"/>
      <c r="D288" s="285"/>
      <c r="E288" s="285"/>
      <c r="F288" s="285"/>
      <c r="G288" s="285"/>
      <c r="H288" s="285"/>
      <c r="I288" s="285"/>
      <c r="J288" s="285"/>
      <c r="K288" s="132"/>
      <c r="L288" s="132"/>
      <c r="M288" s="132"/>
      <c r="N288" s="132"/>
      <c r="O288" s="132"/>
      <c r="P288" s="132"/>
    </row>
    <row r="289" spans="1:94" x14ac:dyDescent="0.35">
      <c r="A289" s="91">
        <v>1</v>
      </c>
      <c r="B289" s="51" t="s">
        <v>268</v>
      </c>
      <c r="C289" s="129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52"/>
    </row>
    <row r="290" spans="1:94" x14ac:dyDescent="0.35">
      <c r="A290" s="91">
        <f>A289+1</f>
        <v>2</v>
      </c>
      <c r="B290" s="52" t="s">
        <v>339</v>
      </c>
      <c r="C290" s="129"/>
      <c r="D290" s="284"/>
      <c r="E290" s="284"/>
      <c r="F290" s="284"/>
      <c r="G290" s="292"/>
      <c r="H290" s="292"/>
      <c r="I290" s="292"/>
      <c r="J290" s="292"/>
      <c r="K290" s="292"/>
      <c r="L290" s="292"/>
      <c r="M290" s="284"/>
      <c r="N290" s="284"/>
      <c r="O290" s="284"/>
      <c r="P290" s="103"/>
    </row>
    <row r="291" spans="1:94" x14ac:dyDescent="0.35">
      <c r="A291" s="91">
        <f>A290+1</f>
        <v>3</v>
      </c>
      <c r="B291" s="299" t="s">
        <v>252</v>
      </c>
      <c r="C291" s="129"/>
      <c r="D291" s="292">
        <v>650</v>
      </c>
      <c r="E291" s="284">
        <v>650</v>
      </c>
      <c r="F291" s="284">
        <v>650</v>
      </c>
      <c r="G291" s="292">
        <v>650</v>
      </c>
      <c r="H291" s="292">
        <v>650</v>
      </c>
      <c r="I291" s="292">
        <v>600</v>
      </c>
      <c r="J291" s="292">
        <v>600</v>
      </c>
      <c r="K291" s="292">
        <v>600</v>
      </c>
      <c r="L291" s="292">
        <v>600</v>
      </c>
      <c r="M291" s="284">
        <v>600</v>
      </c>
      <c r="N291" s="284">
        <v>650</v>
      </c>
      <c r="O291" s="284">
        <v>650</v>
      </c>
      <c r="P291" s="103">
        <f>SUM(D291:O291)</f>
        <v>7550</v>
      </c>
    </row>
    <row r="292" spans="1:94" x14ac:dyDescent="0.35">
      <c r="A292" s="91">
        <f>A291+1</f>
        <v>4</v>
      </c>
      <c r="B292" s="299" t="s">
        <v>253</v>
      </c>
      <c r="C292" s="129"/>
      <c r="D292" s="292">
        <v>4550</v>
      </c>
      <c r="E292" s="284">
        <v>4550</v>
      </c>
      <c r="F292" s="284">
        <v>4550</v>
      </c>
      <c r="G292" s="292">
        <v>4550</v>
      </c>
      <c r="H292" s="292">
        <v>4523.8</v>
      </c>
      <c r="I292" s="292">
        <v>4200</v>
      </c>
      <c r="J292" s="292">
        <v>4137.7</v>
      </c>
      <c r="K292" s="292">
        <v>4159.3</v>
      </c>
      <c r="L292" s="292">
        <v>4180.1000000000004</v>
      </c>
      <c r="M292" s="284">
        <v>4200</v>
      </c>
      <c r="N292" s="284">
        <v>4550</v>
      </c>
      <c r="O292" s="284">
        <v>4550</v>
      </c>
      <c r="P292" s="103">
        <f>SUM(D292:O292)</f>
        <v>52700.9</v>
      </c>
    </row>
    <row r="293" spans="1:94" x14ac:dyDescent="0.35">
      <c r="A293" s="91">
        <f>A292+1</f>
        <v>5</v>
      </c>
      <c r="B293" s="299" t="s">
        <v>254</v>
      </c>
      <c r="C293" s="129"/>
      <c r="D293" s="292">
        <v>7800</v>
      </c>
      <c r="E293" s="284">
        <v>7800</v>
      </c>
      <c r="F293" s="284">
        <v>7751.4</v>
      </c>
      <c r="G293" s="292">
        <v>7800</v>
      </c>
      <c r="H293" s="292">
        <v>6881.9</v>
      </c>
      <c r="I293" s="292">
        <v>5445.8</v>
      </c>
      <c r="J293" s="292">
        <v>5512.4</v>
      </c>
      <c r="K293" s="292">
        <v>6047</v>
      </c>
      <c r="L293" s="292">
        <v>5917.8</v>
      </c>
      <c r="M293" s="284">
        <v>4600.3999999999996</v>
      </c>
      <c r="N293" s="284">
        <v>7700</v>
      </c>
      <c r="O293" s="284">
        <v>7800</v>
      </c>
      <c r="P293" s="103">
        <f>SUM(D293:O293)</f>
        <v>81056.700000000012</v>
      </c>
    </row>
    <row r="294" spans="1:94" ht="18.5" x14ac:dyDescent="0.65">
      <c r="A294" s="91">
        <f>A293+1</f>
        <v>6</v>
      </c>
      <c r="B294" s="299" t="s">
        <v>255</v>
      </c>
      <c r="C294" s="129"/>
      <c r="D294" s="301">
        <v>53917</v>
      </c>
      <c r="E294" s="306">
        <v>63267.1</v>
      </c>
      <c r="F294" s="306">
        <v>14971.4</v>
      </c>
      <c r="G294" s="301">
        <v>29749.200000000001</v>
      </c>
      <c r="H294" s="301">
        <v>2447.6</v>
      </c>
      <c r="I294" s="301">
        <v>3086.7</v>
      </c>
      <c r="J294" s="301">
        <v>4225.8</v>
      </c>
      <c r="K294" s="301">
        <v>5084.2</v>
      </c>
      <c r="L294" s="301">
        <v>3599.9</v>
      </c>
      <c r="M294" s="306">
        <v>1264.4000000000001</v>
      </c>
      <c r="N294" s="306">
        <v>12116</v>
      </c>
      <c r="O294" s="306">
        <v>45790.6</v>
      </c>
      <c r="P294" s="305">
        <f>SUM(D294:O294)</f>
        <v>239519.90000000002</v>
      </c>
    </row>
    <row r="295" spans="1:94" x14ac:dyDescent="0.35">
      <c r="A295" s="91"/>
      <c r="B295" s="299"/>
      <c r="C295" s="129"/>
      <c r="D295" s="102">
        <f t="shared" ref="D295:N295" si="61">SUM(D291:D294)</f>
        <v>66917</v>
      </c>
      <c r="E295" s="102">
        <f t="shared" si="61"/>
        <v>76267.100000000006</v>
      </c>
      <c r="F295" s="102">
        <f t="shared" si="61"/>
        <v>27922.799999999999</v>
      </c>
      <c r="G295" s="102">
        <f t="shared" si="61"/>
        <v>42749.2</v>
      </c>
      <c r="H295" s="102">
        <f t="shared" si="61"/>
        <v>14503.300000000001</v>
      </c>
      <c r="I295" s="102">
        <f t="shared" si="61"/>
        <v>13332.5</v>
      </c>
      <c r="J295" s="102">
        <f t="shared" si="61"/>
        <v>14475.899999999998</v>
      </c>
      <c r="K295" s="102">
        <f t="shared" si="61"/>
        <v>15890.5</v>
      </c>
      <c r="L295" s="102">
        <f t="shared" si="61"/>
        <v>14297.800000000001</v>
      </c>
      <c r="M295" s="102">
        <f t="shared" si="61"/>
        <v>10664.8</v>
      </c>
      <c r="N295" s="102">
        <f t="shared" si="61"/>
        <v>25016</v>
      </c>
      <c r="O295" s="102">
        <f>SUM(O291:O294)</f>
        <v>58790.6</v>
      </c>
      <c r="P295" s="103">
        <f>SUM(D295:O295)</f>
        <v>380827.49999999988</v>
      </c>
    </row>
    <row r="296" spans="1:94" x14ac:dyDescent="0.35">
      <c r="A296" s="91">
        <f>A294+1</f>
        <v>7</v>
      </c>
      <c r="B296" s="52" t="s">
        <v>241</v>
      </c>
      <c r="C296" s="139" t="s">
        <v>342</v>
      </c>
      <c r="D296" s="292"/>
      <c r="E296" s="292"/>
      <c r="F296" s="292"/>
      <c r="G296" s="292"/>
      <c r="H296" s="292"/>
      <c r="I296" s="292"/>
      <c r="J296" s="292"/>
      <c r="K296" s="292"/>
      <c r="L296" s="292"/>
      <c r="M296" s="292"/>
      <c r="N296" s="292"/>
      <c r="O296" s="292"/>
      <c r="P296" s="70"/>
    </row>
    <row r="297" spans="1:94" x14ac:dyDescent="0.35">
      <c r="A297" s="91">
        <f>A296+1</f>
        <v>8</v>
      </c>
      <c r="B297" s="52" t="str">
        <f>B291</f>
        <v xml:space="preserve">    First 50 Mcf</v>
      </c>
      <c r="C297" s="139"/>
      <c r="D297" s="302">
        <f>'D pg 1'!D43</f>
        <v>0</v>
      </c>
      <c r="E297" s="302">
        <f>'D pg 1'!E43</f>
        <v>0</v>
      </c>
      <c r="F297" s="302">
        <f>'D pg 1'!F43</f>
        <v>0</v>
      </c>
      <c r="G297" s="302">
        <f>'D pg 1'!G43</f>
        <v>0</v>
      </c>
      <c r="H297" s="302">
        <f>'D pg 1'!H43</f>
        <v>0</v>
      </c>
      <c r="I297" s="302">
        <f>'D pg 1'!I43</f>
        <v>0</v>
      </c>
      <c r="J297" s="302">
        <f>'D pg 1'!J43</f>
        <v>0</v>
      </c>
      <c r="K297" s="302">
        <f>'D pg 1'!K43</f>
        <v>0</v>
      </c>
      <c r="L297" s="302">
        <f>'D pg 1'!L43</f>
        <v>0</v>
      </c>
      <c r="M297" s="302">
        <f>'D pg 1'!M43</f>
        <v>0</v>
      </c>
      <c r="N297" s="302">
        <f>'D pg 1'!N43</f>
        <v>0</v>
      </c>
      <c r="O297" s="302">
        <f>'D pg 1'!O43</f>
        <v>0</v>
      </c>
      <c r="P297" s="70">
        <f>SUM(D297:O297)</f>
        <v>0</v>
      </c>
    </row>
    <row r="298" spans="1:94" x14ac:dyDescent="0.35">
      <c r="A298" s="91">
        <f>A297+1</f>
        <v>9</v>
      </c>
      <c r="B298" s="52" t="str">
        <f>B292</f>
        <v xml:space="preserve">    Next 350 Mcf</v>
      </c>
      <c r="C298" s="139"/>
      <c r="D298" s="302">
        <f>'D pg 1'!D44</f>
        <v>0</v>
      </c>
      <c r="E298" s="302">
        <f>'D pg 1'!E44</f>
        <v>0</v>
      </c>
      <c r="F298" s="302">
        <f>'D pg 1'!F44</f>
        <v>0</v>
      </c>
      <c r="G298" s="302">
        <f>'D pg 1'!G44</f>
        <v>0</v>
      </c>
      <c r="H298" s="302">
        <f>'D pg 1'!H44</f>
        <v>0</v>
      </c>
      <c r="I298" s="302">
        <f>'D pg 1'!I44</f>
        <v>0</v>
      </c>
      <c r="J298" s="302">
        <f>'D pg 1'!J44</f>
        <v>0</v>
      </c>
      <c r="K298" s="302">
        <f>'D pg 1'!K44</f>
        <v>0</v>
      </c>
      <c r="L298" s="302">
        <f>'D pg 1'!L44</f>
        <v>0</v>
      </c>
      <c r="M298" s="302">
        <f>'D pg 1'!M44</f>
        <v>0</v>
      </c>
      <c r="N298" s="302">
        <f>'D pg 1'!N44</f>
        <v>0</v>
      </c>
      <c r="O298" s="302">
        <f>'D pg 1'!O44</f>
        <v>0</v>
      </c>
      <c r="P298" s="70">
        <f>SUM(D298:O298)</f>
        <v>0</v>
      </c>
    </row>
    <row r="299" spans="1:94" x14ac:dyDescent="0.35">
      <c r="A299" s="91">
        <f>A298+1</f>
        <v>10</v>
      </c>
      <c r="B299" s="52" t="str">
        <f>B293</f>
        <v xml:space="preserve">    Next 600 Mcf</v>
      </c>
      <c r="C299" s="139"/>
      <c r="D299" s="302">
        <f>'D pg 1'!D45</f>
        <v>0</v>
      </c>
      <c r="E299" s="302">
        <f>'D pg 1'!E45</f>
        <v>0</v>
      </c>
      <c r="F299" s="302">
        <f>'D pg 1'!F45</f>
        <v>0</v>
      </c>
      <c r="G299" s="302">
        <f>'D pg 1'!G45</f>
        <v>0</v>
      </c>
      <c r="H299" s="302">
        <f>'D pg 1'!H45</f>
        <v>0</v>
      </c>
      <c r="I299" s="302">
        <f>'D pg 1'!I45</f>
        <v>0</v>
      </c>
      <c r="J299" s="302">
        <f>'D pg 1'!J45</f>
        <v>0</v>
      </c>
      <c r="K299" s="302">
        <f>'D pg 1'!K45</f>
        <v>0</v>
      </c>
      <c r="L299" s="302">
        <f>'D pg 1'!L45</f>
        <v>0</v>
      </c>
      <c r="M299" s="302">
        <f>'D pg 1'!M45</f>
        <v>0</v>
      </c>
      <c r="N299" s="302">
        <f>'D pg 1'!N45</f>
        <v>0</v>
      </c>
      <c r="O299" s="302">
        <f>'D pg 1'!O45</f>
        <v>0</v>
      </c>
      <c r="P299" s="70">
        <f>SUM(D299:O299)</f>
        <v>0</v>
      </c>
    </row>
    <row r="300" spans="1:94" x14ac:dyDescent="0.35">
      <c r="A300" s="91">
        <f>A299+1</f>
        <v>11</v>
      </c>
      <c r="B300" s="52" t="str">
        <f>B294</f>
        <v xml:space="preserve">    Over 1,000 Mcf</v>
      </c>
      <c r="C300" s="139"/>
      <c r="D300" s="303">
        <f>'D pg 1'!D46</f>
        <v>0</v>
      </c>
      <c r="E300" s="303">
        <f>'D pg 1'!E46</f>
        <v>0</v>
      </c>
      <c r="F300" s="303">
        <f>'D pg 1'!F46</f>
        <v>0</v>
      </c>
      <c r="G300" s="303">
        <f>'D pg 1'!G46</f>
        <v>0</v>
      </c>
      <c r="H300" s="303">
        <f>'D pg 1'!H46</f>
        <v>0</v>
      </c>
      <c r="I300" s="303">
        <f>'D pg 1'!I46</f>
        <v>0</v>
      </c>
      <c r="J300" s="303">
        <f>'D pg 1'!J46</f>
        <v>0</v>
      </c>
      <c r="K300" s="303">
        <f>'D pg 1'!K46</f>
        <v>0</v>
      </c>
      <c r="L300" s="303">
        <f>'D pg 1'!L46</f>
        <v>0</v>
      </c>
      <c r="M300" s="303">
        <f>'D pg 1'!M46</f>
        <v>0</v>
      </c>
      <c r="N300" s="303">
        <f>'D pg 1'!N46</f>
        <v>0</v>
      </c>
      <c r="O300" s="303">
        <f>'D pg 1'!O46</f>
        <v>0</v>
      </c>
      <c r="P300" s="134">
        <f>SUM(D300:O300)</f>
        <v>0</v>
      </c>
    </row>
    <row r="301" spans="1:94" x14ac:dyDescent="0.35">
      <c r="A301" s="91"/>
      <c r="B301" s="52"/>
      <c r="C301" s="139"/>
      <c r="D301" s="70">
        <f t="shared" ref="D301:N301" si="62">SUM(D297:D300)</f>
        <v>0</v>
      </c>
      <c r="E301" s="70">
        <f t="shared" si="62"/>
        <v>0</v>
      </c>
      <c r="F301" s="70">
        <f t="shared" si="62"/>
        <v>0</v>
      </c>
      <c r="G301" s="70">
        <f t="shared" si="62"/>
        <v>0</v>
      </c>
      <c r="H301" s="70">
        <f t="shared" si="62"/>
        <v>0</v>
      </c>
      <c r="I301" s="70">
        <f t="shared" si="62"/>
        <v>0</v>
      </c>
      <c r="J301" s="70">
        <f t="shared" si="62"/>
        <v>0</v>
      </c>
      <c r="K301" s="70">
        <f t="shared" si="62"/>
        <v>0</v>
      </c>
      <c r="L301" s="70">
        <f t="shared" si="62"/>
        <v>0</v>
      </c>
      <c r="M301" s="70">
        <f t="shared" si="62"/>
        <v>0</v>
      </c>
      <c r="N301" s="70">
        <f t="shared" si="62"/>
        <v>0</v>
      </c>
      <c r="O301" s="70">
        <f>SUM(O297:O300)</f>
        <v>0</v>
      </c>
      <c r="P301" s="70">
        <f>SUM(D301:O301)</f>
        <v>0</v>
      </c>
    </row>
    <row r="302" spans="1:94" s="100" customFormat="1" x14ac:dyDescent="0.35">
      <c r="A302" s="91">
        <f>A300+1</f>
        <v>12</v>
      </c>
      <c r="B302" s="52" t="s">
        <v>260</v>
      </c>
      <c r="C302" s="105"/>
      <c r="D302" s="102"/>
      <c r="E302" s="102"/>
      <c r="F302" s="102"/>
      <c r="G302" s="70"/>
      <c r="H302" s="70"/>
      <c r="I302" s="70"/>
      <c r="J302" s="70"/>
      <c r="K302" s="70"/>
      <c r="L302" s="70"/>
      <c r="M302" s="102"/>
      <c r="N302" s="102"/>
      <c r="O302" s="102"/>
      <c r="P302" s="103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  <c r="CA302" s="52"/>
      <c r="CB302" s="52"/>
      <c r="CC302" s="52"/>
      <c r="CD302" s="52"/>
      <c r="CE302" s="52"/>
      <c r="CF302" s="52"/>
      <c r="CG302" s="52"/>
      <c r="CH302" s="52"/>
      <c r="CI302" s="52"/>
      <c r="CJ302" s="52"/>
      <c r="CK302" s="52"/>
      <c r="CL302" s="52"/>
      <c r="CM302" s="52"/>
      <c r="CN302" s="52"/>
      <c r="CO302" s="52"/>
      <c r="CP302" s="52"/>
    </row>
    <row r="303" spans="1:94" x14ac:dyDescent="0.35">
      <c r="A303" s="91">
        <f>A302+1</f>
        <v>13</v>
      </c>
      <c r="B303" s="52" t="str">
        <f>B291</f>
        <v xml:space="preserve">    First 50 Mcf</v>
      </c>
      <c r="C303" s="127"/>
      <c r="D303" s="161">
        <f>D291+D297</f>
        <v>650</v>
      </c>
      <c r="E303" s="161">
        <f t="shared" ref="E303:O303" si="63">E291+E297</f>
        <v>650</v>
      </c>
      <c r="F303" s="161">
        <f t="shared" si="63"/>
        <v>650</v>
      </c>
      <c r="G303" s="161">
        <f t="shared" si="63"/>
        <v>650</v>
      </c>
      <c r="H303" s="161">
        <f t="shared" si="63"/>
        <v>650</v>
      </c>
      <c r="I303" s="161">
        <f t="shared" si="63"/>
        <v>600</v>
      </c>
      <c r="J303" s="161">
        <f t="shared" si="63"/>
        <v>600</v>
      </c>
      <c r="K303" s="161">
        <f t="shared" si="63"/>
        <v>600</v>
      </c>
      <c r="L303" s="161">
        <f t="shared" si="63"/>
        <v>600</v>
      </c>
      <c r="M303" s="161">
        <f t="shared" si="63"/>
        <v>600</v>
      </c>
      <c r="N303" s="161">
        <f t="shared" si="63"/>
        <v>650</v>
      </c>
      <c r="O303" s="161">
        <f t="shared" si="63"/>
        <v>650</v>
      </c>
      <c r="P303" s="102">
        <f>SUM(D303:O303)</f>
        <v>7550</v>
      </c>
      <c r="S303" s="131"/>
    </row>
    <row r="304" spans="1:94" x14ac:dyDescent="0.35">
      <c r="A304" s="91">
        <f>A303+1</f>
        <v>14</v>
      </c>
      <c r="B304" s="52" t="str">
        <f>B292</f>
        <v xml:space="preserve">    Next 350 Mcf</v>
      </c>
      <c r="C304" s="127"/>
      <c r="D304" s="161">
        <f t="shared" ref="D304:O306" si="64">D292+D298</f>
        <v>4550</v>
      </c>
      <c r="E304" s="161">
        <f t="shared" si="64"/>
        <v>4550</v>
      </c>
      <c r="F304" s="161">
        <f t="shared" si="64"/>
        <v>4550</v>
      </c>
      <c r="G304" s="161">
        <f t="shared" si="64"/>
        <v>4550</v>
      </c>
      <c r="H304" s="161">
        <f t="shared" si="64"/>
        <v>4523.8</v>
      </c>
      <c r="I304" s="161">
        <f t="shared" si="64"/>
        <v>4200</v>
      </c>
      <c r="J304" s="161">
        <f t="shared" si="64"/>
        <v>4137.7</v>
      </c>
      <c r="K304" s="161">
        <f t="shared" si="64"/>
        <v>4159.3</v>
      </c>
      <c r="L304" s="161">
        <f t="shared" si="64"/>
        <v>4180.1000000000004</v>
      </c>
      <c r="M304" s="161">
        <f t="shared" si="64"/>
        <v>4200</v>
      </c>
      <c r="N304" s="161">
        <f t="shared" si="64"/>
        <v>4550</v>
      </c>
      <c r="O304" s="161">
        <f t="shared" si="64"/>
        <v>4550</v>
      </c>
      <c r="P304" s="102">
        <f>SUM(D304:O304)</f>
        <v>52700.9</v>
      </c>
      <c r="S304" s="131"/>
    </row>
    <row r="305" spans="1:19" x14ac:dyDescent="0.35">
      <c r="A305" s="91">
        <f>A304+1</f>
        <v>15</v>
      </c>
      <c r="B305" s="52" t="str">
        <f>B293</f>
        <v xml:space="preserve">    Next 600 Mcf</v>
      </c>
      <c r="C305" s="127"/>
      <c r="D305" s="161">
        <f t="shared" si="64"/>
        <v>7800</v>
      </c>
      <c r="E305" s="161">
        <f t="shared" si="64"/>
        <v>7800</v>
      </c>
      <c r="F305" s="161">
        <f t="shared" si="64"/>
        <v>7751.4</v>
      </c>
      <c r="G305" s="161">
        <f t="shared" si="64"/>
        <v>7800</v>
      </c>
      <c r="H305" s="161">
        <f t="shared" si="64"/>
        <v>6881.9</v>
      </c>
      <c r="I305" s="161">
        <f t="shared" si="64"/>
        <v>5445.8</v>
      </c>
      <c r="J305" s="161">
        <f t="shared" si="64"/>
        <v>5512.4</v>
      </c>
      <c r="K305" s="161">
        <f t="shared" si="64"/>
        <v>6047</v>
      </c>
      <c r="L305" s="161">
        <f t="shared" si="64"/>
        <v>5917.8</v>
      </c>
      <c r="M305" s="161">
        <f t="shared" si="64"/>
        <v>4600.3999999999996</v>
      </c>
      <c r="N305" s="161">
        <f t="shared" si="64"/>
        <v>7700</v>
      </c>
      <c r="O305" s="161">
        <f t="shared" si="64"/>
        <v>7800</v>
      </c>
      <c r="P305" s="102">
        <f>SUM(D305:O305)</f>
        <v>81056.700000000012</v>
      </c>
      <c r="S305" s="131"/>
    </row>
    <row r="306" spans="1:19" x14ac:dyDescent="0.35">
      <c r="A306" s="91">
        <f>A305+1</f>
        <v>16</v>
      </c>
      <c r="B306" s="52" t="str">
        <f>B294</f>
        <v xml:space="preserve">    Over 1,000 Mcf</v>
      </c>
      <c r="C306" s="127"/>
      <c r="D306" s="136">
        <f t="shared" si="64"/>
        <v>53917</v>
      </c>
      <c r="E306" s="136">
        <f t="shared" si="64"/>
        <v>63267.1</v>
      </c>
      <c r="F306" s="136">
        <f t="shared" si="64"/>
        <v>14971.4</v>
      </c>
      <c r="G306" s="136">
        <f t="shared" si="64"/>
        <v>29749.200000000001</v>
      </c>
      <c r="H306" s="136">
        <f t="shared" si="64"/>
        <v>2447.6</v>
      </c>
      <c r="I306" s="136">
        <f t="shared" si="64"/>
        <v>3086.7</v>
      </c>
      <c r="J306" s="136">
        <f t="shared" si="64"/>
        <v>4225.8</v>
      </c>
      <c r="K306" s="136">
        <f t="shared" si="64"/>
        <v>5084.2</v>
      </c>
      <c r="L306" s="136">
        <f t="shared" si="64"/>
        <v>3599.9</v>
      </c>
      <c r="M306" s="136">
        <f t="shared" si="64"/>
        <v>1264.4000000000001</v>
      </c>
      <c r="N306" s="136">
        <f t="shared" si="64"/>
        <v>12116</v>
      </c>
      <c r="O306" s="136">
        <f t="shared" si="64"/>
        <v>45790.6</v>
      </c>
      <c r="P306" s="134">
        <f>SUM(D306:O306)</f>
        <v>239519.90000000002</v>
      </c>
      <c r="S306" s="131"/>
    </row>
    <row r="307" spans="1:19" x14ac:dyDescent="0.35">
      <c r="A307" s="91">
        <f>A306+1</f>
        <v>17</v>
      </c>
      <c r="B307" s="52" t="s">
        <v>340</v>
      </c>
      <c r="C307" s="105"/>
      <c r="D307" s="161">
        <f>D295+D301</f>
        <v>66917</v>
      </c>
      <c r="E307" s="161">
        <f t="shared" ref="E307:O307" si="65">E295+E301</f>
        <v>76267.100000000006</v>
      </c>
      <c r="F307" s="161">
        <f t="shared" si="65"/>
        <v>27922.799999999999</v>
      </c>
      <c r="G307" s="161">
        <f t="shared" si="65"/>
        <v>42749.2</v>
      </c>
      <c r="H307" s="161">
        <f t="shared" si="65"/>
        <v>14503.300000000001</v>
      </c>
      <c r="I307" s="161">
        <f t="shared" si="65"/>
        <v>13332.5</v>
      </c>
      <c r="J307" s="161">
        <f t="shared" si="65"/>
        <v>14475.899999999998</v>
      </c>
      <c r="K307" s="161">
        <f t="shared" si="65"/>
        <v>15890.5</v>
      </c>
      <c r="L307" s="161">
        <f t="shared" si="65"/>
        <v>14297.800000000001</v>
      </c>
      <c r="M307" s="161">
        <f t="shared" si="65"/>
        <v>10664.8</v>
      </c>
      <c r="N307" s="161">
        <f t="shared" si="65"/>
        <v>25016</v>
      </c>
      <c r="O307" s="161">
        <f t="shared" si="65"/>
        <v>58790.6</v>
      </c>
      <c r="P307" s="70">
        <f>SUM(D307:O307)</f>
        <v>380827.49999999988</v>
      </c>
    </row>
    <row r="308" spans="1:19" x14ac:dyDescent="0.35">
      <c r="A308" s="91"/>
      <c r="B308" s="52"/>
      <c r="C308" s="105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70"/>
    </row>
    <row r="309" spans="1:19" x14ac:dyDescent="0.35">
      <c r="A309" s="91">
        <f>A307+1</f>
        <v>18</v>
      </c>
      <c r="B309" s="51" t="s">
        <v>258</v>
      </c>
      <c r="C309" s="129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52"/>
    </row>
    <row r="310" spans="1:19" x14ac:dyDescent="0.35">
      <c r="A310" s="91">
        <f>A309+1</f>
        <v>19</v>
      </c>
      <c r="B310" s="52" t="s">
        <v>339</v>
      </c>
      <c r="C310" s="129"/>
      <c r="D310" s="284"/>
      <c r="E310" s="284"/>
      <c r="F310" s="284"/>
      <c r="G310" s="292"/>
      <c r="H310" s="292"/>
      <c r="I310" s="292"/>
      <c r="J310" s="292"/>
      <c r="K310" s="292"/>
      <c r="L310" s="292"/>
      <c r="M310" s="284"/>
      <c r="N310" s="284"/>
      <c r="O310" s="284"/>
      <c r="P310" s="103"/>
    </row>
    <row r="311" spans="1:19" x14ac:dyDescent="0.35">
      <c r="A311" s="91">
        <f>A310+1</f>
        <v>20</v>
      </c>
      <c r="B311" s="299" t="s">
        <v>252</v>
      </c>
      <c r="C311" s="129"/>
      <c r="D311" s="292">
        <v>300</v>
      </c>
      <c r="E311" s="284">
        <v>300</v>
      </c>
      <c r="F311" s="284">
        <v>300</v>
      </c>
      <c r="G311" s="292">
        <v>300</v>
      </c>
      <c r="H311" s="292">
        <v>300</v>
      </c>
      <c r="I311" s="292">
        <v>217.9</v>
      </c>
      <c r="J311" s="292">
        <v>204.4</v>
      </c>
      <c r="K311" s="292">
        <v>234.8</v>
      </c>
      <c r="L311" s="292">
        <v>250</v>
      </c>
      <c r="M311" s="284">
        <v>300</v>
      </c>
      <c r="N311" s="284">
        <v>300</v>
      </c>
      <c r="O311" s="284">
        <v>300</v>
      </c>
      <c r="P311" s="103">
        <f>SUM(D311:O311)</f>
        <v>3307.1000000000004</v>
      </c>
    </row>
    <row r="312" spans="1:19" x14ac:dyDescent="0.35">
      <c r="A312" s="91">
        <f>A311+1</f>
        <v>21</v>
      </c>
      <c r="B312" s="299" t="s">
        <v>253</v>
      </c>
      <c r="C312" s="129"/>
      <c r="D312" s="292">
        <v>1979.8</v>
      </c>
      <c r="E312" s="284">
        <v>1977.9</v>
      </c>
      <c r="F312" s="284">
        <v>2100</v>
      </c>
      <c r="G312" s="292">
        <v>1649.4</v>
      </c>
      <c r="H312" s="292">
        <v>1426.5</v>
      </c>
      <c r="I312" s="292">
        <v>1256.0999999999999</v>
      </c>
      <c r="J312" s="292">
        <v>1188.7</v>
      </c>
      <c r="K312" s="292">
        <v>1314.2</v>
      </c>
      <c r="L312" s="292">
        <v>1214.2</v>
      </c>
      <c r="M312" s="284">
        <v>1617.8</v>
      </c>
      <c r="N312" s="284">
        <v>1596.7</v>
      </c>
      <c r="O312" s="284">
        <v>1956.9</v>
      </c>
      <c r="P312" s="103">
        <f>SUM(D312:O312)</f>
        <v>19278.200000000004</v>
      </c>
    </row>
    <row r="313" spans="1:19" x14ac:dyDescent="0.35">
      <c r="A313" s="91">
        <f>A312+1</f>
        <v>22</v>
      </c>
      <c r="B313" s="299" t="s">
        <v>254</v>
      </c>
      <c r="C313" s="129"/>
      <c r="D313" s="292">
        <v>2113.5</v>
      </c>
      <c r="E313" s="284">
        <v>2077</v>
      </c>
      <c r="F313" s="284">
        <v>3600</v>
      </c>
      <c r="G313" s="292">
        <v>2151.6</v>
      </c>
      <c r="H313" s="292">
        <v>1352.3</v>
      </c>
      <c r="I313" s="292">
        <v>763.3</v>
      </c>
      <c r="J313" s="292">
        <v>670.7</v>
      </c>
      <c r="K313" s="292">
        <v>1091.9000000000001</v>
      </c>
      <c r="L313" s="292">
        <v>695.7</v>
      </c>
      <c r="M313" s="284">
        <v>1472.6</v>
      </c>
      <c r="N313" s="284">
        <v>1687.3</v>
      </c>
      <c r="O313" s="284">
        <v>2957.3</v>
      </c>
      <c r="P313" s="103">
        <f>SUM(D313:O313)</f>
        <v>20633.2</v>
      </c>
    </row>
    <row r="314" spans="1:19" ht="18.5" x14ac:dyDescent="0.65">
      <c r="A314" s="91">
        <f>A313+1</f>
        <v>23</v>
      </c>
      <c r="B314" s="299" t="s">
        <v>255</v>
      </c>
      <c r="C314" s="129"/>
      <c r="D314" s="300">
        <v>3351.8</v>
      </c>
      <c r="E314" s="300">
        <v>2312.4</v>
      </c>
      <c r="F314" s="300">
        <v>12285.1</v>
      </c>
      <c r="G314" s="300">
        <v>200</v>
      </c>
      <c r="H314" s="300">
        <v>309.8</v>
      </c>
      <c r="I314" s="300">
        <v>0</v>
      </c>
      <c r="J314" s="300">
        <v>0</v>
      </c>
      <c r="K314" s="300">
        <v>33.700000000000003</v>
      </c>
      <c r="L314" s="300">
        <v>0</v>
      </c>
      <c r="M314" s="300">
        <v>416.6</v>
      </c>
      <c r="N314" s="300">
        <v>1500</v>
      </c>
      <c r="O314" s="300">
        <v>3433.9</v>
      </c>
      <c r="P314" s="305">
        <f>SUM(D314:O314)</f>
        <v>23843.300000000003</v>
      </c>
    </row>
    <row r="315" spans="1:19" x14ac:dyDescent="0.35">
      <c r="A315" s="91"/>
      <c r="B315" s="299"/>
      <c r="C315" s="129"/>
      <c r="D315" s="102">
        <f t="shared" ref="D315:N315" si="66">SUM(D311:D314)</f>
        <v>7745.1</v>
      </c>
      <c r="E315" s="102">
        <f t="shared" si="66"/>
        <v>6667.2999999999993</v>
      </c>
      <c r="F315" s="102">
        <f t="shared" si="66"/>
        <v>18285.099999999999</v>
      </c>
      <c r="G315" s="102">
        <f t="shared" si="66"/>
        <v>4301</v>
      </c>
      <c r="H315" s="102">
        <f t="shared" si="66"/>
        <v>3388.6000000000004</v>
      </c>
      <c r="I315" s="102">
        <f t="shared" si="66"/>
        <v>2237.3000000000002</v>
      </c>
      <c r="J315" s="102">
        <f t="shared" si="66"/>
        <v>2063.8000000000002</v>
      </c>
      <c r="K315" s="102">
        <f t="shared" si="66"/>
        <v>2674.6</v>
      </c>
      <c r="L315" s="102">
        <f t="shared" si="66"/>
        <v>2159.9</v>
      </c>
      <c r="M315" s="102">
        <f t="shared" si="66"/>
        <v>3806.9999999999995</v>
      </c>
      <c r="N315" s="102">
        <f t="shared" si="66"/>
        <v>5084</v>
      </c>
      <c r="O315" s="102">
        <f>SUM(O311:O314)</f>
        <v>8648.1</v>
      </c>
      <c r="P315" s="103">
        <f>SUM(D315:O315)</f>
        <v>67061.8</v>
      </c>
    </row>
    <row r="316" spans="1:19" x14ac:dyDescent="0.35">
      <c r="A316" s="91">
        <f>A314+1</f>
        <v>24</v>
      </c>
      <c r="B316" s="52" t="s">
        <v>241</v>
      </c>
      <c r="C316" s="139" t="s">
        <v>342</v>
      </c>
      <c r="D316" s="292"/>
      <c r="E316" s="292"/>
      <c r="F316" s="292"/>
      <c r="G316" s="292"/>
      <c r="H316" s="292"/>
      <c r="I316" s="292"/>
      <c r="J316" s="292"/>
      <c r="K316" s="292"/>
      <c r="L316" s="292"/>
      <c r="M316" s="292"/>
      <c r="N316" s="292"/>
      <c r="O316" s="292"/>
      <c r="P316" s="70"/>
    </row>
    <row r="317" spans="1:19" x14ac:dyDescent="0.35">
      <c r="A317" s="91">
        <f>A316+1</f>
        <v>25</v>
      </c>
      <c r="B317" s="52" t="str">
        <f>B311</f>
        <v xml:space="preserve">    First 50 Mcf</v>
      </c>
      <c r="C317" s="139"/>
      <c r="D317" s="70">
        <f>'D pg 1'!D50</f>
        <v>0</v>
      </c>
      <c r="E317" s="70">
        <f>'D pg 1'!E50</f>
        <v>0</v>
      </c>
      <c r="F317" s="70">
        <f>'D pg 1'!F50</f>
        <v>0</v>
      </c>
      <c r="G317" s="70">
        <f>'D pg 1'!G50</f>
        <v>0</v>
      </c>
      <c r="H317" s="70">
        <f>'D pg 1'!H50</f>
        <v>0</v>
      </c>
      <c r="I317" s="70">
        <f>'D pg 1'!I50</f>
        <v>0</v>
      </c>
      <c r="J317" s="70">
        <f>'D pg 1'!J50</f>
        <v>0</v>
      </c>
      <c r="K317" s="70">
        <f>'D pg 1'!K50</f>
        <v>0</v>
      </c>
      <c r="L317" s="70">
        <f>'D pg 1'!L50</f>
        <v>0</v>
      </c>
      <c r="M317" s="70">
        <f>'D pg 1'!M50</f>
        <v>0</v>
      </c>
      <c r="N317" s="70">
        <f>'D pg 1'!N50</f>
        <v>0</v>
      </c>
      <c r="O317" s="70">
        <f>'D pg 1'!O50</f>
        <v>0</v>
      </c>
      <c r="P317" s="70">
        <f>SUM(D317:O317)</f>
        <v>0</v>
      </c>
    </row>
    <row r="318" spans="1:19" x14ac:dyDescent="0.35">
      <c r="A318" s="91">
        <f>A317+1</f>
        <v>26</v>
      </c>
      <c r="B318" s="52" t="str">
        <f>B312</f>
        <v xml:space="preserve">    Next 350 Mcf</v>
      </c>
      <c r="C318" s="139"/>
      <c r="D318" s="70">
        <f>'D pg 1'!D51</f>
        <v>0</v>
      </c>
      <c r="E318" s="70">
        <f>'D pg 1'!E51</f>
        <v>0</v>
      </c>
      <c r="F318" s="70">
        <f>'D pg 1'!F51</f>
        <v>0</v>
      </c>
      <c r="G318" s="70">
        <f>'D pg 1'!G51</f>
        <v>0</v>
      </c>
      <c r="H318" s="70">
        <f>'D pg 1'!H51</f>
        <v>0</v>
      </c>
      <c r="I318" s="70">
        <f>'D pg 1'!I51</f>
        <v>0</v>
      </c>
      <c r="J318" s="70">
        <f>'D pg 1'!J51</f>
        <v>0</v>
      </c>
      <c r="K318" s="70">
        <f>'D pg 1'!K51</f>
        <v>0</v>
      </c>
      <c r="L318" s="70">
        <f>'D pg 1'!L51</f>
        <v>0</v>
      </c>
      <c r="M318" s="70">
        <f>'D pg 1'!M51</f>
        <v>0</v>
      </c>
      <c r="N318" s="70">
        <f>'D pg 1'!N51</f>
        <v>0</v>
      </c>
      <c r="O318" s="70">
        <f>'D pg 1'!O51</f>
        <v>0</v>
      </c>
      <c r="P318" s="70">
        <f>SUM(D318:O318)</f>
        <v>0</v>
      </c>
    </row>
    <row r="319" spans="1:19" x14ac:dyDescent="0.35">
      <c r="A319" s="91">
        <f>A318+1</f>
        <v>27</v>
      </c>
      <c r="B319" s="52" t="str">
        <f>B313</f>
        <v xml:space="preserve">    Next 600 Mcf</v>
      </c>
      <c r="C319" s="139"/>
      <c r="D319" s="70">
        <f>'D pg 1'!D52</f>
        <v>0</v>
      </c>
      <c r="E319" s="70">
        <f>'D pg 1'!E52</f>
        <v>0</v>
      </c>
      <c r="F319" s="70">
        <f>'D pg 1'!F52</f>
        <v>0</v>
      </c>
      <c r="G319" s="70">
        <f>'D pg 1'!G52</f>
        <v>0</v>
      </c>
      <c r="H319" s="70">
        <f>'D pg 1'!H52</f>
        <v>0</v>
      </c>
      <c r="I319" s="70">
        <f>'D pg 1'!I52</f>
        <v>0</v>
      </c>
      <c r="J319" s="70">
        <f>'D pg 1'!J52</f>
        <v>0</v>
      </c>
      <c r="K319" s="70">
        <f>'D pg 1'!K52</f>
        <v>0</v>
      </c>
      <c r="L319" s="70">
        <f>'D pg 1'!L52</f>
        <v>0</v>
      </c>
      <c r="M319" s="70">
        <f>'D pg 1'!M52</f>
        <v>0</v>
      </c>
      <c r="N319" s="70">
        <f>'D pg 1'!N52</f>
        <v>0</v>
      </c>
      <c r="O319" s="70">
        <f>'D pg 1'!O52</f>
        <v>0</v>
      </c>
      <c r="P319" s="70">
        <f>SUM(D319:O319)</f>
        <v>0</v>
      </c>
    </row>
    <row r="320" spans="1:19" x14ac:dyDescent="0.35">
      <c r="A320" s="91">
        <f>A319+1</f>
        <v>28</v>
      </c>
      <c r="B320" s="52" t="str">
        <f>B314</f>
        <v xml:space="preserve">    Over 1,000 Mcf</v>
      </c>
      <c r="C320" s="139"/>
      <c r="D320" s="134">
        <f>'D pg 1'!D53</f>
        <v>0</v>
      </c>
      <c r="E320" s="134">
        <f>'D pg 1'!E53</f>
        <v>0</v>
      </c>
      <c r="F320" s="134">
        <f>'D pg 1'!F53</f>
        <v>0</v>
      </c>
      <c r="G320" s="134">
        <f>'D pg 1'!G53</f>
        <v>0</v>
      </c>
      <c r="H320" s="134">
        <f>'D pg 1'!H53</f>
        <v>0</v>
      </c>
      <c r="I320" s="134">
        <f>'D pg 1'!I53</f>
        <v>0</v>
      </c>
      <c r="J320" s="134">
        <f>'D pg 1'!J53</f>
        <v>0</v>
      </c>
      <c r="K320" s="134">
        <f>'D pg 1'!K53</f>
        <v>0</v>
      </c>
      <c r="L320" s="134">
        <f>'D pg 1'!L53</f>
        <v>0</v>
      </c>
      <c r="M320" s="134">
        <f>'D pg 1'!M53</f>
        <v>0</v>
      </c>
      <c r="N320" s="134">
        <f>'D pg 1'!N53</f>
        <v>0</v>
      </c>
      <c r="O320" s="134">
        <f>'D pg 1'!O53</f>
        <v>0</v>
      </c>
      <c r="P320" s="134">
        <f>SUM(D320:O320)</f>
        <v>0</v>
      </c>
    </row>
    <row r="321" spans="1:18" x14ac:dyDescent="0.35">
      <c r="A321" s="91"/>
      <c r="B321" s="52"/>
      <c r="C321" s="139"/>
      <c r="D321" s="70">
        <f t="shared" ref="D321:N321" si="67">SUM(D317:D320)</f>
        <v>0</v>
      </c>
      <c r="E321" s="70">
        <f t="shared" si="67"/>
        <v>0</v>
      </c>
      <c r="F321" s="70">
        <f t="shared" si="67"/>
        <v>0</v>
      </c>
      <c r="G321" s="70">
        <f t="shared" si="67"/>
        <v>0</v>
      </c>
      <c r="H321" s="70">
        <f t="shared" si="67"/>
        <v>0</v>
      </c>
      <c r="I321" s="70">
        <f t="shared" si="67"/>
        <v>0</v>
      </c>
      <c r="J321" s="70">
        <f t="shared" si="67"/>
        <v>0</v>
      </c>
      <c r="K321" s="70">
        <f t="shared" si="67"/>
        <v>0</v>
      </c>
      <c r="L321" s="70">
        <f t="shared" si="67"/>
        <v>0</v>
      </c>
      <c r="M321" s="70">
        <f t="shared" si="67"/>
        <v>0</v>
      </c>
      <c r="N321" s="70">
        <f t="shared" si="67"/>
        <v>0</v>
      </c>
      <c r="O321" s="70">
        <f>SUM(O317:O320)</f>
        <v>0</v>
      </c>
      <c r="P321" s="70">
        <f>SUM(D321:O321)</f>
        <v>0</v>
      </c>
    </row>
    <row r="322" spans="1:18" x14ac:dyDescent="0.35">
      <c r="A322" s="91">
        <f>A320+1</f>
        <v>29</v>
      </c>
      <c r="B322" s="52" t="s">
        <v>260</v>
      </c>
      <c r="C322" s="105"/>
      <c r="D322" s="102"/>
      <c r="E322" s="102"/>
      <c r="F322" s="102"/>
      <c r="G322" s="70"/>
      <c r="H322" s="70"/>
      <c r="I322" s="70"/>
      <c r="J322" s="70"/>
      <c r="K322" s="70"/>
      <c r="L322" s="70"/>
      <c r="M322" s="102"/>
      <c r="N322" s="102"/>
      <c r="O322" s="102"/>
      <c r="P322" s="103"/>
    </row>
    <row r="323" spans="1:18" x14ac:dyDescent="0.35">
      <c r="A323" s="91">
        <f>A322+1</f>
        <v>30</v>
      </c>
      <c r="B323" s="52" t="str">
        <f>B311</f>
        <v xml:space="preserve">    First 50 Mcf</v>
      </c>
      <c r="C323" s="127"/>
      <c r="D323" s="161">
        <f>D311+D317</f>
        <v>300</v>
      </c>
      <c r="E323" s="161">
        <f t="shared" ref="E323:O323" si="68">E311+E317</f>
        <v>300</v>
      </c>
      <c r="F323" s="161">
        <f t="shared" si="68"/>
        <v>300</v>
      </c>
      <c r="G323" s="161">
        <f t="shared" si="68"/>
        <v>300</v>
      </c>
      <c r="H323" s="161">
        <f t="shared" si="68"/>
        <v>300</v>
      </c>
      <c r="I323" s="161">
        <f t="shared" si="68"/>
        <v>217.9</v>
      </c>
      <c r="J323" s="161">
        <f t="shared" si="68"/>
        <v>204.4</v>
      </c>
      <c r="K323" s="161">
        <f t="shared" si="68"/>
        <v>234.8</v>
      </c>
      <c r="L323" s="161">
        <f t="shared" si="68"/>
        <v>250</v>
      </c>
      <c r="M323" s="161">
        <f t="shared" si="68"/>
        <v>300</v>
      </c>
      <c r="N323" s="161">
        <f t="shared" si="68"/>
        <v>300</v>
      </c>
      <c r="O323" s="161">
        <f t="shared" si="68"/>
        <v>300</v>
      </c>
      <c r="P323" s="102">
        <f>SUM(D323:O323)</f>
        <v>3307.1000000000004</v>
      </c>
    </row>
    <row r="324" spans="1:18" x14ac:dyDescent="0.35">
      <c r="A324" s="91">
        <f>A323+1</f>
        <v>31</v>
      </c>
      <c r="B324" s="52" t="str">
        <f>B312</f>
        <v xml:space="preserve">    Next 350 Mcf</v>
      </c>
      <c r="C324" s="127"/>
      <c r="D324" s="161">
        <f t="shared" ref="D324:O326" si="69">D312+D318</f>
        <v>1979.8</v>
      </c>
      <c r="E324" s="161">
        <f t="shared" si="69"/>
        <v>1977.9</v>
      </c>
      <c r="F324" s="161">
        <f t="shared" si="69"/>
        <v>2100</v>
      </c>
      <c r="G324" s="161">
        <f t="shared" si="69"/>
        <v>1649.4</v>
      </c>
      <c r="H324" s="161">
        <f t="shared" si="69"/>
        <v>1426.5</v>
      </c>
      <c r="I324" s="161">
        <f t="shared" si="69"/>
        <v>1256.0999999999999</v>
      </c>
      <c r="J324" s="161">
        <f t="shared" si="69"/>
        <v>1188.7</v>
      </c>
      <c r="K324" s="161">
        <f t="shared" si="69"/>
        <v>1314.2</v>
      </c>
      <c r="L324" s="161">
        <f t="shared" si="69"/>
        <v>1214.2</v>
      </c>
      <c r="M324" s="161">
        <f t="shared" si="69"/>
        <v>1617.8</v>
      </c>
      <c r="N324" s="161">
        <f t="shared" si="69"/>
        <v>1596.7</v>
      </c>
      <c r="O324" s="161">
        <f t="shared" si="69"/>
        <v>1956.9</v>
      </c>
      <c r="P324" s="102">
        <f>SUM(D324:O324)</f>
        <v>19278.200000000004</v>
      </c>
    </row>
    <row r="325" spans="1:18" x14ac:dyDescent="0.35">
      <c r="A325" s="91">
        <f>A324+1</f>
        <v>32</v>
      </c>
      <c r="B325" s="52" t="str">
        <f>B313</f>
        <v xml:space="preserve">    Next 600 Mcf</v>
      </c>
      <c r="C325" s="127"/>
      <c r="D325" s="161">
        <f t="shared" si="69"/>
        <v>2113.5</v>
      </c>
      <c r="E325" s="161">
        <f t="shared" si="69"/>
        <v>2077</v>
      </c>
      <c r="F325" s="161">
        <f t="shared" si="69"/>
        <v>3600</v>
      </c>
      <c r="G325" s="161">
        <f t="shared" si="69"/>
        <v>2151.6</v>
      </c>
      <c r="H325" s="161">
        <f t="shared" si="69"/>
        <v>1352.3</v>
      </c>
      <c r="I325" s="161">
        <f t="shared" si="69"/>
        <v>763.3</v>
      </c>
      <c r="J325" s="161">
        <f t="shared" si="69"/>
        <v>670.7</v>
      </c>
      <c r="K325" s="161">
        <f t="shared" si="69"/>
        <v>1091.9000000000001</v>
      </c>
      <c r="L325" s="161">
        <f t="shared" si="69"/>
        <v>695.7</v>
      </c>
      <c r="M325" s="161">
        <f t="shared" si="69"/>
        <v>1472.6</v>
      </c>
      <c r="N325" s="161">
        <f t="shared" si="69"/>
        <v>1687.3</v>
      </c>
      <c r="O325" s="161">
        <f t="shared" si="69"/>
        <v>2957.3</v>
      </c>
      <c r="P325" s="102">
        <f>SUM(D325:O325)</f>
        <v>20633.2</v>
      </c>
    </row>
    <row r="326" spans="1:18" x14ac:dyDescent="0.35">
      <c r="A326" s="91">
        <f>A325+1</f>
        <v>33</v>
      </c>
      <c r="B326" s="52" t="str">
        <f>B314</f>
        <v xml:space="preserve">    Over 1,000 Mcf</v>
      </c>
      <c r="C326" s="127"/>
      <c r="D326" s="136">
        <f t="shared" si="69"/>
        <v>3351.8</v>
      </c>
      <c r="E326" s="136">
        <f t="shared" si="69"/>
        <v>2312.4</v>
      </c>
      <c r="F326" s="136">
        <f t="shared" si="69"/>
        <v>12285.1</v>
      </c>
      <c r="G326" s="136">
        <f t="shared" si="69"/>
        <v>200</v>
      </c>
      <c r="H326" s="136">
        <f t="shared" si="69"/>
        <v>309.8</v>
      </c>
      <c r="I326" s="136">
        <f t="shared" si="69"/>
        <v>0</v>
      </c>
      <c r="J326" s="136">
        <f t="shared" si="69"/>
        <v>0</v>
      </c>
      <c r="K326" s="136">
        <f t="shared" si="69"/>
        <v>33.700000000000003</v>
      </c>
      <c r="L326" s="136">
        <f t="shared" si="69"/>
        <v>0</v>
      </c>
      <c r="M326" s="136">
        <f t="shared" si="69"/>
        <v>416.6</v>
      </c>
      <c r="N326" s="136">
        <f t="shared" si="69"/>
        <v>1500</v>
      </c>
      <c r="O326" s="136">
        <f t="shared" si="69"/>
        <v>3433.9</v>
      </c>
      <c r="P326" s="134">
        <f>SUM(D326:O326)</f>
        <v>23843.300000000003</v>
      </c>
    </row>
    <row r="327" spans="1:18" x14ac:dyDescent="0.35">
      <c r="A327" s="91">
        <f>A326+1</f>
        <v>34</v>
      </c>
      <c r="B327" s="73" t="s">
        <v>340</v>
      </c>
      <c r="C327" s="127"/>
      <c r="D327" s="161">
        <f>D315+D321</f>
        <v>7745.1</v>
      </c>
      <c r="E327" s="161">
        <f t="shared" ref="E327:O327" si="70">E315+E321</f>
        <v>6667.2999999999993</v>
      </c>
      <c r="F327" s="161">
        <f t="shared" si="70"/>
        <v>18285.099999999999</v>
      </c>
      <c r="G327" s="161">
        <f t="shared" si="70"/>
        <v>4301</v>
      </c>
      <c r="H327" s="161">
        <f t="shared" si="70"/>
        <v>3388.6000000000004</v>
      </c>
      <c r="I327" s="161">
        <f t="shared" si="70"/>
        <v>2237.3000000000002</v>
      </c>
      <c r="J327" s="161">
        <f t="shared" si="70"/>
        <v>2063.8000000000002</v>
      </c>
      <c r="K327" s="161">
        <f t="shared" si="70"/>
        <v>2674.6</v>
      </c>
      <c r="L327" s="161">
        <f t="shared" si="70"/>
        <v>2159.9</v>
      </c>
      <c r="M327" s="161">
        <f t="shared" si="70"/>
        <v>3806.9999999999995</v>
      </c>
      <c r="N327" s="161">
        <f t="shared" si="70"/>
        <v>5084</v>
      </c>
      <c r="O327" s="161">
        <f t="shared" si="70"/>
        <v>8648.1</v>
      </c>
      <c r="P327" s="70">
        <f>SUM(D327:O327)</f>
        <v>67061.8</v>
      </c>
      <c r="R327" s="53"/>
    </row>
    <row r="328" spans="1:18" x14ac:dyDescent="0.35">
      <c r="A328" s="91"/>
      <c r="B328" s="52"/>
      <c r="C328" s="105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70"/>
    </row>
    <row r="329" spans="1:18" x14ac:dyDescent="0.35">
      <c r="A329" s="91">
        <f>A327+1</f>
        <v>35</v>
      </c>
      <c r="B329" s="51" t="s">
        <v>269</v>
      </c>
      <c r="C329" s="127"/>
      <c r="D329" s="168"/>
      <c r="E329" s="168"/>
      <c r="F329" s="168"/>
      <c r="G329" s="168"/>
      <c r="H329" s="168"/>
      <c r="I329" s="168"/>
      <c r="J329" s="169"/>
      <c r="K329" s="169"/>
      <c r="L329" s="169"/>
      <c r="M329" s="169"/>
      <c r="N329" s="169"/>
      <c r="O329" s="169"/>
      <c r="P329" s="132"/>
    </row>
    <row r="330" spans="1:18" x14ac:dyDescent="0.35">
      <c r="A330" s="91">
        <f>A329+1</f>
        <v>36</v>
      </c>
      <c r="B330" s="52" t="s">
        <v>339</v>
      </c>
      <c r="C330" s="129"/>
      <c r="D330" s="292">
        <v>54000</v>
      </c>
      <c r="E330" s="292">
        <v>51500</v>
      </c>
      <c r="F330" s="292">
        <v>49500</v>
      </c>
      <c r="G330" s="292">
        <v>47400</v>
      </c>
      <c r="H330" s="292">
        <v>50900</v>
      </c>
      <c r="I330" s="292">
        <v>48600</v>
      </c>
      <c r="J330" s="292">
        <v>49900</v>
      </c>
      <c r="K330" s="292">
        <v>47500</v>
      </c>
      <c r="L330" s="292">
        <v>49500</v>
      </c>
      <c r="M330" s="292">
        <v>52800</v>
      </c>
      <c r="N330" s="292">
        <v>51200</v>
      </c>
      <c r="O330" s="292">
        <v>49300</v>
      </c>
      <c r="P330" s="70">
        <f>SUM(D330:O330)</f>
        <v>602100</v>
      </c>
    </row>
    <row r="331" spans="1:18" x14ac:dyDescent="0.35">
      <c r="A331" s="91">
        <f>A330+1</f>
        <v>37</v>
      </c>
      <c r="B331" s="52" t="s">
        <v>241</v>
      </c>
      <c r="C331" s="139" t="s">
        <v>342</v>
      </c>
      <c r="D331" s="301">
        <v>0</v>
      </c>
      <c r="E331" s="301">
        <v>0</v>
      </c>
      <c r="F331" s="301">
        <v>0</v>
      </c>
      <c r="G331" s="301">
        <v>0</v>
      </c>
      <c r="H331" s="301">
        <v>0</v>
      </c>
      <c r="I331" s="301">
        <v>0</v>
      </c>
      <c r="J331" s="301">
        <v>0</v>
      </c>
      <c r="K331" s="301">
        <v>0</v>
      </c>
      <c r="L331" s="301">
        <v>0</v>
      </c>
      <c r="M331" s="301">
        <v>0</v>
      </c>
      <c r="N331" s="301">
        <v>0</v>
      </c>
      <c r="O331" s="301">
        <v>0</v>
      </c>
      <c r="P331" s="134">
        <f>SUM(D331:O331)</f>
        <v>0</v>
      </c>
    </row>
    <row r="332" spans="1:18" x14ac:dyDescent="0.35">
      <c r="A332" s="91">
        <f>A331+1</f>
        <v>38</v>
      </c>
      <c r="B332" s="52" t="s">
        <v>260</v>
      </c>
      <c r="C332" s="105"/>
      <c r="D332" s="70">
        <f t="shared" ref="D332:O332" si="71">SUM(D330:D331)</f>
        <v>54000</v>
      </c>
      <c r="E332" s="70">
        <f t="shared" si="71"/>
        <v>51500</v>
      </c>
      <c r="F332" s="70">
        <f t="shared" si="71"/>
        <v>49500</v>
      </c>
      <c r="G332" s="70">
        <f t="shared" si="71"/>
        <v>47400</v>
      </c>
      <c r="H332" s="70">
        <f t="shared" si="71"/>
        <v>50900</v>
      </c>
      <c r="I332" s="70">
        <f t="shared" si="71"/>
        <v>48600</v>
      </c>
      <c r="J332" s="70">
        <f t="shared" si="71"/>
        <v>49900</v>
      </c>
      <c r="K332" s="70">
        <f t="shared" si="71"/>
        <v>47500</v>
      </c>
      <c r="L332" s="70">
        <f t="shared" si="71"/>
        <v>49500</v>
      </c>
      <c r="M332" s="70">
        <f t="shared" si="71"/>
        <v>52800</v>
      </c>
      <c r="N332" s="70">
        <f t="shared" si="71"/>
        <v>51200</v>
      </c>
      <c r="O332" s="70">
        <f t="shared" si="71"/>
        <v>49300</v>
      </c>
      <c r="P332" s="70">
        <f>SUM(D332:O332)</f>
        <v>602100</v>
      </c>
    </row>
    <row r="333" spans="1:18" x14ac:dyDescent="0.35">
      <c r="A333" s="91"/>
      <c r="B333" s="52"/>
      <c r="C333" s="105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70"/>
    </row>
    <row r="334" spans="1:18" x14ac:dyDescent="0.35">
      <c r="A334" s="91">
        <f>A332+1</f>
        <v>39</v>
      </c>
      <c r="B334" s="51" t="s">
        <v>270</v>
      </c>
      <c r="C334" s="127"/>
      <c r="D334" s="168"/>
      <c r="E334" s="168"/>
      <c r="F334" s="168"/>
      <c r="G334" s="168"/>
      <c r="H334" s="168"/>
      <c r="I334" s="168"/>
      <c r="J334" s="169"/>
      <c r="K334" s="169"/>
      <c r="L334" s="169"/>
      <c r="M334" s="169"/>
      <c r="N334" s="169"/>
      <c r="O334" s="169"/>
      <c r="P334" s="132"/>
    </row>
    <row r="335" spans="1:18" x14ac:dyDescent="0.35">
      <c r="A335" s="91">
        <f>A334+1</f>
        <v>40</v>
      </c>
      <c r="B335" s="52" t="s">
        <v>339</v>
      </c>
      <c r="C335" s="129"/>
      <c r="D335" s="292">
        <v>0</v>
      </c>
      <c r="E335" s="292">
        <v>0</v>
      </c>
      <c r="F335" s="292">
        <v>0</v>
      </c>
      <c r="G335" s="292">
        <v>0</v>
      </c>
      <c r="H335" s="292">
        <v>0</v>
      </c>
      <c r="I335" s="292">
        <v>0</v>
      </c>
      <c r="J335" s="292">
        <v>0</v>
      </c>
      <c r="K335" s="292">
        <v>0</v>
      </c>
      <c r="L335" s="292">
        <v>0</v>
      </c>
      <c r="M335" s="292">
        <v>0</v>
      </c>
      <c r="N335" s="292">
        <v>0</v>
      </c>
      <c r="O335" s="292">
        <v>0</v>
      </c>
      <c r="P335" s="70">
        <f>SUM(D335:O335)</f>
        <v>0</v>
      </c>
    </row>
    <row r="336" spans="1:18" x14ac:dyDescent="0.35">
      <c r="A336" s="91">
        <f>A335+1</f>
        <v>41</v>
      </c>
      <c r="B336" s="52" t="s">
        <v>241</v>
      </c>
      <c r="C336" s="139" t="s">
        <v>342</v>
      </c>
      <c r="D336" s="301">
        <v>0</v>
      </c>
      <c r="E336" s="301">
        <v>0</v>
      </c>
      <c r="F336" s="301">
        <v>0</v>
      </c>
      <c r="G336" s="301">
        <v>0</v>
      </c>
      <c r="H336" s="301">
        <v>0</v>
      </c>
      <c r="I336" s="301">
        <v>0</v>
      </c>
      <c r="J336" s="301">
        <v>0</v>
      </c>
      <c r="K336" s="301">
        <v>0</v>
      </c>
      <c r="L336" s="301">
        <v>0</v>
      </c>
      <c r="M336" s="301">
        <v>0</v>
      </c>
      <c r="N336" s="301">
        <v>0</v>
      </c>
      <c r="O336" s="301">
        <v>0</v>
      </c>
      <c r="P336" s="134">
        <f>SUM(D336:O336)</f>
        <v>0</v>
      </c>
    </row>
    <row r="337" spans="1:19" x14ac:dyDescent="0.35">
      <c r="A337" s="91">
        <f>A336+1</f>
        <v>42</v>
      </c>
      <c r="B337" s="52" t="s">
        <v>260</v>
      </c>
      <c r="C337" s="105"/>
      <c r="D337" s="70">
        <f t="shared" ref="D337:O337" si="72">SUM(D335:D336)</f>
        <v>0</v>
      </c>
      <c r="E337" s="70">
        <f t="shared" si="72"/>
        <v>0</v>
      </c>
      <c r="F337" s="70">
        <f t="shared" si="72"/>
        <v>0</v>
      </c>
      <c r="G337" s="70">
        <f t="shared" si="72"/>
        <v>0</v>
      </c>
      <c r="H337" s="70">
        <f t="shared" si="72"/>
        <v>0</v>
      </c>
      <c r="I337" s="70">
        <f t="shared" si="72"/>
        <v>0</v>
      </c>
      <c r="J337" s="70">
        <f t="shared" si="72"/>
        <v>0</v>
      </c>
      <c r="K337" s="70">
        <f t="shared" si="72"/>
        <v>0</v>
      </c>
      <c r="L337" s="70">
        <f t="shared" si="72"/>
        <v>0</v>
      </c>
      <c r="M337" s="70">
        <f t="shared" si="72"/>
        <v>0</v>
      </c>
      <c r="N337" s="70">
        <f t="shared" si="72"/>
        <v>0</v>
      </c>
      <c r="O337" s="70">
        <f t="shared" si="72"/>
        <v>0</v>
      </c>
      <c r="P337" s="70">
        <f>SUM(D337:O337)</f>
        <v>0</v>
      </c>
    </row>
    <row r="338" spans="1:19" x14ac:dyDescent="0.35">
      <c r="A338" s="91"/>
      <c r="B338" s="52"/>
      <c r="C338" s="105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53"/>
    </row>
    <row r="339" spans="1:19" x14ac:dyDescent="0.35">
      <c r="A339" s="806" t="str">
        <f>CONAME</f>
        <v>Columbia Gas of Kentucky, Inc.</v>
      </c>
      <c r="B339" s="806"/>
      <c r="C339" s="806"/>
      <c r="D339" s="806"/>
      <c r="E339" s="806"/>
      <c r="F339" s="806"/>
      <c r="G339" s="806"/>
      <c r="H339" s="806"/>
      <c r="I339" s="806"/>
      <c r="J339" s="806"/>
      <c r="K339" s="806"/>
      <c r="L339" s="806"/>
      <c r="M339" s="806"/>
      <c r="N339" s="806"/>
      <c r="O339" s="806"/>
      <c r="P339" s="806"/>
    </row>
    <row r="340" spans="1:19" x14ac:dyDescent="0.35">
      <c r="A340" s="806" t="s">
        <v>194</v>
      </c>
      <c r="B340" s="806"/>
      <c r="C340" s="806"/>
      <c r="D340" s="806"/>
      <c r="E340" s="806"/>
      <c r="F340" s="806"/>
      <c r="G340" s="806"/>
      <c r="H340" s="806"/>
      <c r="I340" s="806"/>
      <c r="J340" s="806"/>
      <c r="K340" s="806"/>
      <c r="L340" s="806"/>
      <c r="M340" s="806"/>
      <c r="N340" s="806"/>
      <c r="O340" s="806"/>
      <c r="P340" s="806"/>
    </row>
    <row r="341" spans="1:19" x14ac:dyDescent="0.35">
      <c r="A341" s="805" t="str">
        <f>TYDESC</f>
        <v>For the 12 Months Ended December 31, 2022</v>
      </c>
      <c r="B341" s="805"/>
      <c r="C341" s="805"/>
      <c r="D341" s="805"/>
      <c r="E341" s="805"/>
      <c r="F341" s="805"/>
      <c r="G341" s="805"/>
      <c r="H341" s="805"/>
      <c r="I341" s="805"/>
      <c r="J341" s="805"/>
      <c r="K341" s="805"/>
      <c r="L341" s="805"/>
      <c r="M341" s="805"/>
      <c r="N341" s="805"/>
      <c r="O341" s="805"/>
      <c r="P341" s="805"/>
    </row>
    <row r="342" spans="1:19" x14ac:dyDescent="0.3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1:19" x14ac:dyDescent="0.35">
      <c r="A343" s="97" t="str">
        <f>$A$5</f>
        <v>Data: __ Base Period_X_Forecasted Period</v>
      </c>
      <c r="B343" s="52"/>
      <c r="C343" s="105"/>
      <c r="D343" s="105"/>
      <c r="E343" s="105"/>
      <c r="F343" s="105"/>
      <c r="G343" s="93"/>
      <c r="H343" s="93"/>
      <c r="I343" s="93"/>
      <c r="J343" s="93"/>
      <c r="K343" s="93"/>
      <c r="L343" s="93"/>
      <c r="M343" s="93"/>
      <c r="N343" s="93"/>
      <c r="O343" s="93"/>
      <c r="P343" s="293" t="str">
        <f>$P$5</f>
        <v>Workpaper WPM-C.2</v>
      </c>
    </row>
    <row r="344" spans="1:19" x14ac:dyDescent="0.35">
      <c r="A344" s="97" t="str">
        <f>$A$6</f>
        <v>Type of Filing: X Original _ Update _ Revised</v>
      </c>
      <c r="B344" s="52"/>
      <c r="C344" s="105"/>
      <c r="D344" s="105"/>
      <c r="E344" s="105"/>
      <c r="F344" s="105"/>
      <c r="G344" s="93"/>
      <c r="H344" s="93"/>
      <c r="I344" s="93"/>
      <c r="J344" s="93"/>
      <c r="K344" s="93"/>
      <c r="L344" s="93"/>
      <c r="M344" s="93"/>
      <c r="N344" s="93"/>
      <c r="O344" s="93"/>
      <c r="P344" s="294" t="s">
        <v>348</v>
      </c>
    </row>
    <row r="345" spans="1:19" x14ac:dyDescent="0.35">
      <c r="A345" s="97" t="str">
        <f>$A$7</f>
        <v>Work Paper Reference No(s):</v>
      </c>
      <c r="B345" s="52"/>
      <c r="C345" s="105"/>
      <c r="D345" s="105"/>
      <c r="E345" s="105"/>
      <c r="F345" s="105"/>
      <c r="G345" s="93"/>
      <c r="H345" s="93"/>
      <c r="I345" s="93"/>
      <c r="J345" s="93"/>
      <c r="K345" s="93"/>
      <c r="L345" s="93"/>
      <c r="M345" s="93"/>
      <c r="N345" s="93"/>
      <c r="O345" s="93"/>
      <c r="P345" s="294"/>
    </row>
    <row r="346" spans="1:19" x14ac:dyDescent="0.35">
      <c r="A346" s="128" t="str">
        <f>$A$8</f>
        <v>12 Months Forecasted</v>
      </c>
      <c r="B346" s="120"/>
      <c r="C346" s="105"/>
      <c r="D346" s="295"/>
      <c r="E346" s="105"/>
      <c r="F346" s="296"/>
      <c r="G346" s="297"/>
      <c r="H346" s="296"/>
      <c r="I346" s="298"/>
      <c r="J346" s="296"/>
      <c r="K346" s="296"/>
      <c r="L346" s="296"/>
      <c r="M346" s="296"/>
      <c r="N346" s="296"/>
      <c r="O346" s="296"/>
      <c r="P346" s="286"/>
      <c r="Q346" s="120"/>
      <c r="R346" s="120"/>
    </row>
    <row r="347" spans="1:19" x14ac:dyDescent="0.35">
      <c r="A347" s="98"/>
      <c r="B347" s="120"/>
      <c r="C347" s="105"/>
      <c r="D347" s="295"/>
      <c r="E347" s="105"/>
      <c r="F347" s="296"/>
      <c r="G347" s="297"/>
      <c r="H347" s="296"/>
      <c r="I347" s="298"/>
      <c r="J347" s="296"/>
      <c r="K347" s="296"/>
      <c r="L347" s="296"/>
      <c r="M347" s="296"/>
      <c r="N347" s="296"/>
      <c r="O347" s="296"/>
      <c r="P347" s="286"/>
      <c r="Q347" s="120"/>
      <c r="R347" s="120"/>
    </row>
    <row r="348" spans="1:19" x14ac:dyDescent="0.35">
      <c r="A348" s="120" t="s">
        <v>1</v>
      </c>
      <c r="B348" s="120"/>
      <c r="C348" s="105"/>
      <c r="D348" s="295"/>
      <c r="E348" s="105"/>
      <c r="F348" s="296"/>
      <c r="G348" s="297"/>
      <c r="H348" s="296"/>
      <c r="I348" s="298"/>
      <c r="J348" s="296"/>
      <c r="K348" s="296"/>
      <c r="L348" s="296"/>
      <c r="M348" s="296"/>
      <c r="N348" s="296"/>
      <c r="O348" s="296"/>
      <c r="P348" s="286"/>
      <c r="Q348" s="131"/>
      <c r="R348" s="131"/>
    </row>
    <row r="349" spans="1:19" x14ac:dyDescent="0.35">
      <c r="A349" s="288" t="s">
        <v>3</v>
      </c>
      <c r="B349" s="288" t="s">
        <v>4</v>
      </c>
      <c r="C349" s="289" t="s">
        <v>183</v>
      </c>
      <c r="D349" s="290" t="str">
        <f>B!$D$11</f>
        <v>Jan-22</v>
      </c>
      <c r="E349" s="290" t="str">
        <f>B!$E$11</f>
        <v>Feb-22</v>
      </c>
      <c r="F349" s="290" t="str">
        <f>B!$F$11</f>
        <v>Mar-22</v>
      </c>
      <c r="G349" s="290" t="str">
        <f>B!$G$11</f>
        <v>Apr-22</v>
      </c>
      <c r="H349" s="290" t="str">
        <f>B!$H$11</f>
        <v>May-22</v>
      </c>
      <c r="I349" s="290" t="str">
        <f>B!$I$11</f>
        <v>Jun-22</v>
      </c>
      <c r="J349" s="290" t="str">
        <f>B!$J$11</f>
        <v>Jul-22</v>
      </c>
      <c r="K349" s="290" t="str">
        <f>B!$K$11</f>
        <v>Aug-22</v>
      </c>
      <c r="L349" s="290" t="str">
        <f>B!$L$11</f>
        <v>Sep-22</v>
      </c>
      <c r="M349" s="290" t="str">
        <f>B!$M$11</f>
        <v>Oct-22</v>
      </c>
      <c r="N349" s="290" t="str">
        <f>B!$N$11</f>
        <v>Nov-22</v>
      </c>
      <c r="O349" s="290" t="str">
        <f>B!$O$11</f>
        <v>Dec-22</v>
      </c>
      <c r="P349" s="211" t="s">
        <v>9</v>
      </c>
      <c r="S349" s="208"/>
    </row>
    <row r="350" spans="1:19" x14ac:dyDescent="0.35">
      <c r="A350" s="120"/>
      <c r="B350" s="131" t="s">
        <v>42</v>
      </c>
      <c r="C350" s="127" t="s">
        <v>43</v>
      </c>
      <c r="D350" s="285" t="s">
        <v>45</v>
      </c>
      <c r="E350" s="285" t="s">
        <v>46</v>
      </c>
      <c r="F350" s="285" t="s">
        <v>49</v>
      </c>
      <c r="G350" s="285" t="s">
        <v>50</v>
      </c>
      <c r="H350" s="285" t="s">
        <v>51</v>
      </c>
      <c r="I350" s="285" t="s">
        <v>52</v>
      </c>
      <c r="J350" s="285" t="s">
        <v>53</v>
      </c>
      <c r="K350" s="132" t="s">
        <v>54</v>
      </c>
      <c r="L350" s="132" t="s">
        <v>55</v>
      </c>
      <c r="M350" s="132" t="s">
        <v>56</v>
      </c>
      <c r="N350" s="132" t="s">
        <v>57</v>
      </c>
      <c r="O350" s="132" t="s">
        <v>58</v>
      </c>
      <c r="P350" s="132" t="s">
        <v>59</v>
      </c>
      <c r="S350" s="131"/>
    </row>
    <row r="351" spans="1:19" x14ac:dyDescent="0.35">
      <c r="A351" s="91"/>
      <c r="B351" s="52"/>
      <c r="C351" s="105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53"/>
    </row>
    <row r="352" spans="1:19" x14ac:dyDescent="0.35">
      <c r="A352" s="91">
        <v>1</v>
      </c>
      <c r="B352" s="51" t="s">
        <v>271</v>
      </c>
      <c r="C352" s="127"/>
      <c r="D352" s="168"/>
      <c r="E352" s="168"/>
      <c r="F352" s="168"/>
      <c r="G352" s="168"/>
      <c r="H352" s="168"/>
      <c r="I352" s="168"/>
      <c r="J352" s="169"/>
      <c r="K352" s="169"/>
      <c r="L352" s="169"/>
      <c r="M352" s="169"/>
      <c r="N352" s="169"/>
      <c r="O352" s="169"/>
      <c r="P352" s="132"/>
      <c r="S352" s="131"/>
    </row>
    <row r="353" spans="1:19" x14ac:dyDescent="0.35">
      <c r="A353" s="91">
        <f>A352+1</f>
        <v>2</v>
      </c>
      <c r="B353" s="52" t="s">
        <v>339</v>
      </c>
      <c r="C353" s="129"/>
      <c r="D353" s="292">
        <v>0</v>
      </c>
      <c r="E353" s="292">
        <v>0</v>
      </c>
      <c r="F353" s="292">
        <v>0</v>
      </c>
      <c r="G353" s="292">
        <v>0</v>
      </c>
      <c r="H353" s="292">
        <v>0</v>
      </c>
      <c r="I353" s="292">
        <v>0</v>
      </c>
      <c r="J353" s="292">
        <v>0</v>
      </c>
      <c r="K353" s="292">
        <v>0</v>
      </c>
      <c r="L353" s="292">
        <v>0</v>
      </c>
      <c r="M353" s="292">
        <v>0</v>
      </c>
      <c r="N353" s="292">
        <v>0</v>
      </c>
      <c r="O353" s="292">
        <v>0</v>
      </c>
      <c r="P353" s="70">
        <f>SUM(D353:O353)</f>
        <v>0</v>
      </c>
    </row>
    <row r="354" spans="1:19" x14ac:dyDescent="0.35">
      <c r="A354" s="91">
        <f>A353+1</f>
        <v>3</v>
      </c>
      <c r="B354" s="52" t="s">
        <v>241</v>
      </c>
      <c r="C354" s="139" t="s">
        <v>342</v>
      </c>
      <c r="D354" s="301">
        <v>0</v>
      </c>
      <c r="E354" s="301">
        <v>0</v>
      </c>
      <c r="F354" s="301">
        <v>0</v>
      </c>
      <c r="G354" s="301">
        <v>0</v>
      </c>
      <c r="H354" s="301">
        <v>0</v>
      </c>
      <c r="I354" s="301">
        <v>0</v>
      </c>
      <c r="J354" s="301">
        <v>0</v>
      </c>
      <c r="K354" s="301">
        <v>0</v>
      </c>
      <c r="L354" s="301">
        <v>0</v>
      </c>
      <c r="M354" s="301">
        <v>0</v>
      </c>
      <c r="N354" s="301">
        <v>0</v>
      </c>
      <c r="O354" s="301">
        <v>0</v>
      </c>
      <c r="P354" s="134">
        <f>SUM(D354:O354)</f>
        <v>0</v>
      </c>
    </row>
    <row r="355" spans="1:19" x14ac:dyDescent="0.35">
      <c r="A355" s="91">
        <f>A354+1</f>
        <v>4</v>
      </c>
      <c r="B355" s="52" t="s">
        <v>260</v>
      </c>
      <c r="C355" s="105"/>
      <c r="D355" s="70">
        <f t="shared" ref="D355:O355" si="73">SUM(D353:D354)</f>
        <v>0</v>
      </c>
      <c r="E355" s="70">
        <f t="shared" si="73"/>
        <v>0</v>
      </c>
      <c r="F355" s="70">
        <f t="shared" si="73"/>
        <v>0</v>
      </c>
      <c r="G355" s="70">
        <f t="shared" si="73"/>
        <v>0</v>
      </c>
      <c r="H355" s="70">
        <f t="shared" si="73"/>
        <v>0</v>
      </c>
      <c r="I355" s="70">
        <f t="shared" si="73"/>
        <v>0</v>
      </c>
      <c r="J355" s="70">
        <f t="shared" si="73"/>
        <v>0</v>
      </c>
      <c r="K355" s="70">
        <f t="shared" si="73"/>
        <v>0</v>
      </c>
      <c r="L355" s="70">
        <f t="shared" si="73"/>
        <v>0</v>
      </c>
      <c r="M355" s="70">
        <f t="shared" si="73"/>
        <v>0</v>
      </c>
      <c r="N355" s="70">
        <f t="shared" si="73"/>
        <v>0</v>
      </c>
      <c r="O355" s="70">
        <f t="shared" si="73"/>
        <v>0</v>
      </c>
      <c r="P355" s="70">
        <f>SUM(D355:O355)</f>
        <v>0</v>
      </c>
    </row>
    <row r="356" spans="1:19" x14ac:dyDescent="0.35">
      <c r="A356" s="91"/>
      <c r="B356" s="52"/>
      <c r="C356" s="105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53"/>
    </row>
    <row r="357" spans="1:19" x14ac:dyDescent="0.35">
      <c r="A357" s="91">
        <f>A355+1</f>
        <v>5</v>
      </c>
      <c r="B357" s="51" t="s">
        <v>272</v>
      </c>
      <c r="C357" s="127"/>
      <c r="D357" s="168"/>
      <c r="E357" s="168"/>
      <c r="F357" s="168"/>
      <c r="G357" s="168"/>
      <c r="H357" s="168"/>
      <c r="I357" s="168"/>
      <c r="J357" s="169"/>
      <c r="K357" s="169"/>
      <c r="L357" s="169"/>
      <c r="M357" s="169"/>
      <c r="N357" s="169"/>
      <c r="O357" s="169"/>
      <c r="P357" s="132"/>
      <c r="S357" s="131"/>
    </row>
    <row r="358" spans="1:19" x14ac:dyDescent="0.35">
      <c r="A358" s="91">
        <f>A357+1</f>
        <v>6</v>
      </c>
      <c r="B358" s="52" t="s">
        <v>339</v>
      </c>
      <c r="C358" s="129"/>
      <c r="D358" s="292">
        <v>696800</v>
      </c>
      <c r="E358" s="292">
        <v>607600</v>
      </c>
      <c r="F358" s="292">
        <v>636000</v>
      </c>
      <c r="G358" s="292">
        <v>527800</v>
      </c>
      <c r="H358" s="292">
        <v>421300</v>
      </c>
      <c r="I358" s="292">
        <v>410800</v>
      </c>
      <c r="J358" s="292">
        <v>448700</v>
      </c>
      <c r="K358" s="292">
        <v>454200</v>
      </c>
      <c r="L358" s="292">
        <v>506900</v>
      </c>
      <c r="M358" s="292">
        <v>620500</v>
      </c>
      <c r="N358" s="292">
        <v>642500</v>
      </c>
      <c r="O358" s="292">
        <v>738400</v>
      </c>
      <c r="P358" s="70">
        <f>SUM(D358:O358)</f>
        <v>6711500</v>
      </c>
    </row>
    <row r="359" spans="1:19" x14ac:dyDescent="0.35">
      <c r="A359" s="91">
        <f>A358+1</f>
        <v>7</v>
      </c>
      <c r="B359" s="52" t="s">
        <v>241</v>
      </c>
      <c r="C359" s="139" t="s">
        <v>342</v>
      </c>
      <c r="D359" s="301">
        <v>0</v>
      </c>
      <c r="E359" s="301">
        <v>0</v>
      </c>
      <c r="F359" s="301">
        <v>0</v>
      </c>
      <c r="G359" s="301">
        <v>0</v>
      </c>
      <c r="H359" s="301">
        <v>0</v>
      </c>
      <c r="I359" s="301">
        <v>0</v>
      </c>
      <c r="J359" s="301">
        <v>0</v>
      </c>
      <c r="K359" s="301">
        <v>0</v>
      </c>
      <c r="L359" s="301">
        <v>0</v>
      </c>
      <c r="M359" s="301">
        <v>0</v>
      </c>
      <c r="N359" s="301">
        <v>0</v>
      </c>
      <c r="O359" s="301">
        <v>0</v>
      </c>
      <c r="P359" s="134">
        <f>SUM(D359:O359)</f>
        <v>0</v>
      </c>
    </row>
    <row r="360" spans="1:19" x14ac:dyDescent="0.35">
      <c r="A360" s="91">
        <f>A359+1</f>
        <v>8</v>
      </c>
      <c r="B360" s="52" t="s">
        <v>260</v>
      </c>
      <c r="C360" s="105"/>
      <c r="D360" s="70">
        <f t="shared" ref="D360:O360" si="74">SUM(D358:D359)</f>
        <v>696800</v>
      </c>
      <c r="E360" s="70">
        <f t="shared" si="74"/>
        <v>607600</v>
      </c>
      <c r="F360" s="70">
        <f t="shared" si="74"/>
        <v>636000</v>
      </c>
      <c r="G360" s="70">
        <f t="shared" si="74"/>
        <v>527800</v>
      </c>
      <c r="H360" s="70">
        <f t="shared" si="74"/>
        <v>421300</v>
      </c>
      <c r="I360" s="70">
        <f t="shared" si="74"/>
        <v>410800</v>
      </c>
      <c r="J360" s="70">
        <f t="shared" si="74"/>
        <v>448700</v>
      </c>
      <c r="K360" s="70">
        <f t="shared" si="74"/>
        <v>454200</v>
      </c>
      <c r="L360" s="70">
        <f t="shared" si="74"/>
        <v>506900</v>
      </c>
      <c r="M360" s="70">
        <f t="shared" si="74"/>
        <v>620500</v>
      </c>
      <c r="N360" s="70">
        <f t="shared" si="74"/>
        <v>642500</v>
      </c>
      <c r="O360" s="70">
        <f t="shared" si="74"/>
        <v>738400</v>
      </c>
      <c r="P360" s="70">
        <f>SUM(D360:O360)</f>
        <v>6711500</v>
      </c>
    </row>
    <row r="361" spans="1:19" x14ac:dyDescent="0.35">
      <c r="A361" s="91"/>
      <c r="B361" s="52"/>
      <c r="C361" s="105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53"/>
    </row>
    <row r="362" spans="1:19" x14ac:dyDescent="0.35">
      <c r="A362" s="129">
        <f>A360+1</f>
        <v>9</v>
      </c>
      <c r="B362" s="51" t="s">
        <v>273</v>
      </c>
      <c r="C362" s="127"/>
      <c r="D362" s="168"/>
      <c r="E362" s="168"/>
      <c r="F362" s="168"/>
      <c r="G362" s="168"/>
      <c r="H362" s="168"/>
      <c r="I362" s="168"/>
      <c r="J362" s="169"/>
      <c r="K362" s="169"/>
      <c r="L362" s="169"/>
      <c r="M362" s="169"/>
      <c r="N362" s="169"/>
      <c r="O362" s="169"/>
      <c r="P362" s="132"/>
      <c r="S362" s="131"/>
    </row>
    <row r="363" spans="1:19" x14ac:dyDescent="0.35">
      <c r="A363" s="91">
        <f>A362+1</f>
        <v>10</v>
      </c>
      <c r="B363" s="52" t="s">
        <v>339</v>
      </c>
      <c r="C363" s="129"/>
      <c r="D363" s="284"/>
      <c r="E363" s="284"/>
      <c r="F363" s="284"/>
      <c r="G363" s="292"/>
      <c r="H363" s="292"/>
      <c r="I363" s="292"/>
      <c r="J363" s="292"/>
      <c r="K363" s="292"/>
      <c r="L363" s="292"/>
      <c r="M363" s="284"/>
      <c r="N363" s="284"/>
      <c r="O363" s="284"/>
      <c r="P363" s="103"/>
    </row>
    <row r="364" spans="1:19" x14ac:dyDescent="0.35">
      <c r="A364" s="91">
        <f>A363+1</f>
        <v>11</v>
      </c>
      <c r="B364" s="299" t="s">
        <v>274</v>
      </c>
      <c r="C364" s="129"/>
      <c r="D364" s="292">
        <v>0</v>
      </c>
      <c r="E364" s="292">
        <v>0</v>
      </c>
      <c r="F364" s="292">
        <v>0</v>
      </c>
      <c r="G364" s="292">
        <v>0</v>
      </c>
      <c r="H364" s="292">
        <v>0</v>
      </c>
      <c r="I364" s="292">
        <v>0</v>
      </c>
      <c r="J364" s="292">
        <v>0</v>
      </c>
      <c r="K364" s="292">
        <v>0</v>
      </c>
      <c r="L364" s="292">
        <v>0</v>
      </c>
      <c r="M364" s="292">
        <v>0</v>
      </c>
      <c r="N364" s="292">
        <v>0</v>
      </c>
      <c r="O364" s="292">
        <v>0</v>
      </c>
      <c r="P364" s="70">
        <f>SUM(D364:O364)</f>
        <v>0</v>
      </c>
    </row>
    <row r="365" spans="1:19" x14ac:dyDescent="0.35">
      <c r="A365" s="91">
        <f>A364+1</f>
        <v>12</v>
      </c>
      <c r="B365" s="299" t="s">
        <v>275</v>
      </c>
      <c r="C365" s="129"/>
      <c r="D365" s="301">
        <v>0</v>
      </c>
      <c r="E365" s="301">
        <v>0</v>
      </c>
      <c r="F365" s="301">
        <v>0</v>
      </c>
      <c r="G365" s="301">
        <v>0</v>
      </c>
      <c r="H365" s="301">
        <v>0</v>
      </c>
      <c r="I365" s="301">
        <v>0</v>
      </c>
      <c r="J365" s="301">
        <v>0</v>
      </c>
      <c r="K365" s="301">
        <v>0</v>
      </c>
      <c r="L365" s="301">
        <v>0</v>
      </c>
      <c r="M365" s="301">
        <v>0</v>
      </c>
      <c r="N365" s="301">
        <v>0</v>
      </c>
      <c r="O365" s="301">
        <v>0</v>
      </c>
      <c r="P365" s="134">
        <f>SUM(D365:O365)</f>
        <v>0</v>
      </c>
    </row>
    <row r="366" spans="1:19" x14ac:dyDescent="0.35">
      <c r="A366" s="91"/>
      <c r="B366" s="299"/>
      <c r="C366" s="129"/>
      <c r="D366" s="70">
        <f t="shared" ref="D366:N366" si="75">SUM(D364:D365)</f>
        <v>0</v>
      </c>
      <c r="E366" s="70">
        <f t="shared" si="75"/>
        <v>0</v>
      </c>
      <c r="F366" s="70">
        <f t="shared" si="75"/>
        <v>0</v>
      </c>
      <c r="G366" s="70">
        <f t="shared" si="75"/>
        <v>0</v>
      </c>
      <c r="H366" s="70">
        <f t="shared" si="75"/>
        <v>0</v>
      </c>
      <c r="I366" s="70">
        <f t="shared" si="75"/>
        <v>0</v>
      </c>
      <c r="J366" s="70">
        <f t="shared" si="75"/>
        <v>0</v>
      </c>
      <c r="K366" s="70">
        <f t="shared" si="75"/>
        <v>0</v>
      </c>
      <c r="L366" s="70">
        <f t="shared" si="75"/>
        <v>0</v>
      </c>
      <c r="M366" s="70">
        <f t="shared" si="75"/>
        <v>0</v>
      </c>
      <c r="N366" s="70">
        <f t="shared" si="75"/>
        <v>0</v>
      </c>
      <c r="O366" s="70">
        <f>SUM(O364:O365)</f>
        <v>0</v>
      </c>
      <c r="P366" s="70">
        <f>SUM(D366:O366)</f>
        <v>0</v>
      </c>
    </row>
    <row r="367" spans="1:19" x14ac:dyDescent="0.35">
      <c r="A367" s="91">
        <f>A365+1</f>
        <v>13</v>
      </c>
      <c r="B367" s="52" t="s">
        <v>241</v>
      </c>
      <c r="C367" s="139" t="s">
        <v>342</v>
      </c>
      <c r="D367" s="292"/>
      <c r="E367" s="292"/>
      <c r="F367" s="292"/>
      <c r="G367" s="292"/>
      <c r="H367" s="292"/>
      <c r="I367" s="292"/>
      <c r="J367" s="292"/>
      <c r="K367" s="292"/>
      <c r="L367" s="292"/>
      <c r="M367" s="292"/>
      <c r="N367" s="292"/>
      <c r="O367" s="292"/>
      <c r="P367" s="70"/>
    </row>
    <row r="368" spans="1:19" x14ac:dyDescent="0.35">
      <c r="A368" s="91">
        <f>A367+1</f>
        <v>14</v>
      </c>
      <c r="B368" s="52" t="str">
        <f>B364</f>
        <v xml:space="preserve">    First 25,000 Mcf</v>
      </c>
      <c r="C368" s="139"/>
      <c r="D368" s="292">
        <v>0</v>
      </c>
      <c r="E368" s="292">
        <v>0</v>
      </c>
      <c r="F368" s="292">
        <v>0</v>
      </c>
      <c r="G368" s="292">
        <v>0</v>
      </c>
      <c r="H368" s="292">
        <v>0</v>
      </c>
      <c r="I368" s="292">
        <v>0</v>
      </c>
      <c r="J368" s="292">
        <v>0</v>
      </c>
      <c r="K368" s="292">
        <v>0</v>
      </c>
      <c r="L368" s="292">
        <v>0</v>
      </c>
      <c r="M368" s="292">
        <v>0</v>
      </c>
      <c r="N368" s="292">
        <v>0</v>
      </c>
      <c r="O368" s="292">
        <v>0</v>
      </c>
      <c r="P368" s="70">
        <f>SUM(D368:O368)</f>
        <v>0</v>
      </c>
    </row>
    <row r="369" spans="1:94" x14ac:dyDescent="0.35">
      <c r="A369" s="91">
        <f>A368+1</f>
        <v>15</v>
      </c>
      <c r="B369" s="52" t="str">
        <f>B365</f>
        <v xml:space="preserve">    Over 25,000 Mcf</v>
      </c>
      <c r="C369" s="139"/>
      <c r="D369" s="301">
        <v>0</v>
      </c>
      <c r="E369" s="301">
        <v>0</v>
      </c>
      <c r="F369" s="301">
        <v>0</v>
      </c>
      <c r="G369" s="301">
        <v>0</v>
      </c>
      <c r="H369" s="301">
        <v>0</v>
      </c>
      <c r="I369" s="301">
        <v>0</v>
      </c>
      <c r="J369" s="301">
        <v>0</v>
      </c>
      <c r="K369" s="301">
        <v>0</v>
      </c>
      <c r="L369" s="301">
        <v>0</v>
      </c>
      <c r="M369" s="301">
        <v>0</v>
      </c>
      <c r="N369" s="301">
        <v>0</v>
      </c>
      <c r="O369" s="301">
        <v>0</v>
      </c>
      <c r="P369" s="134">
        <f>SUM(D369:O369)</f>
        <v>0</v>
      </c>
    </row>
    <row r="370" spans="1:94" x14ac:dyDescent="0.35">
      <c r="A370" s="91"/>
      <c r="B370" s="52"/>
      <c r="C370" s="139"/>
      <c r="D370" s="70">
        <f t="shared" ref="D370:N370" si="76">SUM(D368:D369)</f>
        <v>0</v>
      </c>
      <c r="E370" s="70">
        <f t="shared" si="76"/>
        <v>0</v>
      </c>
      <c r="F370" s="70">
        <f t="shared" si="76"/>
        <v>0</v>
      </c>
      <c r="G370" s="70">
        <f t="shared" si="76"/>
        <v>0</v>
      </c>
      <c r="H370" s="70">
        <f t="shared" si="76"/>
        <v>0</v>
      </c>
      <c r="I370" s="70">
        <f t="shared" si="76"/>
        <v>0</v>
      </c>
      <c r="J370" s="70">
        <f t="shared" si="76"/>
        <v>0</v>
      </c>
      <c r="K370" s="70">
        <f t="shared" si="76"/>
        <v>0</v>
      </c>
      <c r="L370" s="70">
        <f t="shared" si="76"/>
        <v>0</v>
      </c>
      <c r="M370" s="70">
        <f t="shared" si="76"/>
        <v>0</v>
      </c>
      <c r="N370" s="70">
        <f t="shared" si="76"/>
        <v>0</v>
      </c>
      <c r="O370" s="70">
        <f>SUM(O368:O369)</f>
        <v>0</v>
      </c>
      <c r="P370" s="70">
        <f>SUM(D370:O370)</f>
        <v>0</v>
      </c>
    </row>
    <row r="371" spans="1:94" s="100" customFormat="1" x14ac:dyDescent="0.35">
      <c r="A371" s="91">
        <f>A369+1</f>
        <v>16</v>
      </c>
      <c r="B371" s="52" t="s">
        <v>260</v>
      </c>
      <c r="C371" s="105"/>
      <c r="D371" s="102"/>
      <c r="E371" s="102"/>
      <c r="F371" s="102"/>
      <c r="G371" s="70"/>
      <c r="H371" s="70"/>
      <c r="I371" s="70"/>
      <c r="J371" s="70"/>
      <c r="K371" s="70"/>
      <c r="L371" s="70"/>
      <c r="M371" s="102"/>
      <c r="N371" s="102"/>
      <c r="O371" s="102"/>
      <c r="P371" s="103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2"/>
      <c r="BQ371" s="52"/>
      <c r="BR371" s="52"/>
      <c r="BS371" s="52"/>
      <c r="BT371" s="52"/>
      <c r="BU371" s="52"/>
      <c r="BV371" s="52"/>
      <c r="BW371" s="52"/>
      <c r="BX371" s="52"/>
      <c r="BY371" s="52"/>
      <c r="BZ371" s="52"/>
      <c r="CA371" s="52"/>
      <c r="CB371" s="52"/>
      <c r="CC371" s="52"/>
      <c r="CD371" s="52"/>
      <c r="CE371" s="52"/>
      <c r="CF371" s="52"/>
      <c r="CG371" s="52"/>
      <c r="CH371" s="52"/>
      <c r="CI371" s="52"/>
      <c r="CJ371" s="52"/>
      <c r="CK371" s="52"/>
      <c r="CL371" s="52"/>
      <c r="CM371" s="52"/>
      <c r="CN371" s="52"/>
      <c r="CO371" s="52"/>
      <c r="CP371" s="52"/>
    </row>
    <row r="372" spans="1:94" x14ac:dyDescent="0.35">
      <c r="A372" s="91">
        <f>A371+1</f>
        <v>17</v>
      </c>
      <c r="B372" s="52" t="str">
        <f>B364</f>
        <v xml:space="preserve">    First 25,000 Mcf</v>
      </c>
      <c r="C372" s="127"/>
      <c r="D372" s="161">
        <f>D364+D368</f>
        <v>0</v>
      </c>
      <c r="E372" s="161">
        <f t="shared" ref="E372:O372" si="77">E364+E368</f>
        <v>0</v>
      </c>
      <c r="F372" s="161">
        <f t="shared" si="77"/>
        <v>0</v>
      </c>
      <c r="G372" s="161">
        <f t="shared" si="77"/>
        <v>0</v>
      </c>
      <c r="H372" s="161">
        <f t="shared" si="77"/>
        <v>0</v>
      </c>
      <c r="I372" s="161">
        <f t="shared" si="77"/>
        <v>0</v>
      </c>
      <c r="J372" s="161">
        <f t="shared" si="77"/>
        <v>0</v>
      </c>
      <c r="K372" s="161">
        <f t="shared" si="77"/>
        <v>0</v>
      </c>
      <c r="L372" s="161">
        <f t="shared" si="77"/>
        <v>0</v>
      </c>
      <c r="M372" s="161">
        <f t="shared" si="77"/>
        <v>0</v>
      </c>
      <c r="N372" s="161">
        <f t="shared" si="77"/>
        <v>0</v>
      </c>
      <c r="O372" s="161">
        <f t="shared" si="77"/>
        <v>0</v>
      </c>
      <c r="P372" s="70">
        <f>SUM(D372:O372)</f>
        <v>0</v>
      </c>
      <c r="S372" s="131"/>
    </row>
    <row r="373" spans="1:94" x14ac:dyDescent="0.35">
      <c r="A373" s="91">
        <f>A372+1</f>
        <v>18</v>
      </c>
      <c r="B373" s="52" t="str">
        <f>B365</f>
        <v xml:space="preserve">    Over 25,000 Mcf</v>
      </c>
      <c r="C373" s="127"/>
      <c r="D373" s="136">
        <f>D365+D369</f>
        <v>0</v>
      </c>
      <c r="E373" s="136">
        <f t="shared" ref="E373:O373" si="78">E365+E369</f>
        <v>0</v>
      </c>
      <c r="F373" s="136">
        <f t="shared" si="78"/>
        <v>0</v>
      </c>
      <c r="G373" s="136">
        <f t="shared" si="78"/>
        <v>0</v>
      </c>
      <c r="H373" s="136">
        <f t="shared" si="78"/>
        <v>0</v>
      </c>
      <c r="I373" s="136">
        <f t="shared" si="78"/>
        <v>0</v>
      </c>
      <c r="J373" s="136">
        <f t="shared" si="78"/>
        <v>0</v>
      </c>
      <c r="K373" s="136">
        <f t="shared" si="78"/>
        <v>0</v>
      </c>
      <c r="L373" s="136">
        <f t="shared" si="78"/>
        <v>0</v>
      </c>
      <c r="M373" s="136">
        <f t="shared" si="78"/>
        <v>0</v>
      </c>
      <c r="N373" s="136">
        <f t="shared" si="78"/>
        <v>0</v>
      </c>
      <c r="O373" s="136">
        <f t="shared" si="78"/>
        <v>0</v>
      </c>
      <c r="P373" s="134">
        <f>SUM(D373:O373)</f>
        <v>0</v>
      </c>
      <c r="S373" s="131"/>
    </row>
    <row r="374" spans="1:94" s="52" customFormat="1" x14ac:dyDescent="0.35">
      <c r="A374" s="91">
        <f>A373+1</f>
        <v>19</v>
      </c>
      <c r="B374" s="52" t="s">
        <v>340</v>
      </c>
      <c r="C374" s="127"/>
      <c r="D374" s="161">
        <f>D366+D370</f>
        <v>0</v>
      </c>
      <c r="E374" s="161">
        <f t="shared" ref="E374:O374" si="79">E366+E370</f>
        <v>0</v>
      </c>
      <c r="F374" s="161">
        <f t="shared" si="79"/>
        <v>0</v>
      </c>
      <c r="G374" s="161">
        <f t="shared" si="79"/>
        <v>0</v>
      </c>
      <c r="H374" s="161">
        <f t="shared" si="79"/>
        <v>0</v>
      </c>
      <c r="I374" s="161">
        <f t="shared" si="79"/>
        <v>0</v>
      </c>
      <c r="J374" s="161">
        <f t="shared" si="79"/>
        <v>0</v>
      </c>
      <c r="K374" s="161">
        <f t="shared" si="79"/>
        <v>0</v>
      </c>
      <c r="L374" s="161">
        <f t="shared" si="79"/>
        <v>0</v>
      </c>
      <c r="M374" s="161">
        <f t="shared" si="79"/>
        <v>0</v>
      </c>
      <c r="N374" s="161">
        <f t="shared" si="79"/>
        <v>0</v>
      </c>
      <c r="O374" s="161">
        <f t="shared" si="79"/>
        <v>0</v>
      </c>
      <c r="P374" s="70">
        <f>SUM(D374:O374)</f>
        <v>0</v>
      </c>
      <c r="S374" s="131"/>
    </row>
    <row r="375" spans="1:94" x14ac:dyDescent="0.35">
      <c r="A375" s="120"/>
      <c r="B375" s="52"/>
      <c r="C375" s="127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70"/>
      <c r="S375" s="131"/>
    </row>
    <row r="376" spans="1:94" x14ac:dyDescent="0.35">
      <c r="A376" s="91">
        <f>A374+1</f>
        <v>20</v>
      </c>
      <c r="B376" s="51" t="s">
        <v>276</v>
      </c>
      <c r="C376" s="127"/>
      <c r="D376" s="168"/>
      <c r="E376" s="168"/>
      <c r="F376" s="168"/>
      <c r="G376" s="168"/>
      <c r="H376" s="168"/>
      <c r="I376" s="168"/>
      <c r="J376" s="169"/>
      <c r="K376" s="169"/>
      <c r="L376" s="169"/>
      <c r="M376" s="169"/>
      <c r="N376" s="169"/>
      <c r="O376" s="169"/>
      <c r="P376" s="132"/>
      <c r="S376" s="131"/>
    </row>
    <row r="377" spans="1:94" x14ac:dyDescent="0.35">
      <c r="A377" s="91">
        <f>A376+1</f>
        <v>21</v>
      </c>
      <c r="B377" s="52" t="s">
        <v>339</v>
      </c>
      <c r="C377" s="129"/>
      <c r="D377" s="284"/>
      <c r="E377" s="284"/>
      <c r="F377" s="284"/>
      <c r="G377" s="292"/>
      <c r="H377" s="292"/>
      <c r="I377" s="292"/>
      <c r="J377" s="292"/>
      <c r="K377" s="292"/>
      <c r="L377" s="292"/>
      <c r="M377" s="284"/>
      <c r="N377" s="284"/>
      <c r="O377" s="284"/>
      <c r="P377" s="103"/>
    </row>
    <row r="378" spans="1:94" x14ac:dyDescent="0.35">
      <c r="A378" s="91">
        <f>A377+1</f>
        <v>22</v>
      </c>
      <c r="B378" s="299" t="s">
        <v>266</v>
      </c>
      <c r="C378" s="129"/>
      <c r="D378" s="292">
        <v>0</v>
      </c>
      <c r="E378" s="292">
        <v>0</v>
      </c>
      <c r="F378" s="292">
        <v>0</v>
      </c>
      <c r="G378" s="292">
        <v>0</v>
      </c>
      <c r="H378" s="292">
        <v>0</v>
      </c>
      <c r="I378" s="292">
        <v>0</v>
      </c>
      <c r="J378" s="292">
        <v>0</v>
      </c>
      <c r="K378" s="292">
        <v>0</v>
      </c>
      <c r="L378" s="292">
        <v>0</v>
      </c>
      <c r="M378" s="292">
        <v>0</v>
      </c>
      <c r="N378" s="292">
        <v>0</v>
      </c>
      <c r="O378" s="292">
        <v>0</v>
      </c>
      <c r="P378" s="70">
        <f>SUM(D378:O378)</f>
        <v>0</v>
      </c>
    </row>
    <row r="379" spans="1:94" x14ac:dyDescent="0.35">
      <c r="A379" s="91">
        <f>A378+1</f>
        <v>23</v>
      </c>
      <c r="B379" s="299" t="s">
        <v>267</v>
      </c>
      <c r="C379" s="129"/>
      <c r="D379" s="301">
        <v>0</v>
      </c>
      <c r="E379" s="301">
        <v>0</v>
      </c>
      <c r="F379" s="301">
        <v>0</v>
      </c>
      <c r="G379" s="301">
        <v>0</v>
      </c>
      <c r="H379" s="301">
        <v>0</v>
      </c>
      <c r="I379" s="301">
        <v>0</v>
      </c>
      <c r="J379" s="301">
        <v>0</v>
      </c>
      <c r="K379" s="301">
        <v>0</v>
      </c>
      <c r="L379" s="301">
        <v>0</v>
      </c>
      <c r="M379" s="301">
        <v>0</v>
      </c>
      <c r="N379" s="301">
        <v>0</v>
      </c>
      <c r="O379" s="301">
        <v>0</v>
      </c>
      <c r="P379" s="134">
        <f>SUM(D379:O379)</f>
        <v>0</v>
      </c>
    </row>
    <row r="380" spans="1:94" x14ac:dyDescent="0.35">
      <c r="A380" s="91"/>
      <c r="B380" s="299"/>
      <c r="C380" s="129"/>
      <c r="D380" s="70">
        <f t="shared" ref="D380:N380" si="80">SUM(D378:D379)</f>
        <v>0</v>
      </c>
      <c r="E380" s="70">
        <f t="shared" si="80"/>
        <v>0</v>
      </c>
      <c r="F380" s="70">
        <f t="shared" si="80"/>
        <v>0</v>
      </c>
      <c r="G380" s="70">
        <f t="shared" si="80"/>
        <v>0</v>
      </c>
      <c r="H380" s="70">
        <f t="shared" si="80"/>
        <v>0</v>
      </c>
      <c r="I380" s="70">
        <f t="shared" si="80"/>
        <v>0</v>
      </c>
      <c r="J380" s="70">
        <f t="shared" si="80"/>
        <v>0</v>
      </c>
      <c r="K380" s="70">
        <f t="shared" si="80"/>
        <v>0</v>
      </c>
      <c r="L380" s="70">
        <f t="shared" si="80"/>
        <v>0</v>
      </c>
      <c r="M380" s="70">
        <f t="shared" si="80"/>
        <v>0</v>
      </c>
      <c r="N380" s="70">
        <f t="shared" si="80"/>
        <v>0</v>
      </c>
      <c r="O380" s="70">
        <f>SUM(O378:O379)</f>
        <v>0</v>
      </c>
      <c r="P380" s="70">
        <f>SUM(D380:O380)</f>
        <v>0</v>
      </c>
    </row>
    <row r="381" spans="1:94" x14ac:dyDescent="0.35">
      <c r="A381" s="91">
        <f>A379+1</f>
        <v>24</v>
      </c>
      <c r="B381" s="52" t="s">
        <v>241</v>
      </c>
      <c r="C381" s="139" t="s">
        <v>342</v>
      </c>
      <c r="D381" s="292"/>
      <c r="E381" s="292"/>
      <c r="F381" s="292"/>
      <c r="G381" s="292"/>
      <c r="H381" s="292"/>
      <c r="I381" s="292"/>
      <c r="J381" s="292"/>
      <c r="K381" s="292"/>
      <c r="L381" s="292"/>
      <c r="M381" s="292"/>
      <c r="N381" s="292"/>
      <c r="O381" s="292"/>
      <c r="P381" s="70"/>
    </row>
    <row r="382" spans="1:94" x14ac:dyDescent="0.35">
      <c r="A382" s="91">
        <f>A381+1</f>
        <v>25</v>
      </c>
      <c r="B382" s="52" t="str">
        <f>B378</f>
        <v xml:space="preserve">    First 30,000 Mcf</v>
      </c>
      <c r="C382" s="139"/>
      <c r="D382" s="292">
        <v>0</v>
      </c>
      <c r="E382" s="292">
        <v>0</v>
      </c>
      <c r="F382" s="292">
        <v>0</v>
      </c>
      <c r="G382" s="292">
        <v>0</v>
      </c>
      <c r="H382" s="292">
        <v>0</v>
      </c>
      <c r="I382" s="292">
        <v>0</v>
      </c>
      <c r="J382" s="292">
        <v>0</v>
      </c>
      <c r="K382" s="292">
        <v>0</v>
      </c>
      <c r="L382" s="292">
        <v>0</v>
      </c>
      <c r="M382" s="292">
        <v>0</v>
      </c>
      <c r="N382" s="292">
        <v>0</v>
      </c>
      <c r="O382" s="292">
        <v>0</v>
      </c>
      <c r="P382" s="70">
        <f>SUM(D382:O382)</f>
        <v>0</v>
      </c>
    </row>
    <row r="383" spans="1:94" x14ac:dyDescent="0.35">
      <c r="A383" s="91">
        <f>A382+1</f>
        <v>26</v>
      </c>
      <c r="B383" s="52" t="str">
        <f>B379</f>
        <v xml:space="preserve">    Over 30,000 Mcf</v>
      </c>
      <c r="C383" s="139"/>
      <c r="D383" s="301">
        <v>0</v>
      </c>
      <c r="E383" s="301">
        <v>0</v>
      </c>
      <c r="F383" s="301">
        <v>0</v>
      </c>
      <c r="G383" s="301">
        <v>0</v>
      </c>
      <c r="H383" s="301">
        <v>0</v>
      </c>
      <c r="I383" s="301">
        <v>0</v>
      </c>
      <c r="J383" s="301">
        <v>0</v>
      </c>
      <c r="K383" s="301">
        <v>0</v>
      </c>
      <c r="L383" s="301">
        <v>0</v>
      </c>
      <c r="M383" s="301">
        <v>0</v>
      </c>
      <c r="N383" s="301">
        <v>0</v>
      </c>
      <c r="O383" s="301">
        <v>0</v>
      </c>
      <c r="P383" s="134">
        <f>SUM(D383:O383)</f>
        <v>0</v>
      </c>
    </row>
    <row r="384" spans="1:94" x14ac:dyDescent="0.35">
      <c r="A384" s="91"/>
      <c r="B384" s="52"/>
      <c r="C384" s="139"/>
      <c r="D384" s="70">
        <f t="shared" ref="D384:N384" si="81">SUM(D382:D383)</f>
        <v>0</v>
      </c>
      <c r="E384" s="70">
        <f t="shared" si="81"/>
        <v>0</v>
      </c>
      <c r="F384" s="70">
        <f t="shared" si="81"/>
        <v>0</v>
      </c>
      <c r="G384" s="70">
        <f t="shared" si="81"/>
        <v>0</v>
      </c>
      <c r="H384" s="70">
        <f t="shared" si="81"/>
        <v>0</v>
      </c>
      <c r="I384" s="70">
        <f t="shared" si="81"/>
        <v>0</v>
      </c>
      <c r="J384" s="70">
        <f t="shared" si="81"/>
        <v>0</v>
      </c>
      <c r="K384" s="70">
        <f t="shared" si="81"/>
        <v>0</v>
      </c>
      <c r="L384" s="70">
        <f t="shared" si="81"/>
        <v>0</v>
      </c>
      <c r="M384" s="70">
        <f t="shared" si="81"/>
        <v>0</v>
      </c>
      <c r="N384" s="70">
        <f t="shared" si="81"/>
        <v>0</v>
      </c>
      <c r="O384" s="70">
        <f>SUM(O382:O383)</f>
        <v>0</v>
      </c>
      <c r="P384" s="70">
        <f>SUM(D384:O384)</f>
        <v>0</v>
      </c>
    </row>
    <row r="385" spans="1:94" s="100" customFormat="1" x14ac:dyDescent="0.35">
      <c r="A385" s="91">
        <f>A383+1</f>
        <v>27</v>
      </c>
      <c r="B385" s="52" t="s">
        <v>260</v>
      </c>
      <c r="C385" s="105"/>
      <c r="D385" s="102"/>
      <c r="E385" s="102"/>
      <c r="F385" s="102"/>
      <c r="G385" s="70"/>
      <c r="H385" s="70"/>
      <c r="I385" s="70"/>
      <c r="J385" s="70"/>
      <c r="K385" s="70"/>
      <c r="L385" s="70"/>
      <c r="M385" s="102"/>
      <c r="N385" s="102"/>
      <c r="O385" s="102"/>
      <c r="P385" s="103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  <c r="CA385" s="52"/>
      <c r="CB385" s="52"/>
      <c r="CC385" s="52"/>
      <c r="CD385" s="52"/>
      <c r="CE385" s="52"/>
      <c r="CF385" s="52"/>
      <c r="CG385" s="52"/>
      <c r="CH385" s="52"/>
      <c r="CI385" s="52"/>
      <c r="CJ385" s="52"/>
      <c r="CK385" s="52"/>
      <c r="CL385" s="52"/>
      <c r="CM385" s="52"/>
      <c r="CN385" s="52"/>
      <c r="CO385" s="52"/>
      <c r="CP385" s="52"/>
    </row>
    <row r="386" spans="1:94" x14ac:dyDescent="0.35">
      <c r="A386" s="91">
        <f>A385+1</f>
        <v>28</v>
      </c>
      <c r="B386" s="52" t="str">
        <f>B382</f>
        <v xml:space="preserve">    First 30,000 Mcf</v>
      </c>
      <c r="C386" s="127"/>
      <c r="D386" s="161">
        <f>D378+D382</f>
        <v>0</v>
      </c>
      <c r="E386" s="161">
        <f t="shared" ref="E386:O386" si="82">E378+E382</f>
        <v>0</v>
      </c>
      <c r="F386" s="161">
        <f t="shared" si="82"/>
        <v>0</v>
      </c>
      <c r="G386" s="161">
        <f t="shared" si="82"/>
        <v>0</v>
      </c>
      <c r="H386" s="161">
        <f t="shared" si="82"/>
        <v>0</v>
      </c>
      <c r="I386" s="161">
        <f t="shared" si="82"/>
        <v>0</v>
      </c>
      <c r="J386" s="161">
        <f t="shared" si="82"/>
        <v>0</v>
      </c>
      <c r="K386" s="161">
        <f t="shared" si="82"/>
        <v>0</v>
      </c>
      <c r="L386" s="161">
        <f t="shared" si="82"/>
        <v>0</v>
      </c>
      <c r="M386" s="161">
        <f t="shared" si="82"/>
        <v>0</v>
      </c>
      <c r="N386" s="161">
        <f t="shared" si="82"/>
        <v>0</v>
      </c>
      <c r="O386" s="161">
        <f t="shared" si="82"/>
        <v>0</v>
      </c>
      <c r="P386" s="70">
        <f>SUM(D386:O386)</f>
        <v>0</v>
      </c>
      <c r="S386" s="131"/>
    </row>
    <row r="387" spans="1:94" x14ac:dyDescent="0.35">
      <c r="A387" s="91">
        <f>A386+1</f>
        <v>29</v>
      </c>
      <c r="B387" s="52" t="str">
        <f>B383</f>
        <v xml:space="preserve">    Over 30,000 Mcf</v>
      </c>
      <c r="C387" s="127"/>
      <c r="D387" s="136">
        <f>D379+D383</f>
        <v>0</v>
      </c>
      <c r="E387" s="136">
        <f t="shared" ref="E387:O387" si="83">E379+E383</f>
        <v>0</v>
      </c>
      <c r="F387" s="136">
        <f t="shared" si="83"/>
        <v>0</v>
      </c>
      <c r="G387" s="136">
        <f t="shared" si="83"/>
        <v>0</v>
      </c>
      <c r="H387" s="136">
        <f t="shared" si="83"/>
        <v>0</v>
      </c>
      <c r="I387" s="136">
        <f t="shared" si="83"/>
        <v>0</v>
      </c>
      <c r="J387" s="136">
        <f t="shared" si="83"/>
        <v>0</v>
      </c>
      <c r="K387" s="136">
        <f t="shared" si="83"/>
        <v>0</v>
      </c>
      <c r="L387" s="136">
        <f t="shared" si="83"/>
        <v>0</v>
      </c>
      <c r="M387" s="136">
        <f t="shared" si="83"/>
        <v>0</v>
      </c>
      <c r="N387" s="136">
        <f t="shared" si="83"/>
        <v>0</v>
      </c>
      <c r="O387" s="136">
        <f t="shared" si="83"/>
        <v>0</v>
      </c>
      <c r="P387" s="134">
        <f>SUM(D387:O387)</f>
        <v>0</v>
      </c>
      <c r="S387" s="131"/>
    </row>
    <row r="388" spans="1:94" x14ac:dyDescent="0.35">
      <c r="A388" s="91">
        <f>A387+1</f>
        <v>30</v>
      </c>
      <c r="B388" s="52" t="s">
        <v>340</v>
      </c>
      <c r="C388" s="127"/>
      <c r="D388" s="161">
        <f>D380+D384</f>
        <v>0</v>
      </c>
      <c r="E388" s="161">
        <f t="shared" ref="E388:O388" si="84">E380+E384</f>
        <v>0</v>
      </c>
      <c r="F388" s="161">
        <f t="shared" si="84"/>
        <v>0</v>
      </c>
      <c r="G388" s="161">
        <f t="shared" si="84"/>
        <v>0</v>
      </c>
      <c r="H388" s="161">
        <f t="shared" si="84"/>
        <v>0</v>
      </c>
      <c r="I388" s="161">
        <f t="shared" si="84"/>
        <v>0</v>
      </c>
      <c r="J388" s="161">
        <f t="shared" si="84"/>
        <v>0</v>
      </c>
      <c r="K388" s="161">
        <f t="shared" si="84"/>
        <v>0</v>
      </c>
      <c r="L388" s="161">
        <f t="shared" si="84"/>
        <v>0</v>
      </c>
      <c r="M388" s="161">
        <f t="shared" si="84"/>
        <v>0</v>
      </c>
      <c r="N388" s="161">
        <f t="shared" si="84"/>
        <v>0</v>
      </c>
      <c r="O388" s="161">
        <f t="shared" si="84"/>
        <v>0</v>
      </c>
      <c r="P388" s="70">
        <f>SUM(D388:O388)</f>
        <v>0</v>
      </c>
      <c r="S388" s="131"/>
    </row>
    <row r="389" spans="1:94" x14ac:dyDescent="0.35">
      <c r="A389" s="120"/>
      <c r="B389" s="52"/>
      <c r="C389" s="127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70"/>
      <c r="S389" s="131"/>
    </row>
    <row r="390" spans="1:94" x14ac:dyDescent="0.35">
      <c r="A390" s="91">
        <f>A388+1</f>
        <v>31</v>
      </c>
      <c r="B390" s="51" t="s">
        <v>277</v>
      </c>
      <c r="C390" s="127"/>
      <c r="D390" s="168"/>
      <c r="E390" s="168"/>
      <c r="F390" s="168"/>
      <c r="G390" s="168"/>
      <c r="H390" s="168"/>
      <c r="I390" s="168"/>
      <c r="J390" s="169"/>
      <c r="K390" s="169"/>
      <c r="L390" s="169"/>
      <c r="M390" s="169"/>
      <c r="N390" s="169"/>
      <c r="O390" s="169"/>
      <c r="P390" s="132"/>
      <c r="S390" s="131"/>
    </row>
    <row r="391" spans="1:94" x14ac:dyDescent="0.35">
      <c r="A391" s="91">
        <f>A390+1</f>
        <v>32</v>
      </c>
      <c r="B391" s="52" t="s">
        <v>339</v>
      </c>
      <c r="C391" s="129"/>
      <c r="D391" s="284"/>
      <c r="E391" s="284"/>
      <c r="F391" s="284"/>
      <c r="G391" s="292"/>
      <c r="H391" s="292"/>
      <c r="I391" s="292"/>
      <c r="J391" s="292"/>
      <c r="K391" s="292"/>
      <c r="L391" s="292"/>
      <c r="M391" s="284"/>
      <c r="N391" s="284"/>
      <c r="O391" s="284"/>
      <c r="P391" s="103"/>
    </row>
    <row r="392" spans="1:94" x14ac:dyDescent="0.35">
      <c r="A392" s="91">
        <f>A391+1</f>
        <v>33</v>
      </c>
      <c r="B392" s="299" t="s">
        <v>278</v>
      </c>
      <c r="C392" s="129"/>
      <c r="D392" s="292">
        <v>0</v>
      </c>
      <c r="E392" s="292">
        <v>0</v>
      </c>
      <c r="F392" s="292">
        <v>0</v>
      </c>
      <c r="G392" s="292">
        <v>0</v>
      </c>
      <c r="H392" s="292">
        <v>0</v>
      </c>
      <c r="I392" s="292">
        <v>0</v>
      </c>
      <c r="J392" s="292">
        <v>0</v>
      </c>
      <c r="K392" s="292">
        <v>0</v>
      </c>
      <c r="L392" s="292">
        <v>0</v>
      </c>
      <c r="M392" s="292">
        <v>0</v>
      </c>
      <c r="N392" s="292">
        <v>0</v>
      </c>
      <c r="O392" s="292">
        <v>0</v>
      </c>
      <c r="P392" s="70">
        <f>SUM(D392:O392)</f>
        <v>0</v>
      </c>
    </row>
    <row r="393" spans="1:94" x14ac:dyDescent="0.35">
      <c r="A393" s="91">
        <f>A392+1</f>
        <v>34</v>
      </c>
      <c r="B393" s="299" t="s">
        <v>279</v>
      </c>
      <c r="C393" s="129"/>
      <c r="D393" s="301">
        <v>0</v>
      </c>
      <c r="E393" s="301">
        <v>0</v>
      </c>
      <c r="F393" s="301">
        <v>0</v>
      </c>
      <c r="G393" s="301">
        <v>0</v>
      </c>
      <c r="H393" s="301">
        <v>0</v>
      </c>
      <c r="I393" s="301">
        <v>0</v>
      </c>
      <c r="J393" s="301">
        <v>0</v>
      </c>
      <c r="K393" s="301">
        <v>0</v>
      </c>
      <c r="L393" s="301">
        <v>0</v>
      </c>
      <c r="M393" s="301">
        <v>0</v>
      </c>
      <c r="N393" s="301">
        <v>0</v>
      </c>
      <c r="O393" s="301">
        <v>0</v>
      </c>
      <c r="P393" s="134">
        <f>SUM(D393:O393)</f>
        <v>0</v>
      </c>
    </row>
    <row r="394" spans="1:94" x14ac:dyDescent="0.35">
      <c r="A394" s="91"/>
      <c r="B394" s="299"/>
      <c r="C394" s="129"/>
      <c r="D394" s="70">
        <f t="shared" ref="D394:N394" si="85">SUM(D392:D393)</f>
        <v>0</v>
      </c>
      <c r="E394" s="70">
        <f t="shared" si="85"/>
        <v>0</v>
      </c>
      <c r="F394" s="70">
        <f t="shared" si="85"/>
        <v>0</v>
      </c>
      <c r="G394" s="70">
        <f t="shared" si="85"/>
        <v>0</v>
      </c>
      <c r="H394" s="70">
        <f t="shared" si="85"/>
        <v>0</v>
      </c>
      <c r="I394" s="70">
        <f t="shared" si="85"/>
        <v>0</v>
      </c>
      <c r="J394" s="70">
        <f t="shared" si="85"/>
        <v>0</v>
      </c>
      <c r="K394" s="70">
        <f t="shared" si="85"/>
        <v>0</v>
      </c>
      <c r="L394" s="70">
        <f t="shared" si="85"/>
        <v>0</v>
      </c>
      <c r="M394" s="70">
        <f t="shared" si="85"/>
        <v>0</v>
      </c>
      <c r="N394" s="70">
        <f t="shared" si="85"/>
        <v>0</v>
      </c>
      <c r="O394" s="70">
        <f>SUM(O392:O393)</f>
        <v>0</v>
      </c>
      <c r="P394" s="70">
        <f>SUM(D394:O394)</f>
        <v>0</v>
      </c>
    </row>
    <row r="395" spans="1:94" x14ac:dyDescent="0.35">
      <c r="A395" s="91">
        <f>A393+1</f>
        <v>35</v>
      </c>
      <c r="B395" s="52" t="s">
        <v>241</v>
      </c>
      <c r="C395" s="139" t="s">
        <v>342</v>
      </c>
      <c r="D395" s="292"/>
      <c r="E395" s="292"/>
      <c r="F395" s="292"/>
      <c r="G395" s="292"/>
      <c r="H395" s="292"/>
      <c r="I395" s="292"/>
      <c r="J395" s="292"/>
      <c r="K395" s="292"/>
      <c r="L395" s="292"/>
      <c r="M395" s="292"/>
      <c r="N395" s="292"/>
      <c r="O395" s="292"/>
      <c r="P395" s="70"/>
    </row>
    <row r="396" spans="1:94" x14ac:dyDescent="0.35">
      <c r="A396" s="91">
        <f>A395+1</f>
        <v>36</v>
      </c>
      <c r="B396" s="52" t="str">
        <f>B392</f>
        <v xml:space="preserve">    First 150,000 Mcf</v>
      </c>
      <c r="C396" s="139"/>
      <c r="D396" s="70">
        <f>'D pg 1'!D63</f>
        <v>0</v>
      </c>
      <c r="E396" s="70">
        <f>'D pg 1'!E63</f>
        <v>0</v>
      </c>
      <c r="F396" s="70">
        <f>'D pg 1'!F63</f>
        <v>0</v>
      </c>
      <c r="G396" s="70">
        <f>'D pg 1'!G63</f>
        <v>0</v>
      </c>
      <c r="H396" s="70">
        <f>'D pg 1'!H63</f>
        <v>0</v>
      </c>
      <c r="I396" s="70">
        <f>'D pg 1'!I63</f>
        <v>0</v>
      </c>
      <c r="J396" s="70">
        <f>'D pg 1'!J63</f>
        <v>0</v>
      </c>
      <c r="K396" s="70">
        <f>'D pg 1'!K63</f>
        <v>0</v>
      </c>
      <c r="L396" s="70">
        <f>'D pg 1'!L63</f>
        <v>0</v>
      </c>
      <c r="M396" s="70">
        <f>'D pg 1'!M63</f>
        <v>0</v>
      </c>
      <c r="N396" s="70">
        <f>'D pg 1'!N63</f>
        <v>0</v>
      </c>
      <c r="O396" s="70">
        <f>'D pg 1'!O63</f>
        <v>0</v>
      </c>
      <c r="P396" s="70">
        <f>SUM(D396:O396)</f>
        <v>0</v>
      </c>
    </row>
    <row r="397" spans="1:94" x14ac:dyDescent="0.35">
      <c r="A397" s="91">
        <f>A396+1</f>
        <v>37</v>
      </c>
      <c r="B397" s="52" t="str">
        <f>B393</f>
        <v xml:space="preserve">    Over 150,000 Mcf</v>
      </c>
      <c r="C397" s="139"/>
      <c r="D397" s="134">
        <f>'D pg 1'!D64</f>
        <v>0</v>
      </c>
      <c r="E397" s="134">
        <f>'D pg 1'!E64</f>
        <v>0</v>
      </c>
      <c r="F397" s="134">
        <f>'D pg 1'!F64</f>
        <v>0</v>
      </c>
      <c r="G397" s="134">
        <f>'D pg 1'!G64</f>
        <v>0</v>
      </c>
      <c r="H397" s="134">
        <f>'D pg 1'!H64</f>
        <v>0</v>
      </c>
      <c r="I397" s="134">
        <f>'D pg 1'!I64</f>
        <v>0</v>
      </c>
      <c r="J397" s="134">
        <f>'D pg 1'!J64</f>
        <v>0</v>
      </c>
      <c r="K397" s="134">
        <f>'D pg 1'!K64</f>
        <v>0</v>
      </c>
      <c r="L397" s="134">
        <f>'D pg 1'!L64</f>
        <v>0</v>
      </c>
      <c r="M397" s="134">
        <f>'D pg 1'!M64</f>
        <v>0</v>
      </c>
      <c r="N397" s="134">
        <f>'D pg 1'!N64</f>
        <v>0</v>
      </c>
      <c r="O397" s="134">
        <f>'D pg 1'!O64</f>
        <v>0</v>
      </c>
      <c r="P397" s="134">
        <f>SUM(D397:O397)</f>
        <v>0</v>
      </c>
    </row>
    <row r="398" spans="1:94" x14ac:dyDescent="0.35">
      <c r="A398" s="91"/>
      <c r="B398" s="52"/>
      <c r="C398" s="139"/>
      <c r="D398" s="70">
        <f t="shared" ref="D398:N398" si="86">SUM(D396:D397)</f>
        <v>0</v>
      </c>
      <c r="E398" s="70">
        <f t="shared" si="86"/>
        <v>0</v>
      </c>
      <c r="F398" s="70">
        <f t="shared" si="86"/>
        <v>0</v>
      </c>
      <c r="G398" s="70">
        <f t="shared" si="86"/>
        <v>0</v>
      </c>
      <c r="H398" s="70">
        <f t="shared" si="86"/>
        <v>0</v>
      </c>
      <c r="I398" s="70">
        <f t="shared" si="86"/>
        <v>0</v>
      </c>
      <c r="J398" s="70">
        <f t="shared" si="86"/>
        <v>0</v>
      </c>
      <c r="K398" s="70">
        <f t="shared" si="86"/>
        <v>0</v>
      </c>
      <c r="L398" s="70">
        <f t="shared" si="86"/>
        <v>0</v>
      </c>
      <c r="M398" s="70">
        <f t="shared" si="86"/>
        <v>0</v>
      </c>
      <c r="N398" s="70">
        <f t="shared" si="86"/>
        <v>0</v>
      </c>
      <c r="O398" s="70">
        <f>SUM(O396:O397)</f>
        <v>0</v>
      </c>
      <c r="P398" s="70">
        <f>SUM(D398:O398)</f>
        <v>0</v>
      </c>
    </row>
    <row r="399" spans="1:94" s="100" customFormat="1" x14ac:dyDescent="0.35">
      <c r="A399" s="91">
        <f>A397+1</f>
        <v>38</v>
      </c>
      <c r="B399" s="52" t="s">
        <v>260</v>
      </c>
      <c r="C399" s="105"/>
      <c r="D399" s="102"/>
      <c r="E399" s="102"/>
      <c r="F399" s="102"/>
      <c r="G399" s="70"/>
      <c r="H399" s="70"/>
      <c r="I399" s="70"/>
      <c r="J399" s="70"/>
      <c r="K399" s="70"/>
      <c r="L399" s="70"/>
      <c r="M399" s="102"/>
      <c r="N399" s="102"/>
      <c r="O399" s="102"/>
      <c r="P399" s="103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  <c r="BT399" s="52"/>
      <c r="BU399" s="52"/>
      <c r="BV399" s="52"/>
      <c r="BW399" s="52"/>
      <c r="BX399" s="52"/>
      <c r="BY399" s="52"/>
      <c r="BZ399" s="52"/>
      <c r="CA399" s="52"/>
      <c r="CB399" s="52"/>
      <c r="CC399" s="52"/>
      <c r="CD399" s="52"/>
      <c r="CE399" s="52"/>
      <c r="CF399" s="52"/>
      <c r="CG399" s="52"/>
      <c r="CH399" s="52"/>
      <c r="CI399" s="52"/>
      <c r="CJ399" s="52"/>
      <c r="CK399" s="52"/>
      <c r="CL399" s="52"/>
      <c r="CM399" s="52"/>
      <c r="CN399" s="52"/>
      <c r="CO399" s="52"/>
      <c r="CP399" s="52"/>
    </row>
    <row r="400" spans="1:94" x14ac:dyDescent="0.35">
      <c r="A400" s="91">
        <f>A399+1</f>
        <v>39</v>
      </c>
      <c r="B400" s="52" t="str">
        <f>B396</f>
        <v xml:space="preserve">    First 150,000 Mcf</v>
      </c>
      <c r="C400" s="127"/>
      <c r="D400" s="161">
        <f>D392+D396</f>
        <v>0</v>
      </c>
      <c r="E400" s="161">
        <f t="shared" ref="E400:O400" si="87">E392+E396</f>
        <v>0</v>
      </c>
      <c r="F400" s="161">
        <f t="shared" si="87"/>
        <v>0</v>
      </c>
      <c r="G400" s="161">
        <f t="shared" si="87"/>
        <v>0</v>
      </c>
      <c r="H400" s="161">
        <f t="shared" si="87"/>
        <v>0</v>
      </c>
      <c r="I400" s="161">
        <f t="shared" si="87"/>
        <v>0</v>
      </c>
      <c r="J400" s="161">
        <f t="shared" si="87"/>
        <v>0</v>
      </c>
      <c r="K400" s="161">
        <f t="shared" si="87"/>
        <v>0</v>
      </c>
      <c r="L400" s="161">
        <f t="shared" si="87"/>
        <v>0</v>
      </c>
      <c r="M400" s="161">
        <f t="shared" si="87"/>
        <v>0</v>
      </c>
      <c r="N400" s="161">
        <f t="shared" si="87"/>
        <v>0</v>
      </c>
      <c r="O400" s="161">
        <f t="shared" si="87"/>
        <v>0</v>
      </c>
      <c r="P400" s="102">
        <f>SUM(D400:O400)</f>
        <v>0</v>
      </c>
      <c r="S400" s="131"/>
    </row>
    <row r="401" spans="1:19" x14ac:dyDescent="0.35">
      <c r="A401" s="91">
        <f>A400+1</f>
        <v>40</v>
      </c>
      <c r="B401" s="52" t="str">
        <f>B397</f>
        <v xml:space="preserve">    Over 150,000 Mcf</v>
      </c>
      <c r="C401" s="127"/>
      <c r="D401" s="136">
        <f>D393+D397</f>
        <v>0</v>
      </c>
      <c r="E401" s="136">
        <f>E393+E397</f>
        <v>0</v>
      </c>
      <c r="F401" s="136">
        <f>F393+F397</f>
        <v>0</v>
      </c>
      <c r="G401" s="136">
        <f t="shared" ref="G401:O401" si="88">G393+G397</f>
        <v>0</v>
      </c>
      <c r="H401" s="136">
        <f t="shared" si="88"/>
        <v>0</v>
      </c>
      <c r="I401" s="136">
        <f t="shared" si="88"/>
        <v>0</v>
      </c>
      <c r="J401" s="136">
        <f t="shared" si="88"/>
        <v>0</v>
      </c>
      <c r="K401" s="136">
        <f t="shared" si="88"/>
        <v>0</v>
      </c>
      <c r="L401" s="136">
        <f t="shared" si="88"/>
        <v>0</v>
      </c>
      <c r="M401" s="136">
        <f t="shared" si="88"/>
        <v>0</v>
      </c>
      <c r="N401" s="136">
        <f t="shared" si="88"/>
        <v>0</v>
      </c>
      <c r="O401" s="136">
        <f t="shared" si="88"/>
        <v>0</v>
      </c>
      <c r="P401" s="136">
        <f>SUM(D401:O401)</f>
        <v>0</v>
      </c>
      <c r="S401" s="131"/>
    </row>
    <row r="402" spans="1:19" s="52" customFormat="1" x14ac:dyDescent="0.35">
      <c r="A402" s="91">
        <f>A401+1</f>
        <v>41</v>
      </c>
      <c r="B402" s="52" t="s">
        <v>340</v>
      </c>
      <c r="C402" s="127"/>
      <c r="D402" s="161">
        <f>D394+D398</f>
        <v>0</v>
      </c>
      <c r="E402" s="161">
        <f t="shared" ref="E402:O402" si="89">E394+E398</f>
        <v>0</v>
      </c>
      <c r="F402" s="161">
        <f t="shared" si="89"/>
        <v>0</v>
      </c>
      <c r="G402" s="161">
        <f t="shared" si="89"/>
        <v>0</v>
      </c>
      <c r="H402" s="161">
        <f t="shared" si="89"/>
        <v>0</v>
      </c>
      <c r="I402" s="161">
        <f t="shared" si="89"/>
        <v>0</v>
      </c>
      <c r="J402" s="161">
        <f t="shared" si="89"/>
        <v>0</v>
      </c>
      <c r="K402" s="161">
        <f t="shared" si="89"/>
        <v>0</v>
      </c>
      <c r="L402" s="161">
        <f t="shared" si="89"/>
        <v>0</v>
      </c>
      <c r="M402" s="161">
        <f t="shared" si="89"/>
        <v>0</v>
      </c>
      <c r="N402" s="161">
        <f t="shared" si="89"/>
        <v>0</v>
      </c>
      <c r="O402" s="161">
        <f t="shared" si="89"/>
        <v>0</v>
      </c>
      <c r="P402" s="102">
        <f>SUM(D402:O402)</f>
        <v>0</v>
      </c>
      <c r="S402" s="131"/>
    </row>
    <row r="403" spans="1:19" s="52" customFormat="1" x14ac:dyDescent="0.35">
      <c r="A403" s="91"/>
      <c r="C403" s="127"/>
      <c r="D403" s="340"/>
      <c r="E403" s="340"/>
      <c r="F403" s="340"/>
      <c r="G403" s="340"/>
      <c r="H403" s="340"/>
      <c r="I403" s="340"/>
      <c r="J403" s="340"/>
      <c r="K403" s="340"/>
      <c r="L403" s="340"/>
      <c r="M403" s="340"/>
      <c r="N403" s="340"/>
      <c r="O403" s="340"/>
      <c r="P403" s="102"/>
      <c r="S403" s="131"/>
    </row>
    <row r="404" spans="1:19" s="52" customFormat="1" x14ac:dyDescent="0.35">
      <c r="A404" s="806" t="str">
        <f>CONAME</f>
        <v>Columbia Gas of Kentucky, Inc.</v>
      </c>
      <c r="B404" s="806"/>
      <c r="C404" s="806"/>
      <c r="D404" s="806"/>
      <c r="E404" s="806"/>
      <c r="F404" s="806"/>
      <c r="G404" s="806"/>
      <c r="H404" s="806"/>
      <c r="I404" s="806"/>
      <c r="J404" s="806"/>
      <c r="K404" s="806"/>
      <c r="L404" s="806"/>
      <c r="M404" s="806"/>
      <c r="N404" s="806"/>
      <c r="O404" s="806"/>
      <c r="P404" s="806"/>
      <c r="S404" s="131"/>
    </row>
    <row r="405" spans="1:19" s="52" customFormat="1" x14ac:dyDescent="0.35">
      <c r="A405" s="806" t="s">
        <v>194</v>
      </c>
      <c r="B405" s="806"/>
      <c r="C405" s="806"/>
      <c r="D405" s="806"/>
      <c r="E405" s="806"/>
      <c r="F405" s="806"/>
      <c r="G405" s="806"/>
      <c r="H405" s="806"/>
      <c r="I405" s="806"/>
      <c r="J405" s="806"/>
      <c r="K405" s="806"/>
      <c r="L405" s="806"/>
      <c r="M405" s="806"/>
      <c r="N405" s="806"/>
      <c r="O405" s="806"/>
      <c r="P405" s="806"/>
      <c r="S405" s="131"/>
    </row>
    <row r="406" spans="1:19" s="52" customFormat="1" x14ac:dyDescent="0.35">
      <c r="A406" s="805" t="str">
        <f>TYDESC</f>
        <v>For the 12 Months Ended December 31, 2022</v>
      </c>
      <c r="B406" s="805"/>
      <c r="C406" s="805"/>
      <c r="D406" s="805"/>
      <c r="E406" s="805"/>
      <c r="F406" s="805"/>
      <c r="G406" s="805"/>
      <c r="H406" s="805"/>
      <c r="I406" s="805"/>
      <c r="J406" s="805"/>
      <c r="K406" s="805"/>
      <c r="L406" s="805"/>
      <c r="M406" s="805"/>
      <c r="N406" s="805"/>
      <c r="O406" s="805"/>
      <c r="P406" s="805"/>
      <c r="S406" s="131"/>
    </row>
    <row r="407" spans="1:19" s="52" customFormat="1" x14ac:dyDescent="0.35">
      <c r="A407" s="97" t="str">
        <f>$A$5</f>
        <v>Data: __ Base Period_X_Forecasted Period</v>
      </c>
      <c r="C407" s="105"/>
      <c r="D407" s="105"/>
      <c r="E407" s="105"/>
      <c r="F407" s="105"/>
      <c r="G407" s="93"/>
      <c r="H407" s="93"/>
      <c r="I407" s="93"/>
      <c r="J407" s="93"/>
      <c r="K407" s="93"/>
      <c r="L407" s="93"/>
      <c r="M407" s="93"/>
      <c r="N407" s="93"/>
      <c r="O407" s="93"/>
      <c r="P407" s="293" t="str">
        <f>$P$5</f>
        <v>Workpaper WPM-C.2</v>
      </c>
      <c r="S407" s="131"/>
    </row>
    <row r="408" spans="1:19" s="52" customFormat="1" x14ac:dyDescent="0.35">
      <c r="A408" s="97" t="str">
        <f>$A$6</f>
        <v>Type of Filing: X Original _ Update _ Revised</v>
      </c>
      <c r="C408" s="105"/>
      <c r="D408" s="105"/>
      <c r="E408" s="105"/>
      <c r="F408" s="105"/>
      <c r="G408" s="93"/>
      <c r="H408" s="93"/>
      <c r="I408" s="93"/>
      <c r="J408" s="93"/>
      <c r="K408" s="93"/>
      <c r="L408" s="93"/>
      <c r="M408" s="93"/>
      <c r="N408" s="93"/>
      <c r="O408" s="93"/>
      <c r="P408" s="294" t="s">
        <v>349</v>
      </c>
      <c r="S408" s="131"/>
    </row>
    <row r="409" spans="1:19" s="52" customFormat="1" x14ac:dyDescent="0.35">
      <c r="A409" s="97" t="str">
        <f>$A$7</f>
        <v>Work Paper Reference No(s):</v>
      </c>
      <c r="C409" s="105"/>
      <c r="D409" s="105"/>
      <c r="E409" s="105"/>
      <c r="F409" s="105"/>
      <c r="G409" s="93"/>
      <c r="H409" s="93"/>
      <c r="I409" s="93"/>
      <c r="J409" s="93"/>
      <c r="K409" s="93"/>
      <c r="L409" s="93"/>
      <c r="M409" s="93"/>
      <c r="N409" s="93"/>
      <c r="O409" s="93"/>
      <c r="P409" s="294"/>
      <c r="S409" s="131"/>
    </row>
    <row r="410" spans="1:19" s="52" customFormat="1" x14ac:dyDescent="0.35">
      <c r="A410" s="128" t="str">
        <f>$A$8</f>
        <v>12 Months Forecasted</v>
      </c>
      <c r="B410" s="120"/>
      <c r="C410" s="105"/>
      <c r="D410" s="295"/>
      <c r="E410" s="105"/>
      <c r="F410" s="296"/>
      <c r="G410" s="297"/>
      <c r="H410" s="296"/>
      <c r="I410" s="298"/>
      <c r="J410" s="296"/>
      <c r="K410" s="296"/>
      <c r="L410" s="296"/>
      <c r="M410" s="296"/>
      <c r="N410" s="296"/>
      <c r="O410" s="296"/>
      <c r="P410" s="286"/>
      <c r="S410" s="131"/>
    </row>
    <row r="411" spans="1:19" s="52" customFormat="1" x14ac:dyDescent="0.35">
      <c r="A411" s="98"/>
      <c r="B411" s="120"/>
      <c r="C411" s="105"/>
      <c r="D411" s="295"/>
      <c r="E411" s="105"/>
      <c r="F411" s="296"/>
      <c r="G411" s="297"/>
      <c r="H411" s="296"/>
      <c r="I411" s="298"/>
      <c r="J411" s="296"/>
      <c r="K411" s="296"/>
      <c r="L411" s="296"/>
      <c r="M411" s="296"/>
      <c r="N411" s="296"/>
      <c r="O411" s="296"/>
      <c r="P411" s="286"/>
      <c r="S411" s="131"/>
    </row>
    <row r="412" spans="1:19" s="52" customFormat="1" x14ac:dyDescent="0.35">
      <c r="A412" s="120" t="s">
        <v>1</v>
      </c>
      <c r="B412" s="120"/>
      <c r="C412" s="105"/>
      <c r="D412" s="295"/>
      <c r="E412" s="105"/>
      <c r="F412" s="296"/>
      <c r="G412" s="297"/>
      <c r="H412" s="296"/>
      <c r="I412" s="298"/>
      <c r="J412" s="296"/>
      <c r="K412" s="296"/>
      <c r="L412" s="296"/>
      <c r="M412" s="296"/>
      <c r="N412" s="296"/>
      <c r="O412" s="296"/>
      <c r="P412" s="286"/>
      <c r="S412" s="131"/>
    </row>
    <row r="413" spans="1:19" s="52" customFormat="1" x14ac:dyDescent="0.35">
      <c r="A413" s="288" t="s">
        <v>3</v>
      </c>
      <c r="B413" s="288" t="s">
        <v>4</v>
      </c>
      <c r="C413" s="289" t="s">
        <v>183</v>
      </c>
      <c r="D413" s="290" t="str">
        <f>B!$D$11</f>
        <v>Jan-22</v>
      </c>
      <c r="E413" s="290" t="str">
        <f>B!$E$11</f>
        <v>Feb-22</v>
      </c>
      <c r="F413" s="290" t="str">
        <f>B!$F$11</f>
        <v>Mar-22</v>
      </c>
      <c r="G413" s="290" t="str">
        <f>B!$G$11</f>
        <v>Apr-22</v>
      </c>
      <c r="H413" s="290" t="str">
        <f>B!$H$11</f>
        <v>May-22</v>
      </c>
      <c r="I413" s="290" t="str">
        <f>B!$I$11</f>
        <v>Jun-22</v>
      </c>
      <c r="J413" s="290" t="str">
        <f>B!$J$11</f>
        <v>Jul-22</v>
      </c>
      <c r="K413" s="290" t="str">
        <f>B!$K$11</f>
        <v>Aug-22</v>
      </c>
      <c r="L413" s="290" t="str">
        <f>B!$L$11</f>
        <v>Sep-22</v>
      </c>
      <c r="M413" s="290" t="str">
        <f>B!$M$11</f>
        <v>Oct-22</v>
      </c>
      <c r="N413" s="290" t="str">
        <f>B!$N$11</f>
        <v>Nov-22</v>
      </c>
      <c r="O413" s="290" t="str">
        <f>B!$O$11</f>
        <v>Dec-22</v>
      </c>
      <c r="P413" s="211" t="s">
        <v>9</v>
      </c>
      <c r="S413" s="131"/>
    </row>
    <row r="414" spans="1:19" s="52" customFormat="1" x14ac:dyDescent="0.35">
      <c r="A414" s="120"/>
      <c r="B414" s="131" t="s">
        <v>42</v>
      </c>
      <c r="C414" s="127" t="s">
        <v>43</v>
      </c>
      <c r="D414" s="285" t="s">
        <v>45</v>
      </c>
      <c r="E414" s="285" t="s">
        <v>46</v>
      </c>
      <c r="F414" s="285" t="s">
        <v>49</v>
      </c>
      <c r="G414" s="285" t="s">
        <v>50</v>
      </c>
      <c r="H414" s="285" t="s">
        <v>51</v>
      </c>
      <c r="I414" s="285" t="s">
        <v>52</v>
      </c>
      <c r="J414" s="285" t="s">
        <v>53</v>
      </c>
      <c r="K414" s="132" t="s">
        <v>54</v>
      </c>
      <c r="L414" s="132" t="s">
        <v>55</v>
      </c>
      <c r="M414" s="132" t="s">
        <v>56</v>
      </c>
      <c r="N414" s="132" t="s">
        <v>57</v>
      </c>
      <c r="O414" s="132" t="s">
        <v>58</v>
      </c>
      <c r="P414" s="132" t="s">
        <v>59</v>
      </c>
      <c r="S414" s="131"/>
    </row>
    <row r="415" spans="1:19" ht="16" thickBot="1" x14ac:dyDescent="0.4">
      <c r="A415" s="120"/>
      <c r="B415" s="120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20"/>
      <c r="S415" s="131"/>
    </row>
    <row r="416" spans="1:19" x14ac:dyDescent="0.35">
      <c r="A416" s="137">
        <v>1</v>
      </c>
      <c r="B416" s="121" t="s">
        <v>15</v>
      </c>
      <c r="C416" s="122"/>
      <c r="D416" s="122"/>
      <c r="E416" s="122"/>
      <c r="F416" s="122"/>
      <c r="G416" s="122"/>
      <c r="H416" s="122"/>
      <c r="I416" s="122"/>
      <c r="J416" s="122"/>
      <c r="K416" s="144"/>
      <c r="L416" s="144"/>
      <c r="M416" s="144"/>
      <c r="N416" s="144"/>
      <c r="O416" s="144"/>
      <c r="P416" s="138"/>
    </row>
    <row r="417" spans="1:16" x14ac:dyDescent="0.35">
      <c r="A417" s="125"/>
      <c r="B417" s="52"/>
      <c r="C417" s="85"/>
      <c r="D417" s="85"/>
      <c r="E417" s="85"/>
      <c r="F417" s="85"/>
      <c r="G417" s="85"/>
      <c r="H417" s="85"/>
      <c r="I417" s="85"/>
      <c r="J417" s="85"/>
      <c r="K417" s="93"/>
      <c r="L417" s="93"/>
      <c r="M417" s="93"/>
      <c r="N417" s="93"/>
      <c r="O417" s="93"/>
      <c r="P417" s="124"/>
    </row>
    <row r="418" spans="1:16" x14ac:dyDescent="0.35">
      <c r="A418" s="125">
        <f>A416+1</f>
        <v>2</v>
      </c>
      <c r="B418" s="52" t="s">
        <v>35</v>
      </c>
      <c r="C418" s="85"/>
      <c r="D418" s="85"/>
      <c r="E418" s="85"/>
      <c r="F418" s="85"/>
      <c r="G418" s="85"/>
      <c r="H418" s="85"/>
      <c r="I418" s="85"/>
      <c r="J418" s="85"/>
      <c r="K418" s="93"/>
      <c r="L418" s="93"/>
      <c r="M418" s="93"/>
      <c r="N418" s="93"/>
      <c r="O418" s="93"/>
      <c r="P418" s="124"/>
    </row>
    <row r="419" spans="1:16" x14ac:dyDescent="0.35">
      <c r="A419" s="125">
        <f>A418+1</f>
        <v>3</v>
      </c>
      <c r="B419" s="52" t="s">
        <v>339</v>
      </c>
      <c r="C419" s="85"/>
      <c r="D419" s="85">
        <f t="shared" ref="D419:O419" si="90">D185</f>
        <v>212675.3</v>
      </c>
      <c r="E419" s="85">
        <f t="shared" si="90"/>
        <v>214378.7</v>
      </c>
      <c r="F419" s="85">
        <f t="shared" si="90"/>
        <v>164319.6</v>
      </c>
      <c r="G419" s="85">
        <f t="shared" si="90"/>
        <v>95714.2</v>
      </c>
      <c r="H419" s="85">
        <f t="shared" si="90"/>
        <v>41538.6</v>
      </c>
      <c r="I419" s="85">
        <f t="shared" si="90"/>
        <v>20296.2</v>
      </c>
      <c r="J419" s="85">
        <f t="shared" si="90"/>
        <v>10992.1</v>
      </c>
      <c r="K419" s="85">
        <f t="shared" si="90"/>
        <v>11810.7</v>
      </c>
      <c r="L419" s="85">
        <f t="shared" si="90"/>
        <v>13181.9</v>
      </c>
      <c r="M419" s="85">
        <f t="shared" si="90"/>
        <v>24764.3</v>
      </c>
      <c r="N419" s="85">
        <f t="shared" si="90"/>
        <v>64840.6</v>
      </c>
      <c r="O419" s="85">
        <f t="shared" si="90"/>
        <v>148097.5</v>
      </c>
      <c r="P419" s="145">
        <f>SUM(D419:O419)</f>
        <v>1022609.6999999998</v>
      </c>
    </row>
    <row r="420" spans="1:16" x14ac:dyDescent="0.35">
      <c r="A420" s="125">
        <f>A419+1</f>
        <v>4</v>
      </c>
      <c r="B420" s="52" t="s">
        <v>241</v>
      </c>
      <c r="C420" s="85"/>
      <c r="D420" s="119">
        <f t="shared" ref="D420:O420" si="91">D186</f>
        <v>0</v>
      </c>
      <c r="E420" s="119">
        <f t="shared" si="91"/>
        <v>0</v>
      </c>
      <c r="F420" s="119">
        <f t="shared" si="91"/>
        <v>0</v>
      </c>
      <c r="G420" s="119">
        <f t="shared" si="91"/>
        <v>0</v>
      </c>
      <c r="H420" s="119">
        <f t="shared" si="91"/>
        <v>0</v>
      </c>
      <c r="I420" s="119">
        <f t="shared" si="91"/>
        <v>0</v>
      </c>
      <c r="J420" s="119">
        <f t="shared" si="91"/>
        <v>0</v>
      </c>
      <c r="K420" s="119">
        <f t="shared" si="91"/>
        <v>0</v>
      </c>
      <c r="L420" s="119">
        <f t="shared" si="91"/>
        <v>0</v>
      </c>
      <c r="M420" s="119">
        <f t="shared" si="91"/>
        <v>0</v>
      </c>
      <c r="N420" s="119">
        <f t="shared" si="91"/>
        <v>0</v>
      </c>
      <c r="O420" s="119">
        <f t="shared" si="91"/>
        <v>0</v>
      </c>
      <c r="P420" s="309">
        <f>SUM(D420:O420)</f>
        <v>0</v>
      </c>
    </row>
    <row r="421" spans="1:16" x14ac:dyDescent="0.35">
      <c r="A421" s="125">
        <f>A420+1</f>
        <v>5</v>
      </c>
      <c r="B421" s="52" t="s">
        <v>260</v>
      </c>
      <c r="C421" s="85"/>
      <c r="D421" s="85">
        <f t="shared" ref="D421:O421" si="92">SUM(D419:D420)</f>
        <v>212675.3</v>
      </c>
      <c r="E421" s="85">
        <f t="shared" si="92"/>
        <v>214378.7</v>
      </c>
      <c r="F421" s="85">
        <f t="shared" si="92"/>
        <v>164319.6</v>
      </c>
      <c r="G421" s="85">
        <f t="shared" si="92"/>
        <v>95714.2</v>
      </c>
      <c r="H421" s="85">
        <f t="shared" si="92"/>
        <v>41538.6</v>
      </c>
      <c r="I421" s="85">
        <f t="shared" si="92"/>
        <v>20296.2</v>
      </c>
      <c r="J421" s="85">
        <f t="shared" si="92"/>
        <v>10992.1</v>
      </c>
      <c r="K421" s="85">
        <f t="shared" si="92"/>
        <v>11810.7</v>
      </c>
      <c r="L421" s="85">
        <f t="shared" si="92"/>
        <v>13181.9</v>
      </c>
      <c r="M421" s="85">
        <f t="shared" si="92"/>
        <v>24764.3</v>
      </c>
      <c r="N421" s="85">
        <f t="shared" si="92"/>
        <v>64840.6</v>
      </c>
      <c r="O421" s="85">
        <f t="shared" si="92"/>
        <v>148097.5</v>
      </c>
      <c r="P421" s="145">
        <f>SUM(D421:O421)</f>
        <v>1022609.6999999998</v>
      </c>
    </row>
    <row r="422" spans="1:16" x14ac:dyDescent="0.35">
      <c r="A422" s="125"/>
      <c r="B422" s="52"/>
      <c r="C422" s="85"/>
      <c r="D422" s="85"/>
      <c r="E422" s="85"/>
      <c r="F422" s="85"/>
      <c r="G422" s="85"/>
      <c r="H422" s="85"/>
      <c r="I422" s="85"/>
      <c r="J422" s="85"/>
      <c r="K422" s="93"/>
      <c r="L422" s="93"/>
      <c r="M422" s="93"/>
      <c r="N422" s="93"/>
      <c r="O422" s="93"/>
      <c r="P422" s="123"/>
    </row>
    <row r="423" spans="1:16" x14ac:dyDescent="0.35">
      <c r="A423" s="125">
        <f>A421+1</f>
        <v>6</v>
      </c>
      <c r="B423" s="52" t="s">
        <v>16</v>
      </c>
      <c r="C423" s="85"/>
      <c r="D423" s="85"/>
      <c r="E423" s="85"/>
      <c r="F423" s="85"/>
      <c r="G423" s="85"/>
      <c r="H423" s="85"/>
      <c r="I423" s="85"/>
      <c r="J423" s="85"/>
      <c r="K423" s="93"/>
      <c r="L423" s="93"/>
      <c r="M423" s="93"/>
      <c r="N423" s="93"/>
      <c r="O423" s="93"/>
      <c r="P423" s="124"/>
    </row>
    <row r="424" spans="1:16" x14ac:dyDescent="0.35">
      <c r="A424" s="125">
        <f>A423+1</f>
        <v>7</v>
      </c>
      <c r="B424" s="52" t="s">
        <v>339</v>
      </c>
      <c r="C424" s="85"/>
      <c r="D424" s="85">
        <f t="shared" ref="D424:O424" si="93">D195+D247+D295+D335+D353+D380</f>
        <v>705821.4</v>
      </c>
      <c r="E424" s="85">
        <f t="shared" si="93"/>
        <v>648547.99999999988</v>
      </c>
      <c r="F424" s="85">
        <f t="shared" si="93"/>
        <v>537007.4</v>
      </c>
      <c r="G424" s="85">
        <f t="shared" si="93"/>
        <v>396942.9</v>
      </c>
      <c r="H424" s="85">
        <f t="shared" si="93"/>
        <v>278871.2</v>
      </c>
      <c r="I424" s="85">
        <f t="shared" si="93"/>
        <v>224276.40000000002</v>
      </c>
      <c r="J424" s="85">
        <f t="shared" si="93"/>
        <v>214517.69999999998</v>
      </c>
      <c r="K424" s="85">
        <f t="shared" si="93"/>
        <v>211091</v>
      </c>
      <c r="L424" s="85">
        <f t="shared" si="93"/>
        <v>222302.4</v>
      </c>
      <c r="M424" s="85">
        <f t="shared" si="93"/>
        <v>269184.2</v>
      </c>
      <c r="N424" s="85">
        <f t="shared" si="93"/>
        <v>412276.89999999997</v>
      </c>
      <c r="O424" s="85">
        <f t="shared" si="93"/>
        <v>587712.6</v>
      </c>
      <c r="P424" s="145">
        <f>SUM(D424:O424)</f>
        <v>4708552.0999999996</v>
      </c>
    </row>
    <row r="425" spans="1:16" x14ac:dyDescent="0.35">
      <c r="A425" s="125">
        <f>A424+1</f>
        <v>8</v>
      </c>
      <c r="B425" s="52" t="s">
        <v>241</v>
      </c>
      <c r="C425" s="85"/>
      <c r="D425" s="119">
        <f t="shared" ref="D425:O425" si="94">D201+D252+D301+D336+D354+D384</f>
        <v>0</v>
      </c>
      <c r="E425" s="119">
        <f t="shared" si="94"/>
        <v>0</v>
      </c>
      <c r="F425" s="119">
        <f t="shared" si="94"/>
        <v>0</v>
      </c>
      <c r="G425" s="119">
        <f t="shared" si="94"/>
        <v>0</v>
      </c>
      <c r="H425" s="119">
        <f t="shared" si="94"/>
        <v>0</v>
      </c>
      <c r="I425" s="119">
        <f t="shared" si="94"/>
        <v>0</v>
      </c>
      <c r="J425" s="119">
        <f t="shared" si="94"/>
        <v>0</v>
      </c>
      <c r="K425" s="119">
        <f t="shared" si="94"/>
        <v>0</v>
      </c>
      <c r="L425" s="119">
        <f t="shared" si="94"/>
        <v>0</v>
      </c>
      <c r="M425" s="119">
        <f t="shared" si="94"/>
        <v>0</v>
      </c>
      <c r="N425" s="119">
        <f t="shared" si="94"/>
        <v>0</v>
      </c>
      <c r="O425" s="119">
        <f t="shared" si="94"/>
        <v>0</v>
      </c>
      <c r="P425" s="309">
        <f>SUM(D425:O425)</f>
        <v>0</v>
      </c>
    </row>
    <row r="426" spans="1:16" x14ac:dyDescent="0.35">
      <c r="A426" s="125">
        <f>A425+1</f>
        <v>9</v>
      </c>
      <c r="B426" s="52" t="s">
        <v>260</v>
      </c>
      <c r="C426" s="85"/>
      <c r="D426" s="85">
        <f t="shared" ref="D426:O426" si="95">SUM(D424:D425)</f>
        <v>705821.4</v>
      </c>
      <c r="E426" s="85">
        <f t="shared" si="95"/>
        <v>648547.99999999988</v>
      </c>
      <c r="F426" s="85">
        <f t="shared" si="95"/>
        <v>537007.4</v>
      </c>
      <c r="G426" s="85">
        <f t="shared" si="95"/>
        <v>396942.9</v>
      </c>
      <c r="H426" s="85">
        <f t="shared" si="95"/>
        <v>278871.2</v>
      </c>
      <c r="I426" s="85">
        <f t="shared" si="95"/>
        <v>224276.40000000002</v>
      </c>
      <c r="J426" s="85">
        <f t="shared" si="95"/>
        <v>214517.69999999998</v>
      </c>
      <c r="K426" s="85">
        <f t="shared" si="95"/>
        <v>211091</v>
      </c>
      <c r="L426" s="85">
        <f t="shared" si="95"/>
        <v>222302.4</v>
      </c>
      <c r="M426" s="85">
        <f t="shared" si="95"/>
        <v>269184.2</v>
      </c>
      <c r="N426" s="85">
        <f t="shared" si="95"/>
        <v>412276.89999999997</v>
      </c>
      <c r="O426" s="85">
        <f t="shared" si="95"/>
        <v>587712.6</v>
      </c>
      <c r="P426" s="145">
        <f>SUM(D426:O426)</f>
        <v>4708552.0999999996</v>
      </c>
    </row>
    <row r="427" spans="1:16" x14ac:dyDescent="0.35">
      <c r="A427" s="125"/>
      <c r="B427" s="52"/>
      <c r="C427" s="85"/>
      <c r="D427" s="85"/>
      <c r="E427" s="85"/>
      <c r="F427" s="85"/>
      <c r="G427" s="85"/>
      <c r="H427" s="85"/>
      <c r="I427" s="85"/>
      <c r="J427" s="85"/>
      <c r="K427" s="93"/>
      <c r="L427" s="93"/>
      <c r="M427" s="93"/>
      <c r="N427" s="93"/>
      <c r="O427" s="93"/>
      <c r="P427" s="123"/>
    </row>
    <row r="428" spans="1:16" x14ac:dyDescent="0.35">
      <c r="A428" s="125">
        <f>A426+1</f>
        <v>10</v>
      </c>
      <c r="B428" s="93" t="s">
        <v>17</v>
      </c>
      <c r="C428" s="119"/>
      <c r="D428" s="119"/>
      <c r="E428" s="119"/>
      <c r="F428" s="119"/>
      <c r="G428" s="119"/>
      <c r="H428" s="119"/>
      <c r="I428" s="119"/>
      <c r="J428" s="119"/>
      <c r="K428" s="93"/>
      <c r="L428" s="93"/>
      <c r="M428" s="93"/>
      <c r="N428" s="93"/>
      <c r="O428" s="93"/>
      <c r="P428" s="124"/>
    </row>
    <row r="429" spans="1:16" x14ac:dyDescent="0.35">
      <c r="A429" s="125">
        <f>A428+1</f>
        <v>11</v>
      </c>
      <c r="B429" s="52" t="s">
        <v>339</v>
      </c>
      <c r="C429" s="119"/>
      <c r="D429" s="85">
        <f>D228+D264+D315+D330+D358+D366++D394</f>
        <v>1420736.1</v>
      </c>
      <c r="E429" s="85">
        <f t="shared" ref="E429:O429" si="96">E228+E264+E315+E330+E358+E366++E394</f>
        <v>1228354.4000000001</v>
      </c>
      <c r="F429" s="85">
        <f t="shared" si="96"/>
        <v>1295404.2999999998</v>
      </c>
      <c r="G429" s="85">
        <f t="shared" si="96"/>
        <v>1081278.2</v>
      </c>
      <c r="H429" s="85">
        <f t="shared" si="96"/>
        <v>906136</v>
      </c>
      <c r="I429" s="85">
        <f t="shared" si="96"/>
        <v>820394.8</v>
      </c>
      <c r="J429" s="85">
        <f t="shared" si="96"/>
        <v>783710.1</v>
      </c>
      <c r="K429" s="85">
        <f t="shared" si="96"/>
        <v>909064</v>
      </c>
      <c r="L429" s="85">
        <f t="shared" si="96"/>
        <v>968291.4</v>
      </c>
      <c r="M429" s="85">
        <f t="shared" si="96"/>
        <v>1176583.6000000001</v>
      </c>
      <c r="N429" s="85">
        <f t="shared" si="96"/>
        <v>1287766.8999999999</v>
      </c>
      <c r="O429" s="85">
        <f t="shared" si="96"/>
        <v>1387924.6</v>
      </c>
      <c r="P429" s="145">
        <f>SUM(D429:O429)</f>
        <v>13265644.399999999</v>
      </c>
    </row>
    <row r="430" spans="1:16" x14ac:dyDescent="0.35">
      <c r="A430" s="125">
        <f>A429+1</f>
        <v>12</v>
      </c>
      <c r="B430" s="52" t="s">
        <v>241</v>
      </c>
      <c r="C430" s="119"/>
      <c r="D430" s="119">
        <f>D234+D269+D321+D331+D359+D370+D398</f>
        <v>0</v>
      </c>
      <c r="E430" s="119">
        <f t="shared" ref="E430:O430" si="97">E234+E269+E321+E331+E359+E370+E398</f>
        <v>0</v>
      </c>
      <c r="F430" s="119">
        <f t="shared" si="97"/>
        <v>0</v>
      </c>
      <c r="G430" s="119">
        <f t="shared" si="97"/>
        <v>0</v>
      </c>
      <c r="H430" s="119">
        <f t="shared" si="97"/>
        <v>0</v>
      </c>
      <c r="I430" s="119">
        <f t="shared" si="97"/>
        <v>0</v>
      </c>
      <c r="J430" s="119">
        <f t="shared" si="97"/>
        <v>0</v>
      </c>
      <c r="K430" s="119">
        <f t="shared" si="97"/>
        <v>0</v>
      </c>
      <c r="L430" s="119">
        <f t="shared" si="97"/>
        <v>0</v>
      </c>
      <c r="M430" s="119">
        <f t="shared" si="97"/>
        <v>0</v>
      </c>
      <c r="N430" s="119">
        <f t="shared" si="97"/>
        <v>0</v>
      </c>
      <c r="O430" s="119">
        <f t="shared" si="97"/>
        <v>0</v>
      </c>
      <c r="P430" s="309">
        <f>SUM(D430:O430)</f>
        <v>0</v>
      </c>
    </row>
    <row r="431" spans="1:16" x14ac:dyDescent="0.35">
      <c r="A431" s="125">
        <f>A430+1</f>
        <v>13</v>
      </c>
      <c r="B431" s="52" t="s">
        <v>260</v>
      </c>
      <c r="C431" s="119"/>
      <c r="D431" s="85">
        <f t="shared" ref="D431:O431" si="98">SUM(D429:D430)</f>
        <v>1420736.1</v>
      </c>
      <c r="E431" s="85">
        <f t="shared" si="98"/>
        <v>1228354.4000000001</v>
      </c>
      <c r="F431" s="85">
        <f t="shared" si="98"/>
        <v>1295404.2999999998</v>
      </c>
      <c r="G431" s="85">
        <f t="shared" si="98"/>
        <v>1081278.2</v>
      </c>
      <c r="H431" s="85">
        <f t="shared" si="98"/>
        <v>906136</v>
      </c>
      <c r="I431" s="85">
        <f t="shared" si="98"/>
        <v>820394.8</v>
      </c>
      <c r="J431" s="85">
        <f t="shared" si="98"/>
        <v>783710.1</v>
      </c>
      <c r="K431" s="85">
        <f t="shared" si="98"/>
        <v>909064</v>
      </c>
      <c r="L431" s="85">
        <f t="shared" si="98"/>
        <v>968291.4</v>
      </c>
      <c r="M431" s="85">
        <f t="shared" si="98"/>
        <v>1176583.6000000001</v>
      </c>
      <c r="N431" s="85">
        <f t="shared" si="98"/>
        <v>1287766.8999999999</v>
      </c>
      <c r="O431" s="85">
        <f t="shared" si="98"/>
        <v>1387924.6</v>
      </c>
      <c r="P431" s="145">
        <f>SUM(D431:O431)</f>
        <v>13265644.399999999</v>
      </c>
    </row>
    <row r="432" spans="1:16" x14ac:dyDescent="0.35">
      <c r="A432" s="206"/>
      <c r="B432" s="93"/>
      <c r="C432" s="119"/>
      <c r="D432" s="119"/>
      <c r="E432" s="119"/>
      <c r="F432" s="119"/>
      <c r="G432" s="119"/>
      <c r="H432" s="119"/>
      <c r="I432" s="119"/>
      <c r="J432" s="119"/>
      <c r="K432" s="93"/>
      <c r="L432" s="93"/>
      <c r="M432" s="93"/>
      <c r="N432" s="93"/>
      <c r="O432" s="93"/>
      <c r="P432" s="123"/>
    </row>
    <row r="433" spans="1:94" x14ac:dyDescent="0.35">
      <c r="A433" s="125">
        <f>A431+1</f>
        <v>14</v>
      </c>
      <c r="B433" s="51" t="s">
        <v>18</v>
      </c>
      <c r="C433" s="85"/>
      <c r="D433" s="85"/>
      <c r="E433" s="85"/>
      <c r="F433" s="85"/>
      <c r="G433" s="85"/>
      <c r="H433" s="85"/>
      <c r="I433" s="85"/>
      <c r="J433" s="85"/>
      <c r="K433" s="93"/>
      <c r="L433" s="93"/>
      <c r="M433" s="93"/>
      <c r="N433" s="93"/>
      <c r="O433" s="93"/>
      <c r="P433" s="124"/>
    </row>
    <row r="434" spans="1:94" x14ac:dyDescent="0.35">
      <c r="A434" s="125">
        <f>A433+1</f>
        <v>15</v>
      </c>
      <c r="B434" s="52" t="s">
        <v>339</v>
      </c>
      <c r="C434" s="85"/>
      <c r="D434" s="85">
        <f t="shared" ref="D434:O434" si="99">D419+D424+D429</f>
        <v>2339232.7999999998</v>
      </c>
      <c r="E434" s="85">
        <f t="shared" si="99"/>
        <v>2091281.1</v>
      </c>
      <c r="F434" s="85">
        <f t="shared" si="99"/>
        <v>1996731.2999999998</v>
      </c>
      <c r="G434" s="85">
        <f t="shared" si="99"/>
        <v>1573935.3</v>
      </c>
      <c r="H434" s="85">
        <f t="shared" si="99"/>
        <v>1226545.8</v>
      </c>
      <c r="I434" s="85">
        <f t="shared" si="99"/>
        <v>1064967.4000000001</v>
      </c>
      <c r="J434" s="85">
        <f t="shared" si="99"/>
        <v>1009219.8999999999</v>
      </c>
      <c r="K434" s="85">
        <f t="shared" si="99"/>
        <v>1131965.7</v>
      </c>
      <c r="L434" s="85">
        <f t="shared" si="99"/>
        <v>1203775.7</v>
      </c>
      <c r="M434" s="85">
        <f t="shared" si="99"/>
        <v>1470532.1</v>
      </c>
      <c r="N434" s="85">
        <f t="shared" si="99"/>
        <v>1764884.4</v>
      </c>
      <c r="O434" s="85">
        <f t="shared" si="99"/>
        <v>2123734.7000000002</v>
      </c>
      <c r="P434" s="145">
        <f>SUM(D434:O434)</f>
        <v>18996806.199999999</v>
      </c>
    </row>
    <row r="435" spans="1:94" x14ac:dyDescent="0.35">
      <c r="A435" s="125">
        <f>A434+1</f>
        <v>16</v>
      </c>
      <c r="B435" s="52" t="s">
        <v>241</v>
      </c>
      <c r="C435" s="85"/>
      <c r="D435" s="119">
        <f t="shared" ref="D435:O435" si="100">D420+D425+D430</f>
        <v>0</v>
      </c>
      <c r="E435" s="119">
        <f t="shared" si="100"/>
        <v>0</v>
      </c>
      <c r="F435" s="119">
        <f t="shared" si="100"/>
        <v>0</v>
      </c>
      <c r="G435" s="119">
        <f t="shared" si="100"/>
        <v>0</v>
      </c>
      <c r="H435" s="119">
        <f t="shared" si="100"/>
        <v>0</v>
      </c>
      <c r="I435" s="119">
        <f t="shared" si="100"/>
        <v>0</v>
      </c>
      <c r="J435" s="119">
        <f t="shared" si="100"/>
        <v>0</v>
      </c>
      <c r="K435" s="119">
        <f t="shared" si="100"/>
        <v>0</v>
      </c>
      <c r="L435" s="119">
        <f t="shared" si="100"/>
        <v>0</v>
      </c>
      <c r="M435" s="119">
        <f t="shared" si="100"/>
        <v>0</v>
      </c>
      <c r="N435" s="119">
        <f t="shared" si="100"/>
        <v>0</v>
      </c>
      <c r="O435" s="119">
        <f t="shared" si="100"/>
        <v>0</v>
      </c>
      <c r="P435" s="309">
        <f>SUM(D435:O435)</f>
        <v>0</v>
      </c>
    </row>
    <row r="436" spans="1:94" ht="16" thickBot="1" x14ac:dyDescent="0.4">
      <c r="A436" s="126">
        <f>A435+1</f>
        <v>17</v>
      </c>
      <c r="B436" s="140" t="s">
        <v>260</v>
      </c>
      <c r="C436" s="207"/>
      <c r="D436" s="207">
        <f t="shared" ref="D436:O436" si="101">SUM(D434:D435)</f>
        <v>2339232.7999999998</v>
      </c>
      <c r="E436" s="207">
        <f t="shared" si="101"/>
        <v>2091281.1</v>
      </c>
      <c r="F436" s="207">
        <f t="shared" si="101"/>
        <v>1996731.2999999998</v>
      </c>
      <c r="G436" s="207">
        <f t="shared" si="101"/>
        <v>1573935.3</v>
      </c>
      <c r="H436" s="207">
        <f t="shared" si="101"/>
        <v>1226545.8</v>
      </c>
      <c r="I436" s="207">
        <f t="shared" si="101"/>
        <v>1064967.4000000001</v>
      </c>
      <c r="J436" s="207">
        <f t="shared" si="101"/>
        <v>1009219.8999999999</v>
      </c>
      <c r="K436" s="207">
        <f t="shared" si="101"/>
        <v>1131965.7</v>
      </c>
      <c r="L436" s="207">
        <f t="shared" si="101"/>
        <v>1203775.7</v>
      </c>
      <c r="M436" s="207">
        <f t="shared" si="101"/>
        <v>1470532.1</v>
      </c>
      <c r="N436" s="207">
        <f t="shared" si="101"/>
        <v>1764884.4</v>
      </c>
      <c r="O436" s="207">
        <f t="shared" si="101"/>
        <v>2123734.7000000002</v>
      </c>
      <c r="P436" s="143">
        <f>SUM(D436:O436)</f>
        <v>18996806.199999999</v>
      </c>
    </row>
    <row r="437" spans="1:94" x14ac:dyDescent="0.35">
      <c r="A437" s="91"/>
      <c r="B437" s="52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70"/>
    </row>
    <row r="438" spans="1:94" x14ac:dyDescent="0.35">
      <c r="A438" s="91"/>
      <c r="B438" s="52"/>
      <c r="C438" s="85"/>
      <c r="D438" s="85"/>
      <c r="E438" s="85"/>
      <c r="F438" s="85"/>
      <c r="G438" s="85"/>
      <c r="H438" s="85"/>
      <c r="I438" s="85"/>
      <c r="J438" s="85"/>
      <c r="K438" s="93"/>
      <c r="L438" s="93"/>
      <c r="M438" s="93"/>
      <c r="N438" s="93"/>
      <c r="O438" s="93"/>
      <c r="P438" s="53"/>
    </row>
    <row r="439" spans="1:94" ht="16" thickBot="1" x14ac:dyDescent="0.4">
      <c r="A439" s="91"/>
      <c r="B439" s="52"/>
      <c r="C439" s="85"/>
      <c r="D439" s="85"/>
      <c r="E439" s="85"/>
      <c r="F439" s="85"/>
      <c r="G439" s="85"/>
      <c r="H439" s="85"/>
      <c r="I439" s="85"/>
      <c r="J439" s="85"/>
      <c r="K439" s="93"/>
      <c r="L439" s="93"/>
      <c r="M439" s="93"/>
      <c r="N439" s="93"/>
      <c r="O439" s="93"/>
      <c r="P439" s="52"/>
    </row>
    <row r="440" spans="1:94" x14ac:dyDescent="0.35">
      <c r="A440" s="137">
        <f>A436+1</f>
        <v>18</v>
      </c>
      <c r="B440" s="121" t="s">
        <v>19</v>
      </c>
      <c r="C440" s="122"/>
      <c r="D440" s="122"/>
      <c r="E440" s="122"/>
      <c r="F440" s="122"/>
      <c r="G440" s="122"/>
      <c r="H440" s="122"/>
      <c r="I440" s="122"/>
      <c r="J440" s="122"/>
      <c r="K440" s="144"/>
      <c r="L440" s="144"/>
      <c r="M440" s="144"/>
      <c r="N440" s="144"/>
      <c r="O440" s="144"/>
      <c r="P440" s="138"/>
    </row>
    <row r="441" spans="1:94" x14ac:dyDescent="0.35">
      <c r="A441" s="125">
        <f>A440+1</f>
        <v>19</v>
      </c>
      <c r="B441" s="52" t="s">
        <v>339</v>
      </c>
      <c r="C441" s="85"/>
      <c r="D441" s="85">
        <f t="shared" ref="D441:O441" si="102">D179+D434</f>
        <v>4603407.5</v>
      </c>
      <c r="E441" s="85">
        <f t="shared" si="102"/>
        <v>4339127.5</v>
      </c>
      <c r="F441" s="85">
        <f t="shared" si="102"/>
        <v>3777998.2</v>
      </c>
      <c r="G441" s="85">
        <f t="shared" si="102"/>
        <v>2544477.9</v>
      </c>
      <c r="H441" s="85">
        <f t="shared" si="102"/>
        <v>1696982</v>
      </c>
      <c r="I441" s="85">
        <f t="shared" si="102"/>
        <v>1342391.5000000002</v>
      </c>
      <c r="J441" s="85">
        <f t="shared" si="102"/>
        <v>1199022.7999999998</v>
      </c>
      <c r="K441" s="85">
        <f t="shared" si="102"/>
        <v>1318257.5999999999</v>
      </c>
      <c r="L441" s="85">
        <f t="shared" si="102"/>
        <v>1410687.0999999999</v>
      </c>
      <c r="M441" s="85">
        <f t="shared" si="102"/>
        <v>1780152.1</v>
      </c>
      <c r="N441" s="85">
        <f t="shared" si="102"/>
        <v>2489359.5999999996</v>
      </c>
      <c r="O441" s="85">
        <f t="shared" si="102"/>
        <v>3772806.5999999996</v>
      </c>
      <c r="P441" s="123">
        <f>SUM(D441:O441)</f>
        <v>30274670.400000006</v>
      </c>
    </row>
    <row r="442" spans="1:94" x14ac:dyDescent="0.35">
      <c r="A442" s="125">
        <f>A441+1</f>
        <v>20</v>
      </c>
      <c r="B442" s="52" t="s">
        <v>241</v>
      </c>
      <c r="C442" s="127"/>
      <c r="D442" s="119">
        <f t="shared" ref="D442:O442" si="103">D180+D435</f>
        <v>4000</v>
      </c>
      <c r="E442" s="119">
        <f t="shared" si="103"/>
        <v>4000</v>
      </c>
      <c r="F442" s="119">
        <f t="shared" si="103"/>
        <v>500</v>
      </c>
      <c r="G442" s="119">
        <f t="shared" si="103"/>
        <v>-500</v>
      </c>
      <c r="H442" s="119">
        <f t="shared" si="103"/>
        <v>-700</v>
      </c>
      <c r="I442" s="119">
        <f t="shared" si="103"/>
        <v>-50</v>
      </c>
      <c r="J442" s="119">
        <f t="shared" si="103"/>
        <v>0</v>
      </c>
      <c r="K442" s="119">
        <f t="shared" si="103"/>
        <v>0</v>
      </c>
      <c r="L442" s="119">
        <f t="shared" si="103"/>
        <v>-50</v>
      </c>
      <c r="M442" s="119">
        <f t="shared" si="103"/>
        <v>0</v>
      </c>
      <c r="N442" s="119">
        <f t="shared" si="103"/>
        <v>2300</v>
      </c>
      <c r="O442" s="119">
        <f t="shared" si="103"/>
        <v>4000</v>
      </c>
      <c r="P442" s="368">
        <f>SUM(D442:O442)</f>
        <v>13500</v>
      </c>
      <c r="S442" s="131"/>
    </row>
    <row r="443" spans="1:94" ht="16" thickBot="1" x14ac:dyDescent="0.4">
      <c r="A443" s="126">
        <f>A442+1</f>
        <v>21</v>
      </c>
      <c r="B443" s="140" t="s">
        <v>260</v>
      </c>
      <c r="C443" s="141"/>
      <c r="D443" s="142">
        <f t="shared" ref="D443:O443" si="104">SUM(D441:D442)</f>
        <v>4607407.5</v>
      </c>
      <c r="E443" s="142">
        <f t="shared" si="104"/>
        <v>4343127.5</v>
      </c>
      <c r="F443" s="142">
        <f t="shared" si="104"/>
        <v>3778498.2</v>
      </c>
      <c r="G443" s="142">
        <f t="shared" si="104"/>
        <v>2543977.9</v>
      </c>
      <c r="H443" s="142">
        <f t="shared" si="104"/>
        <v>1696282</v>
      </c>
      <c r="I443" s="142">
        <f t="shared" si="104"/>
        <v>1342341.5000000002</v>
      </c>
      <c r="J443" s="142">
        <f t="shared" si="104"/>
        <v>1199022.7999999998</v>
      </c>
      <c r="K443" s="142">
        <f t="shared" si="104"/>
        <v>1318257.5999999999</v>
      </c>
      <c r="L443" s="142">
        <f t="shared" si="104"/>
        <v>1410637.0999999999</v>
      </c>
      <c r="M443" s="142">
        <f t="shared" si="104"/>
        <v>1780152.1</v>
      </c>
      <c r="N443" s="142">
        <f t="shared" si="104"/>
        <v>2491659.5999999996</v>
      </c>
      <c r="O443" s="142">
        <f t="shared" si="104"/>
        <v>3776806.5999999996</v>
      </c>
      <c r="P443" s="307">
        <f>SUM(D443:O443)</f>
        <v>30288170.400000006</v>
      </c>
    </row>
    <row r="444" spans="1:94" x14ac:dyDescent="0.35">
      <c r="A444" s="91"/>
      <c r="B444" s="52"/>
      <c r="C444" s="139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</row>
    <row r="445" spans="1:94" x14ac:dyDescent="0.35">
      <c r="A445" s="91"/>
      <c r="B445" s="52"/>
      <c r="C445" s="139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</row>
    <row r="446" spans="1:94" s="52" customFormat="1" x14ac:dyDescent="0.35">
      <c r="A446" s="91"/>
      <c r="C446" s="105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</row>
    <row r="447" spans="1:94" s="52" customFormat="1" x14ac:dyDescent="0.35">
      <c r="A447" s="91"/>
      <c r="C447" s="105"/>
      <c r="D447" s="70"/>
      <c r="E447" s="70"/>
      <c r="F447" s="70"/>
      <c r="G447" s="70"/>
      <c r="H447" s="70"/>
      <c r="I447" s="70"/>
      <c r="J447" s="70"/>
      <c r="K447" s="93"/>
      <c r="L447" s="93"/>
      <c r="M447" s="93"/>
      <c r="N447" s="93"/>
      <c r="O447" s="93"/>
      <c r="P447" s="53"/>
    </row>
    <row r="448" spans="1:94" s="63" customFormat="1" x14ac:dyDescent="0.35">
      <c r="A448" s="74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  <c r="AI448" s="93"/>
      <c r="AJ448" s="93"/>
      <c r="AK448" s="93"/>
      <c r="AL448" s="93"/>
      <c r="AM448" s="93"/>
      <c r="AN448" s="93"/>
      <c r="AO448" s="93"/>
      <c r="AP448" s="93"/>
      <c r="AQ448" s="93"/>
      <c r="AR448" s="93"/>
      <c r="AS448" s="93"/>
      <c r="AT448" s="93"/>
      <c r="AU448" s="93"/>
      <c r="AV448" s="93"/>
      <c r="AW448" s="93"/>
      <c r="AX448" s="93"/>
      <c r="AY448" s="93"/>
      <c r="AZ448" s="93"/>
      <c r="BA448" s="93"/>
      <c r="BB448" s="93"/>
      <c r="BC448" s="93"/>
      <c r="BD448" s="93"/>
      <c r="BE448" s="93"/>
      <c r="BF448" s="93"/>
      <c r="BG448" s="93"/>
      <c r="BH448" s="93"/>
      <c r="BI448" s="93"/>
      <c r="BJ448" s="93"/>
      <c r="BK448" s="93"/>
      <c r="BL448" s="93"/>
      <c r="BM448" s="93"/>
      <c r="BN448" s="93"/>
      <c r="BO448" s="93"/>
      <c r="BP448" s="93"/>
      <c r="BQ448" s="93"/>
      <c r="BR448" s="93"/>
      <c r="BS448" s="93"/>
      <c r="BT448" s="93"/>
      <c r="BU448" s="93"/>
      <c r="BV448" s="93"/>
      <c r="BW448" s="93"/>
      <c r="BX448" s="93"/>
      <c r="BY448" s="93"/>
      <c r="BZ448" s="93"/>
      <c r="CA448" s="93"/>
      <c r="CB448" s="93"/>
      <c r="CC448" s="93"/>
      <c r="CD448" s="93"/>
      <c r="CE448" s="93"/>
      <c r="CF448" s="93"/>
      <c r="CG448" s="93"/>
      <c r="CH448" s="93"/>
      <c r="CI448" s="93"/>
      <c r="CJ448" s="93"/>
      <c r="CK448" s="93"/>
      <c r="CL448" s="93"/>
      <c r="CM448" s="93"/>
      <c r="CN448" s="93"/>
      <c r="CO448" s="93"/>
      <c r="CP448" s="93"/>
    </row>
    <row r="449" spans="1:94" s="63" customFormat="1" x14ac:dyDescent="0.35">
      <c r="A449" s="74"/>
      <c r="B449" s="782"/>
      <c r="C449" s="733"/>
      <c r="D449" s="733"/>
      <c r="E449" s="70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93"/>
      <c r="AJ449" s="93"/>
      <c r="AK449" s="93"/>
      <c r="AL449" s="93"/>
      <c r="AM449" s="93"/>
      <c r="AN449" s="93"/>
      <c r="AO449" s="93"/>
      <c r="AP449" s="93"/>
      <c r="AQ449" s="93"/>
      <c r="AR449" s="93"/>
      <c r="AS449" s="93"/>
      <c r="AT449" s="93"/>
      <c r="AU449" s="93"/>
      <c r="AV449" s="93"/>
      <c r="AW449" s="93"/>
      <c r="AX449" s="93"/>
      <c r="AY449" s="93"/>
      <c r="AZ449" s="93"/>
      <c r="BA449" s="93"/>
      <c r="BB449" s="93"/>
      <c r="BC449" s="93"/>
      <c r="BD449" s="93"/>
      <c r="BE449" s="93"/>
      <c r="BF449" s="93"/>
      <c r="BG449" s="93"/>
      <c r="BH449" s="93"/>
      <c r="BI449" s="93"/>
      <c r="BJ449" s="93"/>
      <c r="BK449" s="93"/>
      <c r="BL449" s="93"/>
      <c r="BM449" s="93"/>
      <c r="BN449" s="93"/>
      <c r="BO449" s="93"/>
      <c r="BP449" s="93"/>
      <c r="BQ449" s="93"/>
      <c r="BR449" s="93"/>
      <c r="BS449" s="93"/>
      <c r="BT449" s="93"/>
      <c r="BU449" s="93"/>
      <c r="BV449" s="93"/>
      <c r="BW449" s="93"/>
      <c r="BX449" s="93"/>
      <c r="BY449" s="93"/>
      <c r="BZ449" s="93"/>
      <c r="CA449" s="93"/>
      <c r="CB449" s="93"/>
      <c r="CC449" s="93"/>
      <c r="CD449" s="93"/>
      <c r="CE449" s="93"/>
      <c r="CF449" s="93"/>
      <c r="CG449" s="93"/>
      <c r="CH449" s="93"/>
      <c r="CI449" s="93"/>
      <c r="CJ449" s="93"/>
      <c r="CK449" s="93"/>
      <c r="CL449" s="93"/>
      <c r="CM449" s="93"/>
      <c r="CN449" s="93"/>
      <c r="CO449" s="93"/>
      <c r="CP449" s="93"/>
    </row>
    <row r="450" spans="1:94" s="63" customFormat="1" x14ac:dyDescent="0.35">
      <c r="A450" s="74"/>
      <c r="B450" s="129"/>
      <c r="C450" s="139"/>
      <c r="D450" s="139"/>
      <c r="E450" s="783"/>
      <c r="F450" s="168"/>
      <c r="G450" s="168"/>
      <c r="H450" s="168"/>
      <c r="I450" s="168"/>
      <c r="J450" s="168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  <c r="AI450" s="93"/>
      <c r="AJ450" s="93"/>
      <c r="AK450" s="93"/>
      <c r="AL450" s="93"/>
      <c r="AM450" s="93"/>
      <c r="AN450" s="93"/>
      <c r="AO450" s="93"/>
      <c r="AP450" s="93"/>
      <c r="AQ450" s="93"/>
      <c r="AR450" s="93"/>
      <c r="AS450" s="93"/>
      <c r="AT450" s="93"/>
      <c r="AU450" s="93"/>
      <c r="AV450" s="93"/>
      <c r="AW450" s="93"/>
      <c r="AX450" s="93"/>
      <c r="AY450" s="93"/>
      <c r="AZ450" s="93"/>
      <c r="BA450" s="93"/>
      <c r="BB450" s="93"/>
      <c r="BC450" s="93"/>
      <c r="BD450" s="93"/>
      <c r="BE450" s="93"/>
      <c r="BF450" s="93"/>
      <c r="BG450" s="93"/>
      <c r="BH450" s="93"/>
      <c r="BI450" s="93"/>
      <c r="BJ450" s="93"/>
      <c r="BK450" s="93"/>
      <c r="BL450" s="93"/>
      <c r="BM450" s="93"/>
      <c r="BN450" s="93"/>
      <c r="BO450" s="93"/>
      <c r="BP450" s="93"/>
      <c r="BQ450" s="93"/>
      <c r="BR450" s="93"/>
      <c r="BS450" s="93"/>
      <c r="BT450" s="93"/>
      <c r="BU450" s="93"/>
      <c r="BV450" s="93"/>
      <c r="BW450" s="93"/>
      <c r="BX450" s="93"/>
      <c r="BY450" s="93"/>
      <c r="BZ450" s="93"/>
      <c r="CA450" s="93"/>
      <c r="CB450" s="93"/>
      <c r="CC450" s="93"/>
      <c r="CD450" s="93"/>
      <c r="CE450" s="93"/>
      <c r="CF450" s="93"/>
      <c r="CG450" s="93"/>
      <c r="CH450" s="93"/>
      <c r="CI450" s="93"/>
      <c r="CJ450" s="93"/>
      <c r="CK450" s="93"/>
      <c r="CL450" s="93"/>
      <c r="CM450" s="93"/>
      <c r="CN450" s="93"/>
      <c r="CO450" s="93"/>
      <c r="CP450" s="93"/>
    </row>
    <row r="451" spans="1:94" s="63" customFormat="1" x14ac:dyDescent="0.35">
      <c r="A451" s="74"/>
      <c r="B451" s="186"/>
      <c r="C451" s="784"/>
      <c r="D451" s="785"/>
      <c r="E451" s="784"/>
      <c r="F451" s="93"/>
      <c r="G451" s="93"/>
      <c r="H451" s="93"/>
      <c r="I451" s="93"/>
      <c r="J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  <c r="AH451" s="93"/>
      <c r="AI451" s="93"/>
      <c r="AJ451" s="93"/>
      <c r="AK451" s="93"/>
      <c r="AL451" s="93"/>
      <c r="AM451" s="93"/>
      <c r="AN451" s="93"/>
      <c r="AO451" s="93"/>
      <c r="AP451" s="93"/>
      <c r="AQ451" s="93"/>
      <c r="AR451" s="93"/>
      <c r="AS451" s="93"/>
      <c r="AT451" s="93"/>
      <c r="AU451" s="93"/>
      <c r="AV451" s="93"/>
      <c r="AW451" s="93"/>
      <c r="AX451" s="93"/>
      <c r="AY451" s="93"/>
      <c r="AZ451" s="93"/>
      <c r="BA451" s="93"/>
      <c r="BB451" s="93"/>
      <c r="BC451" s="93"/>
      <c r="BD451" s="93"/>
      <c r="BE451" s="93"/>
      <c r="BF451" s="93"/>
      <c r="BG451" s="93"/>
      <c r="BH451" s="93"/>
      <c r="BI451" s="93"/>
      <c r="BJ451" s="93"/>
      <c r="BK451" s="93"/>
      <c r="BL451" s="93"/>
      <c r="BM451" s="93"/>
      <c r="BN451" s="93"/>
      <c r="BO451" s="93"/>
      <c r="BP451" s="93"/>
      <c r="BQ451" s="93"/>
      <c r="BR451" s="93"/>
      <c r="BS451" s="93"/>
      <c r="BT451" s="93"/>
      <c r="BU451" s="93"/>
      <c r="BV451" s="93"/>
      <c r="BW451" s="93"/>
      <c r="BX451" s="93"/>
      <c r="BY451" s="93"/>
      <c r="BZ451" s="93"/>
      <c r="CA451" s="93"/>
      <c r="CB451" s="93"/>
      <c r="CC451" s="93"/>
      <c r="CD451" s="93"/>
      <c r="CE451" s="93"/>
      <c r="CF451" s="93"/>
      <c r="CG451" s="93"/>
      <c r="CH451" s="93"/>
      <c r="CI451" s="93"/>
      <c r="CJ451" s="93"/>
      <c r="CK451" s="93"/>
      <c r="CL451" s="93"/>
      <c r="CM451" s="93"/>
      <c r="CN451" s="93"/>
      <c r="CO451" s="93"/>
      <c r="CP451" s="93"/>
    </row>
    <row r="452" spans="1:94" s="63" customFormat="1" x14ac:dyDescent="0.35">
      <c r="A452" s="74"/>
      <c r="B452" s="93"/>
      <c r="C452" s="161"/>
      <c r="D452" s="785"/>
      <c r="E452" s="784"/>
      <c r="F452" s="210"/>
      <c r="G452" s="210"/>
      <c r="H452" s="93"/>
      <c r="I452" s="93"/>
      <c r="J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3"/>
      <c r="AJ452" s="93"/>
      <c r="AK452" s="93"/>
      <c r="AL452" s="93"/>
      <c r="AM452" s="93"/>
      <c r="AN452" s="93"/>
      <c r="AO452" s="93"/>
      <c r="AP452" s="93"/>
      <c r="AQ452" s="93"/>
      <c r="AR452" s="93"/>
      <c r="AS452" s="93"/>
      <c r="AT452" s="93"/>
      <c r="AU452" s="93"/>
      <c r="AV452" s="93"/>
      <c r="AW452" s="93"/>
      <c r="AX452" s="93"/>
      <c r="AY452" s="93"/>
      <c r="AZ452" s="93"/>
      <c r="BA452" s="93"/>
      <c r="BB452" s="93"/>
      <c r="BC452" s="93"/>
      <c r="BD452" s="93"/>
      <c r="BE452" s="93"/>
      <c r="BF452" s="93"/>
      <c r="BG452" s="93"/>
      <c r="BH452" s="93"/>
      <c r="BI452" s="93"/>
      <c r="BJ452" s="93"/>
      <c r="BK452" s="93"/>
      <c r="BL452" s="93"/>
      <c r="BM452" s="93"/>
      <c r="BN452" s="93"/>
      <c r="BO452" s="93"/>
      <c r="BP452" s="93"/>
      <c r="BQ452" s="93"/>
      <c r="BR452" s="93"/>
      <c r="BS452" s="93"/>
      <c r="BT452" s="93"/>
      <c r="BU452" s="93"/>
      <c r="BV452" s="93"/>
      <c r="BW452" s="93"/>
      <c r="BX452" s="93"/>
      <c r="BY452" s="93"/>
      <c r="BZ452" s="93"/>
      <c r="CA452" s="93"/>
      <c r="CB452" s="93"/>
      <c r="CC452" s="93"/>
      <c r="CD452" s="93"/>
      <c r="CE452" s="93"/>
      <c r="CF452" s="93"/>
      <c r="CG452" s="93"/>
      <c r="CH452" s="93"/>
      <c r="CI452" s="93"/>
      <c r="CJ452" s="93"/>
      <c r="CK452" s="93"/>
      <c r="CL452" s="93"/>
      <c r="CM452" s="93"/>
      <c r="CN452" s="93"/>
      <c r="CO452" s="93"/>
      <c r="CP452" s="93"/>
    </row>
    <row r="453" spans="1:94" x14ac:dyDescent="0.35">
      <c r="B453" s="93"/>
      <c r="C453" s="786"/>
      <c r="D453" s="785"/>
      <c r="E453" s="784"/>
      <c r="F453" s="210"/>
      <c r="G453" s="210"/>
      <c r="H453" s="93"/>
      <c r="I453" s="93"/>
      <c r="J453" s="93"/>
      <c r="P453" s="63"/>
    </row>
    <row r="454" spans="1:94" x14ac:dyDescent="0.35">
      <c r="B454" s="93"/>
      <c r="C454" s="784"/>
      <c r="D454" s="785"/>
      <c r="E454" s="784"/>
      <c r="F454" s="210"/>
      <c r="G454" s="210"/>
      <c r="H454" s="93"/>
      <c r="I454" s="93"/>
      <c r="J454" s="93"/>
      <c r="P454" s="63"/>
    </row>
    <row r="455" spans="1:94" ht="18.5" x14ac:dyDescent="0.65">
      <c r="B455" s="93"/>
      <c r="C455" s="787"/>
      <c r="D455" s="788"/>
      <c r="E455" s="789"/>
      <c r="F455" s="210"/>
      <c r="G455" s="210"/>
      <c r="H455" s="93"/>
      <c r="I455" s="93"/>
      <c r="J455" s="93"/>
      <c r="P455" s="63"/>
    </row>
    <row r="456" spans="1:94" x14ac:dyDescent="0.35">
      <c r="B456" s="93"/>
      <c r="C456" s="102"/>
      <c r="D456" s="102"/>
      <c r="E456" s="102"/>
      <c r="F456" s="93"/>
      <c r="G456" s="93"/>
      <c r="H456" s="93"/>
      <c r="I456" s="93"/>
      <c r="J456" s="93"/>
      <c r="P456" s="63"/>
    </row>
    <row r="457" spans="1:94" x14ac:dyDescent="0.35">
      <c r="B457" s="93"/>
      <c r="C457" s="93"/>
      <c r="D457" s="93"/>
      <c r="E457" s="93"/>
      <c r="F457" s="93"/>
      <c r="G457" s="93"/>
      <c r="H457" s="70"/>
      <c r="I457" s="70"/>
      <c r="J457" s="93"/>
      <c r="P457" s="63"/>
    </row>
    <row r="458" spans="1:94" x14ac:dyDescent="0.35">
      <c r="B458" s="93"/>
      <c r="C458" s="93"/>
      <c r="D458" s="93"/>
      <c r="E458" s="93"/>
      <c r="F458" s="93"/>
      <c r="G458" s="93"/>
      <c r="H458" s="93"/>
      <c r="I458" s="93"/>
      <c r="J458" s="93"/>
      <c r="P458" s="63"/>
    </row>
    <row r="459" spans="1:94" x14ac:dyDescent="0.35">
      <c r="B459" s="93"/>
      <c r="C459" s="93"/>
      <c r="D459" s="93"/>
      <c r="E459" s="93"/>
      <c r="F459" s="93"/>
      <c r="G459" s="93"/>
      <c r="H459" s="148"/>
      <c r="I459" s="93"/>
      <c r="J459" s="93"/>
      <c r="P459" s="63"/>
    </row>
  </sheetData>
  <mergeCells count="24">
    <mergeCell ref="A3:P3"/>
    <mergeCell ref="A2:P2"/>
    <mergeCell ref="A1:P1"/>
    <mergeCell ref="A56:P56"/>
    <mergeCell ref="A55:P55"/>
    <mergeCell ref="A54:P54"/>
    <mergeCell ref="A99:P99"/>
    <mergeCell ref="A98:P98"/>
    <mergeCell ref="A211:P211"/>
    <mergeCell ref="A145:P145"/>
    <mergeCell ref="A144:P144"/>
    <mergeCell ref="A143:P143"/>
    <mergeCell ref="A339:P339"/>
    <mergeCell ref="A210:P210"/>
    <mergeCell ref="A209:P209"/>
    <mergeCell ref="A100:P100"/>
    <mergeCell ref="A276:P276"/>
    <mergeCell ref="A277:P277"/>
    <mergeCell ref="A278:P278"/>
    <mergeCell ref="A406:P406"/>
    <mergeCell ref="A405:P405"/>
    <mergeCell ref="A404:P404"/>
    <mergeCell ref="A341:P341"/>
    <mergeCell ref="A340:P340"/>
  </mergeCells>
  <phoneticPr fontId="0" type="noConversion"/>
  <printOptions horizontalCentered="1"/>
  <pageMargins left="0" right="0" top="0.5" bottom="0" header="0" footer="0"/>
  <pageSetup scale="50" orientation="landscape" r:id="rId1"/>
  <headerFooter alignWithMargins="0"/>
  <rowBreaks count="7" manualBreakCount="7">
    <brk id="53" max="15" man="1"/>
    <brk id="97" max="15" man="1"/>
    <brk id="142" max="15" man="1"/>
    <brk id="208" max="15" man="1"/>
    <brk id="275" max="15" man="1"/>
    <brk id="338" max="15" man="1"/>
    <brk id="40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">
    <tabColor rgb="FFFFFF00"/>
  </sheetPr>
  <dimension ref="A1:Q230"/>
  <sheetViews>
    <sheetView topLeftCell="A70" workbookViewId="0">
      <selection sqref="A1:P1"/>
    </sheetView>
  </sheetViews>
  <sheetFormatPr defaultColWidth="10" defaultRowHeight="15.5" x14ac:dyDescent="0.35"/>
  <cols>
    <col min="1" max="1" width="8.625" style="87" customWidth="1"/>
    <col min="2" max="2" width="55" style="45" customWidth="1"/>
    <col min="3" max="3" width="18.625" style="63" customWidth="1"/>
    <col min="4" max="15" width="19.375" style="63" bestFit="1" customWidth="1"/>
    <col min="16" max="16" width="26.625" style="63" customWidth="1"/>
    <col min="17" max="16384" width="10" style="45"/>
  </cols>
  <sheetData>
    <row r="1" spans="1:17" x14ac:dyDescent="0.35">
      <c r="A1" s="809" t="str">
        <f>CONAME</f>
        <v>Columbia Gas of Kentucky, Inc.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</row>
    <row r="2" spans="1:17" x14ac:dyDescent="0.35">
      <c r="A2" s="809" t="s">
        <v>195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</row>
    <row r="3" spans="1:17" x14ac:dyDescent="0.35">
      <c r="A3" s="809" t="str">
        <f>TYDESC</f>
        <v>For the 12 Months Ended December 31, 2022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</row>
    <row r="5" spans="1:17" x14ac:dyDescent="0.35">
      <c r="A5" s="96" t="s">
        <v>334</v>
      </c>
    </row>
    <row r="6" spans="1:17" x14ac:dyDescent="0.35">
      <c r="A6" s="96" t="s">
        <v>220</v>
      </c>
    </row>
    <row r="7" spans="1:17" x14ac:dyDescent="0.35">
      <c r="A7" s="97" t="s">
        <v>63</v>
      </c>
      <c r="P7" s="146" t="s">
        <v>341</v>
      </c>
    </row>
    <row r="8" spans="1:17" x14ac:dyDescent="0.35">
      <c r="A8" s="98" t="s">
        <v>299</v>
      </c>
      <c r="H8" s="108"/>
      <c r="P8" s="147" t="s">
        <v>411</v>
      </c>
    </row>
    <row r="9" spans="1:17" x14ac:dyDescent="0.35">
      <c r="A9" s="98"/>
      <c r="H9" s="108"/>
    </row>
    <row r="10" spans="1:17" x14ac:dyDescent="0.35">
      <c r="A10" s="46" t="s">
        <v>1</v>
      </c>
      <c r="B10" s="46"/>
      <c r="C10" s="75"/>
      <c r="D10" s="164"/>
      <c r="E10" s="165"/>
      <c r="F10" s="164"/>
      <c r="G10" s="166"/>
      <c r="H10" s="164"/>
      <c r="I10" s="164"/>
      <c r="J10" s="164"/>
      <c r="K10" s="164"/>
      <c r="L10" s="164"/>
      <c r="M10" s="164"/>
      <c r="N10" s="78"/>
      <c r="O10" s="78"/>
      <c r="P10" s="78"/>
    </row>
    <row r="11" spans="1:17" x14ac:dyDescent="0.35">
      <c r="A11" s="56" t="s">
        <v>3</v>
      </c>
      <c r="B11" s="56" t="s">
        <v>4</v>
      </c>
      <c r="C11" s="77" t="s">
        <v>183</v>
      </c>
      <c r="D11" s="157" t="str">
        <f>B!$D$11</f>
        <v>Jan-22</v>
      </c>
      <c r="E11" s="157" t="str">
        <f>B!$E$11</f>
        <v>Feb-22</v>
      </c>
      <c r="F11" s="157" t="str">
        <f>B!$F$11</f>
        <v>Mar-22</v>
      </c>
      <c r="G11" s="157" t="str">
        <f>B!$G$11</f>
        <v>Apr-22</v>
      </c>
      <c r="H11" s="157" t="str">
        <f>B!$H$11</f>
        <v>May-22</v>
      </c>
      <c r="I11" s="157" t="str">
        <f>B!$I$11</f>
        <v>Jun-22</v>
      </c>
      <c r="J11" s="157" t="str">
        <f>B!$J$11</f>
        <v>Jul-22</v>
      </c>
      <c r="K11" s="157" t="str">
        <f>B!$K$11</f>
        <v>Aug-22</v>
      </c>
      <c r="L11" s="157" t="str">
        <f>B!$L$11</f>
        <v>Sep-22</v>
      </c>
      <c r="M11" s="157" t="str">
        <f>B!$M$11</f>
        <v>Oct-22</v>
      </c>
      <c r="N11" s="157" t="str">
        <f>B!$N$11</f>
        <v>Nov-22</v>
      </c>
      <c r="O11" s="157" t="str">
        <f>B!$O$11</f>
        <v>Dec-22</v>
      </c>
      <c r="P11" s="157" t="s">
        <v>9</v>
      </c>
      <c r="Q11" s="58"/>
    </row>
    <row r="12" spans="1:17" x14ac:dyDescent="0.35">
      <c r="A12" s="46"/>
      <c r="B12" s="47" t="s">
        <v>42</v>
      </c>
      <c r="C12" s="78" t="s">
        <v>43</v>
      </c>
      <c r="D12" s="160" t="s">
        <v>45</v>
      </c>
      <c r="E12" s="160" t="s">
        <v>46</v>
      </c>
      <c r="F12" s="160" t="s">
        <v>49</v>
      </c>
      <c r="G12" s="160" t="s">
        <v>50</v>
      </c>
      <c r="H12" s="160" t="s">
        <v>51</v>
      </c>
      <c r="I12" s="160" t="s">
        <v>52</v>
      </c>
      <c r="J12" s="160" t="s">
        <v>53</v>
      </c>
      <c r="K12" s="158" t="s">
        <v>54</v>
      </c>
      <c r="L12" s="158" t="s">
        <v>55</v>
      </c>
      <c r="M12" s="158" t="s">
        <v>56</v>
      </c>
      <c r="N12" s="158" t="s">
        <v>57</v>
      </c>
      <c r="O12" s="158" t="s">
        <v>58</v>
      </c>
      <c r="P12" s="158" t="s">
        <v>59</v>
      </c>
      <c r="Q12" s="47"/>
    </row>
    <row r="13" spans="1:17" x14ac:dyDescent="0.35">
      <c r="H13" s="108"/>
    </row>
    <row r="14" spans="1:17" x14ac:dyDescent="0.35">
      <c r="A14" s="118">
        <v>1</v>
      </c>
      <c r="B14" s="48" t="s">
        <v>350</v>
      </c>
      <c r="C14" s="74"/>
      <c r="H14" s="108"/>
    </row>
    <row r="15" spans="1:17" x14ac:dyDescent="0.35">
      <c r="A15" s="118"/>
      <c r="B15" s="48"/>
      <c r="C15" s="74"/>
      <c r="H15" s="108"/>
    </row>
    <row r="16" spans="1:17" x14ac:dyDescent="0.35">
      <c r="A16" s="118">
        <f>A14+1</f>
        <v>2</v>
      </c>
      <c r="B16" s="45" t="s">
        <v>251</v>
      </c>
      <c r="C16" s="106"/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61">
        <f t="shared" ref="P16:P21" si="0">SUM(D16:O16)</f>
        <v>0</v>
      </c>
    </row>
    <row r="17" spans="1:16" x14ac:dyDescent="0.35">
      <c r="A17" s="118">
        <f t="shared" ref="A17:A22" si="1">A16+1</f>
        <v>3</v>
      </c>
      <c r="B17" s="45" t="s">
        <v>261</v>
      </c>
      <c r="C17" s="106"/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61">
        <f t="shared" si="0"/>
        <v>0</v>
      </c>
    </row>
    <row r="18" spans="1:16" x14ac:dyDescent="0.35">
      <c r="A18" s="118">
        <f t="shared" si="1"/>
        <v>4</v>
      </c>
      <c r="B18" s="45" t="s">
        <v>268</v>
      </c>
      <c r="C18" s="106"/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61">
        <f t="shared" si="0"/>
        <v>0</v>
      </c>
    </row>
    <row r="19" spans="1:16" x14ac:dyDescent="0.35">
      <c r="A19" s="118">
        <f t="shared" si="1"/>
        <v>5</v>
      </c>
      <c r="B19" s="45" t="s">
        <v>258</v>
      </c>
      <c r="C19" s="106"/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61">
        <f t="shared" si="0"/>
        <v>0</v>
      </c>
    </row>
    <row r="20" spans="1:16" x14ac:dyDescent="0.35">
      <c r="A20" s="118">
        <f t="shared" si="1"/>
        <v>6</v>
      </c>
      <c r="B20" s="45" t="s">
        <v>259</v>
      </c>
      <c r="C20" s="106"/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61">
        <f t="shared" si="0"/>
        <v>0</v>
      </c>
    </row>
    <row r="21" spans="1:16" x14ac:dyDescent="0.35">
      <c r="A21" s="118">
        <f t="shared" si="1"/>
        <v>7</v>
      </c>
      <c r="B21" s="45" t="s">
        <v>276</v>
      </c>
      <c r="C21" s="106"/>
      <c r="D21" s="310">
        <v>0</v>
      </c>
      <c r="E21" s="310">
        <v>0</v>
      </c>
      <c r="F21" s="310">
        <v>0</v>
      </c>
      <c r="G21" s="310">
        <v>0</v>
      </c>
      <c r="H21" s="310">
        <v>0</v>
      </c>
      <c r="I21" s="310">
        <v>0</v>
      </c>
      <c r="J21" s="310">
        <v>0</v>
      </c>
      <c r="K21" s="310">
        <v>0</v>
      </c>
      <c r="L21" s="310">
        <v>0</v>
      </c>
      <c r="M21" s="310">
        <v>0</v>
      </c>
      <c r="N21" s="310">
        <v>0</v>
      </c>
      <c r="O21" s="310">
        <v>0</v>
      </c>
      <c r="P21" s="205">
        <f t="shared" si="0"/>
        <v>0</v>
      </c>
    </row>
    <row r="22" spans="1:16" x14ac:dyDescent="0.35">
      <c r="A22" s="107">
        <f t="shared" si="1"/>
        <v>8</v>
      </c>
      <c r="B22" s="104" t="s">
        <v>256</v>
      </c>
      <c r="C22" s="129"/>
      <c r="D22" s="149">
        <f t="shared" ref="D22:P22" si="2">SUM(D16:D21)</f>
        <v>0</v>
      </c>
      <c r="E22" s="149">
        <f t="shared" si="2"/>
        <v>0</v>
      </c>
      <c r="F22" s="149">
        <f t="shared" si="2"/>
        <v>0</v>
      </c>
      <c r="G22" s="149">
        <f t="shared" si="2"/>
        <v>0</v>
      </c>
      <c r="H22" s="149">
        <f t="shared" si="2"/>
        <v>0</v>
      </c>
      <c r="I22" s="149">
        <f t="shared" si="2"/>
        <v>0</v>
      </c>
      <c r="J22" s="149">
        <f t="shared" si="2"/>
        <v>0</v>
      </c>
      <c r="K22" s="149">
        <f t="shared" si="2"/>
        <v>0</v>
      </c>
      <c r="L22" s="149">
        <f t="shared" si="2"/>
        <v>0</v>
      </c>
      <c r="M22" s="149">
        <f t="shared" si="2"/>
        <v>0</v>
      </c>
      <c r="N22" s="149">
        <f t="shared" si="2"/>
        <v>0</v>
      </c>
      <c r="O22" s="149">
        <f t="shared" si="2"/>
        <v>0</v>
      </c>
      <c r="P22" s="149">
        <f t="shared" si="2"/>
        <v>0</v>
      </c>
    </row>
    <row r="23" spans="1:16" x14ac:dyDescent="0.35">
      <c r="A23" s="91"/>
      <c r="B23" s="52"/>
      <c r="C23" s="93"/>
      <c r="D23" s="93"/>
      <c r="E23" s="93"/>
      <c r="F23" s="93"/>
      <c r="G23" s="93"/>
      <c r="H23" s="291"/>
      <c r="I23" s="93"/>
      <c r="J23" s="93"/>
      <c r="K23" s="93"/>
      <c r="L23" s="93"/>
      <c r="M23" s="93"/>
      <c r="N23" s="93"/>
      <c r="O23" s="93"/>
      <c r="P23" s="93"/>
    </row>
    <row r="24" spans="1:16" x14ac:dyDescent="0.35">
      <c r="A24" s="91">
        <f>A22+1</f>
        <v>9</v>
      </c>
      <c r="B24" s="51" t="s">
        <v>284</v>
      </c>
      <c r="C24" s="93"/>
      <c r="D24" s="151">
        <f t="shared" ref="D24:P24" si="3">D22</f>
        <v>0</v>
      </c>
      <c r="E24" s="151">
        <f t="shared" si="3"/>
        <v>0</v>
      </c>
      <c r="F24" s="151">
        <f t="shared" si="3"/>
        <v>0</v>
      </c>
      <c r="G24" s="151">
        <f t="shared" si="3"/>
        <v>0</v>
      </c>
      <c r="H24" s="151">
        <f t="shared" si="3"/>
        <v>0</v>
      </c>
      <c r="I24" s="151">
        <f t="shared" si="3"/>
        <v>0</v>
      </c>
      <c r="J24" s="151">
        <f t="shared" si="3"/>
        <v>0</v>
      </c>
      <c r="K24" s="151">
        <f t="shared" si="3"/>
        <v>0</v>
      </c>
      <c r="L24" s="151">
        <f t="shared" si="3"/>
        <v>0</v>
      </c>
      <c r="M24" s="151">
        <f t="shared" si="3"/>
        <v>0</v>
      </c>
      <c r="N24" s="151">
        <f t="shared" si="3"/>
        <v>0</v>
      </c>
      <c r="O24" s="151">
        <f t="shared" si="3"/>
        <v>0</v>
      </c>
      <c r="P24" s="151">
        <f t="shared" si="3"/>
        <v>0</v>
      </c>
    </row>
    <row r="25" spans="1:16" x14ac:dyDescent="0.35">
      <c r="A25" s="91"/>
      <c r="B25" s="52"/>
      <c r="C25" s="93"/>
      <c r="D25" s="93"/>
      <c r="E25" s="93"/>
      <c r="F25" s="93"/>
      <c r="G25" s="93"/>
      <c r="H25" s="291"/>
      <c r="I25" s="93"/>
      <c r="J25" s="93"/>
      <c r="K25" s="93"/>
      <c r="L25" s="93"/>
      <c r="M25" s="93"/>
      <c r="N25" s="93"/>
      <c r="O25" s="93"/>
      <c r="P25" s="93"/>
    </row>
    <row r="26" spans="1:16" x14ac:dyDescent="0.35">
      <c r="A26" s="87">
        <f>A24+1</f>
        <v>10</v>
      </c>
      <c r="B26" s="48" t="s">
        <v>351</v>
      </c>
      <c r="P26" s="147"/>
    </row>
    <row r="27" spans="1:16" x14ac:dyDescent="0.35">
      <c r="P27" s="147"/>
    </row>
    <row r="28" spans="1:16" x14ac:dyDescent="0.35">
      <c r="A28" s="118">
        <f>A26+1</f>
        <v>11</v>
      </c>
      <c r="B28" s="48" t="s">
        <v>251</v>
      </c>
      <c r="C28" s="106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62"/>
    </row>
    <row r="29" spans="1:16" x14ac:dyDescent="0.35">
      <c r="A29" s="118">
        <f>A28+1</f>
        <v>12</v>
      </c>
      <c r="B29" s="45" t="str">
        <f>'C'!B80</f>
        <v xml:space="preserve">    First 50 Mcf</v>
      </c>
      <c r="C29" s="106"/>
      <c r="D29" s="62">
        <f>'D pg 2'!F43</f>
        <v>0</v>
      </c>
      <c r="E29" s="62">
        <f>'D pg 2'!G43</f>
        <v>0</v>
      </c>
      <c r="F29" s="62">
        <f>'D pg 2'!H43</f>
        <v>0</v>
      </c>
      <c r="G29" s="62">
        <f>'D pg 2'!I43</f>
        <v>0</v>
      </c>
      <c r="H29" s="62">
        <f>'D pg 2'!J43</f>
        <v>0</v>
      </c>
      <c r="I29" s="62">
        <f>'D pg 2'!K43</f>
        <v>0</v>
      </c>
      <c r="J29" s="62">
        <f>'D pg 2'!L43</f>
        <v>0</v>
      </c>
      <c r="K29" s="62">
        <f>'D pg 2'!M43</f>
        <v>0</v>
      </c>
      <c r="L29" s="62">
        <f>'D pg 2'!N43</f>
        <v>0</v>
      </c>
      <c r="M29" s="62">
        <f>'D pg 2'!O43</f>
        <v>0</v>
      </c>
      <c r="N29" s="62">
        <f>'D pg 2'!P43</f>
        <v>0</v>
      </c>
      <c r="O29" s="62">
        <f>'D pg 2'!Q43</f>
        <v>0</v>
      </c>
      <c r="P29" s="62">
        <f>SUM(D29:O29)</f>
        <v>0</v>
      </c>
    </row>
    <row r="30" spans="1:16" x14ac:dyDescent="0.35">
      <c r="A30" s="118">
        <f>A29+1</f>
        <v>13</v>
      </c>
      <c r="B30" s="45" t="str">
        <f>'C'!B81</f>
        <v xml:space="preserve">    Next 350 Mcf</v>
      </c>
      <c r="C30" s="106"/>
      <c r="D30" s="62">
        <f>'D pg 2'!F44</f>
        <v>0</v>
      </c>
      <c r="E30" s="62">
        <f>'D pg 2'!G44</f>
        <v>0</v>
      </c>
      <c r="F30" s="62">
        <f>'D pg 2'!H44</f>
        <v>0</v>
      </c>
      <c r="G30" s="62">
        <f>'D pg 2'!I44</f>
        <v>0</v>
      </c>
      <c r="H30" s="62">
        <f>'D pg 2'!J44</f>
        <v>0</v>
      </c>
      <c r="I30" s="62">
        <f>'D pg 2'!K44</f>
        <v>0</v>
      </c>
      <c r="J30" s="62">
        <f>'D pg 2'!L44</f>
        <v>0</v>
      </c>
      <c r="K30" s="62">
        <f>'D pg 2'!M44</f>
        <v>0</v>
      </c>
      <c r="L30" s="62">
        <f>'D pg 2'!N44</f>
        <v>0</v>
      </c>
      <c r="M30" s="62">
        <f>'D pg 2'!O44</f>
        <v>0</v>
      </c>
      <c r="N30" s="62">
        <f>'D pg 2'!P44</f>
        <v>0</v>
      </c>
      <c r="O30" s="62">
        <f>'D pg 2'!Q44</f>
        <v>0</v>
      </c>
      <c r="P30" s="62">
        <f>SUM(D30:O30)</f>
        <v>0</v>
      </c>
    </row>
    <row r="31" spans="1:16" x14ac:dyDescent="0.35">
      <c r="A31" s="118">
        <f>A30+1</f>
        <v>14</v>
      </c>
      <c r="B31" s="45" t="str">
        <f>'C'!B82</f>
        <v xml:space="preserve">    Next 600 Mcf</v>
      </c>
      <c r="C31" s="106"/>
      <c r="D31" s="62">
        <f>'D pg 2'!F45</f>
        <v>0</v>
      </c>
      <c r="E31" s="62">
        <f>'D pg 2'!G45</f>
        <v>0</v>
      </c>
      <c r="F31" s="62">
        <f>'D pg 2'!H45</f>
        <v>0</v>
      </c>
      <c r="G31" s="62">
        <f>'D pg 2'!I45</f>
        <v>0</v>
      </c>
      <c r="H31" s="62">
        <f>'D pg 2'!J45</f>
        <v>0</v>
      </c>
      <c r="I31" s="62">
        <f>'D pg 2'!K45</f>
        <v>0</v>
      </c>
      <c r="J31" s="62">
        <f>'D pg 2'!L45</f>
        <v>0</v>
      </c>
      <c r="K31" s="62">
        <f>'D pg 2'!M45</f>
        <v>0</v>
      </c>
      <c r="L31" s="62">
        <f>'D pg 2'!N45</f>
        <v>0</v>
      </c>
      <c r="M31" s="62">
        <f>'D pg 2'!O45</f>
        <v>0</v>
      </c>
      <c r="N31" s="62">
        <f>'D pg 2'!P45</f>
        <v>0</v>
      </c>
      <c r="O31" s="62">
        <f>'D pg 2'!Q45</f>
        <v>0</v>
      </c>
      <c r="P31" s="62">
        <f>SUM(D31:O31)</f>
        <v>0</v>
      </c>
    </row>
    <row r="32" spans="1:16" x14ac:dyDescent="0.35">
      <c r="A32" s="118">
        <f>A31+1</f>
        <v>15</v>
      </c>
      <c r="B32" s="45" t="str">
        <f>'C'!B83</f>
        <v xml:space="preserve">    Over 1,000 Mcf</v>
      </c>
      <c r="C32" s="106"/>
      <c r="D32" s="68">
        <f>'D pg 2'!F46</f>
        <v>0</v>
      </c>
      <c r="E32" s="68">
        <f>'D pg 2'!G46</f>
        <v>0</v>
      </c>
      <c r="F32" s="68">
        <f>'D pg 2'!H46</f>
        <v>0</v>
      </c>
      <c r="G32" s="68">
        <f>'D pg 2'!I46</f>
        <v>0</v>
      </c>
      <c r="H32" s="68">
        <f>'D pg 2'!J46</f>
        <v>0</v>
      </c>
      <c r="I32" s="68">
        <f>'D pg 2'!K46</f>
        <v>0</v>
      </c>
      <c r="J32" s="68">
        <f>'D pg 2'!L46</f>
        <v>0</v>
      </c>
      <c r="K32" s="68">
        <f>'D pg 2'!M46</f>
        <v>0</v>
      </c>
      <c r="L32" s="68">
        <f>'D pg 2'!N46</f>
        <v>0</v>
      </c>
      <c r="M32" s="68">
        <f>'D pg 2'!O46</f>
        <v>0</v>
      </c>
      <c r="N32" s="68">
        <f>'D pg 2'!P46</f>
        <v>0</v>
      </c>
      <c r="O32" s="68">
        <f>'D pg 2'!Q46</f>
        <v>0</v>
      </c>
      <c r="P32" s="68">
        <f>SUM(D32:O32)</f>
        <v>0</v>
      </c>
    </row>
    <row r="33" spans="1:16" x14ac:dyDescent="0.35">
      <c r="A33" s="107">
        <f>A32+1</f>
        <v>16</v>
      </c>
      <c r="B33" s="104" t="s">
        <v>340</v>
      </c>
      <c r="C33" s="139"/>
      <c r="D33" s="70">
        <f t="shared" ref="D33:N33" si="4">SUM(D29:D32)</f>
        <v>0</v>
      </c>
      <c r="E33" s="70">
        <f t="shared" si="4"/>
        <v>0</v>
      </c>
      <c r="F33" s="70">
        <f t="shared" si="4"/>
        <v>0</v>
      </c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>SUM(O29:O32)</f>
        <v>0</v>
      </c>
      <c r="P33" s="70">
        <f>SUM(D33:O33)</f>
        <v>0</v>
      </c>
    </row>
    <row r="34" spans="1:16" x14ac:dyDescent="0.35">
      <c r="A34" s="107"/>
      <c r="B34" s="104"/>
      <c r="C34" s="12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</row>
    <row r="35" spans="1:16" x14ac:dyDescent="0.35">
      <c r="A35" s="107">
        <f>A33+1</f>
        <v>17</v>
      </c>
      <c r="B35" s="51" t="s">
        <v>261</v>
      </c>
      <c r="C35" s="139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70"/>
    </row>
    <row r="36" spans="1:16" x14ac:dyDescent="0.35">
      <c r="A36" s="107">
        <f>A35+1</f>
        <v>18</v>
      </c>
      <c r="B36" s="52" t="str">
        <f>'C'!B113</f>
        <v xml:space="preserve">    First 50 Mcf</v>
      </c>
      <c r="C36" s="139"/>
      <c r="D36" s="70">
        <f>'D pg 2'!F17+'D pg 2'!F25+'D pg 2'!F33</f>
        <v>0</v>
      </c>
      <c r="E36" s="70">
        <f>'D pg 2'!G17+'D pg 2'!G25+'D pg 2'!G33</f>
        <v>0</v>
      </c>
      <c r="F36" s="70">
        <f>'D pg 2'!H17+'D pg 2'!H25+'D pg 2'!H33</f>
        <v>0</v>
      </c>
      <c r="G36" s="70">
        <f>'D pg 2'!I17+'D pg 2'!I25+'D pg 2'!I33</f>
        <v>0</v>
      </c>
      <c r="H36" s="70">
        <f>'D pg 2'!J17+'D pg 2'!J25+'D pg 2'!J33</f>
        <v>0</v>
      </c>
      <c r="I36" s="70">
        <f>'D pg 2'!K17+'D pg 2'!K25+'D pg 2'!K33</f>
        <v>-50</v>
      </c>
      <c r="J36" s="70">
        <f>'D pg 2'!L17+'D pg 2'!L25+'D pg 2'!L33</f>
        <v>0</v>
      </c>
      <c r="K36" s="70">
        <f>'D pg 2'!M17+'D pg 2'!M25+'D pg 2'!M33</f>
        <v>0</v>
      </c>
      <c r="L36" s="70">
        <f>'D pg 2'!N17+'D pg 2'!N25+'D pg 2'!N33</f>
        <v>-50</v>
      </c>
      <c r="M36" s="70">
        <f>'D pg 2'!O17+'D pg 2'!O25+'D pg 2'!O33</f>
        <v>0</v>
      </c>
      <c r="N36" s="70">
        <f>'D pg 2'!P17+'D pg 2'!P25+'D pg 2'!P33</f>
        <v>0</v>
      </c>
      <c r="O36" s="70">
        <f>'D pg 2'!Q17+'D pg 2'!Q25+'D pg 2'!Q33</f>
        <v>0</v>
      </c>
      <c r="P36" s="70">
        <f>SUM(D36:O36)</f>
        <v>-100</v>
      </c>
    </row>
    <row r="37" spans="1:16" x14ac:dyDescent="0.35">
      <c r="A37" s="107">
        <f>A36+1</f>
        <v>19</v>
      </c>
      <c r="B37" s="52" t="str">
        <f>'C'!B114</f>
        <v xml:space="preserve">    Next 350 Mcf</v>
      </c>
      <c r="C37" s="139"/>
      <c r="D37" s="70">
        <f>'D pg 2'!F18+'D pg 2'!F26+'D pg 2'!F34</f>
        <v>0</v>
      </c>
      <c r="E37" s="70">
        <f>'D pg 2'!G18+'D pg 2'!G26+'D pg 2'!G34</f>
        <v>0</v>
      </c>
      <c r="F37" s="70">
        <f>'D pg 2'!H18+'D pg 2'!H26+'D pg 2'!H34</f>
        <v>0</v>
      </c>
      <c r="G37" s="70">
        <f>'D pg 2'!I18+'D pg 2'!I26+'D pg 2'!I34</f>
        <v>0</v>
      </c>
      <c r="H37" s="70">
        <f>'D pg 2'!J18+'D pg 2'!J26+'D pg 2'!J34</f>
        <v>-100</v>
      </c>
      <c r="I37" s="70">
        <f>'D pg 2'!K18+'D pg 2'!K26+'D pg 2'!K34</f>
        <v>0</v>
      </c>
      <c r="J37" s="70">
        <f>'D pg 2'!L18+'D pg 2'!L26+'D pg 2'!L34</f>
        <v>0</v>
      </c>
      <c r="K37" s="70">
        <f>'D pg 2'!M18+'D pg 2'!M26+'D pg 2'!M34</f>
        <v>0</v>
      </c>
      <c r="L37" s="70">
        <f>'D pg 2'!N18+'D pg 2'!N26+'D pg 2'!N34</f>
        <v>0</v>
      </c>
      <c r="M37" s="70">
        <f>'D pg 2'!O18+'D pg 2'!O26+'D pg 2'!O34</f>
        <v>0</v>
      </c>
      <c r="N37" s="70">
        <f>'D pg 2'!P18+'D pg 2'!P26+'D pg 2'!P34</f>
        <v>0</v>
      </c>
      <c r="O37" s="70">
        <f>'D pg 2'!Q18+'D pg 2'!Q26+'D pg 2'!Q34</f>
        <v>0</v>
      </c>
      <c r="P37" s="70">
        <f>SUM(D37:O37)</f>
        <v>-100</v>
      </c>
    </row>
    <row r="38" spans="1:16" x14ac:dyDescent="0.35">
      <c r="A38" s="107">
        <f>A37+1</f>
        <v>20</v>
      </c>
      <c r="B38" s="52" t="str">
        <f>'C'!B115</f>
        <v xml:space="preserve">    Next 600 Mcf</v>
      </c>
      <c r="C38" s="139"/>
      <c r="D38" s="70">
        <f>'D pg 2'!F19+'D pg 2'!F27+'D pg 2'!F35</f>
        <v>0</v>
      </c>
      <c r="E38" s="70">
        <f>'D pg 2'!G19+'D pg 2'!G27+'D pg 2'!G35</f>
        <v>0</v>
      </c>
      <c r="F38" s="70">
        <f>'D pg 2'!H19+'D pg 2'!H27+'D pg 2'!H35</f>
        <v>0</v>
      </c>
      <c r="G38" s="70">
        <f>'D pg 2'!I19+'D pg 2'!I27+'D pg 2'!I35</f>
        <v>-500</v>
      </c>
      <c r="H38" s="70">
        <f>'D pg 2'!J19+'D pg 2'!J27+'D pg 2'!J35</f>
        <v>-600</v>
      </c>
      <c r="I38" s="70">
        <f>'D pg 2'!K19+'D pg 2'!K27+'D pg 2'!K35</f>
        <v>0</v>
      </c>
      <c r="J38" s="70">
        <f>'D pg 2'!L19+'D pg 2'!L27+'D pg 2'!L35</f>
        <v>0</v>
      </c>
      <c r="K38" s="70">
        <f>'D pg 2'!M19+'D pg 2'!M27+'D pg 2'!M35</f>
        <v>0</v>
      </c>
      <c r="L38" s="70">
        <f>'D pg 2'!N19+'D pg 2'!N27+'D pg 2'!N35</f>
        <v>0</v>
      </c>
      <c r="M38" s="70">
        <f>'D pg 2'!O19+'D pg 2'!O27+'D pg 2'!O35</f>
        <v>0</v>
      </c>
      <c r="N38" s="70">
        <f>'D pg 2'!P19+'D pg 2'!P27+'D pg 2'!P35</f>
        <v>100</v>
      </c>
      <c r="O38" s="70">
        <f>'D pg 2'!Q19+'D pg 2'!Q27+'D pg 2'!Q35</f>
        <v>0</v>
      </c>
      <c r="P38" s="70">
        <f>SUM(D38:O38)</f>
        <v>-1000</v>
      </c>
    </row>
    <row r="39" spans="1:16" x14ac:dyDescent="0.35">
      <c r="A39" s="107">
        <f>A38+1</f>
        <v>21</v>
      </c>
      <c r="B39" s="52" t="str">
        <f>'C'!B116</f>
        <v xml:space="preserve">    Over 1,000 Mcf</v>
      </c>
      <c r="C39" s="139"/>
      <c r="D39" s="134">
        <f>'D pg 2'!F20+'D pg 2'!F28+'D pg 2'!F36</f>
        <v>4000</v>
      </c>
      <c r="E39" s="134">
        <f>'D pg 2'!G20+'D pg 2'!G28+'D pg 2'!G36</f>
        <v>4000</v>
      </c>
      <c r="F39" s="134">
        <f>'D pg 2'!H20+'D pg 2'!H28+'D pg 2'!H36</f>
        <v>500</v>
      </c>
      <c r="G39" s="134">
        <f>'D pg 2'!I20+'D pg 2'!I28+'D pg 2'!I36</f>
        <v>0</v>
      </c>
      <c r="H39" s="134">
        <f>'D pg 2'!J20+'D pg 2'!J28+'D pg 2'!J36</f>
        <v>0</v>
      </c>
      <c r="I39" s="134">
        <f>'D pg 2'!K20+'D pg 2'!K28+'D pg 2'!K36</f>
        <v>0</v>
      </c>
      <c r="J39" s="134">
        <f>'D pg 2'!L20+'D pg 2'!L28+'D pg 2'!L36</f>
        <v>0</v>
      </c>
      <c r="K39" s="134">
        <f>'D pg 2'!M20+'D pg 2'!M28+'D pg 2'!M36</f>
        <v>0</v>
      </c>
      <c r="L39" s="134">
        <f>'D pg 2'!N20+'D pg 2'!N28+'D pg 2'!N36</f>
        <v>0</v>
      </c>
      <c r="M39" s="134">
        <f>'D pg 2'!O20+'D pg 2'!O28+'D pg 2'!O36</f>
        <v>0</v>
      </c>
      <c r="N39" s="134">
        <f>'D pg 2'!P20+'D pg 2'!P28+'D pg 2'!P36</f>
        <v>2200</v>
      </c>
      <c r="O39" s="134">
        <f>'D pg 2'!Q20+'D pg 2'!Q28+'D pg 2'!Q36</f>
        <v>4000</v>
      </c>
      <c r="P39" s="134">
        <f>SUM(D39:O39)</f>
        <v>14700</v>
      </c>
    </row>
    <row r="40" spans="1:16" x14ac:dyDescent="0.35">
      <c r="A40" s="107">
        <f>A39+1</f>
        <v>22</v>
      </c>
      <c r="B40" s="104" t="s">
        <v>340</v>
      </c>
      <c r="C40" s="139"/>
      <c r="D40" s="70">
        <f t="shared" ref="D40:N40" si="5">SUM(D36:D39)</f>
        <v>4000</v>
      </c>
      <c r="E40" s="70">
        <f t="shared" si="5"/>
        <v>4000</v>
      </c>
      <c r="F40" s="70">
        <f t="shared" si="5"/>
        <v>500</v>
      </c>
      <c r="G40" s="70">
        <f t="shared" si="5"/>
        <v>-500</v>
      </c>
      <c r="H40" s="70">
        <f t="shared" si="5"/>
        <v>-700</v>
      </c>
      <c r="I40" s="70">
        <f t="shared" si="5"/>
        <v>-50</v>
      </c>
      <c r="J40" s="70">
        <f t="shared" si="5"/>
        <v>0</v>
      </c>
      <c r="K40" s="70">
        <f t="shared" si="5"/>
        <v>0</v>
      </c>
      <c r="L40" s="70">
        <f t="shared" si="5"/>
        <v>-50</v>
      </c>
      <c r="M40" s="70">
        <f t="shared" si="5"/>
        <v>0</v>
      </c>
      <c r="N40" s="70">
        <f t="shared" si="5"/>
        <v>2300</v>
      </c>
      <c r="O40" s="70">
        <f>SUM(O36:O39)</f>
        <v>4000</v>
      </c>
      <c r="P40" s="70">
        <f>SUM(D40:O40)</f>
        <v>13500</v>
      </c>
    </row>
    <row r="41" spans="1:16" x14ac:dyDescent="0.35">
      <c r="A41" s="91"/>
      <c r="B41" s="5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287"/>
    </row>
    <row r="42" spans="1:16" x14ac:dyDescent="0.35">
      <c r="A42" s="107">
        <f>A40+1</f>
        <v>23</v>
      </c>
      <c r="B42" s="51" t="s">
        <v>268</v>
      </c>
      <c r="C42" s="139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70"/>
    </row>
    <row r="43" spans="1:16" x14ac:dyDescent="0.35">
      <c r="A43" s="107">
        <f>A42+1</f>
        <v>24</v>
      </c>
      <c r="B43" s="52" t="str">
        <f>'C'!B291</f>
        <v xml:space="preserve">    First 50 Mcf</v>
      </c>
      <c r="C43" s="139"/>
      <c r="D43" s="292">
        <v>0</v>
      </c>
      <c r="E43" s="292">
        <v>0</v>
      </c>
      <c r="F43" s="292">
        <v>0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v>0</v>
      </c>
      <c r="N43" s="292">
        <v>0</v>
      </c>
      <c r="O43" s="292">
        <v>0</v>
      </c>
      <c r="P43" s="70">
        <f>SUM(D43:O43)</f>
        <v>0</v>
      </c>
    </row>
    <row r="44" spans="1:16" x14ac:dyDescent="0.35">
      <c r="A44" s="107">
        <f>A43+1</f>
        <v>25</v>
      </c>
      <c r="B44" s="52" t="str">
        <f>'C'!B292</f>
        <v xml:space="preserve">    Next 350 Mcf</v>
      </c>
      <c r="C44" s="139"/>
      <c r="D44" s="292">
        <v>0</v>
      </c>
      <c r="E44" s="292">
        <v>0</v>
      </c>
      <c r="F44" s="292">
        <v>0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v>0</v>
      </c>
      <c r="O44" s="292">
        <v>0</v>
      </c>
      <c r="P44" s="70">
        <f>SUM(D44:O44)</f>
        <v>0</v>
      </c>
    </row>
    <row r="45" spans="1:16" x14ac:dyDescent="0.35">
      <c r="A45" s="107">
        <f>A44+1</f>
        <v>26</v>
      </c>
      <c r="B45" s="52" t="str">
        <f>'C'!B293</f>
        <v xml:space="preserve">    Next 600 Mcf</v>
      </c>
      <c r="C45" s="139"/>
      <c r="D45" s="292">
        <v>0</v>
      </c>
      <c r="E45" s="292">
        <v>0</v>
      </c>
      <c r="F45" s="292">
        <v>0</v>
      </c>
      <c r="G45" s="292">
        <v>0</v>
      </c>
      <c r="H45" s="292">
        <v>0</v>
      </c>
      <c r="I45" s="292">
        <v>0</v>
      </c>
      <c r="J45" s="292">
        <v>0</v>
      </c>
      <c r="K45" s="292">
        <v>0</v>
      </c>
      <c r="L45" s="292">
        <v>0</v>
      </c>
      <c r="M45" s="292">
        <v>0</v>
      </c>
      <c r="N45" s="292">
        <v>0</v>
      </c>
      <c r="O45" s="292">
        <v>0</v>
      </c>
      <c r="P45" s="70">
        <f>SUM(D45:O45)</f>
        <v>0</v>
      </c>
    </row>
    <row r="46" spans="1:16" x14ac:dyDescent="0.35">
      <c r="A46" s="107">
        <f>A45+1</f>
        <v>27</v>
      </c>
      <c r="B46" s="52" t="str">
        <f>'C'!B294</f>
        <v xml:space="preserve">    Over 1,000 Mcf</v>
      </c>
      <c r="C46" s="139"/>
      <c r="D46" s="301">
        <v>0</v>
      </c>
      <c r="E46" s="301">
        <v>0</v>
      </c>
      <c r="F46" s="301">
        <v>0</v>
      </c>
      <c r="G46" s="301">
        <v>0</v>
      </c>
      <c r="H46" s="301">
        <v>0</v>
      </c>
      <c r="I46" s="301">
        <v>0</v>
      </c>
      <c r="J46" s="301">
        <v>0</v>
      </c>
      <c r="K46" s="301">
        <v>0</v>
      </c>
      <c r="L46" s="301">
        <v>0</v>
      </c>
      <c r="M46" s="301">
        <v>0</v>
      </c>
      <c r="N46" s="301">
        <v>0</v>
      </c>
      <c r="O46" s="301">
        <v>0</v>
      </c>
      <c r="P46" s="134">
        <f>SUM(D46:O46)</f>
        <v>0</v>
      </c>
    </row>
    <row r="47" spans="1:16" x14ac:dyDescent="0.35">
      <c r="A47" s="107">
        <f>A46+1</f>
        <v>28</v>
      </c>
      <c r="B47" s="104" t="s">
        <v>340</v>
      </c>
      <c r="C47" s="139"/>
      <c r="D47" s="70">
        <f t="shared" ref="D47:N47" si="6">SUM(D43:D46)</f>
        <v>0</v>
      </c>
      <c r="E47" s="70">
        <f t="shared" si="6"/>
        <v>0</v>
      </c>
      <c r="F47" s="70">
        <f t="shared" si="6"/>
        <v>0</v>
      </c>
      <c r="G47" s="70">
        <f t="shared" si="6"/>
        <v>0</v>
      </c>
      <c r="H47" s="70">
        <f t="shared" si="6"/>
        <v>0</v>
      </c>
      <c r="I47" s="70">
        <f t="shared" si="6"/>
        <v>0</v>
      </c>
      <c r="J47" s="70">
        <f t="shared" si="6"/>
        <v>0</v>
      </c>
      <c r="K47" s="70">
        <f t="shared" si="6"/>
        <v>0</v>
      </c>
      <c r="L47" s="70">
        <f t="shared" si="6"/>
        <v>0</v>
      </c>
      <c r="M47" s="70">
        <f t="shared" si="6"/>
        <v>0</v>
      </c>
      <c r="N47" s="70">
        <f t="shared" si="6"/>
        <v>0</v>
      </c>
      <c r="O47" s="70">
        <f>SUM(O43:O46)</f>
        <v>0</v>
      </c>
      <c r="P47" s="70">
        <f>SUM(D47:O47)</f>
        <v>0</v>
      </c>
    </row>
    <row r="48" spans="1:16" x14ac:dyDescent="0.35">
      <c r="A48" s="107"/>
      <c r="B48" s="104"/>
      <c r="C48" s="12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x14ac:dyDescent="0.35">
      <c r="A49" s="107">
        <f>A47+1</f>
        <v>29</v>
      </c>
      <c r="B49" s="51" t="s">
        <v>258</v>
      </c>
      <c r="C49" s="139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70"/>
    </row>
    <row r="50" spans="1:16" x14ac:dyDescent="0.35">
      <c r="A50" s="107">
        <f>A49+1</f>
        <v>30</v>
      </c>
      <c r="B50" s="52" t="str">
        <f>'C'!B311</f>
        <v xml:space="preserve">    First 50 Mcf</v>
      </c>
      <c r="C50" s="139"/>
      <c r="D50" s="292">
        <v>0</v>
      </c>
      <c r="E50" s="292">
        <v>0</v>
      </c>
      <c r="F50" s="292">
        <v>0</v>
      </c>
      <c r="G50" s="292">
        <v>0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v>0</v>
      </c>
      <c r="O50" s="292">
        <v>0</v>
      </c>
      <c r="P50" s="70">
        <f>SUM(D50:O50)</f>
        <v>0</v>
      </c>
    </row>
    <row r="51" spans="1:16" x14ac:dyDescent="0.35">
      <c r="A51" s="107">
        <f>A50+1</f>
        <v>31</v>
      </c>
      <c r="B51" s="52" t="str">
        <f>'C'!B312</f>
        <v xml:space="preserve">    Next 350 Mcf</v>
      </c>
      <c r="C51" s="139"/>
      <c r="D51" s="292">
        <v>0</v>
      </c>
      <c r="E51" s="292">
        <v>0</v>
      </c>
      <c r="F51" s="292">
        <v>0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0</v>
      </c>
      <c r="M51" s="292">
        <v>0</v>
      </c>
      <c r="N51" s="292">
        <v>0</v>
      </c>
      <c r="O51" s="292">
        <v>0</v>
      </c>
      <c r="P51" s="70">
        <f>SUM(D51:O51)</f>
        <v>0</v>
      </c>
    </row>
    <row r="52" spans="1:16" x14ac:dyDescent="0.35">
      <c r="A52" s="107">
        <f>A51+1</f>
        <v>32</v>
      </c>
      <c r="B52" s="52" t="str">
        <f>'C'!B313</f>
        <v xml:space="preserve">    Next 600 Mcf</v>
      </c>
      <c r="C52" s="139"/>
      <c r="D52" s="292">
        <v>0</v>
      </c>
      <c r="E52" s="292">
        <v>0</v>
      </c>
      <c r="F52" s="292">
        <v>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292">
        <v>0</v>
      </c>
      <c r="M52" s="292">
        <v>0</v>
      </c>
      <c r="N52" s="292">
        <v>0</v>
      </c>
      <c r="O52" s="292">
        <v>0</v>
      </c>
      <c r="P52" s="70">
        <f>SUM(D52:O52)</f>
        <v>0</v>
      </c>
    </row>
    <row r="53" spans="1:16" x14ac:dyDescent="0.35">
      <c r="A53" s="107">
        <f>A52+1</f>
        <v>33</v>
      </c>
      <c r="B53" s="52" t="str">
        <f>'C'!B314</f>
        <v xml:space="preserve">    Over 1,000 Mcf</v>
      </c>
      <c r="C53" s="139"/>
      <c r="D53" s="301">
        <v>0</v>
      </c>
      <c r="E53" s="301">
        <v>0</v>
      </c>
      <c r="F53" s="301">
        <v>0</v>
      </c>
      <c r="G53" s="301">
        <v>0</v>
      </c>
      <c r="H53" s="301">
        <v>0</v>
      </c>
      <c r="I53" s="301">
        <v>0</v>
      </c>
      <c r="J53" s="301">
        <v>0</v>
      </c>
      <c r="K53" s="301">
        <v>0</v>
      </c>
      <c r="L53" s="301">
        <v>0</v>
      </c>
      <c r="M53" s="301">
        <v>0</v>
      </c>
      <c r="N53" s="301">
        <v>0</v>
      </c>
      <c r="O53" s="301">
        <v>0</v>
      </c>
      <c r="P53" s="134">
        <f>SUM(D53:O53)</f>
        <v>0</v>
      </c>
    </row>
    <row r="54" spans="1:16" x14ac:dyDescent="0.35">
      <c r="A54" s="107">
        <f>A53+1</f>
        <v>34</v>
      </c>
      <c r="B54" s="104" t="s">
        <v>340</v>
      </c>
      <c r="C54" s="139"/>
      <c r="D54" s="70">
        <f t="shared" ref="D54:N54" si="7">SUM(D50:D53)</f>
        <v>0</v>
      </c>
      <c r="E54" s="70">
        <f t="shared" si="7"/>
        <v>0</v>
      </c>
      <c r="F54" s="70">
        <f t="shared" si="7"/>
        <v>0</v>
      </c>
      <c r="G54" s="70">
        <f t="shared" si="7"/>
        <v>0</v>
      </c>
      <c r="H54" s="70">
        <f t="shared" si="7"/>
        <v>0</v>
      </c>
      <c r="I54" s="70">
        <f t="shared" si="7"/>
        <v>0</v>
      </c>
      <c r="J54" s="70">
        <f t="shared" si="7"/>
        <v>0</v>
      </c>
      <c r="K54" s="70">
        <f t="shared" si="7"/>
        <v>0</v>
      </c>
      <c r="L54" s="70">
        <f t="shared" si="7"/>
        <v>0</v>
      </c>
      <c r="M54" s="70">
        <f t="shared" si="7"/>
        <v>0</v>
      </c>
      <c r="N54" s="70">
        <f t="shared" si="7"/>
        <v>0</v>
      </c>
      <c r="O54" s="70">
        <f>SUM(O50:O53)</f>
        <v>0</v>
      </c>
      <c r="P54" s="70">
        <f>SUM(D54:O54)</f>
        <v>0</v>
      </c>
    </row>
    <row r="55" spans="1:16" x14ac:dyDescent="0.35">
      <c r="A55" s="107"/>
      <c r="B55" s="104"/>
      <c r="C55" s="13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</row>
    <row r="56" spans="1:16" x14ac:dyDescent="0.35">
      <c r="A56" s="107">
        <f>A54+1</f>
        <v>35</v>
      </c>
      <c r="B56" s="51" t="s">
        <v>259</v>
      </c>
      <c r="C56" s="139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70"/>
    </row>
    <row r="57" spans="1:16" x14ac:dyDescent="0.35">
      <c r="A57" s="107">
        <f>A56+1</f>
        <v>36</v>
      </c>
      <c r="B57" s="52" t="str">
        <f>'C'!B261</f>
        <v xml:space="preserve">    First 30,000 Mcf</v>
      </c>
      <c r="C57" s="139"/>
      <c r="D57" s="70">
        <f>'D pg 2'!F59</f>
        <v>0</v>
      </c>
      <c r="E57" s="70">
        <f>'D pg 2'!G59</f>
        <v>0</v>
      </c>
      <c r="F57" s="70">
        <f>'D pg 2'!H59</f>
        <v>0</v>
      </c>
      <c r="G57" s="70">
        <f>'D pg 2'!I59</f>
        <v>0</v>
      </c>
      <c r="H57" s="70">
        <f>'D pg 2'!J59</f>
        <v>0</v>
      </c>
      <c r="I57" s="70">
        <f>'D pg 2'!K59</f>
        <v>0</v>
      </c>
      <c r="J57" s="70">
        <f>'D pg 2'!L59</f>
        <v>0</v>
      </c>
      <c r="K57" s="70">
        <f>'D pg 2'!M59</f>
        <v>0</v>
      </c>
      <c r="L57" s="70">
        <f>'D pg 2'!N59</f>
        <v>0</v>
      </c>
      <c r="M57" s="70">
        <f>'D pg 2'!O59</f>
        <v>0</v>
      </c>
      <c r="N57" s="70">
        <f>'D pg 2'!P59</f>
        <v>0</v>
      </c>
      <c r="O57" s="70">
        <f>'D pg 2'!Q59</f>
        <v>0</v>
      </c>
      <c r="P57" s="70">
        <f>SUM(D57:O57)</f>
        <v>0</v>
      </c>
    </row>
    <row r="58" spans="1:16" x14ac:dyDescent="0.35">
      <c r="A58" s="107">
        <f>A57+1</f>
        <v>37</v>
      </c>
      <c r="B58" s="52" t="str">
        <f>'C'!B262</f>
        <v xml:space="preserve">    Next 70,000 Mcf</v>
      </c>
      <c r="C58" s="139"/>
      <c r="D58" s="70">
        <f>'D pg 2'!F60</f>
        <v>0</v>
      </c>
      <c r="E58" s="70">
        <f>'D pg 2'!G60</f>
        <v>0</v>
      </c>
      <c r="F58" s="70">
        <f>'D pg 2'!H60</f>
        <v>0</v>
      </c>
      <c r="G58" s="70">
        <f>'D pg 2'!I60</f>
        <v>0</v>
      </c>
      <c r="H58" s="70">
        <f>'D pg 2'!J60</f>
        <v>0</v>
      </c>
      <c r="I58" s="70">
        <f>'D pg 2'!K60</f>
        <v>0</v>
      </c>
      <c r="J58" s="70">
        <f>'D pg 2'!L60</f>
        <v>0</v>
      </c>
      <c r="K58" s="70">
        <f>'D pg 2'!M60</f>
        <v>0</v>
      </c>
      <c r="L58" s="70">
        <f>'D pg 2'!N60</f>
        <v>0</v>
      </c>
      <c r="M58" s="70">
        <f>'D pg 2'!O60</f>
        <v>0</v>
      </c>
      <c r="N58" s="70">
        <f>'D pg 2'!P60</f>
        <v>0</v>
      </c>
      <c r="O58" s="70">
        <f>'D pg 2'!Q60</f>
        <v>0</v>
      </c>
      <c r="P58" s="70">
        <f>SUM(D58:O58)</f>
        <v>0</v>
      </c>
    </row>
    <row r="59" spans="1:16" x14ac:dyDescent="0.35">
      <c r="A59" s="107">
        <f t="shared" ref="A59:A60" si="8">A58+1</f>
        <v>38</v>
      </c>
      <c r="B59" s="52" t="str">
        <f>'C'!B263</f>
        <v xml:space="preserve">    Over 100,000 Mcf</v>
      </c>
      <c r="C59" s="139"/>
      <c r="D59" s="134">
        <f>'D pg 2'!F61</f>
        <v>0</v>
      </c>
      <c r="E59" s="134">
        <f>'D pg 2'!G61</f>
        <v>0</v>
      </c>
      <c r="F59" s="134">
        <f>'D pg 2'!H61</f>
        <v>0</v>
      </c>
      <c r="G59" s="134">
        <f>'D pg 2'!I61</f>
        <v>0</v>
      </c>
      <c r="H59" s="134">
        <f>'D pg 2'!J61</f>
        <v>0</v>
      </c>
      <c r="I59" s="134">
        <f>'D pg 2'!K61</f>
        <v>0</v>
      </c>
      <c r="J59" s="134">
        <f>'D pg 2'!L61</f>
        <v>0</v>
      </c>
      <c r="K59" s="134">
        <f>'D pg 2'!M61</f>
        <v>0</v>
      </c>
      <c r="L59" s="134">
        <f>'D pg 2'!N61</f>
        <v>0</v>
      </c>
      <c r="M59" s="134">
        <f>'D pg 2'!O61</f>
        <v>0</v>
      </c>
      <c r="N59" s="134">
        <f>'D pg 2'!P61</f>
        <v>0</v>
      </c>
      <c r="O59" s="134">
        <f>'D pg 2'!Q61</f>
        <v>0</v>
      </c>
      <c r="P59" s="134">
        <f>SUM(D59:O59)</f>
        <v>0</v>
      </c>
    </row>
    <row r="60" spans="1:16" x14ac:dyDescent="0.35">
      <c r="A60" s="107">
        <f t="shared" si="8"/>
        <v>39</v>
      </c>
      <c r="B60" s="104" t="s">
        <v>340</v>
      </c>
      <c r="C60" s="139"/>
      <c r="D60" s="70">
        <f>SUM(D57:D59)</f>
        <v>0</v>
      </c>
      <c r="E60" s="70">
        <f t="shared" ref="E60:O60" si="9">SUM(E57:E59)</f>
        <v>0</v>
      </c>
      <c r="F60" s="70">
        <f t="shared" si="9"/>
        <v>0</v>
      </c>
      <c r="G60" s="70">
        <f t="shared" si="9"/>
        <v>0</v>
      </c>
      <c r="H60" s="70">
        <f t="shared" si="9"/>
        <v>0</v>
      </c>
      <c r="I60" s="70">
        <f t="shared" si="9"/>
        <v>0</v>
      </c>
      <c r="J60" s="70">
        <f t="shared" si="9"/>
        <v>0</v>
      </c>
      <c r="K60" s="70">
        <f t="shared" si="9"/>
        <v>0</v>
      </c>
      <c r="L60" s="70">
        <f t="shared" si="9"/>
        <v>0</v>
      </c>
      <c r="M60" s="70">
        <f t="shared" si="9"/>
        <v>0</v>
      </c>
      <c r="N60" s="70">
        <f t="shared" si="9"/>
        <v>0</v>
      </c>
      <c r="O60" s="70">
        <f t="shared" si="9"/>
        <v>0</v>
      </c>
      <c r="P60" s="70">
        <f>SUM(D60:O60)</f>
        <v>0</v>
      </c>
    </row>
    <row r="61" spans="1:16" x14ac:dyDescent="0.35">
      <c r="A61" s="107"/>
      <c r="B61" s="104"/>
      <c r="C61" s="139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</row>
    <row r="62" spans="1:16" x14ac:dyDescent="0.35">
      <c r="A62" s="107">
        <f>A60+1</f>
        <v>40</v>
      </c>
      <c r="B62" s="76" t="s">
        <v>277</v>
      </c>
      <c r="C62" s="139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70"/>
    </row>
    <row r="63" spans="1:16" x14ac:dyDescent="0.35">
      <c r="A63" s="107">
        <f>A62+1</f>
        <v>41</v>
      </c>
      <c r="B63" s="63" t="s">
        <v>412</v>
      </c>
      <c r="C63" s="139"/>
      <c r="D63" s="70">
        <f>'D pg 2'!F53</f>
        <v>0</v>
      </c>
      <c r="E63" s="70">
        <f>'D pg 2'!G53</f>
        <v>0</v>
      </c>
      <c r="F63" s="70">
        <f>'D pg 2'!H53</f>
        <v>0</v>
      </c>
      <c r="G63" s="70">
        <f>'D pg 2'!I53</f>
        <v>0</v>
      </c>
      <c r="H63" s="70">
        <f>'D pg 2'!J53</f>
        <v>0</v>
      </c>
      <c r="I63" s="70">
        <f>'D pg 2'!K53</f>
        <v>0</v>
      </c>
      <c r="J63" s="70">
        <f>'D pg 2'!L53</f>
        <v>0</v>
      </c>
      <c r="K63" s="70">
        <f>'D pg 2'!M53</f>
        <v>0</v>
      </c>
      <c r="L63" s="70">
        <f>'D pg 2'!N53</f>
        <v>0</v>
      </c>
      <c r="M63" s="70">
        <f>'D pg 2'!O53</f>
        <v>0</v>
      </c>
      <c r="N63" s="70">
        <f>'D pg 2'!P53</f>
        <v>0</v>
      </c>
      <c r="O63" s="70">
        <f>'D pg 2'!Q53</f>
        <v>0</v>
      </c>
      <c r="P63" s="70">
        <f>SUM(D63:O63)</f>
        <v>0</v>
      </c>
    </row>
    <row r="64" spans="1:16" x14ac:dyDescent="0.35">
      <c r="A64" s="107">
        <f>A63+1</f>
        <v>42</v>
      </c>
      <c r="B64" s="63" t="s">
        <v>279</v>
      </c>
      <c r="C64" s="139"/>
      <c r="D64" s="134">
        <f>'D pg 2'!F54</f>
        <v>0</v>
      </c>
      <c r="E64" s="134">
        <f>'D pg 2'!G54</f>
        <v>0</v>
      </c>
      <c r="F64" s="134">
        <f>'D pg 2'!H54</f>
        <v>0</v>
      </c>
      <c r="G64" s="134">
        <f>'D pg 2'!I54</f>
        <v>0</v>
      </c>
      <c r="H64" s="134">
        <f>'D pg 2'!J54</f>
        <v>0</v>
      </c>
      <c r="I64" s="134">
        <f>'D pg 2'!K54</f>
        <v>0</v>
      </c>
      <c r="J64" s="134">
        <f>'D pg 2'!L54</f>
        <v>0</v>
      </c>
      <c r="K64" s="134">
        <f>'D pg 2'!M54</f>
        <v>0</v>
      </c>
      <c r="L64" s="134">
        <f>'D pg 2'!N54</f>
        <v>0</v>
      </c>
      <c r="M64" s="134">
        <f>'D pg 2'!O54</f>
        <v>0</v>
      </c>
      <c r="N64" s="134">
        <f>'D pg 2'!P54</f>
        <v>0</v>
      </c>
      <c r="O64" s="134">
        <f>'D pg 2'!Q54</f>
        <v>0</v>
      </c>
      <c r="P64" s="134">
        <f>SUM(D64:O64)</f>
        <v>0</v>
      </c>
    </row>
    <row r="65" spans="1:16" x14ac:dyDescent="0.35">
      <c r="A65" s="107">
        <f>A64+1</f>
        <v>43</v>
      </c>
      <c r="B65" s="104" t="s">
        <v>340</v>
      </c>
      <c r="C65" s="139"/>
      <c r="D65" s="70">
        <f t="shared" ref="D65:N65" si="10">SUM(D63:D64)</f>
        <v>0</v>
      </c>
      <c r="E65" s="70">
        <f t="shared" si="10"/>
        <v>0</v>
      </c>
      <c r="F65" s="70">
        <f t="shared" si="10"/>
        <v>0</v>
      </c>
      <c r="G65" s="70">
        <f t="shared" si="10"/>
        <v>0</v>
      </c>
      <c r="H65" s="70">
        <f t="shared" si="10"/>
        <v>0</v>
      </c>
      <c r="I65" s="70">
        <f t="shared" si="10"/>
        <v>0</v>
      </c>
      <c r="J65" s="70">
        <f t="shared" si="10"/>
        <v>0</v>
      </c>
      <c r="K65" s="70">
        <f t="shared" si="10"/>
        <v>0</v>
      </c>
      <c r="L65" s="70">
        <f t="shared" si="10"/>
        <v>0</v>
      </c>
      <c r="M65" s="70">
        <f t="shared" si="10"/>
        <v>0</v>
      </c>
      <c r="N65" s="70">
        <f t="shared" si="10"/>
        <v>0</v>
      </c>
      <c r="O65" s="70">
        <f>SUM(O63:O64)</f>
        <v>0</v>
      </c>
      <c r="P65" s="70">
        <f>SUM(D65:O65)</f>
        <v>0</v>
      </c>
    </row>
    <row r="66" spans="1:16" x14ac:dyDescent="0.35">
      <c r="A66" s="107"/>
      <c r="B66" s="104"/>
      <c r="C66" s="129"/>
      <c r="P66" s="149"/>
    </row>
    <row r="67" spans="1:16" x14ac:dyDescent="0.35">
      <c r="A67" s="107">
        <f>A65+1</f>
        <v>44</v>
      </c>
      <c r="B67" s="130" t="s">
        <v>285</v>
      </c>
      <c r="C67" s="129"/>
      <c r="D67" s="70">
        <f>D33+D40+D60+D47+D65+D54</f>
        <v>4000</v>
      </c>
      <c r="E67" s="70">
        <f t="shared" ref="E67:O67" si="11">E33+E40+E60+E47+E65+E54</f>
        <v>4000</v>
      </c>
      <c r="F67" s="70">
        <f t="shared" si="11"/>
        <v>500</v>
      </c>
      <c r="G67" s="70">
        <f t="shared" si="11"/>
        <v>-500</v>
      </c>
      <c r="H67" s="70">
        <f t="shared" si="11"/>
        <v>-700</v>
      </c>
      <c r="I67" s="70">
        <f t="shared" si="11"/>
        <v>-50</v>
      </c>
      <c r="J67" s="70">
        <f t="shared" si="11"/>
        <v>0</v>
      </c>
      <c r="K67" s="70">
        <f t="shared" si="11"/>
        <v>0</v>
      </c>
      <c r="L67" s="70">
        <f t="shared" si="11"/>
        <v>-50</v>
      </c>
      <c r="M67" s="70">
        <f t="shared" si="11"/>
        <v>0</v>
      </c>
      <c r="N67" s="70">
        <f t="shared" si="11"/>
        <v>2300</v>
      </c>
      <c r="O67" s="70">
        <f t="shared" si="11"/>
        <v>4000</v>
      </c>
      <c r="P67" s="70">
        <f>SUM(D67:O67)</f>
        <v>13500</v>
      </c>
    </row>
    <row r="68" spans="1:16" x14ac:dyDescent="0.35">
      <c r="A68" s="107"/>
      <c r="B68" s="104"/>
      <c r="C68" s="12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</row>
    <row r="69" spans="1:16" x14ac:dyDescent="0.35">
      <c r="A69" s="107"/>
      <c r="B69" s="104"/>
      <c r="C69" s="12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</row>
    <row r="70" spans="1:16" x14ac:dyDescent="0.35">
      <c r="A70" s="107"/>
      <c r="B70" s="104"/>
      <c r="C70" s="12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</row>
    <row r="71" spans="1:16" x14ac:dyDescent="0.35">
      <c r="A71" s="107"/>
      <c r="B71" s="104"/>
      <c r="C71" s="12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</row>
    <row r="72" spans="1:16" x14ac:dyDescent="0.35">
      <c r="A72" s="107"/>
      <c r="B72" s="104"/>
      <c r="C72" s="12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</row>
    <row r="73" spans="1:16" x14ac:dyDescent="0.35">
      <c r="A73" s="107"/>
      <c r="B73" s="104"/>
      <c r="C73" s="12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</row>
    <row r="74" spans="1:16" x14ac:dyDescent="0.35">
      <c r="A74" s="107"/>
      <c r="B74" s="104"/>
      <c r="C74" s="12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</row>
    <row r="75" spans="1:16" x14ac:dyDescent="0.35">
      <c r="A75" s="107"/>
      <c r="B75" s="104"/>
      <c r="C75" s="12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</row>
    <row r="76" spans="1:16" x14ac:dyDescent="0.35">
      <c r="A76" s="107"/>
      <c r="B76" s="104"/>
      <c r="C76" s="12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</row>
    <row r="77" spans="1:16" x14ac:dyDescent="0.35">
      <c r="A77" s="107"/>
      <c r="B77" s="104"/>
      <c r="C77" s="12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</row>
    <row r="78" spans="1:16" x14ac:dyDescent="0.35">
      <c r="A78" s="107"/>
      <c r="B78" s="104"/>
      <c r="C78" s="12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</row>
    <row r="79" spans="1:16" x14ac:dyDescent="0.35">
      <c r="A79" s="107"/>
      <c r="B79" s="104"/>
      <c r="C79" s="12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</row>
    <row r="80" spans="1:16" x14ac:dyDescent="0.35">
      <c r="A80" s="107"/>
      <c r="B80" s="104"/>
      <c r="C80" s="12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</row>
    <row r="81" spans="1:16" x14ac:dyDescent="0.35">
      <c r="A81" s="107"/>
      <c r="B81" s="104"/>
      <c r="C81" s="12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</row>
    <row r="82" spans="1:16" x14ac:dyDescent="0.35">
      <c r="A82" s="107"/>
      <c r="B82" s="104"/>
      <c r="C82" s="12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</row>
    <row r="83" spans="1:16" x14ac:dyDescent="0.35">
      <c r="A83" s="107"/>
      <c r="B83" s="104"/>
      <c r="C83" s="12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</row>
    <row r="84" spans="1:16" x14ac:dyDescent="0.35">
      <c r="A84" s="107"/>
      <c r="B84" s="104"/>
      <c r="C84" s="12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</row>
    <row r="85" spans="1:16" x14ac:dyDescent="0.35">
      <c r="A85" s="107"/>
      <c r="B85" s="104"/>
      <c r="C85" s="12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</row>
    <row r="86" spans="1:16" x14ac:dyDescent="0.35">
      <c r="A86" s="107"/>
      <c r="B86" s="104"/>
      <c r="C86" s="12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</row>
    <row r="87" spans="1:16" x14ac:dyDescent="0.35">
      <c r="A87" s="107"/>
      <c r="B87" s="104"/>
      <c r="C87" s="12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</row>
    <row r="88" spans="1:16" x14ac:dyDescent="0.35">
      <c r="A88" s="107"/>
      <c r="B88" s="104"/>
      <c r="C88" s="12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</row>
    <row r="89" spans="1:16" x14ac:dyDescent="0.35">
      <c r="A89" s="91"/>
      <c r="B89" s="52"/>
      <c r="C89" s="93"/>
      <c r="D89" s="93"/>
      <c r="E89" s="93"/>
      <c r="F89" s="150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1:16" x14ac:dyDescent="0.35">
      <c r="A90" s="91"/>
      <c r="B90" s="52"/>
      <c r="C90" s="93"/>
      <c r="D90" s="93"/>
      <c r="E90" s="93"/>
      <c r="F90" s="150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1:16" x14ac:dyDescent="0.35">
      <c r="A91" s="91"/>
      <c r="B91" s="5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1:16" x14ac:dyDescent="0.35">
      <c r="A92" s="91"/>
      <c r="B92" s="52"/>
      <c r="C92" s="105"/>
      <c r="D92" s="105"/>
      <c r="E92" s="105"/>
      <c r="F92" s="105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 x14ac:dyDescent="0.35">
      <c r="A93" s="120"/>
      <c r="B93" s="52"/>
      <c r="C93" s="105"/>
      <c r="D93" s="105"/>
      <c r="E93" s="105"/>
      <c r="F93" s="105"/>
      <c r="G93" s="105"/>
      <c r="H93" s="93"/>
      <c r="I93" s="93"/>
      <c r="J93" s="93"/>
      <c r="K93" s="93"/>
      <c r="L93" s="93"/>
      <c r="M93" s="93"/>
      <c r="N93" s="93"/>
      <c r="O93" s="93"/>
      <c r="P93" s="93"/>
    </row>
    <row r="94" spans="1:16" x14ac:dyDescent="0.35">
      <c r="A94" s="288"/>
      <c r="B94" s="52"/>
      <c r="C94" s="289"/>
      <c r="D94" s="289"/>
      <c r="E94" s="289"/>
      <c r="F94" s="289"/>
      <c r="G94" s="289"/>
      <c r="H94" s="93"/>
      <c r="I94" s="93"/>
      <c r="J94" s="93"/>
      <c r="K94" s="93"/>
      <c r="L94" s="93"/>
      <c r="M94" s="93"/>
      <c r="N94" s="93"/>
      <c r="O94" s="93"/>
      <c r="P94" s="93"/>
    </row>
    <row r="95" spans="1:16" x14ac:dyDescent="0.35">
      <c r="A95" s="91"/>
      <c r="B95" s="52"/>
      <c r="C95" s="105"/>
      <c r="D95" s="105"/>
      <c r="E95" s="105"/>
      <c r="F95" s="105"/>
      <c r="G95" s="105"/>
      <c r="H95" s="93"/>
      <c r="I95" s="93"/>
      <c r="J95" s="93"/>
      <c r="K95" s="93"/>
      <c r="L95" s="93"/>
      <c r="M95" s="93"/>
      <c r="N95" s="93"/>
      <c r="O95" s="93"/>
      <c r="P95" s="93"/>
    </row>
    <row r="96" spans="1:16" x14ac:dyDescent="0.35">
      <c r="A96" s="91"/>
      <c r="B96" s="52"/>
      <c r="C96" s="311"/>
      <c r="D96" s="101"/>
      <c r="E96" s="101"/>
      <c r="F96" s="311"/>
      <c r="G96" s="101"/>
      <c r="H96" s="93"/>
      <c r="I96" s="93"/>
      <c r="J96" s="93"/>
      <c r="K96" s="93"/>
      <c r="L96" s="93"/>
      <c r="M96" s="93"/>
      <c r="N96" s="93"/>
      <c r="O96" s="93"/>
      <c r="P96" s="93"/>
    </row>
    <row r="97" spans="1:16" x14ac:dyDescent="0.35">
      <c r="A97" s="91"/>
      <c r="B97" s="51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1:16" x14ac:dyDescent="0.35">
      <c r="A98" s="91"/>
      <c r="B98" s="5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1:16" x14ac:dyDescent="0.35">
      <c r="B99" s="48"/>
      <c r="C99" s="83"/>
      <c r="D99" s="83"/>
      <c r="E99" s="83"/>
      <c r="F99" s="84"/>
      <c r="G99" s="83"/>
    </row>
    <row r="100" spans="1:16" x14ac:dyDescent="0.35">
      <c r="C100" s="83"/>
      <c r="D100" s="83"/>
      <c r="E100" s="170"/>
      <c r="G100" s="83"/>
    </row>
    <row r="101" spans="1:16" x14ac:dyDescent="0.35">
      <c r="B101" s="48"/>
      <c r="E101" s="171"/>
    </row>
    <row r="102" spans="1:16" x14ac:dyDescent="0.35">
      <c r="E102" s="171"/>
    </row>
    <row r="103" spans="1:16" x14ac:dyDescent="0.35">
      <c r="B103" s="48"/>
      <c r="C103" s="83"/>
      <c r="D103" s="83"/>
      <c r="E103" s="83"/>
      <c r="F103" s="84"/>
      <c r="G103" s="83"/>
    </row>
    <row r="105" spans="1:16" x14ac:dyDescent="0.35">
      <c r="B105" s="48"/>
      <c r="C105" s="84"/>
      <c r="D105" s="83"/>
      <c r="E105" s="84"/>
      <c r="F105" s="84"/>
      <c r="G105" s="83"/>
    </row>
    <row r="107" spans="1:16" x14ac:dyDescent="0.35">
      <c r="B107" s="48"/>
      <c r="C107" s="84"/>
      <c r="D107" s="83"/>
      <c r="E107" s="84"/>
      <c r="F107" s="84"/>
      <c r="G107" s="83"/>
    </row>
    <row r="109" spans="1:16" x14ac:dyDescent="0.35">
      <c r="B109" s="48"/>
    </row>
    <row r="111" spans="1:16" x14ac:dyDescent="0.35">
      <c r="B111" s="48"/>
      <c r="C111" s="84"/>
      <c r="D111" s="83"/>
      <c r="E111" s="84"/>
      <c r="F111" s="112"/>
      <c r="G111" s="83"/>
    </row>
    <row r="113" spans="2:7" x14ac:dyDescent="0.35">
      <c r="B113" s="48"/>
      <c r="C113" s="84"/>
      <c r="D113" s="83"/>
      <c r="E113" s="84"/>
      <c r="F113" s="112"/>
      <c r="G113" s="83"/>
    </row>
    <row r="115" spans="2:7" x14ac:dyDescent="0.35">
      <c r="B115" s="48"/>
      <c r="C115" s="84"/>
      <c r="D115" s="83"/>
      <c r="E115" s="84"/>
      <c r="F115" s="112"/>
      <c r="G115" s="83"/>
    </row>
    <row r="117" spans="2:7" x14ac:dyDescent="0.35">
      <c r="B117" s="48"/>
      <c r="C117" s="84"/>
      <c r="D117" s="83"/>
      <c r="E117" s="84"/>
      <c r="F117" s="84"/>
      <c r="G117" s="83"/>
    </row>
    <row r="119" spans="2:7" x14ac:dyDescent="0.35">
      <c r="B119" s="48"/>
      <c r="C119" s="172"/>
      <c r="D119" s="109"/>
      <c r="E119" s="172"/>
      <c r="F119" s="111"/>
      <c r="G119" s="109"/>
    </row>
    <row r="121" spans="2:7" x14ac:dyDescent="0.35">
      <c r="C121" s="83"/>
      <c r="D121" s="83"/>
      <c r="E121" s="83"/>
      <c r="F121" s="83"/>
      <c r="G121" s="83"/>
    </row>
    <row r="129" spans="1:8" x14ac:dyDescent="0.35">
      <c r="C129" s="76"/>
      <c r="H129" s="110"/>
    </row>
    <row r="130" spans="1:8" x14ac:dyDescent="0.35">
      <c r="C130" s="173"/>
    </row>
    <row r="134" spans="1:8" x14ac:dyDescent="0.35">
      <c r="C134" s="75"/>
      <c r="D134" s="75"/>
      <c r="E134" s="75"/>
      <c r="F134" s="75"/>
      <c r="G134" s="76"/>
    </row>
    <row r="135" spans="1:8" x14ac:dyDescent="0.35">
      <c r="A135" s="46"/>
      <c r="C135" s="75"/>
      <c r="D135" s="75"/>
      <c r="E135" s="75"/>
      <c r="F135" s="75"/>
      <c r="G135" s="75"/>
    </row>
    <row r="136" spans="1:8" x14ac:dyDescent="0.35">
      <c r="A136" s="56"/>
      <c r="C136" s="77"/>
      <c r="D136" s="77"/>
      <c r="E136" s="77"/>
      <c r="F136" s="77"/>
      <c r="G136" s="77"/>
    </row>
    <row r="137" spans="1:8" x14ac:dyDescent="0.35">
      <c r="C137" s="75"/>
      <c r="D137" s="75"/>
      <c r="E137" s="75"/>
      <c r="F137" s="75"/>
      <c r="G137" s="75"/>
    </row>
    <row r="138" spans="1:8" x14ac:dyDescent="0.35">
      <c r="C138" s="75"/>
      <c r="D138" s="75"/>
      <c r="E138" s="75"/>
      <c r="F138" s="75"/>
      <c r="G138" s="75"/>
    </row>
    <row r="139" spans="1:8" x14ac:dyDescent="0.35">
      <c r="B139" s="48"/>
      <c r="C139" s="115"/>
      <c r="D139" s="76"/>
      <c r="E139" s="76"/>
      <c r="F139" s="115"/>
    </row>
    <row r="141" spans="1:8" x14ac:dyDescent="0.35">
      <c r="B141" s="48"/>
      <c r="C141" s="79"/>
      <c r="D141" s="79"/>
      <c r="E141" s="79"/>
      <c r="G141" s="79"/>
    </row>
    <row r="142" spans="1:8" x14ac:dyDescent="0.35">
      <c r="C142" s="79"/>
      <c r="D142" s="79"/>
      <c r="E142" s="79"/>
      <c r="F142" s="81"/>
      <c r="G142" s="79"/>
    </row>
    <row r="143" spans="1:8" x14ac:dyDescent="0.35">
      <c r="C143" s="79"/>
      <c r="D143" s="79"/>
      <c r="E143" s="79"/>
      <c r="F143" s="81"/>
      <c r="G143" s="79"/>
    </row>
    <row r="144" spans="1:8" x14ac:dyDescent="0.35">
      <c r="C144" s="95"/>
      <c r="D144" s="82"/>
      <c r="E144" s="116"/>
      <c r="F144" s="116"/>
      <c r="G144" s="82"/>
    </row>
    <row r="145" spans="2:7" x14ac:dyDescent="0.35">
      <c r="C145" s="79"/>
      <c r="D145" s="79"/>
      <c r="E145" s="79"/>
      <c r="F145" s="79"/>
      <c r="G145" s="79"/>
    </row>
    <row r="146" spans="2:7" x14ac:dyDescent="0.35">
      <c r="C146" s="79"/>
      <c r="D146" s="79"/>
      <c r="E146" s="79"/>
      <c r="F146" s="79"/>
      <c r="G146" s="79"/>
    </row>
    <row r="147" spans="2:7" x14ac:dyDescent="0.35">
      <c r="B147" s="46"/>
      <c r="C147" s="79"/>
      <c r="D147" s="79"/>
      <c r="E147" s="79"/>
      <c r="F147" s="79"/>
      <c r="G147" s="79"/>
    </row>
    <row r="148" spans="2:7" x14ac:dyDescent="0.35">
      <c r="C148" s="79"/>
      <c r="D148" s="79"/>
      <c r="E148" s="79"/>
      <c r="F148" s="79"/>
      <c r="G148" s="79"/>
    </row>
    <row r="149" spans="2:7" x14ac:dyDescent="0.35">
      <c r="B149" s="48"/>
      <c r="C149" s="79"/>
      <c r="D149" s="79"/>
      <c r="E149" s="79"/>
      <c r="F149" s="79"/>
      <c r="G149" s="79"/>
    </row>
    <row r="150" spans="2:7" x14ac:dyDescent="0.35">
      <c r="C150" s="79"/>
      <c r="D150" s="79"/>
      <c r="E150" s="79"/>
      <c r="F150" s="79"/>
      <c r="G150" s="79"/>
    </row>
    <row r="151" spans="2:7" x14ac:dyDescent="0.35">
      <c r="C151" s="79"/>
      <c r="D151" s="79"/>
      <c r="E151" s="79"/>
      <c r="F151" s="81"/>
      <c r="G151" s="79"/>
    </row>
    <row r="152" spans="2:7" x14ac:dyDescent="0.35">
      <c r="C152" s="79"/>
      <c r="D152" s="79"/>
      <c r="E152" s="79"/>
      <c r="F152" s="81"/>
      <c r="G152" s="79"/>
    </row>
    <row r="153" spans="2:7" x14ac:dyDescent="0.35">
      <c r="C153" s="81"/>
      <c r="D153" s="79"/>
      <c r="E153" s="81"/>
      <c r="F153" s="81"/>
      <c r="G153" s="79"/>
    </row>
    <row r="154" spans="2:7" x14ac:dyDescent="0.35">
      <c r="C154" s="81"/>
      <c r="D154" s="79"/>
      <c r="E154" s="81"/>
      <c r="F154" s="81"/>
      <c r="G154" s="79"/>
    </row>
    <row r="155" spans="2:7" x14ac:dyDescent="0.35">
      <c r="C155" s="116"/>
      <c r="D155" s="82"/>
      <c r="E155" s="116"/>
      <c r="F155" s="117"/>
      <c r="G155" s="82"/>
    </row>
    <row r="156" spans="2:7" x14ac:dyDescent="0.35">
      <c r="C156" s="79"/>
      <c r="D156" s="79"/>
      <c r="E156" s="79"/>
      <c r="F156" s="79"/>
      <c r="G156" s="79"/>
    </row>
    <row r="157" spans="2:7" x14ac:dyDescent="0.35">
      <c r="C157" s="79"/>
      <c r="D157" s="79"/>
      <c r="E157" s="79"/>
      <c r="F157" s="79"/>
      <c r="G157" s="79"/>
    </row>
    <row r="158" spans="2:7" x14ac:dyDescent="0.35">
      <c r="B158" s="48"/>
      <c r="C158" s="79"/>
      <c r="D158" s="79"/>
      <c r="E158" s="79"/>
      <c r="F158" s="79"/>
      <c r="G158" s="79"/>
    </row>
    <row r="159" spans="2:7" x14ac:dyDescent="0.35">
      <c r="C159" s="79"/>
      <c r="D159" s="79"/>
      <c r="E159" s="79"/>
      <c r="F159" s="79"/>
      <c r="G159" s="79"/>
    </row>
    <row r="160" spans="2:7" x14ac:dyDescent="0.35">
      <c r="C160" s="81"/>
      <c r="D160" s="79"/>
      <c r="E160" s="81"/>
      <c r="F160" s="81"/>
      <c r="G160" s="79"/>
    </row>
    <row r="161" spans="2:7" x14ac:dyDescent="0.35">
      <c r="C161" s="81"/>
      <c r="D161" s="79"/>
      <c r="E161" s="81"/>
      <c r="F161" s="81"/>
      <c r="G161" s="79"/>
    </row>
    <row r="162" spans="2:7" x14ac:dyDescent="0.35">
      <c r="C162" s="81"/>
      <c r="D162" s="79"/>
      <c r="E162" s="81"/>
      <c r="F162" s="81"/>
      <c r="G162" s="79"/>
    </row>
    <row r="163" spans="2:7" x14ac:dyDescent="0.35">
      <c r="C163" s="116"/>
      <c r="D163" s="82"/>
      <c r="E163" s="116"/>
      <c r="F163" s="116"/>
      <c r="G163" s="82"/>
    </row>
    <row r="164" spans="2:7" x14ac:dyDescent="0.35">
      <c r="C164" s="79"/>
      <c r="D164" s="79"/>
      <c r="E164" s="79"/>
      <c r="F164" s="79"/>
      <c r="G164" s="79"/>
    </row>
    <row r="166" spans="2:7" x14ac:dyDescent="0.35">
      <c r="B166" s="48"/>
      <c r="C166" s="79"/>
      <c r="D166" s="79"/>
      <c r="E166" s="79"/>
      <c r="F166" s="79"/>
      <c r="G166" s="79"/>
    </row>
    <row r="167" spans="2:7" x14ac:dyDescent="0.35">
      <c r="C167" s="79"/>
      <c r="D167" s="79"/>
      <c r="E167" s="79"/>
      <c r="F167" s="79"/>
      <c r="G167" s="79"/>
    </row>
    <row r="168" spans="2:7" x14ac:dyDescent="0.35">
      <c r="C168" s="81"/>
      <c r="D168" s="79"/>
      <c r="E168" s="81"/>
      <c r="F168" s="81"/>
      <c r="G168" s="79"/>
    </row>
    <row r="169" spans="2:7" x14ac:dyDescent="0.35">
      <c r="C169" s="81"/>
      <c r="D169" s="79"/>
      <c r="E169" s="81"/>
      <c r="F169" s="81"/>
      <c r="G169" s="79"/>
    </row>
    <row r="170" spans="2:7" x14ac:dyDescent="0.35">
      <c r="C170" s="81"/>
      <c r="D170" s="79"/>
      <c r="E170" s="81"/>
      <c r="F170" s="81"/>
      <c r="G170" s="79"/>
    </row>
    <row r="171" spans="2:7" x14ac:dyDescent="0.35">
      <c r="C171" s="116"/>
      <c r="D171" s="82"/>
      <c r="E171" s="116"/>
      <c r="F171" s="116"/>
      <c r="G171" s="82"/>
    </row>
    <row r="172" spans="2:7" x14ac:dyDescent="0.35">
      <c r="C172" s="79"/>
      <c r="D172" s="79"/>
      <c r="E172" s="79"/>
      <c r="F172" s="79"/>
      <c r="G172" s="79"/>
    </row>
    <row r="173" spans="2:7" x14ac:dyDescent="0.35">
      <c r="C173" s="111"/>
      <c r="D173" s="109"/>
      <c r="E173" s="111"/>
      <c r="F173" s="111"/>
      <c r="G173" s="109"/>
    </row>
    <row r="174" spans="2:7" x14ac:dyDescent="0.35">
      <c r="C174" s="111"/>
      <c r="D174" s="109"/>
      <c r="E174" s="111"/>
      <c r="F174" s="111"/>
      <c r="G174" s="109"/>
    </row>
    <row r="175" spans="2:7" x14ac:dyDescent="0.35">
      <c r="C175" s="111"/>
      <c r="D175" s="109"/>
      <c r="E175" s="111"/>
      <c r="F175" s="111"/>
      <c r="G175" s="109"/>
    </row>
    <row r="176" spans="2:7" x14ac:dyDescent="0.35">
      <c r="C176" s="111"/>
      <c r="D176" s="109"/>
      <c r="E176" s="111"/>
      <c r="F176" s="111"/>
      <c r="G176" s="109"/>
    </row>
    <row r="177" spans="1:8" x14ac:dyDescent="0.35">
      <c r="C177" s="111"/>
      <c r="D177" s="109"/>
      <c r="E177" s="111"/>
      <c r="F177" s="111"/>
      <c r="G177" s="109"/>
    </row>
    <row r="178" spans="1:8" x14ac:dyDescent="0.35">
      <c r="C178" s="111"/>
      <c r="D178" s="109"/>
      <c r="E178" s="111"/>
      <c r="F178" s="111"/>
      <c r="G178" s="109"/>
    </row>
    <row r="179" spans="1:8" x14ac:dyDescent="0.35">
      <c r="C179" s="111"/>
      <c r="D179" s="109"/>
      <c r="E179" s="111"/>
      <c r="F179" s="111"/>
      <c r="G179" s="109"/>
    </row>
    <row r="180" spans="1:8" x14ac:dyDescent="0.35">
      <c r="C180" s="111"/>
      <c r="D180" s="109"/>
      <c r="E180" s="111"/>
      <c r="F180" s="111"/>
      <c r="G180" s="109"/>
    </row>
    <row r="181" spans="1:8" x14ac:dyDescent="0.35">
      <c r="C181" s="111"/>
      <c r="D181" s="109"/>
      <c r="E181" s="111"/>
      <c r="F181" s="111"/>
      <c r="G181" s="109"/>
    </row>
    <row r="182" spans="1:8" x14ac:dyDescent="0.35">
      <c r="C182" s="111"/>
      <c r="D182" s="109"/>
      <c r="E182" s="111"/>
      <c r="F182" s="111"/>
      <c r="G182" s="109"/>
    </row>
    <row r="183" spans="1:8" x14ac:dyDescent="0.35">
      <c r="C183" s="83"/>
      <c r="D183" s="83"/>
      <c r="E183" s="83"/>
      <c r="F183" s="83"/>
      <c r="G183" s="83"/>
    </row>
    <row r="184" spans="1:8" x14ac:dyDescent="0.35">
      <c r="C184" s="76"/>
      <c r="H184" s="110"/>
    </row>
    <row r="185" spans="1:8" x14ac:dyDescent="0.35">
      <c r="C185" s="133"/>
    </row>
    <row r="187" spans="1:8" x14ac:dyDescent="0.35">
      <c r="C187" s="75"/>
      <c r="D187" s="75"/>
      <c r="E187" s="75"/>
      <c r="F187" s="75"/>
      <c r="G187" s="76"/>
    </row>
    <row r="188" spans="1:8" x14ac:dyDescent="0.35">
      <c r="A188" s="46"/>
      <c r="C188" s="75"/>
      <c r="D188" s="75"/>
      <c r="E188" s="75"/>
      <c r="F188" s="75"/>
      <c r="G188" s="75"/>
    </row>
    <row r="189" spans="1:8" x14ac:dyDescent="0.35">
      <c r="A189" s="56"/>
      <c r="C189" s="77"/>
      <c r="D189" s="77"/>
      <c r="E189" s="77"/>
      <c r="F189" s="77"/>
      <c r="G189" s="77"/>
    </row>
    <row r="190" spans="1:8" x14ac:dyDescent="0.35">
      <c r="C190" s="75"/>
      <c r="D190" s="75"/>
      <c r="E190" s="75"/>
      <c r="F190" s="75"/>
      <c r="G190" s="75"/>
    </row>
    <row r="191" spans="1:8" x14ac:dyDescent="0.35">
      <c r="C191" s="75"/>
      <c r="D191" s="75"/>
      <c r="E191" s="75"/>
      <c r="F191" s="75"/>
      <c r="G191" s="75"/>
    </row>
    <row r="192" spans="1:8" x14ac:dyDescent="0.35">
      <c r="C192" s="115"/>
      <c r="D192" s="76"/>
      <c r="E192" s="76"/>
      <c r="F192" s="115"/>
    </row>
    <row r="193" spans="2:7" x14ac:dyDescent="0.35">
      <c r="B193" s="48"/>
    </row>
    <row r="195" spans="2:7" x14ac:dyDescent="0.35">
      <c r="B195" s="48"/>
      <c r="C195" s="83"/>
      <c r="D195" s="83"/>
      <c r="E195" s="83"/>
      <c r="G195" s="83"/>
    </row>
    <row r="197" spans="2:7" x14ac:dyDescent="0.35">
      <c r="C197" s="81"/>
      <c r="D197" s="79"/>
      <c r="E197" s="81"/>
      <c r="F197" s="86"/>
      <c r="G197" s="79"/>
    </row>
    <row r="198" spans="2:7" x14ac:dyDescent="0.35">
      <c r="C198" s="81"/>
      <c r="D198" s="79"/>
      <c r="E198" s="81"/>
      <c r="F198" s="86"/>
      <c r="G198" s="79"/>
    </row>
    <row r="199" spans="2:7" x14ac:dyDescent="0.35">
      <c r="C199" s="81"/>
      <c r="D199" s="79"/>
      <c r="E199" s="81"/>
      <c r="F199" s="86"/>
      <c r="G199" s="79"/>
    </row>
    <row r="200" spans="2:7" x14ac:dyDescent="0.35">
      <c r="C200" s="81"/>
      <c r="D200" s="79"/>
      <c r="E200" s="81"/>
      <c r="F200" s="86"/>
      <c r="G200" s="79"/>
    </row>
    <row r="201" spans="2:7" x14ac:dyDescent="0.35">
      <c r="C201" s="116"/>
      <c r="D201" s="82"/>
      <c r="E201" s="116"/>
      <c r="F201" s="95"/>
      <c r="G201" s="82"/>
    </row>
    <row r="202" spans="2:7" x14ac:dyDescent="0.35">
      <c r="C202" s="79"/>
      <c r="D202" s="79"/>
      <c r="E202" s="79"/>
      <c r="F202" s="79"/>
      <c r="G202" s="79"/>
    </row>
    <row r="204" spans="2:7" x14ac:dyDescent="0.35">
      <c r="B204" s="48"/>
      <c r="C204" s="79"/>
      <c r="D204" s="79"/>
      <c r="E204" s="79"/>
      <c r="F204" s="79"/>
      <c r="G204" s="79"/>
    </row>
    <row r="206" spans="2:7" x14ac:dyDescent="0.35">
      <c r="C206" s="81"/>
      <c r="D206" s="79"/>
      <c r="E206" s="81"/>
      <c r="F206" s="86"/>
      <c r="G206" s="79"/>
    </row>
    <row r="207" spans="2:7" x14ac:dyDescent="0.35">
      <c r="C207" s="81"/>
      <c r="D207" s="79"/>
      <c r="E207" s="81"/>
      <c r="F207" s="86"/>
      <c r="G207" s="79"/>
    </row>
    <row r="208" spans="2:7" x14ac:dyDescent="0.35">
      <c r="C208" s="81"/>
      <c r="D208" s="79"/>
      <c r="E208" s="81"/>
      <c r="F208" s="86"/>
      <c r="G208" s="79"/>
    </row>
    <row r="209" spans="2:7" x14ac:dyDescent="0.35">
      <c r="C209" s="116"/>
      <c r="D209" s="82"/>
      <c r="E209" s="116"/>
      <c r="F209" s="95"/>
      <c r="G209" s="82"/>
    </row>
    <row r="210" spans="2:7" x14ac:dyDescent="0.35">
      <c r="C210" s="79"/>
      <c r="D210" s="79"/>
      <c r="E210" s="79"/>
      <c r="F210" s="79"/>
      <c r="G210" s="79"/>
    </row>
    <row r="211" spans="2:7" x14ac:dyDescent="0.35">
      <c r="C211" s="79"/>
      <c r="D211" s="79"/>
      <c r="E211" s="79"/>
      <c r="F211" s="79"/>
      <c r="G211" s="79"/>
    </row>
    <row r="212" spans="2:7" x14ac:dyDescent="0.35">
      <c r="B212" s="48"/>
      <c r="C212" s="79"/>
      <c r="D212" s="79"/>
      <c r="E212" s="79"/>
      <c r="F212" s="79"/>
      <c r="G212" s="79"/>
    </row>
    <row r="214" spans="2:7" x14ac:dyDescent="0.35">
      <c r="C214" s="81"/>
      <c r="D214" s="79"/>
      <c r="E214" s="81"/>
      <c r="F214" s="79"/>
      <c r="G214" s="79"/>
    </row>
    <row r="215" spans="2:7" x14ac:dyDescent="0.35">
      <c r="C215" s="81"/>
      <c r="D215" s="79"/>
      <c r="E215" s="81"/>
      <c r="F215" s="79"/>
      <c r="G215" s="79"/>
    </row>
    <row r="216" spans="2:7" x14ac:dyDescent="0.35">
      <c r="C216" s="81"/>
      <c r="D216" s="79"/>
      <c r="E216" s="81"/>
      <c r="F216" s="79"/>
      <c r="G216" s="79"/>
    </row>
    <row r="217" spans="2:7" x14ac:dyDescent="0.35">
      <c r="C217" s="116"/>
      <c r="D217" s="82"/>
      <c r="E217" s="116"/>
      <c r="F217" s="82"/>
      <c r="G217" s="82"/>
    </row>
    <row r="218" spans="2:7" x14ac:dyDescent="0.35">
      <c r="C218" s="79"/>
      <c r="D218" s="79"/>
      <c r="E218" s="79"/>
      <c r="F218" s="79"/>
      <c r="G218" s="79"/>
    </row>
    <row r="220" spans="2:7" x14ac:dyDescent="0.35">
      <c r="B220" s="48"/>
      <c r="C220" s="79"/>
      <c r="D220" s="79"/>
      <c r="E220" s="79"/>
      <c r="F220" s="79"/>
      <c r="G220" s="79"/>
    </row>
    <row r="222" spans="2:7" x14ac:dyDescent="0.35">
      <c r="C222" s="81"/>
      <c r="D222" s="79"/>
      <c r="E222" s="81"/>
      <c r="F222" s="81"/>
      <c r="G222" s="79"/>
    </row>
    <row r="223" spans="2:7" x14ac:dyDescent="0.35">
      <c r="C223" s="81"/>
      <c r="D223" s="79"/>
      <c r="E223" s="81"/>
      <c r="F223" s="81"/>
      <c r="G223" s="79"/>
    </row>
    <row r="224" spans="2:7" x14ac:dyDescent="0.35">
      <c r="C224" s="81"/>
      <c r="D224" s="79"/>
      <c r="E224" s="81"/>
      <c r="F224" s="81"/>
      <c r="G224" s="79"/>
    </row>
    <row r="225" spans="2:7" x14ac:dyDescent="0.35">
      <c r="C225" s="116"/>
      <c r="D225" s="82"/>
      <c r="E225" s="116"/>
      <c r="F225" s="116"/>
      <c r="G225" s="82"/>
    </row>
    <row r="226" spans="2:7" x14ac:dyDescent="0.35">
      <c r="C226" s="79"/>
      <c r="D226" s="79"/>
      <c r="E226" s="79"/>
      <c r="F226" s="79"/>
      <c r="G226" s="79"/>
    </row>
    <row r="227" spans="2:7" x14ac:dyDescent="0.35">
      <c r="C227" s="79"/>
      <c r="D227" s="79"/>
      <c r="E227" s="79"/>
      <c r="F227" s="79"/>
      <c r="G227" s="79"/>
    </row>
    <row r="228" spans="2:7" x14ac:dyDescent="0.35">
      <c r="B228" s="48"/>
      <c r="C228" s="79"/>
      <c r="D228" s="79"/>
      <c r="E228" s="79"/>
      <c r="F228" s="79"/>
      <c r="G228" s="79"/>
    </row>
    <row r="230" spans="2:7" x14ac:dyDescent="0.35">
      <c r="C230" s="81"/>
      <c r="D230" s="79"/>
      <c r="E230" s="81"/>
      <c r="F230" s="86"/>
      <c r="G230" s="79"/>
    </row>
  </sheetData>
  <mergeCells count="3">
    <mergeCell ref="A3:P3"/>
    <mergeCell ref="A2:P2"/>
    <mergeCell ref="A1:P1"/>
  </mergeCells>
  <phoneticPr fontId="0" type="noConversion"/>
  <printOptions horizontalCentered="1"/>
  <pageMargins left="0" right="0" top="0.75" bottom="0" header="0.5" footer="0.5"/>
  <pageSetup scale="50" orientation="landscape" r:id="rId1"/>
  <headerFooter alignWithMargins="0"/>
  <rowBreaks count="3" manualBreakCount="3">
    <brk id="70" max="15" man="1"/>
    <brk id="72" max="15" man="1"/>
    <brk id="12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5">
    <tabColor rgb="FFFFFF00"/>
  </sheetPr>
  <dimension ref="A1:S243"/>
  <sheetViews>
    <sheetView topLeftCell="A49" workbookViewId="0">
      <selection sqref="A1:R1"/>
    </sheetView>
  </sheetViews>
  <sheetFormatPr defaultColWidth="10" defaultRowHeight="14" x14ac:dyDescent="0.3"/>
  <cols>
    <col min="1" max="1" width="6.625" style="312" customWidth="1"/>
    <col min="2" max="2" width="30.375" style="312" customWidth="1"/>
    <col min="3" max="3" width="16.375" style="312" customWidth="1"/>
    <col min="4" max="4" width="14.125" style="312" customWidth="1"/>
    <col min="5" max="5" width="11.375" style="312" customWidth="1"/>
    <col min="6" max="10" width="19.375" style="312" bestFit="1" customWidth="1"/>
    <col min="11" max="16" width="17" style="312" bestFit="1" customWidth="1"/>
    <col min="17" max="17" width="19.375" style="312" bestFit="1" customWidth="1"/>
    <col min="18" max="18" width="21.625" style="312" customWidth="1"/>
    <col min="19" max="19" width="34" style="312" customWidth="1"/>
    <col min="20" max="20" width="10" style="312"/>
    <col min="21" max="22" width="2.375" style="312" customWidth="1"/>
    <col min="23" max="16384" width="10" style="312"/>
  </cols>
  <sheetData>
    <row r="1" spans="1:19" x14ac:dyDescent="0.3">
      <c r="A1" s="810" t="str">
        <f>CONAME</f>
        <v>Columbia Gas of Kentucky, Inc.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</row>
    <row r="2" spans="1:19" x14ac:dyDescent="0.3">
      <c r="A2" s="810" t="s">
        <v>196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</row>
    <row r="3" spans="1:19" x14ac:dyDescent="0.3">
      <c r="A3" s="810" t="str">
        <f>TYDESC</f>
        <v>For the 12 Months Ended December 31, 2022</v>
      </c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810"/>
    </row>
    <row r="4" spans="1:19" x14ac:dyDescent="0.3"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9" x14ac:dyDescent="0.3"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R5" s="314" t="str">
        <f>'D pg 1'!$P$7</f>
        <v>Workpaper WPM-D.2</v>
      </c>
    </row>
    <row r="6" spans="1:19" x14ac:dyDescent="0.3">
      <c r="A6" s="315"/>
      <c r="B6" s="315"/>
      <c r="C6" s="315"/>
      <c r="D6" s="316" t="s">
        <v>29</v>
      </c>
      <c r="E6" s="315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8" t="s">
        <v>410</v>
      </c>
      <c r="S6" s="317"/>
    </row>
    <row r="7" spans="1:19" x14ac:dyDescent="0.3">
      <c r="A7" s="315"/>
      <c r="B7" s="315"/>
      <c r="C7" s="315"/>
      <c r="D7" s="316" t="s">
        <v>31</v>
      </c>
      <c r="E7" s="315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</row>
    <row r="8" spans="1:19" x14ac:dyDescent="0.3">
      <c r="A8" s="316" t="s">
        <v>1</v>
      </c>
      <c r="B8" s="315"/>
      <c r="C8" s="316" t="s">
        <v>0</v>
      </c>
      <c r="D8" s="316" t="s">
        <v>32</v>
      </c>
      <c r="E8" s="319" t="s">
        <v>27</v>
      </c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</row>
    <row r="9" spans="1:19" x14ac:dyDescent="0.3">
      <c r="A9" s="320" t="s">
        <v>3</v>
      </c>
      <c r="B9" s="320" t="s">
        <v>33</v>
      </c>
      <c r="C9" s="320" t="s">
        <v>2</v>
      </c>
      <c r="D9" s="320" t="s">
        <v>34</v>
      </c>
      <c r="E9" s="320" t="s">
        <v>25</v>
      </c>
      <c r="F9" s="321" t="str">
        <f>B!$D$11</f>
        <v>Jan-22</v>
      </c>
      <c r="G9" s="321" t="str">
        <f>B!$E$11</f>
        <v>Feb-22</v>
      </c>
      <c r="H9" s="321" t="str">
        <f>B!$F$11</f>
        <v>Mar-22</v>
      </c>
      <c r="I9" s="321" t="str">
        <f>B!$G$11</f>
        <v>Apr-22</v>
      </c>
      <c r="J9" s="321" t="str">
        <f>B!$H$11</f>
        <v>May-22</v>
      </c>
      <c r="K9" s="321" t="str">
        <f>B!$I$11</f>
        <v>Jun-22</v>
      </c>
      <c r="L9" s="321" t="str">
        <f>B!$J$11</f>
        <v>Jul-22</v>
      </c>
      <c r="M9" s="321" t="str">
        <f>B!$K$11</f>
        <v>Aug-22</v>
      </c>
      <c r="N9" s="321" t="str">
        <f>B!$L$11</f>
        <v>Sep-22</v>
      </c>
      <c r="O9" s="321" t="str">
        <f>B!$M$11</f>
        <v>Oct-22</v>
      </c>
      <c r="P9" s="321" t="str">
        <f>B!$N$11</f>
        <v>Nov-22</v>
      </c>
      <c r="Q9" s="321" t="str">
        <f>B!$O$11</f>
        <v>Dec-22</v>
      </c>
      <c r="R9" s="320" t="s">
        <v>9</v>
      </c>
      <c r="S9" s="317"/>
    </row>
    <row r="10" spans="1:19" x14ac:dyDescent="0.3">
      <c r="A10" s="315"/>
      <c r="B10" s="315"/>
      <c r="C10" s="315"/>
      <c r="D10" s="315"/>
      <c r="E10" s="315"/>
      <c r="F10" s="322" t="s">
        <v>28</v>
      </c>
      <c r="G10" s="322" t="s">
        <v>28</v>
      </c>
      <c r="H10" s="322" t="s">
        <v>28</v>
      </c>
      <c r="I10" s="322" t="s">
        <v>28</v>
      </c>
      <c r="J10" s="322" t="s">
        <v>28</v>
      </c>
      <c r="K10" s="322" t="s">
        <v>28</v>
      </c>
      <c r="L10" s="322" t="s">
        <v>28</v>
      </c>
      <c r="M10" s="322" t="s">
        <v>28</v>
      </c>
      <c r="N10" s="322" t="s">
        <v>28</v>
      </c>
      <c r="O10" s="322" t="s">
        <v>28</v>
      </c>
      <c r="P10" s="322" t="s">
        <v>28</v>
      </c>
      <c r="Q10" s="322" t="s">
        <v>28</v>
      </c>
      <c r="R10" s="322" t="s">
        <v>28</v>
      </c>
      <c r="S10" s="317"/>
    </row>
    <row r="11" spans="1:19" x14ac:dyDescent="0.3">
      <c r="A11" s="317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</row>
    <row r="12" spans="1:19" x14ac:dyDescent="0.3">
      <c r="A12" s="323">
        <v>1</v>
      </c>
      <c r="B12" s="324" t="s">
        <v>551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</row>
    <row r="13" spans="1:19" x14ac:dyDescent="0.3">
      <c r="A13" s="323"/>
      <c r="B13" s="325"/>
      <c r="C13" s="325"/>
      <c r="D13" s="325"/>
      <c r="E13" s="317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7"/>
      <c r="S13" s="317"/>
    </row>
    <row r="14" spans="1:19" x14ac:dyDescent="0.3">
      <c r="A14" s="323">
        <f>A12+1</f>
        <v>2</v>
      </c>
      <c r="B14" s="328" t="s">
        <v>552</v>
      </c>
      <c r="C14" s="325" t="s">
        <v>404</v>
      </c>
      <c r="D14" s="329"/>
      <c r="E14" s="330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17"/>
    </row>
    <row r="15" spans="1:19" x14ac:dyDescent="0.3">
      <c r="A15" s="323">
        <f>A14+1</f>
        <v>3</v>
      </c>
      <c r="B15" s="331" t="s">
        <v>164</v>
      </c>
      <c r="C15" s="325"/>
      <c r="D15" s="325"/>
      <c r="E15" s="323"/>
      <c r="F15" s="326">
        <v>2000</v>
      </c>
      <c r="G15" s="326">
        <v>2000</v>
      </c>
      <c r="H15" s="326">
        <v>1500</v>
      </c>
      <c r="I15" s="326">
        <v>1200</v>
      </c>
      <c r="J15" s="326">
        <v>800</v>
      </c>
      <c r="K15" s="326">
        <v>50</v>
      </c>
      <c r="L15" s="326">
        <v>0</v>
      </c>
      <c r="M15" s="326">
        <v>0</v>
      </c>
      <c r="N15" s="326">
        <v>50</v>
      </c>
      <c r="O15" s="326">
        <v>800</v>
      </c>
      <c r="P15" s="326">
        <v>900</v>
      </c>
      <c r="Q15" s="326">
        <v>1500</v>
      </c>
      <c r="R15" s="327">
        <f>SUM(F15:Q15)</f>
        <v>10800</v>
      </c>
      <c r="S15" s="317"/>
    </row>
    <row r="16" spans="1:19" x14ac:dyDescent="0.3">
      <c r="A16" s="323"/>
      <c r="B16" s="325"/>
      <c r="C16" s="325"/>
      <c r="D16" s="325"/>
      <c r="E16" s="323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17"/>
    </row>
    <row r="17" spans="1:19" x14ac:dyDescent="0.3">
      <c r="A17" s="323">
        <f>A15+1</f>
        <v>4</v>
      </c>
      <c r="B17" s="325" t="s">
        <v>166</v>
      </c>
      <c r="C17" s="325"/>
      <c r="D17" s="325"/>
      <c r="E17" s="332">
        <v>0</v>
      </c>
      <c r="F17" s="340">
        <v>0</v>
      </c>
      <c r="G17" s="340">
        <v>0</v>
      </c>
      <c r="H17" s="340">
        <v>0</v>
      </c>
      <c r="I17" s="340">
        <v>0</v>
      </c>
      <c r="J17" s="340">
        <v>0</v>
      </c>
      <c r="K17" s="340">
        <f>-K15</f>
        <v>-50</v>
      </c>
      <c r="L17" s="340">
        <v>0</v>
      </c>
      <c r="M17" s="340">
        <v>0</v>
      </c>
      <c r="N17" s="340">
        <f>-N15</f>
        <v>-50</v>
      </c>
      <c r="O17" s="340">
        <v>0</v>
      </c>
      <c r="P17" s="340">
        <v>0</v>
      </c>
      <c r="Q17" s="340">
        <v>0</v>
      </c>
      <c r="R17" s="327">
        <f>SUM(F17:Q17)</f>
        <v>-100</v>
      </c>
      <c r="S17" s="333"/>
    </row>
    <row r="18" spans="1:19" x14ac:dyDescent="0.3">
      <c r="A18" s="323">
        <f>A17+1</f>
        <v>5</v>
      </c>
      <c r="B18" s="325" t="s">
        <v>167</v>
      </c>
      <c r="C18" s="325"/>
      <c r="D18" s="325"/>
      <c r="E18" s="334"/>
      <c r="F18" s="340">
        <v>0</v>
      </c>
      <c r="G18" s="340">
        <v>0</v>
      </c>
      <c r="H18" s="340">
        <v>0</v>
      </c>
      <c r="I18" s="340">
        <v>0</v>
      </c>
      <c r="J18" s="340">
        <v>-100</v>
      </c>
      <c r="K18" s="340">
        <v>0</v>
      </c>
      <c r="L18" s="340">
        <v>0</v>
      </c>
      <c r="M18" s="340">
        <v>0</v>
      </c>
      <c r="N18" s="340">
        <v>0</v>
      </c>
      <c r="O18" s="340">
        <v>0</v>
      </c>
      <c r="P18" s="340">
        <v>0</v>
      </c>
      <c r="Q18" s="340">
        <v>0</v>
      </c>
      <c r="R18" s="327">
        <f>SUM(F18:Q18)</f>
        <v>-100</v>
      </c>
      <c r="S18" s="333"/>
    </row>
    <row r="19" spans="1:19" x14ac:dyDescent="0.3">
      <c r="A19" s="323">
        <f>A18+1</f>
        <v>6</v>
      </c>
      <c r="B19" s="325" t="s">
        <v>168</v>
      </c>
      <c r="C19" s="325"/>
      <c r="D19" s="325"/>
      <c r="E19" s="334"/>
      <c r="F19" s="340">
        <v>0</v>
      </c>
      <c r="G19" s="340">
        <v>0</v>
      </c>
      <c r="H19" s="340">
        <v>0</v>
      </c>
      <c r="I19" s="340">
        <v>-500</v>
      </c>
      <c r="J19" s="340">
        <v>-600</v>
      </c>
      <c r="K19" s="340">
        <v>0</v>
      </c>
      <c r="L19" s="340">
        <v>0</v>
      </c>
      <c r="M19" s="340">
        <v>0</v>
      </c>
      <c r="N19" s="340">
        <v>0</v>
      </c>
      <c r="O19" s="340">
        <v>0</v>
      </c>
      <c r="P19" s="340">
        <v>100</v>
      </c>
      <c r="Q19" s="340">
        <v>0</v>
      </c>
      <c r="R19" s="327">
        <f>SUM(F19:Q19)</f>
        <v>-1000</v>
      </c>
      <c r="S19" s="333"/>
    </row>
    <row r="20" spans="1:19" x14ac:dyDescent="0.3">
      <c r="A20" s="323">
        <f>A19+1</f>
        <v>7</v>
      </c>
      <c r="B20" s="325" t="s">
        <v>169</v>
      </c>
      <c r="C20" s="325"/>
      <c r="D20" s="325"/>
      <c r="E20" s="334"/>
      <c r="F20" s="340">
        <v>4000</v>
      </c>
      <c r="G20" s="340">
        <v>4000</v>
      </c>
      <c r="H20" s="340">
        <v>500</v>
      </c>
      <c r="I20" s="340">
        <v>0</v>
      </c>
      <c r="J20" s="340">
        <v>0</v>
      </c>
      <c r="K20" s="340">
        <v>0</v>
      </c>
      <c r="L20" s="340">
        <v>0</v>
      </c>
      <c r="M20" s="340">
        <v>0</v>
      </c>
      <c r="N20" s="340">
        <v>0</v>
      </c>
      <c r="O20" s="340">
        <v>0</v>
      </c>
      <c r="P20" s="340">
        <v>2200</v>
      </c>
      <c r="Q20" s="340">
        <v>4000</v>
      </c>
      <c r="R20" s="327">
        <f>SUM(F20:Q20)</f>
        <v>14700</v>
      </c>
      <c r="S20" s="333"/>
    </row>
    <row r="21" spans="1:19" x14ac:dyDescent="0.3">
      <c r="A21" s="323"/>
      <c r="B21" s="325"/>
      <c r="C21" s="325"/>
      <c r="D21" s="325"/>
      <c r="E21" s="334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7"/>
      <c r="S21" s="317"/>
    </row>
    <row r="22" spans="1:19" x14ac:dyDescent="0.3">
      <c r="A22" s="323">
        <f>A20+1</f>
        <v>8</v>
      </c>
      <c r="B22" s="328"/>
      <c r="C22" s="325" t="s">
        <v>404</v>
      </c>
      <c r="D22" s="329"/>
      <c r="E22" s="335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17"/>
    </row>
    <row r="23" spans="1:19" x14ac:dyDescent="0.3">
      <c r="A23" s="323">
        <f>A22+1</f>
        <v>9</v>
      </c>
      <c r="B23" s="331" t="s">
        <v>164</v>
      </c>
      <c r="C23" s="325"/>
      <c r="D23" s="325"/>
      <c r="E23" s="317"/>
      <c r="F23" s="326">
        <v>0</v>
      </c>
      <c r="G23" s="326">
        <v>0</v>
      </c>
      <c r="H23" s="326">
        <v>0</v>
      </c>
      <c r="I23" s="326">
        <v>0</v>
      </c>
      <c r="J23" s="326">
        <v>0</v>
      </c>
      <c r="K23" s="326">
        <v>0</v>
      </c>
      <c r="L23" s="326">
        <v>0</v>
      </c>
      <c r="M23" s="326">
        <v>0</v>
      </c>
      <c r="N23" s="326">
        <v>0</v>
      </c>
      <c r="O23" s="326">
        <v>0</v>
      </c>
      <c r="P23" s="326">
        <v>0</v>
      </c>
      <c r="Q23" s="326">
        <v>0</v>
      </c>
      <c r="R23" s="327">
        <f>SUM(F23:Q23)</f>
        <v>0</v>
      </c>
      <c r="S23" s="317"/>
    </row>
    <row r="24" spans="1:19" x14ac:dyDescent="0.3">
      <c r="A24" s="323"/>
      <c r="B24" s="331"/>
      <c r="C24" s="325"/>
      <c r="D24" s="325"/>
      <c r="E24" s="317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7"/>
      <c r="S24" s="317"/>
    </row>
    <row r="25" spans="1:19" x14ac:dyDescent="0.3">
      <c r="A25" s="323">
        <f>A23+1</f>
        <v>10</v>
      </c>
      <c r="B25" s="325" t="s">
        <v>166</v>
      </c>
      <c r="C25" s="325"/>
      <c r="D25" s="325"/>
      <c r="E25" s="317"/>
      <c r="F25" s="340">
        <v>0</v>
      </c>
      <c r="G25" s="340">
        <v>0</v>
      </c>
      <c r="H25" s="340">
        <v>0</v>
      </c>
      <c r="I25" s="340">
        <v>0</v>
      </c>
      <c r="J25" s="340">
        <v>0</v>
      </c>
      <c r="K25" s="340">
        <v>0</v>
      </c>
      <c r="L25" s="340">
        <v>0</v>
      </c>
      <c r="M25" s="340">
        <v>0</v>
      </c>
      <c r="N25" s="340">
        <v>0</v>
      </c>
      <c r="O25" s="340">
        <v>0</v>
      </c>
      <c r="P25" s="340">
        <v>0</v>
      </c>
      <c r="Q25" s="340">
        <v>0</v>
      </c>
      <c r="R25" s="327">
        <f>SUM(F25:Q25)</f>
        <v>0</v>
      </c>
      <c r="S25" s="317"/>
    </row>
    <row r="26" spans="1:19" x14ac:dyDescent="0.3">
      <c r="A26" s="323">
        <f>A25+1</f>
        <v>11</v>
      </c>
      <c r="B26" s="325" t="s">
        <v>167</v>
      </c>
      <c r="C26" s="325"/>
      <c r="D26" s="325"/>
      <c r="E26" s="317"/>
      <c r="F26" s="340">
        <v>0</v>
      </c>
      <c r="G26" s="340">
        <v>0</v>
      </c>
      <c r="H26" s="340">
        <v>0</v>
      </c>
      <c r="I26" s="340">
        <v>0</v>
      </c>
      <c r="J26" s="340">
        <v>0</v>
      </c>
      <c r="K26" s="340">
        <v>0</v>
      </c>
      <c r="L26" s="340">
        <v>0</v>
      </c>
      <c r="M26" s="340">
        <v>0</v>
      </c>
      <c r="N26" s="340">
        <v>0</v>
      </c>
      <c r="O26" s="340">
        <v>0</v>
      </c>
      <c r="P26" s="340">
        <v>0</v>
      </c>
      <c r="Q26" s="340">
        <v>0</v>
      </c>
      <c r="R26" s="327">
        <f>SUM(F26:Q26)</f>
        <v>0</v>
      </c>
      <c r="S26" s="317"/>
    </row>
    <row r="27" spans="1:19" x14ac:dyDescent="0.3">
      <c r="A27" s="323">
        <f>A26+1</f>
        <v>12</v>
      </c>
      <c r="B27" s="325" t="s">
        <v>168</v>
      </c>
      <c r="C27" s="325"/>
      <c r="D27" s="325"/>
      <c r="E27" s="317"/>
      <c r="F27" s="340">
        <v>0</v>
      </c>
      <c r="G27" s="340">
        <v>0</v>
      </c>
      <c r="H27" s="340">
        <v>0</v>
      </c>
      <c r="I27" s="340">
        <v>0</v>
      </c>
      <c r="J27" s="340">
        <v>0</v>
      </c>
      <c r="K27" s="340">
        <v>0</v>
      </c>
      <c r="L27" s="340">
        <v>0</v>
      </c>
      <c r="M27" s="340">
        <v>0</v>
      </c>
      <c r="N27" s="340">
        <v>0</v>
      </c>
      <c r="O27" s="340">
        <v>0</v>
      </c>
      <c r="P27" s="340">
        <v>0</v>
      </c>
      <c r="Q27" s="340">
        <v>0</v>
      </c>
      <c r="R27" s="327">
        <f>SUM(F27:Q27)</f>
        <v>0</v>
      </c>
      <c r="S27" s="317"/>
    </row>
    <row r="28" spans="1:19" x14ac:dyDescent="0.3">
      <c r="A28" s="323">
        <f>A27+1</f>
        <v>13</v>
      </c>
      <c r="B28" s="325" t="s">
        <v>169</v>
      </c>
      <c r="C28" s="325"/>
      <c r="D28" s="325"/>
      <c r="E28" s="317"/>
      <c r="F28" s="326">
        <v>0</v>
      </c>
      <c r="G28" s="326">
        <v>0</v>
      </c>
      <c r="H28" s="326">
        <v>0</v>
      </c>
      <c r="I28" s="326">
        <v>0</v>
      </c>
      <c r="J28" s="326">
        <v>0</v>
      </c>
      <c r="K28" s="326">
        <v>0</v>
      </c>
      <c r="L28" s="326">
        <v>0</v>
      </c>
      <c r="M28" s="326">
        <v>0</v>
      </c>
      <c r="N28" s="326">
        <v>0</v>
      </c>
      <c r="O28" s="326">
        <v>0</v>
      </c>
      <c r="P28" s="326">
        <v>0</v>
      </c>
      <c r="Q28" s="326">
        <v>0</v>
      </c>
      <c r="R28" s="327">
        <f>SUM(F28:Q28)</f>
        <v>0</v>
      </c>
      <c r="S28" s="317"/>
    </row>
    <row r="29" spans="1:19" x14ac:dyDescent="0.3">
      <c r="A29" s="323"/>
      <c r="B29" s="325"/>
      <c r="C29" s="325"/>
      <c r="D29" s="325"/>
      <c r="E29" s="323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17"/>
    </row>
    <row r="30" spans="1:19" x14ac:dyDescent="0.3">
      <c r="A30" s="323">
        <f>A28+1</f>
        <v>14</v>
      </c>
      <c r="B30" s="328"/>
      <c r="C30" s="325" t="s">
        <v>404</v>
      </c>
      <c r="D30" s="329"/>
      <c r="E30" s="335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17"/>
    </row>
    <row r="31" spans="1:19" x14ac:dyDescent="0.3">
      <c r="A31" s="323">
        <f>A30+1</f>
        <v>15</v>
      </c>
      <c r="B31" s="331" t="s">
        <v>164</v>
      </c>
      <c r="C31" s="325"/>
      <c r="D31" s="325"/>
      <c r="E31" s="317"/>
      <c r="F31" s="326">
        <v>0</v>
      </c>
      <c r="G31" s="326">
        <v>0</v>
      </c>
      <c r="H31" s="326">
        <v>0</v>
      </c>
      <c r="I31" s="326">
        <v>0</v>
      </c>
      <c r="J31" s="326">
        <v>0</v>
      </c>
      <c r="K31" s="326">
        <v>0</v>
      </c>
      <c r="L31" s="326">
        <v>0</v>
      </c>
      <c r="M31" s="326">
        <v>0</v>
      </c>
      <c r="N31" s="326">
        <v>0</v>
      </c>
      <c r="O31" s="326">
        <v>0</v>
      </c>
      <c r="P31" s="326">
        <v>0</v>
      </c>
      <c r="Q31" s="326">
        <v>0</v>
      </c>
      <c r="R31" s="327">
        <f>SUM(F31:Q31)</f>
        <v>0</v>
      </c>
      <c r="S31" s="317"/>
    </row>
    <row r="32" spans="1:19" x14ac:dyDescent="0.3">
      <c r="A32" s="323"/>
      <c r="B32" s="331"/>
      <c r="C32" s="325"/>
      <c r="D32" s="325"/>
      <c r="E32" s="317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7"/>
      <c r="S32" s="317"/>
    </row>
    <row r="33" spans="1:19" x14ac:dyDescent="0.3">
      <c r="A33" s="323">
        <f>A31+1</f>
        <v>16</v>
      </c>
      <c r="B33" s="325" t="s">
        <v>166</v>
      </c>
      <c r="C33" s="325"/>
      <c r="D33" s="325"/>
      <c r="E33" s="332">
        <v>0</v>
      </c>
      <c r="F33" s="340">
        <v>0</v>
      </c>
      <c r="G33" s="340">
        <v>0</v>
      </c>
      <c r="H33" s="340">
        <v>0</v>
      </c>
      <c r="I33" s="340">
        <v>0</v>
      </c>
      <c r="J33" s="340">
        <v>0</v>
      </c>
      <c r="K33" s="340">
        <v>0</v>
      </c>
      <c r="L33" s="340">
        <v>0</v>
      </c>
      <c r="M33" s="340">
        <v>0</v>
      </c>
      <c r="N33" s="340">
        <v>0</v>
      </c>
      <c r="O33" s="340">
        <v>0</v>
      </c>
      <c r="P33" s="340">
        <v>0</v>
      </c>
      <c r="Q33" s="340">
        <v>0</v>
      </c>
      <c r="R33" s="327">
        <f>SUM(F33:Q33)</f>
        <v>0</v>
      </c>
      <c r="S33" s="317"/>
    </row>
    <row r="34" spans="1:19" x14ac:dyDescent="0.3">
      <c r="A34" s="323">
        <f>A33+1</f>
        <v>17</v>
      </c>
      <c r="B34" s="325" t="s">
        <v>167</v>
      </c>
      <c r="C34" s="325"/>
      <c r="D34" s="325"/>
      <c r="E34" s="317"/>
      <c r="F34" s="340">
        <v>0</v>
      </c>
      <c r="G34" s="340">
        <v>0</v>
      </c>
      <c r="H34" s="340">
        <v>0</v>
      </c>
      <c r="I34" s="340">
        <v>0</v>
      </c>
      <c r="J34" s="340">
        <v>0</v>
      </c>
      <c r="K34" s="340">
        <v>0</v>
      </c>
      <c r="L34" s="340">
        <v>0</v>
      </c>
      <c r="M34" s="340">
        <v>0</v>
      </c>
      <c r="N34" s="340">
        <v>0</v>
      </c>
      <c r="O34" s="340">
        <v>0</v>
      </c>
      <c r="P34" s="340">
        <v>0</v>
      </c>
      <c r="Q34" s="340">
        <v>0</v>
      </c>
      <c r="R34" s="327">
        <f>SUM(F34:Q34)</f>
        <v>0</v>
      </c>
      <c r="S34" s="317"/>
    </row>
    <row r="35" spans="1:19" x14ac:dyDescent="0.3">
      <c r="A35" s="323">
        <f>A34+1</f>
        <v>18</v>
      </c>
      <c r="B35" s="325" t="s">
        <v>168</v>
      </c>
      <c r="C35" s="325"/>
      <c r="D35" s="325"/>
      <c r="E35" s="317"/>
      <c r="F35" s="340">
        <v>0</v>
      </c>
      <c r="G35" s="340">
        <v>0</v>
      </c>
      <c r="H35" s="340">
        <v>0</v>
      </c>
      <c r="I35" s="340">
        <v>0</v>
      </c>
      <c r="J35" s="340">
        <v>0</v>
      </c>
      <c r="K35" s="340">
        <v>0</v>
      </c>
      <c r="L35" s="340">
        <v>0</v>
      </c>
      <c r="M35" s="340">
        <v>0</v>
      </c>
      <c r="N35" s="340">
        <v>0</v>
      </c>
      <c r="O35" s="340">
        <v>0</v>
      </c>
      <c r="P35" s="340">
        <v>0</v>
      </c>
      <c r="Q35" s="340">
        <v>0</v>
      </c>
      <c r="R35" s="327">
        <f>SUM(F35:Q35)</f>
        <v>0</v>
      </c>
      <c r="S35" s="317"/>
    </row>
    <row r="36" spans="1:19" x14ac:dyDescent="0.3">
      <c r="A36" s="323">
        <f>A35+1</f>
        <v>19</v>
      </c>
      <c r="B36" s="325" t="s">
        <v>169</v>
      </c>
      <c r="C36" s="325"/>
      <c r="D36" s="325"/>
      <c r="E36" s="317"/>
      <c r="F36" s="340">
        <v>0</v>
      </c>
      <c r="G36" s="340">
        <v>0</v>
      </c>
      <c r="H36" s="340">
        <v>0</v>
      </c>
      <c r="I36" s="340">
        <v>0</v>
      </c>
      <c r="J36" s="340">
        <v>0</v>
      </c>
      <c r="K36" s="340">
        <v>0</v>
      </c>
      <c r="L36" s="340">
        <v>0</v>
      </c>
      <c r="M36" s="340">
        <v>0</v>
      </c>
      <c r="N36" s="340">
        <v>0</v>
      </c>
      <c r="O36" s="340">
        <v>0</v>
      </c>
      <c r="P36" s="340">
        <v>0</v>
      </c>
      <c r="Q36" s="340">
        <v>0</v>
      </c>
      <c r="R36" s="327">
        <f>SUM(F36:Q36)</f>
        <v>0</v>
      </c>
      <c r="S36" s="317"/>
    </row>
    <row r="37" spans="1:19" x14ac:dyDescent="0.3">
      <c r="A37" s="323"/>
      <c r="B37" s="325"/>
      <c r="C37" s="325"/>
      <c r="D37" s="325"/>
      <c r="E37" s="323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17"/>
    </row>
    <row r="38" spans="1:19" x14ac:dyDescent="0.3">
      <c r="A38" s="323">
        <f>A28+1</f>
        <v>14</v>
      </c>
      <c r="B38" s="324" t="s">
        <v>550</v>
      </c>
      <c r="C38" s="325"/>
      <c r="D38" s="325"/>
      <c r="E38" s="31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17"/>
    </row>
    <row r="39" spans="1:19" x14ac:dyDescent="0.3">
      <c r="A39" s="323"/>
      <c r="B39" s="336"/>
      <c r="C39" s="325"/>
      <c r="D39" s="325"/>
      <c r="E39" s="31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17"/>
    </row>
    <row r="40" spans="1:19" x14ac:dyDescent="0.3">
      <c r="A40" s="323">
        <f>A38+1</f>
        <v>15</v>
      </c>
      <c r="B40" s="328"/>
      <c r="C40" s="325" t="s">
        <v>406</v>
      </c>
      <c r="D40" s="329"/>
      <c r="E40" s="335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17"/>
    </row>
    <row r="41" spans="1:19" x14ac:dyDescent="0.3">
      <c r="A41" s="323">
        <f>A40+1</f>
        <v>16</v>
      </c>
      <c r="B41" s="331" t="s">
        <v>164</v>
      </c>
      <c r="C41" s="325"/>
      <c r="D41" s="325"/>
      <c r="E41" s="317"/>
      <c r="F41" s="340">
        <v>0</v>
      </c>
      <c r="G41" s="340">
        <v>0</v>
      </c>
      <c r="H41" s="340">
        <v>0</v>
      </c>
      <c r="I41" s="340">
        <v>0</v>
      </c>
      <c r="J41" s="340">
        <v>0</v>
      </c>
      <c r="K41" s="340">
        <v>0</v>
      </c>
      <c r="L41" s="340">
        <v>0</v>
      </c>
      <c r="M41" s="340">
        <v>0</v>
      </c>
      <c r="N41" s="340">
        <v>0</v>
      </c>
      <c r="O41" s="340">
        <v>0</v>
      </c>
      <c r="P41" s="340">
        <v>0</v>
      </c>
      <c r="Q41" s="340">
        <v>0</v>
      </c>
      <c r="R41" s="327">
        <f>SUM(F41:Q41)</f>
        <v>0</v>
      </c>
      <c r="S41" s="317"/>
    </row>
    <row r="42" spans="1:19" x14ac:dyDescent="0.3">
      <c r="A42" s="323"/>
      <c r="B42" s="325"/>
      <c r="C42" s="325"/>
      <c r="D42" s="325"/>
      <c r="E42" s="31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17"/>
    </row>
    <row r="43" spans="1:19" x14ac:dyDescent="0.3">
      <c r="A43" s="323">
        <f>A41+1</f>
        <v>17</v>
      </c>
      <c r="B43" s="325" t="s">
        <v>166</v>
      </c>
      <c r="C43" s="325"/>
      <c r="D43" s="325"/>
      <c r="E43" s="332">
        <v>0</v>
      </c>
      <c r="F43" s="340">
        <v>0</v>
      </c>
      <c r="G43" s="340">
        <v>0</v>
      </c>
      <c r="H43" s="340">
        <v>0</v>
      </c>
      <c r="I43" s="340">
        <v>0</v>
      </c>
      <c r="J43" s="340">
        <v>0</v>
      </c>
      <c r="K43" s="340">
        <v>0</v>
      </c>
      <c r="L43" s="340">
        <v>0</v>
      </c>
      <c r="M43" s="340">
        <v>0</v>
      </c>
      <c r="N43" s="340">
        <v>0</v>
      </c>
      <c r="O43" s="340">
        <v>0</v>
      </c>
      <c r="P43" s="340">
        <v>0</v>
      </c>
      <c r="Q43" s="340">
        <v>0</v>
      </c>
      <c r="R43" s="327">
        <f>SUM(F43:Q43)</f>
        <v>0</v>
      </c>
      <c r="S43" s="317"/>
    </row>
    <row r="44" spans="1:19" x14ac:dyDescent="0.3">
      <c r="A44" s="323">
        <f>A43+1</f>
        <v>18</v>
      </c>
      <c r="B44" s="325" t="s">
        <v>167</v>
      </c>
      <c r="C44" s="325"/>
      <c r="D44" s="325"/>
      <c r="E44" s="337"/>
      <c r="F44" s="340">
        <v>0</v>
      </c>
      <c r="G44" s="340">
        <v>0</v>
      </c>
      <c r="H44" s="340">
        <v>0</v>
      </c>
      <c r="I44" s="340">
        <v>0</v>
      </c>
      <c r="J44" s="340">
        <v>0</v>
      </c>
      <c r="K44" s="340">
        <v>0</v>
      </c>
      <c r="L44" s="340">
        <v>0</v>
      </c>
      <c r="M44" s="340">
        <v>0</v>
      </c>
      <c r="N44" s="340">
        <v>0</v>
      </c>
      <c r="O44" s="340">
        <v>0</v>
      </c>
      <c r="P44" s="340">
        <v>0</v>
      </c>
      <c r="Q44" s="340">
        <v>0</v>
      </c>
      <c r="R44" s="327">
        <f>SUM(F44:Q44)</f>
        <v>0</v>
      </c>
      <c r="S44" s="317"/>
    </row>
    <row r="45" spans="1:19" x14ac:dyDescent="0.3">
      <c r="A45" s="323">
        <f>A44+1</f>
        <v>19</v>
      </c>
      <c r="B45" s="325" t="s">
        <v>168</v>
      </c>
      <c r="C45" s="325"/>
      <c r="D45" s="325"/>
      <c r="E45" s="337"/>
      <c r="F45" s="340">
        <v>0</v>
      </c>
      <c r="G45" s="340">
        <v>0</v>
      </c>
      <c r="H45" s="340">
        <v>0</v>
      </c>
      <c r="I45" s="340">
        <v>0</v>
      </c>
      <c r="J45" s="340">
        <v>0</v>
      </c>
      <c r="K45" s="340">
        <v>0</v>
      </c>
      <c r="L45" s="340">
        <v>0</v>
      </c>
      <c r="M45" s="340">
        <v>0</v>
      </c>
      <c r="N45" s="340">
        <v>0</v>
      </c>
      <c r="O45" s="340">
        <v>0</v>
      </c>
      <c r="P45" s="340">
        <v>0</v>
      </c>
      <c r="Q45" s="340">
        <v>0</v>
      </c>
      <c r="R45" s="327">
        <f>SUM(F45:Q45)</f>
        <v>0</v>
      </c>
      <c r="S45" s="317"/>
    </row>
    <row r="46" spans="1:19" x14ac:dyDescent="0.3">
      <c r="A46" s="323">
        <f>A45+1</f>
        <v>20</v>
      </c>
      <c r="B46" s="325" t="s">
        <v>169</v>
      </c>
      <c r="C46" s="325"/>
      <c r="D46" s="325"/>
      <c r="E46" s="337"/>
      <c r="F46" s="340">
        <v>0</v>
      </c>
      <c r="G46" s="340">
        <v>0</v>
      </c>
      <c r="H46" s="340">
        <v>0</v>
      </c>
      <c r="I46" s="340">
        <v>0</v>
      </c>
      <c r="J46" s="340">
        <v>0</v>
      </c>
      <c r="K46" s="340">
        <v>0</v>
      </c>
      <c r="L46" s="340">
        <v>0</v>
      </c>
      <c r="M46" s="340">
        <v>0</v>
      </c>
      <c r="N46" s="340">
        <v>0</v>
      </c>
      <c r="O46" s="340">
        <v>0</v>
      </c>
      <c r="P46" s="340">
        <v>0</v>
      </c>
      <c r="Q46" s="340">
        <v>0</v>
      </c>
      <c r="R46" s="327">
        <f>SUM(F46:Q46)</f>
        <v>0</v>
      </c>
      <c r="S46" s="317"/>
    </row>
    <row r="47" spans="1:19" x14ac:dyDescent="0.3">
      <c r="A47" s="323"/>
      <c r="B47" s="325"/>
      <c r="C47" s="325"/>
      <c r="D47" s="325"/>
      <c r="E47" s="337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17"/>
    </row>
    <row r="48" spans="1:19" x14ac:dyDescent="0.3">
      <c r="A48" s="338">
        <f>A46+1</f>
        <v>21</v>
      </c>
      <c r="B48" s="324" t="s">
        <v>551</v>
      </c>
      <c r="C48" s="325"/>
      <c r="D48" s="325"/>
      <c r="E48" s="339"/>
      <c r="F48" s="326"/>
      <c r="G48" s="326"/>
      <c r="H48" s="326"/>
      <c r="I48" s="326"/>
      <c r="J48" s="326"/>
      <c r="K48" s="340"/>
      <c r="L48" s="340"/>
      <c r="M48" s="340"/>
      <c r="N48" s="340"/>
      <c r="O48" s="340"/>
      <c r="P48" s="340"/>
      <c r="Q48" s="340"/>
      <c r="R48" s="341"/>
      <c r="S48" s="341"/>
    </row>
    <row r="49" spans="1:19" x14ac:dyDescent="0.3">
      <c r="A49" s="338"/>
      <c r="B49" s="342"/>
      <c r="C49" s="342"/>
      <c r="D49" s="342"/>
      <c r="E49" s="343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1"/>
      <c r="S49" s="341"/>
    </row>
    <row r="50" spans="1:19" x14ac:dyDescent="0.3">
      <c r="A50" s="317">
        <f>A48+1</f>
        <v>22</v>
      </c>
      <c r="B50" s="328"/>
      <c r="C50" s="325" t="s">
        <v>405</v>
      </c>
      <c r="D50" s="342"/>
      <c r="E50" s="343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1"/>
      <c r="S50" s="341"/>
    </row>
    <row r="51" spans="1:19" x14ac:dyDescent="0.3">
      <c r="A51" s="317">
        <f>A50+1</f>
        <v>23</v>
      </c>
      <c r="B51" s="331" t="s">
        <v>164</v>
      </c>
      <c r="C51" s="325"/>
      <c r="D51" s="342"/>
      <c r="E51" s="343"/>
      <c r="F51" s="326">
        <v>0</v>
      </c>
      <c r="G51" s="326">
        <v>0</v>
      </c>
      <c r="H51" s="326">
        <v>0</v>
      </c>
      <c r="I51" s="326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  <c r="Q51" s="326">
        <v>0</v>
      </c>
      <c r="R51" s="327">
        <f>SUM(F51:Q51)</f>
        <v>0</v>
      </c>
      <c r="S51" s="341"/>
    </row>
    <row r="52" spans="1:19" x14ac:dyDescent="0.3">
      <c r="A52" s="317"/>
      <c r="B52" s="325"/>
      <c r="C52" s="325"/>
      <c r="D52" s="342"/>
      <c r="E52" s="343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1"/>
      <c r="S52" s="341"/>
    </row>
    <row r="53" spans="1:19" x14ac:dyDescent="0.3">
      <c r="A53" s="317">
        <f>A51+1</f>
        <v>24</v>
      </c>
      <c r="B53" s="325" t="s">
        <v>407</v>
      </c>
      <c r="C53" s="325"/>
      <c r="D53" s="342"/>
      <c r="E53" s="343"/>
      <c r="F53" s="340">
        <v>0</v>
      </c>
      <c r="G53" s="340">
        <v>0</v>
      </c>
      <c r="H53" s="340">
        <v>0</v>
      </c>
      <c r="I53" s="340">
        <v>0</v>
      </c>
      <c r="J53" s="340">
        <v>0</v>
      </c>
      <c r="K53" s="340">
        <v>0</v>
      </c>
      <c r="L53" s="340">
        <v>0</v>
      </c>
      <c r="M53" s="340">
        <v>0</v>
      </c>
      <c r="N53" s="340">
        <v>0</v>
      </c>
      <c r="O53" s="340">
        <v>0</v>
      </c>
      <c r="P53" s="340">
        <v>0</v>
      </c>
      <c r="Q53" s="340">
        <v>0</v>
      </c>
      <c r="R53" s="327"/>
      <c r="S53" s="341"/>
    </row>
    <row r="54" spans="1:19" x14ac:dyDescent="0.3">
      <c r="A54" s="317">
        <f>A53+1</f>
        <v>25</v>
      </c>
      <c r="B54" s="325" t="s">
        <v>408</v>
      </c>
      <c r="C54" s="325"/>
      <c r="D54" s="342"/>
      <c r="E54" s="343"/>
      <c r="F54" s="340">
        <v>0</v>
      </c>
      <c r="G54" s="340">
        <v>0</v>
      </c>
      <c r="H54" s="340">
        <v>0</v>
      </c>
      <c r="I54" s="340">
        <v>0</v>
      </c>
      <c r="J54" s="340">
        <v>0</v>
      </c>
      <c r="K54" s="340">
        <v>0</v>
      </c>
      <c r="L54" s="340">
        <v>0</v>
      </c>
      <c r="M54" s="340">
        <v>0</v>
      </c>
      <c r="N54" s="340">
        <v>0</v>
      </c>
      <c r="O54" s="340">
        <v>0</v>
      </c>
      <c r="P54" s="340">
        <v>0</v>
      </c>
      <c r="Q54" s="340">
        <v>0</v>
      </c>
      <c r="R54" s="327"/>
      <c r="S54" s="341"/>
    </row>
    <row r="55" spans="1:19" x14ac:dyDescent="0.3">
      <c r="A55" s="338"/>
      <c r="B55" s="342"/>
      <c r="C55" s="342"/>
      <c r="D55" s="342"/>
      <c r="E55" s="343"/>
      <c r="R55" s="327"/>
      <c r="S55" s="341"/>
    </row>
    <row r="56" spans="1:19" x14ac:dyDescent="0.3">
      <c r="A56" s="323">
        <f>A54+1</f>
        <v>26</v>
      </c>
      <c r="B56" s="328"/>
      <c r="C56" s="325" t="s">
        <v>165</v>
      </c>
      <c r="D56" s="329"/>
      <c r="E56" s="335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</row>
    <row r="57" spans="1:19" x14ac:dyDescent="0.3">
      <c r="A57" s="323">
        <f>A56+1</f>
        <v>27</v>
      </c>
      <c r="B57" s="331" t="s">
        <v>164</v>
      </c>
      <c r="C57" s="325"/>
      <c r="D57" s="325"/>
      <c r="E57" s="317"/>
      <c r="F57" s="340">
        <v>0</v>
      </c>
      <c r="G57" s="340">
        <v>0</v>
      </c>
      <c r="H57" s="340">
        <v>0</v>
      </c>
      <c r="I57" s="340">
        <v>0</v>
      </c>
      <c r="J57" s="340">
        <v>0</v>
      </c>
      <c r="K57" s="340">
        <v>0</v>
      </c>
      <c r="L57" s="340">
        <v>0</v>
      </c>
      <c r="M57" s="340">
        <v>0</v>
      </c>
      <c r="N57" s="340">
        <v>0</v>
      </c>
      <c r="O57" s="340">
        <v>0</v>
      </c>
      <c r="P57" s="340">
        <v>0</v>
      </c>
      <c r="Q57" s="340">
        <v>0</v>
      </c>
      <c r="R57" s="327">
        <f>SUM(F57:Q57)</f>
        <v>0</v>
      </c>
    </row>
    <row r="58" spans="1:19" x14ac:dyDescent="0.3">
      <c r="A58" s="323"/>
      <c r="B58" s="325"/>
      <c r="C58" s="325"/>
      <c r="D58" s="325"/>
      <c r="E58" s="31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</row>
    <row r="59" spans="1:19" x14ac:dyDescent="0.3">
      <c r="A59" s="323">
        <f>A57+1</f>
        <v>28</v>
      </c>
      <c r="B59" s="325" t="s">
        <v>409</v>
      </c>
      <c r="C59" s="325"/>
      <c r="D59" s="325"/>
      <c r="E59" s="332"/>
      <c r="F59" s="326">
        <v>0</v>
      </c>
      <c r="G59" s="326">
        <v>0</v>
      </c>
      <c r="H59" s="326">
        <v>0</v>
      </c>
      <c r="I59" s="326">
        <v>0</v>
      </c>
      <c r="J59" s="326">
        <v>0</v>
      </c>
      <c r="K59" s="326">
        <v>0</v>
      </c>
      <c r="L59" s="326">
        <v>0</v>
      </c>
      <c r="M59" s="326">
        <v>0</v>
      </c>
      <c r="N59" s="326">
        <v>0</v>
      </c>
      <c r="O59" s="326">
        <v>0</v>
      </c>
      <c r="P59" s="326">
        <v>0</v>
      </c>
      <c r="Q59" s="326">
        <v>0</v>
      </c>
      <c r="R59" s="327">
        <f>SUM(F59:Q59)</f>
        <v>0</v>
      </c>
    </row>
    <row r="60" spans="1:19" x14ac:dyDescent="0.3">
      <c r="A60" s="323">
        <f>A59+1</f>
        <v>29</v>
      </c>
      <c r="B60" s="325" t="s">
        <v>549</v>
      </c>
      <c r="C60" s="325"/>
      <c r="D60" s="325"/>
      <c r="E60" s="337"/>
      <c r="F60" s="326">
        <v>0</v>
      </c>
      <c r="G60" s="326">
        <v>0</v>
      </c>
      <c r="H60" s="326">
        <v>0</v>
      </c>
      <c r="I60" s="326">
        <v>0</v>
      </c>
      <c r="J60" s="326">
        <v>0</v>
      </c>
      <c r="K60" s="326">
        <v>0</v>
      </c>
      <c r="L60" s="326">
        <v>0</v>
      </c>
      <c r="M60" s="326">
        <v>0</v>
      </c>
      <c r="N60" s="326">
        <v>0</v>
      </c>
      <c r="O60" s="326">
        <v>0</v>
      </c>
      <c r="P60" s="326">
        <v>0</v>
      </c>
      <c r="Q60" s="326">
        <v>0</v>
      </c>
      <c r="R60" s="327">
        <f>SUM(F60:Q60)</f>
        <v>0</v>
      </c>
    </row>
    <row r="61" spans="1:19" x14ac:dyDescent="0.3">
      <c r="A61" s="323">
        <f>A60+1</f>
        <v>30</v>
      </c>
      <c r="B61" s="325" t="s">
        <v>547</v>
      </c>
      <c r="C61" s="342"/>
      <c r="F61" s="326">
        <v>0</v>
      </c>
      <c r="G61" s="326">
        <v>0</v>
      </c>
      <c r="H61" s="326">
        <v>0</v>
      </c>
      <c r="I61" s="326">
        <v>0</v>
      </c>
      <c r="J61" s="326">
        <v>0</v>
      </c>
      <c r="K61" s="326">
        <v>0</v>
      </c>
      <c r="L61" s="326">
        <v>0</v>
      </c>
      <c r="M61" s="326">
        <v>0</v>
      </c>
      <c r="N61" s="326">
        <v>0</v>
      </c>
      <c r="O61" s="326">
        <v>0</v>
      </c>
      <c r="P61" s="326">
        <v>0</v>
      </c>
      <c r="Q61" s="326">
        <v>0</v>
      </c>
      <c r="R61" s="327">
        <f>SUM(F61:Q61)</f>
        <v>0</v>
      </c>
    </row>
    <row r="63" spans="1:19" x14ac:dyDescent="0.3">
      <c r="B63" s="345"/>
      <c r="C63" s="342"/>
      <c r="D63" s="346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1"/>
    </row>
    <row r="64" spans="1:19" ht="15.5" x14ac:dyDescent="0.35">
      <c r="B64" s="342"/>
      <c r="C64" s="342"/>
      <c r="D64" s="342"/>
      <c r="E64" s="343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341"/>
      <c r="S64" s="341"/>
    </row>
    <row r="65" spans="2:19" ht="15.5" x14ac:dyDescent="0.35">
      <c r="B65" s="342"/>
      <c r="C65" s="342"/>
      <c r="D65" s="342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41"/>
      <c r="S65" s="341"/>
    </row>
    <row r="66" spans="2:19" x14ac:dyDescent="0.3">
      <c r="B66" s="342"/>
      <c r="C66" s="342"/>
      <c r="D66" s="342"/>
      <c r="E66" s="343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1"/>
      <c r="S66" s="341"/>
    </row>
    <row r="67" spans="2:19" x14ac:dyDescent="0.3">
      <c r="B67" s="342"/>
      <c r="C67" s="342"/>
      <c r="D67" s="342"/>
      <c r="E67" s="343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1"/>
      <c r="S67" s="341"/>
    </row>
    <row r="68" spans="2:19" x14ac:dyDescent="0.3">
      <c r="B68" s="342"/>
      <c r="C68" s="342"/>
      <c r="D68" s="342"/>
      <c r="E68" s="343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1"/>
      <c r="S68" s="341"/>
    </row>
    <row r="69" spans="2:19" x14ac:dyDescent="0.3">
      <c r="B69" s="342"/>
      <c r="C69" s="342"/>
      <c r="D69" s="342"/>
      <c r="E69" s="343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1"/>
      <c r="S69" s="341"/>
    </row>
    <row r="70" spans="2:19" x14ac:dyDescent="0.3">
      <c r="B70" s="342"/>
      <c r="C70" s="342"/>
      <c r="D70" s="342"/>
      <c r="E70" s="343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1"/>
    </row>
    <row r="71" spans="2:19" x14ac:dyDescent="0.3">
      <c r="B71" s="345"/>
      <c r="C71" s="342"/>
      <c r="D71" s="346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1"/>
    </row>
    <row r="72" spans="2:19" x14ac:dyDescent="0.3">
      <c r="B72" s="342"/>
      <c r="C72" s="342"/>
      <c r="D72" s="342"/>
      <c r="E72" s="343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1"/>
      <c r="S72" s="341"/>
    </row>
    <row r="73" spans="2:19" x14ac:dyDescent="0.3">
      <c r="B73" s="342"/>
      <c r="C73" s="342"/>
      <c r="D73" s="342"/>
      <c r="F73" s="341"/>
      <c r="G73" s="341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41"/>
      <c r="S73" s="341"/>
    </row>
    <row r="74" spans="2:19" x14ac:dyDescent="0.3">
      <c r="B74" s="342"/>
      <c r="C74" s="342"/>
      <c r="D74" s="342"/>
      <c r="E74" s="343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1"/>
      <c r="S74" s="341"/>
    </row>
    <row r="75" spans="2:19" x14ac:dyDescent="0.3">
      <c r="B75" s="342"/>
      <c r="C75" s="342"/>
      <c r="D75" s="342"/>
      <c r="E75" s="343"/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1"/>
      <c r="S75" s="341"/>
    </row>
    <row r="76" spans="2:19" x14ac:dyDescent="0.3">
      <c r="B76" s="342"/>
      <c r="C76" s="342"/>
      <c r="D76" s="342"/>
      <c r="E76" s="343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1"/>
      <c r="S76" s="341"/>
    </row>
    <row r="77" spans="2:19" x14ac:dyDescent="0.3">
      <c r="B77" s="342"/>
      <c r="C77" s="342"/>
      <c r="D77" s="342"/>
      <c r="E77" s="343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1"/>
      <c r="S77" s="341"/>
    </row>
    <row r="78" spans="2:19" x14ac:dyDescent="0.3">
      <c r="B78" s="342"/>
      <c r="C78" s="342"/>
      <c r="D78" s="342"/>
      <c r="E78" s="343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1"/>
      <c r="S78" s="341"/>
    </row>
    <row r="79" spans="2:19" x14ac:dyDescent="0.3">
      <c r="B79" s="345"/>
      <c r="C79" s="342"/>
      <c r="D79" s="346"/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1"/>
    </row>
    <row r="80" spans="2:19" x14ac:dyDescent="0.3">
      <c r="B80" s="342"/>
      <c r="C80" s="342"/>
      <c r="D80" s="342"/>
      <c r="E80" s="343"/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1"/>
      <c r="S80" s="341"/>
    </row>
    <row r="81" spans="2:19" x14ac:dyDescent="0.3">
      <c r="B81" s="342"/>
      <c r="C81" s="342"/>
      <c r="D81" s="342"/>
      <c r="F81" s="341"/>
      <c r="G81" s="341"/>
      <c r="H81" s="341"/>
      <c r="I81" s="341"/>
      <c r="J81" s="341"/>
      <c r="K81" s="341"/>
      <c r="L81" s="341"/>
      <c r="M81" s="341"/>
      <c r="N81" s="341"/>
      <c r="O81" s="341"/>
      <c r="P81" s="341"/>
      <c r="Q81" s="341"/>
      <c r="R81" s="341"/>
      <c r="S81" s="341"/>
    </row>
    <row r="82" spans="2:19" x14ac:dyDescent="0.3">
      <c r="B82" s="342"/>
      <c r="C82" s="342"/>
      <c r="D82" s="342"/>
      <c r="E82" s="342"/>
      <c r="F82" s="340"/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1"/>
      <c r="S82" s="341"/>
    </row>
    <row r="83" spans="2:19" x14ac:dyDescent="0.3">
      <c r="B83" s="342"/>
      <c r="C83" s="342"/>
      <c r="D83" s="342"/>
      <c r="E83" s="342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1"/>
      <c r="S83" s="341"/>
    </row>
    <row r="84" spans="2:19" x14ac:dyDescent="0.3">
      <c r="B84" s="342"/>
      <c r="C84" s="342"/>
      <c r="D84" s="342"/>
      <c r="E84" s="342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1"/>
    </row>
    <row r="85" spans="2:19" x14ac:dyDescent="0.3">
      <c r="B85" s="342"/>
      <c r="C85" s="342"/>
      <c r="D85" s="342"/>
      <c r="E85" s="342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1"/>
    </row>
    <row r="86" spans="2:19" x14ac:dyDescent="0.3">
      <c r="B86" s="342"/>
      <c r="C86" s="342"/>
      <c r="D86" s="342"/>
      <c r="E86" s="342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1"/>
    </row>
    <row r="89" spans="2:19" x14ac:dyDescent="0.3">
      <c r="B89" s="345"/>
      <c r="C89" s="342"/>
      <c r="D89" s="346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1"/>
    </row>
    <row r="90" spans="2:19" x14ac:dyDescent="0.3">
      <c r="B90" s="342"/>
      <c r="C90" s="342"/>
      <c r="D90" s="342"/>
      <c r="E90" s="343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1"/>
      <c r="S90" s="341"/>
    </row>
    <row r="91" spans="2:19" x14ac:dyDescent="0.3">
      <c r="B91" s="342"/>
      <c r="C91" s="342"/>
      <c r="D91" s="342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</row>
    <row r="92" spans="2:19" x14ac:dyDescent="0.3">
      <c r="B92" s="342"/>
      <c r="C92" s="342"/>
      <c r="D92" s="342"/>
      <c r="E92" s="343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1"/>
      <c r="S92" s="341"/>
    </row>
    <row r="93" spans="2:19" x14ac:dyDescent="0.3">
      <c r="B93" s="342"/>
      <c r="C93" s="342"/>
      <c r="D93" s="342"/>
      <c r="E93" s="343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1"/>
      <c r="S93" s="341"/>
    </row>
    <row r="94" spans="2:19" x14ac:dyDescent="0.3">
      <c r="B94" s="342"/>
      <c r="C94" s="342"/>
      <c r="D94" s="342"/>
      <c r="E94" s="343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1"/>
      <c r="S94" s="341"/>
    </row>
    <row r="95" spans="2:19" x14ac:dyDescent="0.3">
      <c r="B95" s="342"/>
      <c r="C95" s="342"/>
      <c r="D95" s="342"/>
      <c r="E95" s="343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1"/>
    </row>
    <row r="96" spans="2:19" x14ac:dyDescent="0.3">
      <c r="B96" s="342"/>
      <c r="C96" s="342"/>
      <c r="D96" s="342"/>
      <c r="E96" s="343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1"/>
      <c r="S96" s="341"/>
    </row>
    <row r="97" spans="1:19" x14ac:dyDescent="0.3">
      <c r="B97" s="342"/>
      <c r="C97" s="342"/>
      <c r="D97" s="342"/>
      <c r="E97" s="343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1"/>
      <c r="S97" s="341"/>
    </row>
    <row r="98" spans="1:19" x14ac:dyDescent="0.3">
      <c r="B98" s="342"/>
      <c r="C98" s="342"/>
      <c r="D98" s="342"/>
      <c r="E98" s="343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1"/>
    </row>
    <row r="99" spans="1:19" x14ac:dyDescent="0.3">
      <c r="B99" s="342"/>
      <c r="C99" s="342"/>
      <c r="D99" s="342"/>
      <c r="E99" s="343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1"/>
    </row>
    <row r="100" spans="1:19" x14ac:dyDescent="0.3">
      <c r="B100" s="342"/>
      <c r="C100" s="342"/>
      <c r="D100" s="342"/>
      <c r="E100" s="343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1"/>
    </row>
    <row r="101" spans="1:19" x14ac:dyDescent="0.3">
      <c r="B101" s="342"/>
      <c r="C101" s="342"/>
      <c r="D101" s="342"/>
      <c r="E101" s="343"/>
      <c r="F101" s="340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1"/>
    </row>
    <row r="102" spans="1:19" x14ac:dyDescent="0.3">
      <c r="B102" s="342"/>
      <c r="C102" s="342"/>
      <c r="D102" s="342"/>
      <c r="E102" s="343"/>
      <c r="F102" s="340"/>
      <c r="G102" s="340"/>
      <c r="H102" s="340"/>
      <c r="I102" s="340"/>
      <c r="J102" s="340"/>
      <c r="K102" s="340"/>
      <c r="L102" s="340"/>
      <c r="M102" s="340"/>
      <c r="N102" s="340"/>
      <c r="O102" s="340"/>
      <c r="P102" s="340"/>
      <c r="Q102" s="340"/>
      <c r="R102" s="341"/>
    </row>
    <row r="103" spans="1:19" x14ac:dyDescent="0.3">
      <c r="B103" s="342"/>
      <c r="C103" s="342"/>
      <c r="D103" s="342"/>
      <c r="E103" s="343"/>
      <c r="F103" s="340"/>
      <c r="G103" s="340"/>
      <c r="H103" s="340"/>
      <c r="I103" s="340"/>
      <c r="J103" s="340"/>
      <c r="K103" s="340"/>
      <c r="L103" s="340"/>
      <c r="M103" s="340"/>
      <c r="N103" s="340"/>
      <c r="O103" s="340"/>
      <c r="P103" s="341"/>
      <c r="Q103" s="341"/>
      <c r="R103" s="341"/>
    </row>
    <row r="104" spans="1:19" x14ac:dyDescent="0.3">
      <c r="F104" s="341"/>
      <c r="G104" s="347"/>
      <c r="H104" s="341"/>
      <c r="I104" s="341"/>
      <c r="J104" s="341"/>
      <c r="K104" s="341"/>
      <c r="L104" s="341"/>
      <c r="M104" s="341"/>
      <c r="N104" s="341"/>
      <c r="O104" s="341"/>
      <c r="P104" s="341"/>
      <c r="Q104" s="341"/>
      <c r="R104" s="341"/>
    </row>
    <row r="105" spans="1:19" x14ac:dyDescent="0.3">
      <c r="E105" s="348"/>
      <c r="F105" s="341"/>
      <c r="G105" s="341"/>
      <c r="H105" s="341"/>
      <c r="I105" s="341"/>
      <c r="J105" s="341"/>
      <c r="K105" s="341"/>
      <c r="L105" s="341"/>
      <c r="M105" s="341"/>
      <c r="N105" s="341"/>
      <c r="O105" s="341"/>
      <c r="P105" s="349"/>
      <c r="Q105" s="349"/>
      <c r="R105" s="341"/>
    </row>
    <row r="106" spans="1:19" x14ac:dyDescent="0.3">
      <c r="F106" s="347"/>
      <c r="G106" s="341"/>
      <c r="H106" s="341"/>
      <c r="I106" s="341"/>
      <c r="J106" s="341"/>
      <c r="K106" s="341"/>
      <c r="L106" s="341"/>
      <c r="M106" s="341"/>
      <c r="N106" s="341"/>
      <c r="O106" s="341"/>
      <c r="P106" s="341"/>
      <c r="Q106" s="341"/>
      <c r="R106" s="341"/>
    </row>
    <row r="107" spans="1:19" x14ac:dyDescent="0.3">
      <c r="A107" s="348"/>
      <c r="B107" s="348"/>
      <c r="C107" s="348"/>
      <c r="D107" s="348"/>
      <c r="E107" s="348"/>
      <c r="F107" s="347"/>
      <c r="G107" s="347"/>
      <c r="H107" s="347"/>
      <c r="I107" s="347"/>
      <c r="J107" s="347"/>
      <c r="K107" s="347"/>
      <c r="L107" s="347"/>
      <c r="M107" s="347"/>
      <c r="N107" s="347"/>
      <c r="O107" s="347"/>
      <c r="P107" s="347"/>
      <c r="Q107" s="347"/>
      <c r="R107" s="341"/>
    </row>
    <row r="108" spans="1:19" x14ac:dyDescent="0.3">
      <c r="A108" s="348"/>
      <c r="B108" s="348"/>
      <c r="C108" s="348"/>
      <c r="D108" s="313"/>
      <c r="E108" s="348"/>
      <c r="F108" s="341"/>
      <c r="G108" s="341"/>
      <c r="H108" s="341"/>
      <c r="I108" s="341"/>
      <c r="J108" s="341"/>
      <c r="K108" s="341"/>
      <c r="L108" s="341"/>
      <c r="M108" s="341"/>
      <c r="N108" s="341"/>
      <c r="O108" s="341"/>
      <c r="P108" s="341"/>
      <c r="Q108" s="341"/>
      <c r="R108" s="341"/>
    </row>
    <row r="109" spans="1:19" x14ac:dyDescent="0.3">
      <c r="A109" s="348"/>
      <c r="B109" s="348"/>
      <c r="C109" s="348"/>
      <c r="D109" s="313"/>
      <c r="E109" s="348"/>
      <c r="F109" s="341"/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</row>
    <row r="110" spans="1:19" x14ac:dyDescent="0.3">
      <c r="A110" s="313"/>
      <c r="B110" s="348"/>
      <c r="C110" s="313"/>
      <c r="D110" s="313"/>
      <c r="E110" s="350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</row>
    <row r="111" spans="1:19" x14ac:dyDescent="0.3">
      <c r="A111" s="351"/>
      <c r="B111" s="351"/>
      <c r="C111" s="351"/>
      <c r="D111" s="351"/>
      <c r="E111" s="351"/>
      <c r="F111" s="352"/>
      <c r="G111" s="352"/>
      <c r="H111" s="352"/>
      <c r="I111" s="352"/>
      <c r="J111" s="352"/>
      <c r="K111" s="352"/>
      <c r="L111" s="352"/>
      <c r="M111" s="352"/>
      <c r="N111" s="352"/>
      <c r="O111" s="352"/>
      <c r="P111" s="352"/>
      <c r="Q111" s="352"/>
      <c r="R111" s="352"/>
    </row>
    <row r="112" spans="1:19" x14ac:dyDescent="0.3">
      <c r="A112" s="348"/>
      <c r="B112" s="348"/>
      <c r="C112" s="348"/>
      <c r="D112" s="348"/>
      <c r="E112" s="348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353"/>
    </row>
    <row r="113" spans="2:19" x14ac:dyDescent="0.3">
      <c r="F113" s="341"/>
      <c r="G113" s="341"/>
      <c r="H113" s="341"/>
      <c r="I113" s="341"/>
      <c r="J113" s="341"/>
      <c r="K113" s="341"/>
      <c r="L113" s="341"/>
      <c r="M113" s="341"/>
      <c r="N113" s="341"/>
      <c r="O113" s="341"/>
      <c r="P113" s="341"/>
      <c r="Q113" s="341"/>
      <c r="R113" s="341"/>
    </row>
    <row r="114" spans="2:19" x14ac:dyDescent="0.3">
      <c r="B114" s="344"/>
      <c r="C114" s="342"/>
      <c r="F114" s="341"/>
      <c r="G114" s="341"/>
      <c r="H114" s="341"/>
      <c r="I114" s="341"/>
      <c r="J114" s="341"/>
      <c r="K114" s="341"/>
      <c r="L114" s="341"/>
      <c r="M114" s="341"/>
      <c r="N114" s="341"/>
      <c r="O114" s="341"/>
      <c r="P114" s="341"/>
      <c r="Q114" s="341"/>
      <c r="R114" s="341"/>
    </row>
    <row r="115" spans="2:19" x14ac:dyDescent="0.3">
      <c r="B115" s="342"/>
      <c r="C115" s="342"/>
      <c r="D115" s="342"/>
      <c r="E115" s="343"/>
      <c r="F115" s="340"/>
      <c r="G115" s="340"/>
      <c r="H115" s="340"/>
      <c r="I115" s="340"/>
      <c r="J115" s="340"/>
      <c r="K115" s="340"/>
      <c r="L115" s="340"/>
      <c r="M115" s="340"/>
      <c r="N115" s="340"/>
      <c r="O115" s="340"/>
      <c r="P115" s="340"/>
      <c r="Q115" s="340"/>
      <c r="R115" s="341"/>
    </row>
    <row r="116" spans="2:19" x14ac:dyDescent="0.3">
      <c r="B116" s="345"/>
      <c r="C116" s="342"/>
      <c r="D116" s="346"/>
      <c r="F116" s="340"/>
      <c r="G116" s="340"/>
      <c r="H116" s="340"/>
      <c r="I116" s="340"/>
      <c r="J116" s="340"/>
      <c r="K116" s="340"/>
      <c r="L116" s="340"/>
      <c r="M116" s="340"/>
      <c r="N116" s="340"/>
      <c r="O116" s="340"/>
      <c r="P116" s="340"/>
      <c r="Q116" s="340"/>
      <c r="R116" s="341"/>
    </row>
    <row r="117" spans="2:19" x14ac:dyDescent="0.3">
      <c r="B117" s="342"/>
      <c r="C117" s="342"/>
      <c r="D117" s="342"/>
      <c r="E117" s="343"/>
      <c r="F117" s="340"/>
      <c r="G117" s="340"/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1"/>
      <c r="S117" s="341"/>
    </row>
    <row r="118" spans="2:19" x14ac:dyDescent="0.3">
      <c r="B118" s="342"/>
      <c r="C118" s="342"/>
      <c r="D118" s="342"/>
      <c r="F118" s="341"/>
      <c r="G118" s="341"/>
      <c r="H118" s="341"/>
      <c r="I118" s="341"/>
      <c r="J118" s="341"/>
      <c r="K118" s="341"/>
      <c r="L118" s="341"/>
      <c r="M118" s="341"/>
      <c r="N118" s="341"/>
      <c r="O118" s="341"/>
      <c r="P118" s="341"/>
      <c r="Q118" s="341"/>
      <c r="R118" s="341"/>
      <c r="S118" s="341"/>
    </row>
    <row r="119" spans="2:19" x14ac:dyDescent="0.3">
      <c r="B119" s="342"/>
      <c r="C119" s="342"/>
      <c r="D119" s="342"/>
      <c r="E119" s="342"/>
      <c r="F119" s="340"/>
      <c r="G119" s="340"/>
      <c r="H119" s="340"/>
      <c r="I119" s="340"/>
      <c r="J119" s="340"/>
      <c r="K119" s="340"/>
      <c r="L119" s="340"/>
      <c r="M119" s="340"/>
      <c r="N119" s="340"/>
      <c r="O119" s="340"/>
      <c r="P119" s="340"/>
      <c r="Q119" s="340"/>
      <c r="R119" s="341"/>
      <c r="S119" s="341"/>
    </row>
    <row r="120" spans="2:19" x14ac:dyDescent="0.3">
      <c r="B120" s="342"/>
      <c r="C120" s="342"/>
      <c r="D120" s="342"/>
      <c r="E120" s="342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41"/>
      <c r="S120" s="341"/>
    </row>
    <row r="121" spans="2:19" x14ac:dyDescent="0.3">
      <c r="B121" s="342"/>
      <c r="C121" s="342"/>
      <c r="D121" s="342"/>
      <c r="E121" s="342"/>
      <c r="F121" s="340"/>
      <c r="G121" s="340"/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1"/>
    </row>
    <row r="122" spans="2:19" x14ac:dyDescent="0.3">
      <c r="B122" s="342"/>
      <c r="C122" s="342"/>
      <c r="D122" s="342"/>
      <c r="E122" s="342"/>
      <c r="F122" s="340"/>
      <c r="G122" s="340"/>
      <c r="H122" s="340"/>
      <c r="I122" s="340"/>
      <c r="J122" s="340"/>
      <c r="K122" s="340"/>
      <c r="L122" s="340"/>
      <c r="M122" s="340"/>
      <c r="N122" s="340"/>
      <c r="O122" s="340"/>
      <c r="P122" s="340"/>
      <c r="Q122" s="340"/>
      <c r="R122" s="341"/>
    </row>
    <row r="123" spans="2:19" x14ac:dyDescent="0.3">
      <c r="B123" s="342"/>
      <c r="C123" s="342"/>
      <c r="D123" s="342"/>
      <c r="E123" s="342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1"/>
    </row>
    <row r="126" spans="2:19" x14ac:dyDescent="0.3">
      <c r="B126" s="345"/>
      <c r="C126" s="342"/>
      <c r="D126" s="346"/>
      <c r="F126" s="340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1"/>
    </row>
    <row r="127" spans="2:19" x14ac:dyDescent="0.3">
      <c r="B127" s="342"/>
      <c r="C127" s="342"/>
      <c r="D127" s="342"/>
      <c r="E127" s="343"/>
      <c r="F127" s="340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1"/>
      <c r="S127" s="341"/>
    </row>
    <row r="128" spans="2:19" x14ac:dyDescent="0.3">
      <c r="B128" s="342"/>
      <c r="C128" s="342"/>
      <c r="D128" s="342"/>
      <c r="F128" s="341"/>
      <c r="G128" s="341"/>
      <c r="H128" s="341"/>
      <c r="I128" s="341"/>
      <c r="J128" s="341"/>
      <c r="K128" s="341"/>
      <c r="L128" s="341"/>
      <c r="M128" s="341"/>
      <c r="N128" s="341"/>
      <c r="O128" s="341"/>
      <c r="P128" s="341"/>
      <c r="Q128" s="341"/>
      <c r="R128" s="341"/>
      <c r="S128" s="341"/>
    </row>
    <row r="129" spans="2:19" x14ac:dyDescent="0.3">
      <c r="B129" s="342"/>
      <c r="C129" s="342"/>
      <c r="D129" s="342"/>
      <c r="E129" s="343"/>
      <c r="F129" s="340"/>
      <c r="G129" s="340"/>
      <c r="H129" s="340"/>
      <c r="I129" s="340"/>
      <c r="J129" s="340"/>
      <c r="K129" s="340"/>
      <c r="L129" s="340"/>
      <c r="M129" s="340"/>
      <c r="N129" s="340"/>
      <c r="O129" s="340"/>
      <c r="P129" s="340"/>
      <c r="Q129" s="340"/>
      <c r="R129" s="341"/>
      <c r="S129" s="341"/>
    </row>
    <row r="130" spans="2:19" x14ac:dyDescent="0.3">
      <c r="B130" s="342"/>
      <c r="C130" s="342"/>
      <c r="D130" s="342"/>
      <c r="E130" s="343"/>
      <c r="F130" s="340"/>
      <c r="G130" s="340"/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1"/>
      <c r="S130" s="341"/>
    </row>
    <row r="131" spans="2:19" x14ac:dyDescent="0.3">
      <c r="B131" s="342"/>
      <c r="C131" s="342"/>
      <c r="D131" s="342"/>
      <c r="E131" s="343"/>
      <c r="F131" s="340"/>
      <c r="G131" s="340"/>
      <c r="H131" s="340"/>
      <c r="I131" s="340"/>
      <c r="J131" s="340"/>
      <c r="K131" s="340"/>
      <c r="L131" s="340"/>
      <c r="M131" s="340"/>
      <c r="N131" s="340"/>
      <c r="O131" s="340"/>
      <c r="P131" s="340"/>
      <c r="Q131" s="340"/>
      <c r="R131" s="341"/>
      <c r="S131" s="341"/>
    </row>
    <row r="132" spans="2:19" x14ac:dyDescent="0.3">
      <c r="B132" s="342"/>
      <c r="C132" s="342"/>
      <c r="D132" s="342"/>
      <c r="E132" s="343"/>
      <c r="F132" s="340"/>
      <c r="G132" s="340"/>
      <c r="H132" s="340"/>
      <c r="I132" s="340"/>
      <c r="J132" s="340"/>
      <c r="K132" s="340"/>
      <c r="L132" s="340"/>
      <c r="M132" s="340"/>
      <c r="N132" s="340"/>
      <c r="O132" s="340"/>
      <c r="P132" s="340"/>
      <c r="Q132" s="340"/>
      <c r="R132" s="341"/>
    </row>
    <row r="133" spans="2:19" x14ac:dyDescent="0.3">
      <c r="B133" s="342"/>
      <c r="C133" s="342"/>
      <c r="D133" s="342"/>
      <c r="E133" s="343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1"/>
    </row>
    <row r="134" spans="2:19" x14ac:dyDescent="0.3">
      <c r="B134" s="345"/>
      <c r="C134" s="342"/>
      <c r="D134" s="346"/>
      <c r="F134" s="340"/>
      <c r="G134" s="340"/>
      <c r="H134" s="340"/>
      <c r="I134" s="340"/>
      <c r="J134" s="340"/>
      <c r="K134" s="340"/>
      <c r="L134" s="340"/>
      <c r="M134" s="340"/>
      <c r="N134" s="340"/>
      <c r="O134" s="340"/>
      <c r="P134" s="340"/>
      <c r="Q134" s="340"/>
      <c r="R134" s="341"/>
    </row>
    <row r="135" spans="2:19" x14ac:dyDescent="0.3">
      <c r="B135" s="342"/>
      <c r="C135" s="342"/>
      <c r="D135" s="342"/>
      <c r="E135" s="343"/>
      <c r="F135" s="340"/>
      <c r="G135" s="340"/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341"/>
      <c r="S135" s="341"/>
    </row>
    <row r="136" spans="2:19" x14ac:dyDescent="0.3">
      <c r="B136" s="342"/>
      <c r="C136" s="342"/>
      <c r="D136" s="342"/>
      <c r="F136" s="341"/>
      <c r="G136" s="341"/>
      <c r="H136" s="341"/>
      <c r="I136" s="341"/>
      <c r="J136" s="341"/>
      <c r="K136" s="341"/>
      <c r="L136" s="341"/>
      <c r="M136" s="341"/>
      <c r="N136" s="341"/>
      <c r="O136" s="341"/>
      <c r="P136" s="341"/>
      <c r="Q136" s="341"/>
      <c r="R136" s="341"/>
      <c r="S136" s="341"/>
    </row>
    <row r="137" spans="2:19" x14ac:dyDescent="0.3">
      <c r="B137" s="342"/>
      <c r="C137" s="342"/>
      <c r="D137" s="342"/>
      <c r="E137" s="342"/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1"/>
      <c r="S137" s="341"/>
    </row>
    <row r="138" spans="2:19" x14ac:dyDescent="0.3">
      <c r="B138" s="342"/>
      <c r="C138" s="342"/>
      <c r="D138" s="342"/>
      <c r="E138" s="342"/>
      <c r="F138" s="340"/>
      <c r="G138" s="340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1"/>
      <c r="S138" s="341"/>
    </row>
    <row r="139" spans="2:19" x14ac:dyDescent="0.3">
      <c r="B139" s="342"/>
      <c r="C139" s="342"/>
      <c r="D139" s="342"/>
      <c r="E139" s="342"/>
      <c r="F139" s="340"/>
      <c r="G139" s="340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1"/>
    </row>
    <row r="140" spans="2:19" x14ac:dyDescent="0.3">
      <c r="B140" s="342"/>
      <c r="C140" s="342"/>
      <c r="D140" s="342"/>
      <c r="E140" s="342"/>
      <c r="F140" s="340"/>
      <c r="G140" s="340"/>
      <c r="H140" s="340"/>
      <c r="I140" s="340"/>
      <c r="J140" s="340"/>
      <c r="K140" s="340"/>
      <c r="L140" s="340"/>
      <c r="M140" s="340"/>
      <c r="N140" s="340"/>
      <c r="O140" s="340"/>
      <c r="P140" s="340"/>
      <c r="Q140" s="340"/>
      <c r="R140" s="341"/>
    </row>
    <row r="141" spans="2:19" x14ac:dyDescent="0.3">
      <c r="B141" s="342"/>
      <c r="C141" s="342"/>
      <c r="D141" s="342"/>
      <c r="E141" s="342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1"/>
    </row>
    <row r="144" spans="2:19" x14ac:dyDescent="0.3">
      <c r="B144" s="345"/>
      <c r="C144" s="342"/>
      <c r="D144" s="346"/>
      <c r="F144" s="340"/>
      <c r="G144" s="340"/>
      <c r="H144" s="340"/>
      <c r="I144" s="340"/>
      <c r="J144" s="340"/>
      <c r="K144" s="340"/>
      <c r="L144" s="340"/>
      <c r="M144" s="340"/>
      <c r="N144" s="340"/>
      <c r="O144" s="340"/>
      <c r="P144" s="340"/>
      <c r="Q144" s="340"/>
      <c r="R144" s="341"/>
    </row>
    <row r="145" spans="2:19" x14ac:dyDescent="0.3">
      <c r="B145" s="342"/>
      <c r="C145" s="342"/>
      <c r="D145" s="342"/>
      <c r="E145" s="343"/>
      <c r="F145" s="340"/>
      <c r="G145" s="340"/>
      <c r="H145" s="340"/>
      <c r="I145" s="340"/>
      <c r="J145" s="340"/>
      <c r="K145" s="340"/>
      <c r="L145" s="340"/>
      <c r="M145" s="340"/>
      <c r="N145" s="340"/>
      <c r="O145" s="340"/>
      <c r="P145" s="340"/>
      <c r="Q145" s="340"/>
      <c r="R145" s="341"/>
      <c r="S145" s="341"/>
    </row>
    <row r="146" spans="2:19" x14ac:dyDescent="0.3">
      <c r="B146" s="342"/>
      <c r="C146" s="342"/>
      <c r="D146" s="342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1"/>
      <c r="R146" s="341"/>
      <c r="S146" s="341"/>
    </row>
    <row r="147" spans="2:19" x14ac:dyDescent="0.3">
      <c r="B147" s="342"/>
      <c r="C147" s="342"/>
      <c r="D147" s="342"/>
      <c r="E147" s="343"/>
      <c r="F147" s="340"/>
      <c r="G147" s="340"/>
      <c r="H147" s="340"/>
      <c r="I147" s="340"/>
      <c r="J147" s="340"/>
      <c r="K147" s="340"/>
      <c r="L147" s="340"/>
      <c r="M147" s="340"/>
      <c r="N147" s="340"/>
      <c r="O147" s="340"/>
      <c r="P147" s="340"/>
      <c r="Q147" s="340"/>
      <c r="R147" s="341"/>
      <c r="S147" s="341"/>
    </row>
    <row r="148" spans="2:19" x14ac:dyDescent="0.3">
      <c r="B148" s="342"/>
      <c r="C148" s="342"/>
      <c r="D148" s="342"/>
      <c r="E148" s="343"/>
      <c r="F148" s="340"/>
      <c r="G148" s="340"/>
      <c r="H148" s="340"/>
      <c r="I148" s="340"/>
      <c r="J148" s="340"/>
      <c r="K148" s="340"/>
      <c r="L148" s="340"/>
      <c r="M148" s="340"/>
      <c r="N148" s="340"/>
      <c r="O148" s="340"/>
      <c r="P148" s="340"/>
      <c r="Q148" s="340"/>
      <c r="R148" s="341"/>
      <c r="S148" s="341"/>
    </row>
    <row r="149" spans="2:19" x14ac:dyDescent="0.3">
      <c r="B149" s="342"/>
      <c r="C149" s="342"/>
      <c r="D149" s="342"/>
      <c r="E149" s="343"/>
      <c r="F149" s="340"/>
      <c r="G149" s="340"/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1"/>
      <c r="S149" s="341"/>
    </row>
    <row r="150" spans="2:19" x14ac:dyDescent="0.3">
      <c r="B150" s="342"/>
      <c r="C150" s="342"/>
      <c r="D150" s="342"/>
      <c r="E150" s="343"/>
      <c r="F150" s="340"/>
      <c r="G150" s="340"/>
      <c r="H150" s="340"/>
      <c r="I150" s="340"/>
      <c r="J150" s="340"/>
      <c r="K150" s="340"/>
      <c r="L150" s="340"/>
      <c r="M150" s="340"/>
      <c r="N150" s="340"/>
      <c r="O150" s="340"/>
      <c r="P150" s="340"/>
      <c r="Q150" s="340"/>
      <c r="R150" s="341"/>
    </row>
    <row r="151" spans="2:19" x14ac:dyDescent="0.3">
      <c r="B151" s="342"/>
      <c r="C151" s="342"/>
      <c r="D151" s="342"/>
      <c r="E151" s="343"/>
      <c r="F151" s="340"/>
      <c r="G151" s="340"/>
      <c r="H151" s="340"/>
      <c r="I151" s="340"/>
      <c r="J151" s="340"/>
      <c r="K151" s="340"/>
      <c r="L151" s="340"/>
      <c r="M151" s="340"/>
      <c r="N151" s="340"/>
      <c r="O151" s="340"/>
      <c r="P151" s="340"/>
      <c r="Q151" s="340"/>
      <c r="R151" s="341"/>
    </row>
    <row r="152" spans="2:19" x14ac:dyDescent="0.3">
      <c r="C152" s="342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</row>
    <row r="153" spans="2:19" x14ac:dyDescent="0.3">
      <c r="B153" s="342"/>
      <c r="C153" s="342"/>
      <c r="D153" s="342"/>
      <c r="E153" s="343"/>
      <c r="F153" s="340"/>
      <c r="G153" s="340"/>
      <c r="H153" s="340"/>
      <c r="I153" s="340"/>
      <c r="J153" s="340"/>
      <c r="K153" s="340"/>
      <c r="L153" s="340"/>
      <c r="M153" s="340"/>
      <c r="N153" s="340"/>
      <c r="O153" s="340"/>
      <c r="P153" s="340"/>
      <c r="Q153" s="340"/>
      <c r="R153" s="341"/>
    </row>
    <row r="154" spans="2:19" x14ac:dyDescent="0.3">
      <c r="B154" s="342"/>
      <c r="C154" s="342"/>
      <c r="D154" s="342"/>
      <c r="E154" s="343"/>
      <c r="F154" s="340"/>
      <c r="G154" s="340"/>
      <c r="H154" s="340"/>
      <c r="I154" s="340"/>
      <c r="J154" s="340"/>
      <c r="K154" s="340"/>
      <c r="L154" s="340"/>
      <c r="M154" s="340"/>
      <c r="N154" s="340"/>
      <c r="O154" s="340"/>
      <c r="P154" s="340"/>
      <c r="Q154" s="340"/>
      <c r="R154" s="341"/>
    </row>
    <row r="155" spans="2:19" x14ac:dyDescent="0.3">
      <c r="B155" s="342"/>
      <c r="C155" s="342"/>
      <c r="D155" s="342"/>
      <c r="E155" s="343"/>
      <c r="F155" s="340"/>
      <c r="G155" s="340"/>
      <c r="H155" s="340"/>
      <c r="I155" s="340"/>
      <c r="J155" s="340"/>
      <c r="K155" s="340"/>
      <c r="L155" s="340"/>
      <c r="M155" s="340"/>
      <c r="N155" s="340"/>
      <c r="O155" s="340"/>
      <c r="P155" s="340"/>
      <c r="Q155" s="340"/>
      <c r="R155" s="341"/>
    </row>
    <row r="156" spans="2:19" x14ac:dyDescent="0.3">
      <c r="B156" s="342"/>
      <c r="C156" s="342"/>
      <c r="D156" s="342"/>
      <c r="E156" s="343"/>
      <c r="F156" s="340"/>
      <c r="G156" s="340"/>
      <c r="H156" s="340"/>
      <c r="I156" s="340"/>
      <c r="J156" s="340"/>
      <c r="K156" s="340"/>
      <c r="L156" s="340"/>
      <c r="M156" s="340"/>
      <c r="N156" s="340"/>
      <c r="O156" s="340"/>
      <c r="P156" s="340"/>
      <c r="Q156" s="340"/>
      <c r="R156" s="341"/>
    </row>
    <row r="157" spans="2:19" x14ac:dyDescent="0.3">
      <c r="B157" s="342"/>
      <c r="C157" s="342"/>
      <c r="D157" s="342"/>
      <c r="E157" s="343"/>
      <c r="F157" s="340"/>
      <c r="G157" s="340"/>
      <c r="H157" s="340"/>
      <c r="I157" s="340"/>
      <c r="J157" s="340"/>
      <c r="K157" s="340"/>
      <c r="L157" s="340"/>
      <c r="M157" s="340"/>
      <c r="N157" s="340"/>
      <c r="O157" s="340"/>
      <c r="P157" s="340"/>
      <c r="Q157" s="340"/>
      <c r="R157" s="341"/>
    </row>
    <row r="158" spans="2:19" x14ac:dyDescent="0.3">
      <c r="B158" s="342"/>
      <c r="C158" s="342"/>
      <c r="D158" s="342"/>
      <c r="E158" s="343"/>
      <c r="F158" s="340"/>
      <c r="G158" s="340"/>
      <c r="H158" s="340"/>
      <c r="I158" s="340"/>
      <c r="J158" s="340"/>
      <c r="K158" s="340"/>
      <c r="L158" s="340"/>
      <c r="M158" s="340"/>
      <c r="N158" s="340"/>
      <c r="O158" s="340"/>
      <c r="P158" s="340"/>
      <c r="Q158" s="340"/>
      <c r="R158" s="341"/>
    </row>
    <row r="159" spans="2:19" x14ac:dyDescent="0.3">
      <c r="B159" s="342"/>
      <c r="C159" s="342"/>
      <c r="D159" s="342"/>
      <c r="E159" s="343"/>
      <c r="F159" s="340"/>
      <c r="G159" s="340"/>
      <c r="H159" s="340"/>
      <c r="I159" s="340"/>
      <c r="J159" s="340"/>
      <c r="K159" s="340"/>
      <c r="L159" s="340"/>
      <c r="M159" s="340"/>
      <c r="N159" s="340"/>
      <c r="O159" s="340"/>
      <c r="P159" s="340"/>
      <c r="Q159" s="340"/>
      <c r="R159" s="341"/>
    </row>
    <row r="160" spans="2:19" x14ac:dyDescent="0.3">
      <c r="B160" s="342"/>
      <c r="C160" s="342"/>
      <c r="D160" s="342"/>
      <c r="E160" s="343"/>
      <c r="F160" s="340"/>
      <c r="G160" s="340"/>
      <c r="H160" s="340"/>
      <c r="I160" s="340"/>
      <c r="J160" s="340"/>
      <c r="K160" s="340"/>
      <c r="L160" s="340"/>
      <c r="M160" s="340"/>
      <c r="N160" s="340"/>
      <c r="O160" s="340"/>
      <c r="P160" s="340"/>
      <c r="Q160" s="340"/>
      <c r="R160" s="341"/>
    </row>
    <row r="161" spans="2:18" x14ac:dyDescent="0.3">
      <c r="B161" s="342"/>
      <c r="C161" s="342"/>
      <c r="D161" s="342"/>
      <c r="E161" s="343"/>
      <c r="F161" s="340"/>
      <c r="G161" s="340"/>
      <c r="H161" s="340"/>
      <c r="I161" s="340"/>
      <c r="J161" s="340"/>
      <c r="K161" s="340"/>
      <c r="L161" s="340"/>
      <c r="M161" s="340"/>
      <c r="N161" s="340"/>
      <c r="O161" s="340"/>
      <c r="P161" s="340"/>
      <c r="Q161" s="340"/>
      <c r="R161" s="341"/>
    </row>
    <row r="162" spans="2:18" x14ac:dyDescent="0.3">
      <c r="B162" s="342"/>
      <c r="C162" s="342"/>
      <c r="D162" s="342"/>
      <c r="E162" s="343"/>
      <c r="F162" s="340"/>
      <c r="G162" s="340"/>
      <c r="H162" s="340"/>
      <c r="I162" s="340"/>
      <c r="J162" s="340"/>
      <c r="K162" s="340"/>
      <c r="L162" s="340"/>
      <c r="M162" s="340"/>
      <c r="N162" s="340"/>
      <c r="O162" s="340"/>
      <c r="P162" s="340"/>
      <c r="Q162" s="340"/>
      <c r="R162" s="341"/>
    </row>
    <row r="163" spans="2:18" x14ac:dyDescent="0.3">
      <c r="B163" s="342"/>
      <c r="C163" s="342"/>
      <c r="D163" s="342"/>
      <c r="E163" s="343"/>
      <c r="F163" s="340"/>
      <c r="G163" s="340"/>
      <c r="H163" s="340"/>
      <c r="I163" s="340"/>
      <c r="J163" s="340"/>
      <c r="K163" s="340"/>
      <c r="L163" s="340"/>
      <c r="M163" s="340"/>
      <c r="N163" s="340"/>
      <c r="O163" s="340"/>
      <c r="P163" s="340"/>
      <c r="Q163" s="340"/>
      <c r="R163" s="341"/>
    </row>
    <row r="164" spans="2:18" x14ac:dyDescent="0.3">
      <c r="B164" s="342"/>
      <c r="C164" s="342"/>
      <c r="D164" s="342"/>
      <c r="E164" s="343"/>
      <c r="F164" s="340"/>
      <c r="G164" s="340"/>
      <c r="H164" s="340"/>
      <c r="I164" s="340"/>
      <c r="J164" s="340"/>
      <c r="K164" s="340"/>
      <c r="L164" s="340"/>
      <c r="M164" s="340"/>
      <c r="N164" s="340"/>
      <c r="O164" s="340"/>
      <c r="P164" s="340"/>
      <c r="Q164" s="340"/>
      <c r="R164" s="341"/>
    </row>
    <row r="165" spans="2:18" x14ac:dyDescent="0.3">
      <c r="B165" s="342"/>
      <c r="C165" s="342"/>
      <c r="D165" s="342"/>
      <c r="E165" s="343"/>
      <c r="F165" s="340"/>
      <c r="G165" s="340"/>
      <c r="H165" s="340"/>
      <c r="I165" s="340"/>
      <c r="J165" s="340"/>
      <c r="K165" s="340"/>
      <c r="L165" s="340"/>
      <c r="M165" s="340"/>
      <c r="N165" s="340"/>
      <c r="O165" s="340"/>
      <c r="P165" s="340"/>
      <c r="Q165" s="340"/>
      <c r="R165" s="341"/>
    </row>
    <row r="166" spans="2:18" x14ac:dyDescent="0.3">
      <c r="B166" s="342"/>
      <c r="C166" s="342"/>
      <c r="D166" s="342"/>
      <c r="E166" s="343"/>
      <c r="F166" s="340"/>
      <c r="G166" s="340"/>
      <c r="H166" s="340"/>
      <c r="I166" s="340"/>
      <c r="J166" s="340"/>
      <c r="K166" s="340"/>
      <c r="L166" s="340"/>
      <c r="M166" s="340"/>
      <c r="N166" s="340"/>
      <c r="O166" s="340"/>
      <c r="P166" s="340"/>
      <c r="Q166" s="340"/>
      <c r="R166" s="341"/>
    </row>
    <row r="167" spans="2:18" x14ac:dyDescent="0.3">
      <c r="B167" s="342"/>
      <c r="C167" s="342"/>
      <c r="D167" s="342"/>
      <c r="E167" s="343"/>
      <c r="F167" s="340"/>
      <c r="G167" s="340"/>
      <c r="H167" s="340"/>
      <c r="I167" s="340"/>
      <c r="J167" s="340"/>
      <c r="K167" s="340"/>
      <c r="L167" s="340"/>
      <c r="M167" s="340"/>
      <c r="N167" s="340"/>
      <c r="O167" s="340"/>
      <c r="P167" s="340"/>
      <c r="Q167" s="340"/>
      <c r="R167" s="341"/>
    </row>
    <row r="168" spans="2:18" x14ac:dyDescent="0.3">
      <c r="B168" s="342"/>
      <c r="C168" s="342"/>
      <c r="D168" s="342"/>
      <c r="E168" s="343"/>
      <c r="F168" s="340"/>
      <c r="G168" s="340"/>
      <c r="H168" s="340"/>
      <c r="I168" s="340"/>
      <c r="J168" s="340"/>
      <c r="K168" s="340"/>
      <c r="L168" s="340"/>
      <c r="M168" s="340"/>
      <c r="N168" s="340"/>
      <c r="O168" s="340"/>
      <c r="P168" s="340"/>
      <c r="Q168" s="340"/>
      <c r="R168" s="341"/>
    </row>
    <row r="169" spans="2:18" x14ac:dyDescent="0.3">
      <c r="B169" s="342"/>
      <c r="C169" s="342"/>
      <c r="D169" s="342"/>
      <c r="E169" s="343"/>
      <c r="F169" s="340"/>
      <c r="G169" s="340"/>
      <c r="H169" s="340"/>
      <c r="I169" s="340"/>
      <c r="J169" s="340"/>
      <c r="K169" s="340"/>
      <c r="L169" s="340"/>
      <c r="M169" s="340"/>
      <c r="N169" s="340"/>
      <c r="O169" s="340"/>
      <c r="P169" s="340"/>
      <c r="Q169" s="340"/>
      <c r="R169" s="341"/>
    </row>
    <row r="170" spans="2:18" x14ac:dyDescent="0.3">
      <c r="B170" s="342"/>
      <c r="C170" s="342"/>
      <c r="D170" s="342"/>
      <c r="E170" s="343"/>
      <c r="F170" s="340"/>
      <c r="G170" s="340"/>
      <c r="H170" s="340"/>
      <c r="I170" s="340"/>
      <c r="J170" s="340"/>
      <c r="K170" s="340"/>
      <c r="L170" s="340"/>
      <c r="M170" s="340"/>
      <c r="N170" s="340"/>
      <c r="O170" s="340"/>
      <c r="P170" s="340"/>
      <c r="Q170" s="340"/>
      <c r="R170" s="341"/>
    </row>
    <row r="171" spans="2:18" x14ac:dyDescent="0.3">
      <c r="B171" s="342"/>
      <c r="C171" s="342"/>
      <c r="D171" s="342"/>
      <c r="E171" s="343"/>
      <c r="F171" s="340"/>
      <c r="G171" s="340"/>
      <c r="H171" s="340"/>
      <c r="I171" s="340"/>
      <c r="J171" s="340"/>
      <c r="K171" s="340"/>
      <c r="L171" s="340"/>
      <c r="M171" s="340"/>
      <c r="N171" s="340"/>
      <c r="O171" s="340"/>
      <c r="P171" s="340"/>
      <c r="Q171" s="340"/>
      <c r="R171" s="341"/>
    </row>
    <row r="172" spans="2:18" x14ac:dyDescent="0.3">
      <c r="B172" s="342"/>
      <c r="C172" s="342"/>
      <c r="D172" s="342"/>
      <c r="E172" s="343"/>
      <c r="F172" s="340"/>
      <c r="G172" s="340"/>
      <c r="H172" s="340"/>
      <c r="I172" s="340"/>
      <c r="J172" s="340"/>
      <c r="K172" s="340"/>
      <c r="L172" s="340"/>
      <c r="M172" s="340"/>
      <c r="N172" s="340"/>
      <c r="O172" s="340"/>
      <c r="P172" s="340"/>
      <c r="Q172" s="340"/>
      <c r="R172" s="341"/>
    </row>
    <row r="173" spans="2:18" x14ac:dyDescent="0.3">
      <c r="B173" s="342"/>
      <c r="C173" s="342"/>
      <c r="D173" s="342"/>
      <c r="E173" s="343"/>
      <c r="F173" s="340"/>
      <c r="G173" s="340"/>
      <c r="H173" s="340"/>
      <c r="I173" s="340"/>
      <c r="J173" s="340"/>
      <c r="K173" s="340"/>
      <c r="L173" s="340"/>
      <c r="M173" s="340"/>
      <c r="N173" s="340"/>
      <c r="O173" s="340"/>
      <c r="P173" s="340"/>
      <c r="Q173" s="340"/>
      <c r="R173" s="341"/>
    </row>
    <row r="174" spans="2:18" x14ac:dyDescent="0.3">
      <c r="B174" s="342"/>
      <c r="C174" s="342"/>
      <c r="D174" s="342"/>
      <c r="E174" s="343"/>
      <c r="F174" s="340"/>
      <c r="G174" s="340"/>
      <c r="H174" s="340"/>
      <c r="I174" s="340"/>
      <c r="J174" s="340"/>
      <c r="K174" s="340"/>
      <c r="L174" s="340"/>
      <c r="M174" s="340"/>
      <c r="N174" s="340"/>
      <c r="O174" s="340"/>
      <c r="P174" s="340"/>
      <c r="Q174" s="340"/>
      <c r="R174" s="341"/>
    </row>
    <row r="175" spans="2:18" x14ac:dyDescent="0.3">
      <c r="B175" s="342"/>
      <c r="C175" s="342"/>
      <c r="D175" s="342"/>
      <c r="E175" s="343"/>
      <c r="F175" s="340"/>
      <c r="G175" s="340"/>
      <c r="H175" s="340"/>
      <c r="I175" s="340"/>
      <c r="J175" s="340"/>
      <c r="K175" s="340"/>
      <c r="L175" s="340"/>
      <c r="M175" s="340"/>
      <c r="N175" s="340"/>
      <c r="O175" s="340"/>
      <c r="P175" s="340"/>
      <c r="Q175" s="340"/>
      <c r="R175" s="341"/>
    </row>
    <row r="176" spans="2:18" x14ac:dyDescent="0.3">
      <c r="B176" s="342"/>
      <c r="C176" s="342"/>
      <c r="D176" s="342"/>
      <c r="E176" s="343"/>
      <c r="F176" s="340"/>
      <c r="G176" s="340"/>
      <c r="H176" s="340"/>
      <c r="I176" s="340"/>
      <c r="J176" s="340"/>
      <c r="K176" s="340"/>
      <c r="L176" s="340"/>
      <c r="M176" s="340"/>
      <c r="N176" s="340"/>
      <c r="O176" s="340"/>
      <c r="P176" s="340"/>
      <c r="Q176" s="340"/>
      <c r="R176" s="341"/>
    </row>
    <row r="177" spans="2:18" x14ac:dyDescent="0.3">
      <c r="B177" s="342"/>
      <c r="C177" s="342"/>
      <c r="D177" s="342"/>
      <c r="E177" s="343"/>
      <c r="F177" s="340"/>
      <c r="G177" s="340"/>
      <c r="H177" s="340"/>
      <c r="I177" s="340"/>
      <c r="J177" s="340"/>
      <c r="K177" s="340"/>
      <c r="L177" s="340"/>
      <c r="M177" s="340"/>
      <c r="N177" s="340"/>
      <c r="O177" s="340"/>
      <c r="P177" s="340"/>
      <c r="Q177" s="340"/>
      <c r="R177" s="341"/>
    </row>
    <row r="178" spans="2:18" x14ac:dyDescent="0.3">
      <c r="B178" s="342"/>
      <c r="C178" s="342"/>
      <c r="D178" s="342"/>
      <c r="E178" s="343"/>
      <c r="F178" s="340"/>
      <c r="G178" s="340"/>
      <c r="H178" s="340"/>
      <c r="I178" s="340"/>
      <c r="J178" s="340"/>
      <c r="K178" s="340"/>
      <c r="L178" s="340"/>
      <c r="M178" s="340"/>
      <c r="N178" s="340"/>
      <c r="O178" s="340"/>
      <c r="P178" s="340"/>
      <c r="Q178" s="340"/>
      <c r="R178" s="341"/>
    </row>
    <row r="179" spans="2:18" x14ac:dyDescent="0.3">
      <c r="B179" s="342"/>
      <c r="C179" s="342"/>
      <c r="D179" s="342"/>
      <c r="E179" s="343"/>
      <c r="F179" s="340"/>
      <c r="G179" s="340"/>
      <c r="H179" s="340"/>
      <c r="I179" s="340"/>
      <c r="J179" s="340"/>
      <c r="K179" s="340"/>
      <c r="L179" s="340"/>
      <c r="M179" s="340"/>
      <c r="N179" s="340"/>
      <c r="O179" s="340"/>
      <c r="P179" s="340"/>
      <c r="Q179" s="340"/>
      <c r="R179" s="341"/>
    </row>
    <row r="180" spans="2:18" x14ac:dyDescent="0.3">
      <c r="B180" s="342"/>
      <c r="C180" s="342"/>
      <c r="D180" s="342"/>
      <c r="E180" s="343"/>
      <c r="F180" s="340"/>
      <c r="G180" s="340"/>
      <c r="H180" s="340"/>
      <c r="I180" s="340"/>
      <c r="J180" s="340"/>
      <c r="K180" s="340"/>
      <c r="L180" s="340"/>
      <c r="M180" s="340"/>
      <c r="N180" s="340"/>
      <c r="O180" s="340"/>
      <c r="P180" s="340"/>
      <c r="Q180" s="340"/>
      <c r="R180" s="341"/>
    </row>
    <row r="181" spans="2:18" x14ac:dyDescent="0.3">
      <c r="B181" s="342"/>
      <c r="C181" s="342"/>
      <c r="D181" s="342"/>
      <c r="E181" s="343"/>
      <c r="F181" s="340"/>
      <c r="G181" s="340"/>
      <c r="H181" s="340"/>
      <c r="I181" s="340"/>
      <c r="J181" s="340"/>
      <c r="K181" s="340"/>
      <c r="L181" s="340"/>
      <c r="M181" s="340"/>
      <c r="N181" s="340"/>
      <c r="O181" s="340"/>
      <c r="P181" s="340"/>
      <c r="Q181" s="340"/>
      <c r="R181" s="341"/>
    </row>
    <row r="182" spans="2:18" x14ac:dyDescent="0.3">
      <c r="B182" s="342"/>
      <c r="C182" s="342"/>
      <c r="D182" s="342"/>
      <c r="E182" s="343"/>
      <c r="F182" s="340"/>
      <c r="G182" s="340"/>
      <c r="H182" s="340"/>
      <c r="I182" s="340"/>
      <c r="J182" s="340"/>
      <c r="K182" s="340"/>
      <c r="L182" s="340"/>
      <c r="M182" s="340"/>
      <c r="N182" s="340"/>
      <c r="O182" s="340"/>
      <c r="P182" s="340"/>
      <c r="Q182" s="340"/>
      <c r="R182" s="341"/>
    </row>
    <row r="183" spans="2:18" x14ac:dyDescent="0.3">
      <c r="B183" s="342"/>
      <c r="C183" s="342"/>
      <c r="D183" s="342"/>
      <c r="E183" s="343"/>
      <c r="F183" s="340"/>
      <c r="G183" s="340"/>
      <c r="H183" s="340"/>
      <c r="I183" s="340"/>
      <c r="J183" s="340"/>
      <c r="K183" s="340"/>
      <c r="L183" s="340"/>
      <c r="M183" s="340"/>
      <c r="N183" s="340"/>
      <c r="O183" s="340"/>
      <c r="P183" s="340"/>
      <c r="Q183" s="340"/>
      <c r="R183" s="341"/>
    </row>
    <row r="184" spans="2:18" x14ac:dyDescent="0.3">
      <c r="B184" s="342"/>
      <c r="C184" s="342"/>
      <c r="D184" s="342"/>
      <c r="E184" s="343"/>
      <c r="F184" s="340"/>
      <c r="G184" s="340"/>
      <c r="H184" s="340"/>
      <c r="I184" s="340"/>
      <c r="J184" s="340"/>
      <c r="K184" s="340"/>
      <c r="L184" s="340"/>
      <c r="M184" s="340"/>
      <c r="N184" s="340"/>
      <c r="O184" s="340"/>
      <c r="P184" s="340"/>
      <c r="Q184" s="340"/>
      <c r="R184" s="341"/>
    </row>
    <row r="185" spans="2:18" x14ac:dyDescent="0.3">
      <c r="B185" s="342"/>
      <c r="C185" s="342"/>
      <c r="D185" s="342"/>
      <c r="E185" s="343"/>
      <c r="F185" s="340"/>
      <c r="G185" s="340"/>
      <c r="H185" s="340"/>
      <c r="I185" s="340"/>
      <c r="J185" s="340"/>
      <c r="K185" s="340"/>
      <c r="L185" s="340"/>
      <c r="M185" s="340"/>
      <c r="N185" s="340"/>
      <c r="O185" s="340"/>
      <c r="P185" s="340"/>
      <c r="Q185" s="340"/>
      <c r="R185" s="341"/>
    </row>
    <row r="186" spans="2:18" x14ac:dyDescent="0.3">
      <c r="B186" s="342"/>
      <c r="C186" s="342"/>
      <c r="D186" s="342"/>
      <c r="E186" s="343"/>
      <c r="F186" s="340"/>
      <c r="G186" s="340"/>
      <c r="H186" s="340"/>
      <c r="I186" s="340"/>
      <c r="J186" s="340"/>
      <c r="K186" s="340"/>
      <c r="L186" s="340"/>
      <c r="M186" s="340"/>
      <c r="N186" s="340"/>
      <c r="O186" s="340"/>
      <c r="P186" s="340"/>
      <c r="Q186" s="340"/>
      <c r="R186" s="341"/>
    </row>
    <row r="187" spans="2:18" x14ac:dyDescent="0.3">
      <c r="B187" s="342"/>
      <c r="C187" s="342"/>
      <c r="D187" s="342"/>
      <c r="E187" s="343"/>
      <c r="F187" s="340"/>
      <c r="G187" s="340"/>
      <c r="H187" s="340"/>
      <c r="I187" s="340"/>
      <c r="J187" s="340"/>
      <c r="K187" s="340"/>
      <c r="L187" s="340"/>
      <c r="M187" s="340"/>
      <c r="N187" s="340"/>
      <c r="O187" s="340"/>
      <c r="P187" s="340"/>
      <c r="Q187" s="340"/>
      <c r="R187" s="341"/>
    </row>
    <row r="188" spans="2:18" x14ac:dyDescent="0.3">
      <c r="B188" s="342"/>
      <c r="C188" s="342"/>
      <c r="D188" s="342"/>
      <c r="E188" s="343"/>
      <c r="F188" s="340"/>
      <c r="G188" s="340"/>
      <c r="H188" s="340"/>
      <c r="I188" s="340"/>
      <c r="J188" s="340"/>
      <c r="K188" s="340"/>
      <c r="L188" s="340"/>
      <c r="M188" s="340"/>
      <c r="N188" s="340"/>
      <c r="O188" s="340"/>
      <c r="P188" s="340"/>
      <c r="Q188" s="340"/>
      <c r="R188" s="341"/>
    </row>
    <row r="189" spans="2:18" x14ac:dyDescent="0.3">
      <c r="B189" s="342"/>
      <c r="C189" s="342"/>
      <c r="D189" s="342"/>
      <c r="E189" s="343"/>
      <c r="F189" s="340"/>
      <c r="G189" s="340"/>
      <c r="H189" s="340"/>
      <c r="I189" s="340"/>
      <c r="J189" s="340"/>
      <c r="K189" s="340"/>
      <c r="L189" s="340"/>
      <c r="M189" s="340"/>
      <c r="N189" s="340"/>
      <c r="O189" s="340"/>
      <c r="P189" s="340"/>
      <c r="Q189" s="340"/>
      <c r="R189" s="341"/>
    </row>
    <row r="190" spans="2:18" x14ac:dyDescent="0.3">
      <c r="B190" s="342"/>
      <c r="C190" s="342"/>
      <c r="D190" s="342"/>
      <c r="E190" s="343"/>
      <c r="F190" s="340"/>
      <c r="G190" s="340"/>
      <c r="H190" s="340"/>
      <c r="I190" s="340"/>
      <c r="J190" s="340"/>
      <c r="K190" s="340"/>
      <c r="L190" s="340"/>
      <c r="M190" s="340"/>
      <c r="N190" s="340"/>
      <c r="O190" s="340"/>
      <c r="P190" s="340"/>
      <c r="Q190" s="340"/>
      <c r="R190" s="341"/>
    </row>
    <row r="191" spans="2:18" x14ac:dyDescent="0.3">
      <c r="B191" s="342"/>
      <c r="C191" s="342"/>
      <c r="D191" s="342"/>
      <c r="E191" s="343"/>
      <c r="F191" s="340"/>
      <c r="G191" s="340"/>
      <c r="H191" s="340"/>
      <c r="I191" s="340"/>
      <c r="J191" s="340"/>
      <c r="K191" s="340"/>
      <c r="L191" s="340"/>
      <c r="M191" s="340"/>
      <c r="N191" s="340"/>
      <c r="O191" s="340"/>
      <c r="P191" s="340"/>
      <c r="Q191" s="340"/>
      <c r="R191" s="341"/>
    </row>
    <row r="192" spans="2:18" x14ac:dyDescent="0.3">
      <c r="B192" s="342"/>
      <c r="C192" s="342"/>
      <c r="D192" s="342"/>
      <c r="E192" s="343"/>
      <c r="F192" s="340"/>
      <c r="G192" s="340"/>
      <c r="H192" s="340"/>
      <c r="I192" s="340"/>
      <c r="J192" s="340"/>
      <c r="K192" s="340"/>
      <c r="L192" s="340"/>
      <c r="M192" s="340"/>
      <c r="N192" s="340"/>
      <c r="O192" s="340"/>
      <c r="P192" s="340"/>
      <c r="Q192" s="340"/>
      <c r="R192" s="341"/>
    </row>
    <row r="193" spans="2:18" x14ac:dyDescent="0.3">
      <c r="B193" s="342"/>
      <c r="C193" s="342"/>
      <c r="D193" s="342"/>
      <c r="E193" s="343"/>
      <c r="F193" s="340"/>
      <c r="G193" s="340"/>
      <c r="H193" s="340"/>
      <c r="I193" s="340"/>
      <c r="J193" s="340"/>
      <c r="K193" s="340"/>
      <c r="L193" s="340"/>
      <c r="M193" s="340"/>
      <c r="N193" s="340"/>
      <c r="O193" s="340"/>
      <c r="P193" s="340"/>
      <c r="Q193" s="340"/>
      <c r="R193" s="341"/>
    </row>
    <row r="194" spans="2:18" x14ac:dyDescent="0.3">
      <c r="B194" s="342"/>
      <c r="C194" s="342"/>
      <c r="D194" s="342"/>
      <c r="E194" s="343"/>
      <c r="F194" s="340"/>
      <c r="G194" s="340"/>
      <c r="H194" s="340"/>
      <c r="I194" s="340"/>
      <c r="J194" s="340"/>
      <c r="K194" s="340"/>
      <c r="L194" s="340"/>
      <c r="M194" s="340"/>
      <c r="N194" s="340"/>
      <c r="O194" s="340"/>
      <c r="P194" s="340"/>
      <c r="Q194" s="340"/>
      <c r="R194" s="341"/>
    </row>
    <row r="195" spans="2:18" x14ac:dyDescent="0.3">
      <c r="B195" s="342"/>
      <c r="C195" s="342"/>
      <c r="D195" s="342"/>
      <c r="E195" s="343"/>
      <c r="F195" s="340"/>
      <c r="G195" s="340"/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1"/>
    </row>
    <row r="196" spans="2:18" x14ac:dyDescent="0.3">
      <c r="B196" s="342"/>
      <c r="C196" s="342"/>
      <c r="D196" s="342"/>
      <c r="E196" s="343"/>
      <c r="F196" s="340"/>
      <c r="G196" s="340"/>
      <c r="H196" s="340"/>
      <c r="I196" s="340"/>
      <c r="J196" s="340"/>
      <c r="K196" s="340"/>
      <c r="L196" s="340"/>
      <c r="M196" s="340"/>
      <c r="N196" s="340"/>
      <c r="O196" s="340"/>
      <c r="P196" s="340"/>
      <c r="Q196" s="340"/>
      <c r="R196" s="341"/>
    </row>
    <row r="197" spans="2:18" x14ac:dyDescent="0.3">
      <c r="B197" s="342"/>
      <c r="C197" s="342"/>
      <c r="D197" s="342"/>
      <c r="E197" s="343"/>
      <c r="F197" s="340"/>
      <c r="G197" s="340"/>
      <c r="H197" s="340"/>
      <c r="I197" s="340"/>
      <c r="J197" s="340"/>
      <c r="K197" s="340"/>
      <c r="L197" s="340"/>
      <c r="M197" s="340"/>
      <c r="N197" s="340"/>
      <c r="O197" s="340"/>
      <c r="P197" s="340"/>
      <c r="Q197" s="340"/>
      <c r="R197" s="341"/>
    </row>
    <row r="198" spans="2:18" x14ac:dyDescent="0.3">
      <c r="B198" s="342"/>
      <c r="C198" s="342"/>
      <c r="D198" s="342"/>
      <c r="E198" s="343"/>
      <c r="F198" s="340"/>
      <c r="G198" s="340"/>
      <c r="H198" s="340"/>
      <c r="I198" s="340"/>
      <c r="J198" s="340"/>
      <c r="K198" s="340"/>
      <c r="L198" s="340"/>
      <c r="M198" s="340"/>
      <c r="N198" s="340"/>
      <c r="O198" s="340"/>
      <c r="P198" s="340"/>
      <c r="Q198" s="340"/>
      <c r="R198" s="341"/>
    </row>
    <row r="199" spans="2:18" x14ac:dyDescent="0.3">
      <c r="B199" s="342"/>
      <c r="C199" s="342"/>
      <c r="D199" s="342"/>
      <c r="E199" s="343"/>
      <c r="F199" s="340"/>
      <c r="G199" s="340"/>
      <c r="H199" s="340"/>
      <c r="I199" s="340"/>
      <c r="J199" s="340"/>
      <c r="K199" s="340"/>
      <c r="L199" s="340"/>
      <c r="M199" s="340"/>
      <c r="N199" s="340"/>
      <c r="O199" s="340"/>
      <c r="P199" s="340"/>
      <c r="Q199" s="340"/>
      <c r="R199" s="341"/>
    </row>
    <row r="200" spans="2:18" x14ac:dyDescent="0.3">
      <c r="B200" s="342"/>
      <c r="C200" s="342"/>
      <c r="D200" s="342"/>
      <c r="E200" s="343"/>
      <c r="F200" s="340"/>
      <c r="G200" s="340"/>
      <c r="H200" s="340"/>
      <c r="I200" s="340"/>
      <c r="J200" s="340"/>
      <c r="K200" s="340"/>
      <c r="L200" s="340"/>
      <c r="M200" s="340"/>
      <c r="N200" s="340"/>
      <c r="O200" s="340"/>
      <c r="P200" s="340"/>
      <c r="Q200" s="340"/>
      <c r="R200" s="341"/>
    </row>
    <row r="201" spans="2:18" x14ac:dyDescent="0.3">
      <c r="B201" s="342"/>
      <c r="C201" s="342"/>
      <c r="D201" s="342"/>
      <c r="E201" s="343"/>
      <c r="F201" s="340"/>
      <c r="G201" s="340"/>
      <c r="H201" s="340"/>
      <c r="I201" s="340"/>
      <c r="J201" s="340"/>
      <c r="K201" s="340"/>
      <c r="L201" s="340"/>
      <c r="M201" s="340"/>
      <c r="N201" s="340"/>
      <c r="O201" s="340"/>
      <c r="P201" s="340"/>
      <c r="Q201" s="340"/>
      <c r="R201" s="341"/>
    </row>
    <row r="202" spans="2:18" x14ac:dyDescent="0.3">
      <c r="B202" s="342"/>
      <c r="C202" s="342"/>
      <c r="D202" s="342"/>
      <c r="E202" s="343"/>
      <c r="F202" s="340"/>
      <c r="G202" s="340"/>
      <c r="H202" s="340"/>
      <c r="I202" s="340"/>
      <c r="J202" s="340"/>
      <c r="K202" s="340"/>
      <c r="L202" s="340"/>
      <c r="M202" s="340"/>
      <c r="N202" s="340"/>
      <c r="O202" s="340"/>
      <c r="P202" s="340"/>
      <c r="Q202" s="340"/>
      <c r="R202" s="341"/>
    </row>
    <row r="203" spans="2:18" x14ac:dyDescent="0.3">
      <c r="B203" s="342"/>
      <c r="C203" s="342"/>
      <c r="D203" s="342"/>
      <c r="E203" s="343"/>
      <c r="F203" s="340"/>
      <c r="G203" s="340"/>
      <c r="H203" s="340"/>
      <c r="I203" s="340"/>
      <c r="J203" s="340"/>
      <c r="K203" s="340"/>
      <c r="L203" s="340"/>
      <c r="M203" s="340"/>
      <c r="N203" s="340"/>
      <c r="O203" s="340"/>
      <c r="P203" s="340"/>
      <c r="Q203" s="340"/>
      <c r="R203" s="341"/>
    </row>
    <row r="204" spans="2:18" x14ac:dyDescent="0.3">
      <c r="B204" s="342"/>
      <c r="C204" s="342"/>
      <c r="D204" s="342"/>
      <c r="E204" s="343"/>
      <c r="F204" s="340"/>
      <c r="G204" s="340"/>
      <c r="H204" s="340"/>
      <c r="I204" s="340"/>
      <c r="J204" s="340"/>
      <c r="K204" s="340"/>
      <c r="L204" s="340"/>
      <c r="M204" s="340"/>
      <c r="N204" s="340"/>
      <c r="O204" s="340"/>
      <c r="P204" s="340"/>
      <c r="Q204" s="340"/>
      <c r="R204" s="341"/>
    </row>
    <row r="205" spans="2:18" x14ac:dyDescent="0.3">
      <c r="B205" s="342"/>
      <c r="C205" s="342"/>
      <c r="D205" s="342"/>
      <c r="E205" s="343"/>
      <c r="F205" s="340"/>
      <c r="G205" s="340"/>
      <c r="H205" s="340"/>
      <c r="I205" s="340"/>
      <c r="J205" s="340"/>
      <c r="K205" s="340"/>
      <c r="L205" s="340"/>
      <c r="M205" s="340"/>
      <c r="N205" s="340"/>
      <c r="O205" s="340"/>
      <c r="P205" s="340"/>
      <c r="Q205" s="340"/>
      <c r="R205" s="341"/>
    </row>
    <row r="206" spans="2:18" x14ac:dyDescent="0.3">
      <c r="B206" s="342"/>
      <c r="C206" s="342"/>
      <c r="D206" s="342"/>
      <c r="E206" s="343"/>
      <c r="F206" s="340"/>
      <c r="G206" s="340"/>
      <c r="H206" s="340"/>
      <c r="I206" s="340"/>
      <c r="J206" s="340"/>
      <c r="K206" s="340"/>
      <c r="L206" s="340"/>
      <c r="M206" s="340"/>
      <c r="N206" s="340"/>
      <c r="O206" s="340"/>
      <c r="P206" s="340"/>
      <c r="Q206" s="340"/>
      <c r="R206" s="341"/>
    </row>
    <row r="207" spans="2:18" x14ac:dyDescent="0.3">
      <c r="B207" s="342"/>
      <c r="C207" s="342"/>
      <c r="D207" s="342"/>
      <c r="E207" s="343"/>
      <c r="F207" s="340"/>
      <c r="G207" s="340"/>
      <c r="H207" s="340"/>
      <c r="I207" s="340"/>
      <c r="J207" s="340"/>
      <c r="K207" s="340"/>
      <c r="L207" s="340"/>
      <c r="M207" s="340"/>
      <c r="N207" s="340"/>
      <c r="O207" s="340"/>
      <c r="P207" s="340"/>
      <c r="Q207" s="340"/>
      <c r="R207" s="341"/>
    </row>
    <row r="208" spans="2:18" x14ac:dyDescent="0.3">
      <c r="B208" s="342"/>
      <c r="C208" s="342"/>
      <c r="D208" s="342"/>
      <c r="E208" s="343"/>
      <c r="F208" s="340"/>
      <c r="G208" s="340"/>
      <c r="H208" s="340"/>
      <c r="I208" s="340"/>
      <c r="J208" s="340"/>
      <c r="K208" s="340"/>
      <c r="L208" s="340"/>
      <c r="M208" s="340"/>
      <c r="N208" s="340"/>
      <c r="O208" s="340"/>
      <c r="P208" s="340"/>
      <c r="Q208" s="340"/>
      <c r="R208" s="341"/>
    </row>
    <row r="209" spans="2:19" x14ac:dyDescent="0.3">
      <c r="B209" s="342"/>
      <c r="C209" s="342"/>
      <c r="D209" s="342"/>
      <c r="E209" s="343"/>
      <c r="F209" s="340"/>
      <c r="G209" s="340"/>
      <c r="H209" s="340"/>
      <c r="I209" s="340"/>
      <c r="J209" s="340"/>
      <c r="K209" s="340"/>
      <c r="L209" s="340"/>
      <c r="M209" s="340"/>
      <c r="N209" s="340"/>
      <c r="O209" s="340"/>
      <c r="P209" s="340"/>
      <c r="Q209" s="340"/>
      <c r="R209" s="341"/>
    </row>
    <row r="210" spans="2:19" x14ac:dyDescent="0.3">
      <c r="B210" s="342"/>
      <c r="C210" s="342"/>
      <c r="D210" s="342"/>
      <c r="E210" s="343"/>
      <c r="F210" s="340"/>
      <c r="G210" s="340"/>
      <c r="H210" s="340"/>
      <c r="I210" s="340"/>
      <c r="J210" s="340"/>
      <c r="K210" s="340"/>
      <c r="L210" s="340"/>
      <c r="M210" s="340"/>
      <c r="N210" s="340"/>
      <c r="O210" s="340"/>
      <c r="P210" s="340"/>
      <c r="Q210" s="340"/>
      <c r="R210" s="341"/>
    </row>
    <row r="211" spans="2:19" x14ac:dyDescent="0.3">
      <c r="B211" s="342"/>
      <c r="C211" s="342"/>
      <c r="D211" s="342"/>
      <c r="E211" s="343"/>
      <c r="F211" s="340"/>
      <c r="G211" s="340"/>
      <c r="H211" s="340"/>
      <c r="I211" s="340"/>
      <c r="J211" s="340"/>
      <c r="K211" s="340"/>
      <c r="L211" s="340"/>
      <c r="M211" s="340"/>
      <c r="N211" s="340"/>
      <c r="O211" s="340"/>
      <c r="P211" s="340"/>
      <c r="Q211" s="340"/>
      <c r="R211" s="341"/>
      <c r="S211" s="341"/>
    </row>
    <row r="212" spans="2:19" x14ac:dyDescent="0.3">
      <c r="B212" s="342"/>
      <c r="C212" s="342"/>
      <c r="D212" s="342"/>
      <c r="E212" s="343"/>
      <c r="F212" s="340"/>
      <c r="G212" s="340"/>
      <c r="H212" s="340"/>
      <c r="I212" s="340"/>
      <c r="J212" s="340"/>
      <c r="K212" s="340"/>
      <c r="L212" s="340"/>
      <c r="M212" s="340"/>
      <c r="N212" s="340"/>
      <c r="O212" s="340"/>
      <c r="P212" s="340"/>
      <c r="Q212" s="340"/>
      <c r="R212" s="341"/>
      <c r="S212" s="341"/>
    </row>
    <row r="213" spans="2:19" x14ac:dyDescent="0.3">
      <c r="B213" s="342"/>
      <c r="C213" s="342"/>
      <c r="D213" s="342"/>
      <c r="E213" s="343"/>
      <c r="F213" s="340"/>
      <c r="G213" s="340"/>
      <c r="H213" s="340"/>
      <c r="I213" s="340"/>
      <c r="J213" s="340"/>
      <c r="K213" s="340"/>
      <c r="L213" s="340"/>
      <c r="M213" s="340"/>
      <c r="N213" s="340"/>
      <c r="O213" s="340"/>
      <c r="P213" s="340"/>
      <c r="Q213" s="340"/>
      <c r="R213" s="341"/>
      <c r="S213" s="341"/>
    </row>
    <row r="214" spans="2:19" x14ac:dyDescent="0.3">
      <c r="B214" s="342"/>
      <c r="C214" s="342"/>
      <c r="D214" s="342"/>
      <c r="E214" s="343"/>
      <c r="F214" s="340"/>
      <c r="G214" s="340"/>
      <c r="H214" s="340"/>
      <c r="I214" s="340"/>
      <c r="J214" s="340"/>
      <c r="K214" s="340"/>
      <c r="L214" s="340"/>
      <c r="M214" s="340"/>
      <c r="N214" s="340"/>
      <c r="O214" s="340"/>
      <c r="P214" s="340"/>
      <c r="Q214" s="340"/>
      <c r="R214" s="341"/>
      <c r="S214" s="341"/>
    </row>
    <row r="215" spans="2:19" ht="12" customHeight="1" x14ac:dyDescent="0.3">
      <c r="B215" s="342"/>
      <c r="C215" s="342"/>
      <c r="D215" s="342"/>
      <c r="E215" s="343"/>
      <c r="F215" s="340"/>
      <c r="G215" s="340"/>
      <c r="H215" s="340"/>
      <c r="I215" s="340"/>
      <c r="J215" s="340"/>
      <c r="K215" s="340"/>
      <c r="L215" s="340"/>
      <c r="M215" s="340"/>
      <c r="N215" s="340"/>
      <c r="O215" s="340"/>
      <c r="P215" s="340"/>
      <c r="Q215" s="340"/>
      <c r="R215" s="341"/>
      <c r="S215" s="341"/>
    </row>
    <row r="216" spans="2:19" x14ac:dyDescent="0.3">
      <c r="B216" s="342"/>
      <c r="C216" s="342"/>
      <c r="D216" s="342"/>
      <c r="E216" s="343"/>
      <c r="F216" s="340"/>
      <c r="G216" s="340"/>
      <c r="H216" s="340"/>
      <c r="I216" s="340"/>
      <c r="J216" s="340"/>
      <c r="K216" s="340"/>
      <c r="L216" s="340"/>
      <c r="M216" s="340"/>
      <c r="N216" s="340"/>
      <c r="O216" s="340"/>
      <c r="P216" s="340"/>
      <c r="Q216" s="340"/>
      <c r="R216" s="341"/>
    </row>
    <row r="225" spans="6:18" x14ac:dyDescent="0.3">
      <c r="F225" s="354"/>
      <c r="G225" s="354"/>
      <c r="H225" s="354"/>
      <c r="I225" s="354"/>
      <c r="J225" s="354"/>
      <c r="K225" s="354"/>
      <c r="L225" s="354"/>
      <c r="M225" s="354"/>
      <c r="N225" s="354"/>
      <c r="O225" s="354"/>
      <c r="P225" s="354"/>
      <c r="Q225" s="354"/>
      <c r="R225" s="354"/>
    </row>
    <row r="226" spans="6:18" x14ac:dyDescent="0.3">
      <c r="F226" s="354"/>
      <c r="G226" s="354"/>
      <c r="H226" s="354"/>
      <c r="I226" s="354"/>
      <c r="J226" s="354"/>
      <c r="K226" s="354"/>
      <c r="L226" s="354"/>
      <c r="M226" s="354"/>
      <c r="N226" s="354"/>
      <c r="O226" s="354"/>
      <c r="P226" s="354"/>
      <c r="Q226" s="354"/>
      <c r="R226" s="354"/>
    </row>
    <row r="227" spans="6:18" x14ac:dyDescent="0.3">
      <c r="F227" s="355"/>
      <c r="G227" s="355"/>
      <c r="H227" s="355"/>
      <c r="I227" s="355"/>
      <c r="J227" s="355"/>
      <c r="K227" s="355"/>
      <c r="L227" s="355"/>
      <c r="M227" s="355"/>
      <c r="N227" s="355"/>
      <c r="O227" s="355"/>
      <c r="P227" s="355"/>
      <c r="Q227" s="355"/>
    </row>
    <row r="228" spans="6:18" x14ac:dyDescent="0.3">
      <c r="F228" s="356"/>
      <c r="G228" s="356"/>
      <c r="H228" s="356"/>
      <c r="I228" s="356"/>
      <c r="J228" s="356"/>
      <c r="K228" s="356"/>
      <c r="L228" s="356"/>
      <c r="M228" s="356"/>
      <c r="N228" s="356"/>
      <c r="O228" s="356"/>
      <c r="P228" s="356"/>
      <c r="Q228" s="356"/>
    </row>
    <row r="229" spans="6:18" x14ac:dyDescent="0.3">
      <c r="F229" s="355"/>
      <c r="G229" s="355"/>
      <c r="H229" s="355"/>
      <c r="I229" s="355"/>
      <c r="J229" s="355"/>
      <c r="K229" s="355"/>
      <c r="L229" s="355"/>
      <c r="M229" s="355"/>
      <c r="N229" s="355"/>
      <c r="O229" s="355"/>
      <c r="P229" s="355"/>
      <c r="Q229" s="355"/>
    </row>
    <row r="231" spans="6:18" x14ac:dyDescent="0.3">
      <c r="F231" s="354"/>
      <c r="G231" s="354"/>
      <c r="H231" s="354"/>
      <c r="I231" s="354"/>
      <c r="J231" s="354"/>
      <c r="K231" s="354"/>
      <c r="L231" s="354"/>
      <c r="M231" s="354"/>
      <c r="N231" s="354"/>
      <c r="O231" s="354"/>
      <c r="P231" s="354"/>
      <c r="Q231" s="354"/>
    </row>
    <row r="232" spans="6:18" x14ac:dyDescent="0.3">
      <c r="F232" s="356"/>
      <c r="G232" s="356"/>
      <c r="H232" s="356"/>
      <c r="I232" s="356"/>
      <c r="J232" s="356"/>
      <c r="K232" s="356"/>
      <c r="L232" s="356"/>
      <c r="M232" s="356"/>
      <c r="N232" s="356"/>
      <c r="O232" s="356"/>
      <c r="P232" s="356"/>
      <c r="Q232" s="356"/>
    </row>
    <row r="233" spans="6:18" x14ac:dyDescent="0.3">
      <c r="F233" s="355"/>
      <c r="G233" s="355"/>
      <c r="H233" s="355"/>
      <c r="I233" s="355"/>
      <c r="J233" s="355"/>
      <c r="K233" s="355"/>
      <c r="L233" s="355"/>
      <c r="M233" s="355"/>
      <c r="N233" s="355"/>
      <c r="O233" s="355"/>
      <c r="P233" s="355"/>
      <c r="Q233" s="355"/>
    </row>
    <row r="235" spans="6:18" x14ac:dyDescent="0.3">
      <c r="F235" s="357"/>
      <c r="G235" s="357"/>
      <c r="H235" s="357"/>
      <c r="I235" s="357"/>
      <c r="J235" s="357"/>
      <c r="K235" s="357"/>
      <c r="L235" s="357"/>
      <c r="M235" s="357"/>
      <c r="N235" s="357"/>
      <c r="O235" s="357"/>
      <c r="P235" s="357"/>
      <c r="Q235" s="357"/>
    </row>
    <row r="237" spans="6:18" x14ac:dyDescent="0.3">
      <c r="F237" s="354"/>
      <c r="G237" s="354"/>
      <c r="H237" s="354"/>
      <c r="I237" s="354"/>
      <c r="J237" s="354"/>
      <c r="K237" s="354"/>
      <c r="L237" s="354"/>
      <c r="M237" s="354"/>
      <c r="N237" s="354"/>
      <c r="O237" s="354"/>
      <c r="P237" s="354"/>
      <c r="Q237" s="354"/>
      <c r="R237" s="355"/>
    </row>
    <row r="238" spans="6:18" x14ac:dyDescent="0.3">
      <c r="F238" s="354"/>
      <c r="G238" s="354"/>
      <c r="H238" s="354"/>
      <c r="I238" s="354"/>
      <c r="J238" s="354"/>
      <c r="K238" s="354"/>
      <c r="L238" s="354"/>
      <c r="M238" s="354"/>
      <c r="N238" s="354"/>
      <c r="O238" s="354"/>
      <c r="P238" s="354"/>
      <c r="Q238" s="354"/>
      <c r="R238" s="354"/>
    </row>
    <row r="239" spans="6:18" x14ac:dyDescent="0.3">
      <c r="F239" s="355"/>
      <c r="G239" s="355"/>
      <c r="H239" s="355"/>
      <c r="I239" s="355"/>
      <c r="J239" s="355"/>
      <c r="K239" s="355"/>
      <c r="L239" s="355"/>
      <c r="M239" s="355"/>
      <c r="N239" s="355"/>
      <c r="O239" s="355"/>
      <c r="P239" s="355"/>
      <c r="Q239" s="355"/>
    </row>
    <row r="240" spans="6:18" x14ac:dyDescent="0.3">
      <c r="F240" s="356"/>
      <c r="G240" s="356"/>
      <c r="H240" s="356"/>
      <c r="I240" s="356"/>
      <c r="J240" s="356"/>
      <c r="K240" s="356"/>
      <c r="L240" s="356"/>
      <c r="M240" s="356"/>
      <c r="N240" s="356"/>
      <c r="O240" s="356"/>
      <c r="P240" s="356"/>
      <c r="Q240" s="356"/>
    </row>
    <row r="241" spans="6:18" x14ac:dyDescent="0.3">
      <c r="F241" s="355"/>
      <c r="G241" s="355"/>
      <c r="H241" s="355"/>
      <c r="I241" s="355"/>
      <c r="J241" s="355"/>
      <c r="K241" s="355"/>
      <c r="L241" s="355"/>
      <c r="M241" s="355"/>
      <c r="N241" s="355"/>
      <c r="O241" s="355"/>
      <c r="P241" s="355"/>
      <c r="Q241" s="355"/>
      <c r="R241" s="355"/>
    </row>
    <row r="243" spans="6:18" x14ac:dyDescent="0.3">
      <c r="F243" s="355"/>
      <c r="G243" s="355"/>
      <c r="H243" s="355"/>
      <c r="I243" s="355"/>
      <c r="J243" s="355"/>
      <c r="K243" s="355"/>
      <c r="L243" s="355"/>
      <c r="M243" s="355"/>
      <c r="N243" s="355"/>
      <c r="O243" s="355"/>
      <c r="P243" s="355"/>
      <c r="Q243" s="355"/>
      <c r="R243" s="355"/>
    </row>
  </sheetData>
  <mergeCells count="3">
    <mergeCell ref="A3:R3"/>
    <mergeCell ref="A2:R2"/>
    <mergeCell ref="A1:R1"/>
  </mergeCells>
  <phoneticPr fontId="0" type="noConversion"/>
  <printOptions horizontalCentered="1"/>
  <pageMargins left="0" right="0" top="0.5" bottom="0.25" header="0" footer="0"/>
  <pageSetup scale="58" orientation="landscape" r:id="rId1"/>
  <headerFooter alignWithMargins="0"/>
  <rowBreaks count="1" manualBreakCount="1">
    <brk id="594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7"/>
  <dimension ref="A1:R104"/>
  <sheetViews>
    <sheetView topLeftCell="A64" zoomScale="80" zoomScaleNormal="80" workbookViewId="0">
      <selection activeCell="Q74" sqref="Q74:R75"/>
    </sheetView>
  </sheetViews>
  <sheetFormatPr defaultColWidth="10" defaultRowHeight="15.5" x14ac:dyDescent="0.35"/>
  <cols>
    <col min="1" max="1" width="9" style="45" customWidth="1"/>
    <col min="2" max="2" width="52.375" style="45" customWidth="1"/>
    <col min="3" max="6" width="23.625" style="45" bestFit="1" customWidth="1"/>
    <col min="7" max="13" width="21.625" style="45" customWidth="1"/>
    <col min="14" max="14" width="23.625" style="45" bestFit="1" customWidth="1"/>
    <col min="15" max="15" width="26" style="45" customWidth="1"/>
    <col min="16" max="16" width="23.625" style="45" bestFit="1" customWidth="1"/>
    <col min="17" max="17" width="24.625" style="45" bestFit="1" customWidth="1"/>
    <col min="18" max="18" width="23" style="45" bestFit="1" customWidth="1"/>
    <col min="19" max="16384" width="10" style="45"/>
  </cols>
  <sheetData>
    <row r="1" spans="1:16" x14ac:dyDescent="0.35">
      <c r="A1" s="809" t="s">
        <v>36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</row>
    <row r="2" spans="1:16" x14ac:dyDescent="0.35">
      <c r="A2" s="809" t="str">
        <f>'Sch M 2.1'!A2:J2</f>
        <v>Case No. 2021-00183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</row>
    <row r="3" spans="1:16" x14ac:dyDescent="0.35">
      <c r="A3" s="809" t="s">
        <v>198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</row>
    <row r="4" spans="1:16" x14ac:dyDescent="0.35">
      <c r="A4" s="809" t="s">
        <v>530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</row>
    <row r="5" spans="1:16" x14ac:dyDescent="0.35">
      <c r="A5" s="813" t="s">
        <v>39</v>
      </c>
      <c r="B5" s="813"/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</row>
    <row r="6" spans="1:16" x14ac:dyDescent="0.35">
      <c r="A6" s="48" t="s">
        <v>327</v>
      </c>
    </row>
    <row r="7" spans="1:16" x14ac:dyDescent="0.35">
      <c r="A7" s="48" t="s">
        <v>220</v>
      </c>
      <c r="O7" s="50" t="s">
        <v>37</v>
      </c>
    </row>
    <row r="8" spans="1:16" x14ac:dyDescent="0.35">
      <c r="A8" s="51" t="s">
        <v>63</v>
      </c>
      <c r="O8" s="50" t="s">
        <v>329</v>
      </c>
    </row>
    <row r="9" spans="1:16" x14ac:dyDescent="0.35">
      <c r="A9" s="734" t="s">
        <v>299</v>
      </c>
      <c r="O9" s="283" t="str">
        <f>Witness</f>
        <v>Witness:  Judith L. Siegler</v>
      </c>
    </row>
    <row r="10" spans="1:16" x14ac:dyDescent="0.35">
      <c r="A10" s="51"/>
      <c r="O10" s="50"/>
    </row>
    <row r="11" spans="1:16" x14ac:dyDescent="0.35">
      <c r="A11" s="812" t="s">
        <v>191</v>
      </c>
      <c r="B11" s="812"/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2"/>
      <c r="N11" s="812"/>
      <c r="O11" s="812"/>
      <c r="P11" s="52"/>
    </row>
    <row r="12" spans="1:16" x14ac:dyDescent="0.35">
      <c r="A12" s="51"/>
      <c r="B12" s="52"/>
      <c r="C12" s="52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x14ac:dyDescent="0.35">
      <c r="A13" s="729" t="s">
        <v>1</v>
      </c>
      <c r="B13" s="96"/>
      <c r="C13" s="729"/>
      <c r="D13" s="729"/>
    </row>
    <row r="14" spans="1:16" x14ac:dyDescent="0.35">
      <c r="A14" s="56" t="s">
        <v>3</v>
      </c>
      <c r="B14" s="56" t="s">
        <v>4</v>
      </c>
      <c r="C14" s="157" t="str">
        <f>B!$D$11</f>
        <v>Jan-22</v>
      </c>
      <c r="D14" s="157" t="str">
        <f>B!$E$11</f>
        <v>Feb-22</v>
      </c>
      <c r="E14" s="157" t="str">
        <f>B!$F$11</f>
        <v>Mar-22</v>
      </c>
      <c r="F14" s="157" t="str">
        <f>B!$G$11</f>
        <v>Apr-22</v>
      </c>
      <c r="G14" s="157" t="str">
        <f>B!$H$11</f>
        <v>May-22</v>
      </c>
      <c r="H14" s="157" t="str">
        <f>B!$I$11</f>
        <v>Jun-22</v>
      </c>
      <c r="I14" s="157" t="str">
        <f>B!$J$11</f>
        <v>Jul-22</v>
      </c>
      <c r="J14" s="157" t="str">
        <f>B!$K$11</f>
        <v>Aug-22</v>
      </c>
      <c r="K14" s="157" t="str">
        <f>B!$L$11</f>
        <v>Sep-22</v>
      </c>
      <c r="L14" s="157" t="str">
        <f>B!$M$11</f>
        <v>Oct-22</v>
      </c>
      <c r="M14" s="157" t="str">
        <f>B!$N$11</f>
        <v>Nov-22</v>
      </c>
      <c r="N14" s="157" t="str">
        <f>B!$O$11</f>
        <v>Dec-22</v>
      </c>
      <c r="O14" s="57" t="s">
        <v>9</v>
      </c>
    </row>
    <row r="15" spans="1:16" x14ac:dyDescent="0.35">
      <c r="A15" s="729"/>
      <c r="B15" s="729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6" x14ac:dyDescent="0.35">
      <c r="A16" s="74">
        <v>1</v>
      </c>
      <c r="B16" s="154" t="s">
        <v>364</v>
      </c>
      <c r="C16" s="106"/>
      <c r="D16" s="106"/>
      <c r="E16" s="106"/>
      <c r="F16" s="106"/>
      <c r="G16" s="106"/>
      <c r="H16" s="728"/>
      <c r="I16" s="728"/>
      <c r="J16" s="728"/>
      <c r="K16" s="728"/>
      <c r="L16" s="728"/>
      <c r="M16" s="728"/>
      <c r="N16" s="728"/>
      <c r="O16" s="728"/>
    </row>
    <row r="17" spans="1:18" x14ac:dyDescent="0.35">
      <c r="A17" s="74"/>
      <c r="B17" s="154"/>
      <c r="C17" s="728"/>
      <c r="D17" s="728"/>
      <c r="E17" s="728"/>
      <c r="F17" s="728"/>
      <c r="G17" s="728"/>
      <c r="H17" s="728"/>
      <c r="I17" s="728"/>
      <c r="J17" s="728"/>
      <c r="K17" s="728"/>
      <c r="L17" s="728"/>
      <c r="M17" s="728"/>
      <c r="N17" s="728"/>
      <c r="O17" s="728"/>
    </row>
    <row r="18" spans="1:18" x14ac:dyDescent="0.35">
      <c r="A18" s="74">
        <f>A16+1</f>
        <v>2</v>
      </c>
      <c r="B18" s="162" t="s">
        <v>301</v>
      </c>
      <c r="C18" s="614">
        <f>'Sch M 2.2'!E70+'Sch M 2.2'!E84+'Sch M 2.2'!E91+'Sch M 2.2'!E98+'Sch M 2.2'!E105+'Sch M 2.2'!E134+'Sch M 2.2'!E148+'Sch M 2.2'!E155</f>
        <v>14003405.959999999</v>
      </c>
      <c r="D18" s="174">
        <f>'Sch M 2.2'!F70+'Sch M 2.2'!F84+'Sch M 2.2'!F91+'Sch M 2.2'!F98+'Sch M 2.2'!F105+'Sch M 2.2'!F134+'Sch M 2.2'!F148+'Sch M 2.2'!F155</f>
        <v>14150754.74</v>
      </c>
      <c r="E18" s="174">
        <f>'Sch M 2.2'!G70+'Sch M 2.2'!G84+'Sch M 2.2'!G91+'Sch M 2.2'!G98+'Sch M 2.2'!G105+'Sch M 2.2'!G134+'Sch M 2.2'!G148+'Sch M 2.2'!G155</f>
        <v>11564943.440000003</v>
      </c>
      <c r="F18" s="174">
        <f>'Sch M 2.2'!H70+'Sch M 2.2'!H84+'Sch M 2.2'!H91+'Sch M 2.2'!H98+'Sch M 2.2'!H105+'Sch M 2.2'!H134+'Sch M 2.2'!H148+'Sch M 2.2'!H155</f>
        <v>7681028.7000000002</v>
      </c>
      <c r="G18" s="174">
        <f>'Sch M 2.2'!I70+'Sch M 2.2'!I84+'Sch M 2.2'!I91+'Sch M 2.2'!I98+'Sch M 2.2'!I105+'Sch M 2.2'!I134+'Sch M 2.2'!I148+'Sch M 2.2'!I155</f>
        <v>4737325.1099999994</v>
      </c>
      <c r="H18" s="174">
        <f>'Sch M 2.2'!J70+'Sch M 2.2'!J84+'Sch M 2.2'!J91+'Sch M 2.2'!J98+'Sch M 2.2'!J105+'Sch M 2.2'!J134+'Sch M 2.2'!J148+'Sch M 2.2'!J155</f>
        <v>3667117.0799999996</v>
      </c>
      <c r="I18" s="174">
        <f>'Sch M 2.2'!K70+'Sch M 2.2'!K84+'Sch M 2.2'!K91+'Sch M 2.2'!K98+'Sch M 2.2'!K105+'Sch M 2.2'!K134+'Sch M 2.2'!K148+'Sch M 2.2'!K155</f>
        <v>3164177.9</v>
      </c>
      <c r="J18" s="174">
        <f>'Sch M 2.2'!L70+'Sch M 2.2'!L84+'Sch M 2.2'!L91+'Sch M 2.2'!L98+'Sch M 2.2'!L105+'Sch M 2.2'!L134+'Sch M 2.2'!L148+'Sch M 2.2'!L155</f>
        <v>3194751.3199999994</v>
      </c>
      <c r="K18" s="174">
        <f>'Sch M 2.2'!M70+'Sch M 2.2'!M84+'Sch M 2.2'!M91+'Sch M 2.2'!M98+'Sch M 2.2'!M105+'Sch M 2.2'!M134+'Sch M 2.2'!M148+'Sch M 2.2'!M155</f>
        <v>3296831.0799999996</v>
      </c>
      <c r="L18" s="174">
        <f>'Sch M 2.2'!N70+'Sch M 2.2'!N84+'Sch M 2.2'!N91+'Sch M 2.2'!N98+'Sch M 2.2'!N105+'Sch M 2.2'!N134+'Sch M 2.2'!N148+'Sch M 2.2'!N155</f>
        <v>3881651.7900000005</v>
      </c>
      <c r="M18" s="174">
        <f>'Sch M 2.2'!O70+'Sch M 2.2'!O84+'Sch M 2.2'!O91+'Sch M 2.2'!O98+'Sch M 2.2'!O105+'Sch M 2.2'!O134+'Sch M 2.2'!O148+'Sch M 2.2'!O155</f>
        <v>6103552.1600000001</v>
      </c>
      <c r="N18" s="174">
        <f>'Sch M 2.2'!P70+'Sch M 2.2'!P84+'Sch M 2.2'!P91+'Sch M 2.2'!P98+'Sch M 2.2'!P105+'Sch M 2.2'!P134+'Sch M 2.2'!P148+'Sch M 2.2'!P155</f>
        <v>11011604.370000003</v>
      </c>
      <c r="O18" s="175">
        <f>SUM(C18:N18)</f>
        <v>86457143.650000006</v>
      </c>
    </row>
    <row r="19" spans="1:18" x14ac:dyDescent="0.35">
      <c r="A19" s="74">
        <f>A18+1</f>
        <v>3</v>
      </c>
      <c r="B19" s="154" t="s">
        <v>302</v>
      </c>
      <c r="C19" s="176">
        <f>'Sch M 2.2'!E77+'Sch M 2.2'!E141+'Sch M 2.2'!E162</f>
        <v>5814405.2400000002</v>
      </c>
      <c r="D19" s="176">
        <f>'Sch M 2.2'!F77+'Sch M 2.2'!F141+'Sch M 2.2'!F162</f>
        <v>5611699.5499999998</v>
      </c>
      <c r="E19" s="176">
        <f>'Sch M 2.2'!G77+'Sch M 2.2'!G141+'Sch M 2.2'!G162</f>
        <v>4812188.84</v>
      </c>
      <c r="F19" s="176">
        <f>'Sch M 2.2'!H77+'Sch M 2.2'!H141+'Sch M 2.2'!H162</f>
        <v>2846262.6899999995</v>
      </c>
      <c r="G19" s="176">
        <f>'Sch M 2.2'!I77+'Sch M 2.2'!I141+'Sch M 2.2'!I162</f>
        <v>2021938.09</v>
      </c>
      <c r="H19" s="176">
        <f>'Sch M 2.2'!J77+'Sch M 2.2'!J141+'Sch M 2.2'!J162</f>
        <v>1643802.6500000001</v>
      </c>
      <c r="I19" s="176">
        <f>'Sch M 2.2'!K77+'Sch M 2.2'!K141+'Sch M 2.2'!K162</f>
        <v>1487627.94</v>
      </c>
      <c r="J19" s="176">
        <f>'Sch M 2.2'!L77+'Sch M 2.2'!L141+'Sch M 2.2'!L162</f>
        <v>1418210.08</v>
      </c>
      <c r="K19" s="176">
        <f>'Sch M 2.2'!M77+'Sch M 2.2'!M141+'Sch M 2.2'!M162</f>
        <v>1452060.19</v>
      </c>
      <c r="L19" s="176">
        <f>'Sch M 2.2'!N77+'Sch M 2.2'!N141+'Sch M 2.2'!N162</f>
        <v>1612033.5299999998</v>
      </c>
      <c r="M19" s="176">
        <f>'Sch M 2.2'!O77+'Sch M 2.2'!O141+'Sch M 2.2'!O162</f>
        <v>2442356.9</v>
      </c>
      <c r="N19" s="176">
        <f>'Sch M 2.2'!P77+'Sch M 2.2'!P141+'Sch M 2.2'!P162</f>
        <v>4365175.83</v>
      </c>
      <c r="O19" s="175">
        <f>SUM(C19:N19)</f>
        <v>35527761.530000001</v>
      </c>
    </row>
    <row r="20" spans="1:18" x14ac:dyDescent="0.35">
      <c r="A20" s="74">
        <f>A19+1</f>
        <v>4</v>
      </c>
      <c r="B20" s="154" t="s">
        <v>303</v>
      </c>
      <c r="C20" s="181">
        <f>'Sch M 2.2'!E190+'Sch M 2.2'!E197</f>
        <v>315104.38</v>
      </c>
      <c r="D20" s="181">
        <f>'Sch M 2.2'!F190+'Sch M 2.2'!F197</f>
        <v>300854.96000000002</v>
      </c>
      <c r="E20" s="181">
        <f>'Sch M 2.2'!G190+'Sch M 2.2'!G197</f>
        <v>201858.77000000002</v>
      </c>
      <c r="F20" s="181">
        <f>'Sch M 2.2'!H190+'Sch M 2.2'!H197</f>
        <v>69158.959999999992</v>
      </c>
      <c r="G20" s="181">
        <f>'Sch M 2.2'!I190+'Sch M 2.2'!I197</f>
        <v>68327.17</v>
      </c>
      <c r="H20" s="181">
        <f>'Sch M 2.2'!J190+'Sch M 2.2'!J197</f>
        <v>49612.07</v>
      </c>
      <c r="I20" s="181">
        <f>'Sch M 2.2'!K190+'Sch M 2.2'!K197</f>
        <v>43295.06</v>
      </c>
      <c r="J20" s="181">
        <f>'Sch M 2.2'!L190+'Sch M 2.2'!L197</f>
        <v>55455.28</v>
      </c>
      <c r="K20" s="181">
        <f>'Sch M 2.2'!M190+'Sch M 2.2'!M197</f>
        <v>62138.11</v>
      </c>
      <c r="L20" s="181">
        <f>'Sch M 2.2'!N190+'Sch M 2.2'!N197</f>
        <v>89887.8</v>
      </c>
      <c r="M20" s="181">
        <f>'Sch M 2.2'!O190+'Sch M 2.2'!O197</f>
        <v>181975.04000000001</v>
      </c>
      <c r="N20" s="181">
        <f>'Sch M 2.2'!P190+'Sch M 2.2'!P197</f>
        <v>266433.88</v>
      </c>
      <c r="O20" s="175">
        <f>SUM(C20:N20)</f>
        <v>1704101.4800000004</v>
      </c>
    </row>
    <row r="21" spans="1:18" x14ac:dyDescent="0.35">
      <c r="A21" s="74">
        <f>A20+1</f>
        <v>5</v>
      </c>
      <c r="B21" s="154" t="s">
        <v>304</v>
      </c>
      <c r="C21" s="64">
        <f>'Sch M 2.2'!E204</f>
        <v>12147.650000000001</v>
      </c>
      <c r="D21" s="64">
        <f>'Sch M 2.2'!F204</f>
        <v>10696.54</v>
      </c>
      <c r="E21" s="64">
        <f>'Sch M 2.2'!G204</f>
        <v>11666.13</v>
      </c>
      <c r="F21" s="64">
        <f>'Sch M 2.2'!H204</f>
        <v>5455.5700000000006</v>
      </c>
      <c r="G21" s="64">
        <f>'Sch M 2.2'!I204</f>
        <v>4701.32</v>
      </c>
      <c r="H21" s="64">
        <f>'Sch M 2.2'!J204</f>
        <v>4227.99</v>
      </c>
      <c r="I21" s="64">
        <f>'Sch M 2.2'!K204</f>
        <v>3418</v>
      </c>
      <c r="J21" s="64">
        <f>'Sch M 2.2'!L204</f>
        <v>3608.7400000000002</v>
      </c>
      <c r="K21" s="64">
        <f>'Sch M 2.2'!M204</f>
        <v>3224.5099999999998</v>
      </c>
      <c r="L21" s="64">
        <f>'Sch M 2.2'!N204</f>
        <v>4624.8</v>
      </c>
      <c r="M21" s="64">
        <f>'Sch M 2.2'!O204</f>
        <v>6667.29</v>
      </c>
      <c r="N21" s="64">
        <f>'Sch M 2.2'!P204</f>
        <v>9660.7999999999993</v>
      </c>
      <c r="O21" s="64">
        <f>SUM(C21:N21)</f>
        <v>80099.34</v>
      </c>
      <c r="P21" s="209"/>
    </row>
    <row r="22" spans="1:18" x14ac:dyDescent="0.35">
      <c r="A22" s="74">
        <f>A21+1</f>
        <v>6</v>
      </c>
      <c r="B22" s="154" t="s">
        <v>305</v>
      </c>
      <c r="C22" s="49">
        <f t="shared" ref="C22:O22" si="0">SUM(C18:C21)</f>
        <v>20145063.229999997</v>
      </c>
      <c r="D22" s="49">
        <f t="shared" si="0"/>
        <v>20074005.789999999</v>
      </c>
      <c r="E22" s="49">
        <f t="shared" si="0"/>
        <v>16590657.180000003</v>
      </c>
      <c r="F22" s="49">
        <f t="shared" si="0"/>
        <v>10601905.920000002</v>
      </c>
      <c r="G22" s="49">
        <f t="shared" si="0"/>
        <v>6832291.6899999995</v>
      </c>
      <c r="H22" s="49">
        <f t="shared" si="0"/>
        <v>5364759.79</v>
      </c>
      <c r="I22" s="49">
        <f t="shared" si="0"/>
        <v>4698518.8999999994</v>
      </c>
      <c r="J22" s="49">
        <f t="shared" si="0"/>
        <v>4672025.42</v>
      </c>
      <c r="K22" s="49">
        <f t="shared" si="0"/>
        <v>4814253.8899999997</v>
      </c>
      <c r="L22" s="49">
        <f t="shared" si="0"/>
        <v>5588197.9199999999</v>
      </c>
      <c r="M22" s="49">
        <f t="shared" si="0"/>
        <v>8734551.3899999987</v>
      </c>
      <c r="N22" s="49">
        <f>SUM(N18:N21)</f>
        <v>15652874.880000005</v>
      </c>
      <c r="O22" s="179">
        <f t="shared" si="0"/>
        <v>123769106.00000001</v>
      </c>
    </row>
    <row r="23" spans="1:18" x14ac:dyDescent="0.35">
      <c r="A23" s="74"/>
      <c r="C23" s="180"/>
      <c r="D23" s="180"/>
      <c r="E23" s="180"/>
      <c r="F23" s="180"/>
      <c r="O23" s="63"/>
    </row>
    <row r="24" spans="1:18" x14ac:dyDescent="0.35">
      <c r="A24" s="74">
        <f>A22+1</f>
        <v>7</v>
      </c>
      <c r="B24" s="154" t="s">
        <v>306</v>
      </c>
      <c r="C24" s="181">
        <f>'Sch M 2.2'!E232+'Sch M 2.2'!E239+'Sch M 2.2'!E246+'Sch M 2.2'!E253+'Sch M 2.2'!E260+'Sch M 2.2'!E267+'Sch M 2.2'!E294+'Sch M 2.2'!E301+'Sch M 2.2'!E308+'Sch M 2.2'!E315+'Sch M 2.2'!E322+'Sch M 2.2'!E329+'Sch M 2.2'!E356+'Sch M 2.2'!E363</f>
        <v>2864677.8099999996</v>
      </c>
      <c r="D24" s="181">
        <f>'Sch M 2.2'!F232+'Sch M 2.2'!F239+'Sch M 2.2'!F246+'Sch M 2.2'!F253+'Sch M 2.2'!F260+'Sch M 2.2'!F267+'Sch M 2.2'!F294+'Sch M 2.2'!F301+'Sch M 2.2'!F308+'Sch M 2.2'!F315+'Sch M 2.2'!F322+'Sch M 2.2'!F329+'Sch M 2.2'!F356+'Sch M 2.2'!F363</f>
        <v>2784903.4499999993</v>
      </c>
      <c r="E24" s="181">
        <f>'Sch M 2.2'!G232+'Sch M 2.2'!G239+'Sch M 2.2'!G246+'Sch M 2.2'!G253+'Sch M 2.2'!G260+'Sch M 2.2'!G267+'Sch M 2.2'!G294+'Sch M 2.2'!G301+'Sch M 2.2'!G308+'Sch M 2.2'!G315+'Sch M 2.2'!G322+'Sch M 2.2'!G329+'Sch M 2.2'!G356+'Sch M 2.2'!G363</f>
        <v>2474547.86</v>
      </c>
      <c r="F24" s="181">
        <f>'Sch M 2.2'!H232+'Sch M 2.2'!H239+'Sch M 2.2'!H246+'Sch M 2.2'!H253+'Sch M 2.2'!H260+'Sch M 2.2'!H267+'Sch M 2.2'!H294+'Sch M 2.2'!H301+'Sch M 2.2'!H308+'Sch M 2.2'!H315+'Sch M 2.2'!H322+'Sch M 2.2'!H329+'Sch M 2.2'!H356+'Sch M 2.2'!H363</f>
        <v>1929795.82</v>
      </c>
      <c r="G24" s="181">
        <f>'Sch M 2.2'!I232+'Sch M 2.2'!I239+'Sch M 2.2'!I246+'Sch M 2.2'!I253+'Sch M 2.2'!I260+'Sch M 2.2'!I267+'Sch M 2.2'!I294+'Sch M 2.2'!I301+'Sch M 2.2'!I308+'Sch M 2.2'!I315+'Sch M 2.2'!I322+'Sch M 2.2'!I329+'Sch M 2.2'!I356+'Sch M 2.2'!I363</f>
        <v>1543168.8699999999</v>
      </c>
      <c r="H24" s="181">
        <f>'Sch M 2.2'!J232+'Sch M 2.2'!J239+'Sch M 2.2'!J246+'Sch M 2.2'!J253+'Sch M 2.2'!J260+'Sch M 2.2'!J267+'Sch M 2.2'!J294+'Sch M 2.2'!J301+'Sch M 2.2'!J308+'Sch M 2.2'!J315+'Sch M 2.2'!J322+'Sch M 2.2'!J329+'Sch M 2.2'!J356+'Sch M 2.2'!J363</f>
        <v>1354927.72</v>
      </c>
      <c r="I24" s="181">
        <f>'Sch M 2.2'!K232+'Sch M 2.2'!K239+'Sch M 2.2'!K246+'Sch M 2.2'!K253+'Sch M 2.2'!K260+'Sch M 2.2'!K267+'Sch M 2.2'!K294+'Sch M 2.2'!K301+'Sch M 2.2'!K308+'Sch M 2.2'!K315+'Sch M 2.2'!K322+'Sch M 2.2'!K329+'Sch M 2.2'!K356+'Sch M 2.2'!K363</f>
        <v>1259133.99</v>
      </c>
      <c r="J24" s="181">
        <f>'Sch M 2.2'!L232+'Sch M 2.2'!L239+'Sch M 2.2'!L246+'Sch M 2.2'!L253+'Sch M 2.2'!L260+'Sch M 2.2'!L267+'Sch M 2.2'!L294+'Sch M 2.2'!L301+'Sch M 2.2'!L308+'Sch M 2.2'!L315+'Sch M 2.2'!L322+'Sch M 2.2'!L329+'Sch M 2.2'!L356+'Sch M 2.2'!L363</f>
        <v>1312608.45</v>
      </c>
      <c r="K24" s="181">
        <f>'Sch M 2.2'!M232+'Sch M 2.2'!M239+'Sch M 2.2'!M246+'Sch M 2.2'!M253+'Sch M 2.2'!M260+'Sch M 2.2'!M267+'Sch M 2.2'!M294+'Sch M 2.2'!M301+'Sch M 2.2'!M308+'Sch M 2.2'!M315+'Sch M 2.2'!M322+'Sch M 2.2'!M329+'Sch M 2.2'!M356+'Sch M 2.2'!M363</f>
        <v>1330636.7000000002</v>
      </c>
      <c r="L24" s="181">
        <f>'Sch M 2.2'!N232+'Sch M 2.2'!N239+'Sch M 2.2'!N246+'Sch M 2.2'!N253+'Sch M 2.2'!N260+'Sch M 2.2'!N267+'Sch M 2.2'!N294+'Sch M 2.2'!N301+'Sch M 2.2'!N308+'Sch M 2.2'!N315+'Sch M 2.2'!N322+'Sch M 2.2'!N329+'Sch M 2.2'!N356+'Sch M 2.2'!N363</f>
        <v>1455934.6000000003</v>
      </c>
      <c r="M24" s="181">
        <f>'Sch M 2.2'!O232+'Sch M 2.2'!O239+'Sch M 2.2'!O246+'Sch M 2.2'!O253+'Sch M 2.2'!O260+'Sch M 2.2'!O267+'Sch M 2.2'!O294+'Sch M 2.2'!O301+'Sch M 2.2'!O308+'Sch M 2.2'!O315+'Sch M 2.2'!O322+'Sch M 2.2'!O329+'Sch M 2.2'!O356+'Sch M 2.2'!O363</f>
        <v>1813185.7399999995</v>
      </c>
      <c r="N24" s="181">
        <f>'Sch M 2.2'!P232+'Sch M 2.2'!P239+'Sch M 2.2'!P246+'Sch M 2.2'!P253+'Sch M 2.2'!P260+'Sch M 2.2'!P267+'Sch M 2.2'!P294+'Sch M 2.2'!P301+'Sch M 2.2'!P308+'Sch M 2.2'!P315+'Sch M 2.2'!P322+'Sch M 2.2'!P329+'Sch M 2.2'!P356+'Sch M 2.2'!P363</f>
        <v>2401581.9400000004</v>
      </c>
      <c r="O24" s="177">
        <f>SUM(C24:N24)</f>
        <v>22525102.949999999</v>
      </c>
    </row>
    <row r="25" spans="1:18" x14ac:dyDescent="0.35">
      <c r="A25" s="74">
        <f>A24+1</f>
        <v>8</v>
      </c>
      <c r="B25" s="154" t="s">
        <v>307</v>
      </c>
      <c r="C25" s="64">
        <f>'Sch M 2.2'!E375</f>
        <v>110318.20999999999</v>
      </c>
      <c r="D25" s="64">
        <f>'Sch M 2.2'!F375</f>
        <v>194201.94333333333</v>
      </c>
      <c r="E25" s="64">
        <f>'Sch M 2.2'!G375</f>
        <v>124741.90000000002</v>
      </c>
      <c r="F25" s="64">
        <f>'Sch M 2.2'!H375</f>
        <v>80553.956666666665</v>
      </c>
      <c r="G25" s="64">
        <f>'Sch M 2.2'!I375</f>
        <v>62435.399999999994</v>
      </c>
      <c r="H25" s="64">
        <f>'Sch M 2.2'!J375</f>
        <v>49465.01</v>
      </c>
      <c r="I25" s="64">
        <f>'Sch M 2.2'!K375</f>
        <v>57765.133333333331</v>
      </c>
      <c r="J25" s="64">
        <f>'Sch M 2.2'!L375</f>
        <v>48124.903333333328</v>
      </c>
      <c r="K25" s="64">
        <f>'Sch M 2.2'!M375</f>
        <v>104327.27666666666</v>
      </c>
      <c r="L25" s="64">
        <f>'Sch M 2.2'!N375</f>
        <v>184659.93</v>
      </c>
      <c r="M25" s="64">
        <f>'Sch M 2.2'!O375</f>
        <v>66738.143333333341</v>
      </c>
      <c r="N25" s="64">
        <f>'Sch M 2.2'!P375</f>
        <v>144221.61333333334</v>
      </c>
      <c r="O25" s="358">
        <f>SUM(C25:N25)</f>
        <v>1227553.42</v>
      </c>
    </row>
    <row r="26" spans="1:18" x14ac:dyDescent="0.35">
      <c r="A26" s="74"/>
      <c r="O26" s="182"/>
      <c r="Q26" s="811"/>
      <c r="R26" s="811"/>
    </row>
    <row r="27" spans="1:18" x14ac:dyDescent="0.35">
      <c r="A27" s="74">
        <f>A25+1</f>
        <v>9</v>
      </c>
      <c r="B27" s="154" t="s">
        <v>308</v>
      </c>
      <c r="C27" s="49">
        <f t="shared" ref="C27:M27" si="1">C22+C24+C25</f>
        <v>23120059.249999996</v>
      </c>
      <c r="D27" s="49">
        <f t="shared" si="1"/>
        <v>23053111.18333333</v>
      </c>
      <c r="E27" s="49">
        <f t="shared" si="1"/>
        <v>19189946.940000001</v>
      </c>
      <c r="F27" s="49">
        <f t="shared" si="1"/>
        <v>12612255.696666669</v>
      </c>
      <c r="G27" s="49">
        <f t="shared" si="1"/>
        <v>8437895.959999999</v>
      </c>
      <c r="H27" s="49">
        <f t="shared" si="1"/>
        <v>6769152.5199999996</v>
      </c>
      <c r="I27" s="49">
        <f t="shared" si="1"/>
        <v>6015418.0233333334</v>
      </c>
      <c r="J27" s="49">
        <f t="shared" si="1"/>
        <v>6032758.7733333334</v>
      </c>
      <c r="K27" s="49">
        <f t="shared" si="1"/>
        <v>6249217.8666666662</v>
      </c>
      <c r="L27" s="49">
        <f t="shared" si="1"/>
        <v>7228792.4500000002</v>
      </c>
      <c r="M27" s="49">
        <f t="shared" si="1"/>
        <v>10614475.273333332</v>
      </c>
      <c r="N27" s="49">
        <f>N22+N24+N25</f>
        <v>18198678.433333337</v>
      </c>
      <c r="O27" s="177">
        <f>SUM(C27:N27)</f>
        <v>147521762.37</v>
      </c>
      <c r="Q27" s="790"/>
      <c r="R27" s="791"/>
    </row>
    <row r="28" spans="1:18" ht="18.5" x14ac:dyDescent="0.65">
      <c r="A28" s="74">
        <f>A27+1</f>
        <v>10</v>
      </c>
      <c r="B28" s="154" t="s">
        <v>148</v>
      </c>
      <c r="C28" s="361">
        <f>'Sch M 2.2'!E69+'Sch M 2.2'!E76+'Sch M 2.2'!E83+'Sch M 2.2'!E90+'Sch M 2.2'!E97+'Sch M 2.2'!E104+'Sch M 2.2'!E133+'Sch M 2.2'!E140+'Sch M 2.2'!E147+'Sch M 2.2'!E154+'Sch M 2.2'!E161+'Sch M 2.2'!E189+'Sch M 2.2'!E196+'Sch M 2.2'!E203</f>
        <v>9947919.959999999</v>
      </c>
      <c r="D28" s="361">
        <f>'Sch M 2.2'!F69+'Sch M 2.2'!F76+'Sch M 2.2'!F83+'Sch M 2.2'!F90+'Sch M 2.2'!F97+'Sch M 2.2'!F104+'Sch M 2.2'!F133+'Sch M 2.2'!F140+'Sch M 2.2'!F147+'Sch M 2.2'!F154+'Sch M 2.2'!F161+'Sch M 2.2'!F189+'Sch M 2.2'!F196+'Sch M 2.2'!F203</f>
        <v>9876423.7200000007</v>
      </c>
      <c r="E28" s="361">
        <f>'Sch M 2.2'!G69+'Sch M 2.2'!G76+'Sch M 2.2'!G83+'Sch M 2.2'!G90+'Sch M 2.2'!G97+'Sch M 2.2'!G104+'Sch M 2.2'!G133+'Sch M 2.2'!G140+'Sch M 2.2'!G147+'Sch M 2.2'!G154+'Sch M 2.2'!G161+'Sch M 2.2'!G189+'Sch M 2.2'!G196+'Sch M 2.2'!G203</f>
        <v>7814590.29</v>
      </c>
      <c r="F28" s="361">
        <f>'Sch M 2.2'!H69+'Sch M 2.2'!H76+'Sch M 2.2'!H83+'Sch M 2.2'!H90+'Sch M 2.2'!H97+'Sch M 2.2'!H104+'Sch M 2.2'!H133+'Sch M 2.2'!H140+'Sch M 2.2'!H147+'Sch M 2.2'!H154+'Sch M 2.2'!H161+'Sch M 2.2'!H189+'Sch M 2.2'!H196+'Sch M 2.2'!H203</f>
        <v>4254207.2699999996</v>
      </c>
      <c r="G28" s="361">
        <f>'Sch M 2.2'!I69+'Sch M 2.2'!I76+'Sch M 2.2'!I83+'Sch M 2.2'!I90+'Sch M 2.2'!I97+'Sch M 2.2'!I104+'Sch M 2.2'!I133+'Sch M 2.2'!I140+'Sch M 2.2'!I147+'Sch M 2.2'!I154+'Sch M 2.2'!I161+'Sch M 2.2'!I189+'Sch M 2.2'!I196+'Sch M 2.2'!I203</f>
        <v>2060219.4400000002</v>
      </c>
      <c r="H28" s="361">
        <f>'Sch M 2.2'!J69+'Sch M 2.2'!J76+'Sch M 2.2'!J83+'Sch M 2.2'!J90+'Sch M 2.2'!J97+'Sch M 2.2'!J104+'Sch M 2.2'!J133+'Sch M 2.2'!J140+'Sch M 2.2'!J147+'Sch M 2.2'!J154+'Sch M 2.2'!J161+'Sch M 2.2'!J189+'Sch M 2.2'!J196+'Sch M 2.2'!J203</f>
        <v>1216667.3199999998</v>
      </c>
      <c r="I28" s="361">
        <f>'Sch M 2.2'!K69+'Sch M 2.2'!K76+'Sch M 2.2'!K83+'Sch M 2.2'!K90+'Sch M 2.2'!K97+'Sch M 2.2'!K104+'Sch M 2.2'!K133+'Sch M 2.2'!K140+'Sch M 2.2'!K147+'Sch M 2.2'!K154+'Sch M 2.2'!K161+'Sch M 2.2'!K189+'Sch M 2.2'!K196+'Sch M 2.2'!K203</f>
        <v>832536.78</v>
      </c>
      <c r="J28" s="361">
        <f>'Sch M 2.2'!L69+'Sch M 2.2'!L76+'Sch M 2.2'!L83+'Sch M 2.2'!L90+'Sch M 2.2'!L97+'Sch M 2.2'!L104+'Sch M 2.2'!L133+'Sch M 2.2'!L140+'Sch M 2.2'!L147+'Sch M 2.2'!L154+'Sch M 2.2'!L161+'Sch M 2.2'!L189+'Sch M 2.2'!L196+'Sch M 2.2'!L203</f>
        <v>817096.7300000001</v>
      </c>
      <c r="K28" s="361">
        <f>'Sch M 2.2'!M69+'Sch M 2.2'!M76+'Sch M 2.2'!M83+'Sch M 2.2'!M90+'Sch M 2.2'!M97+'Sch M 2.2'!M104+'Sch M 2.2'!M133+'Sch M 2.2'!M140+'Sch M 2.2'!M147+'Sch M 2.2'!M154+'Sch M 2.2'!M161+'Sch M 2.2'!M189+'Sch M 2.2'!M196+'Sch M 2.2'!M203</f>
        <v>907222.3899999999</v>
      </c>
      <c r="L28" s="361">
        <f>'Sch M 2.2'!N69+'Sch M 2.2'!N76+'Sch M 2.2'!N83+'Sch M 2.2'!N90+'Sch M 2.2'!N97+'Sch M 2.2'!N104+'Sch M 2.2'!N133+'Sch M 2.2'!N140+'Sch M 2.2'!N147+'Sch M 2.2'!N154+'Sch M 2.2'!N161+'Sch M 2.2'!N189+'Sch M 2.2'!N196+'Sch M 2.2'!N203</f>
        <v>1357773.8800000001</v>
      </c>
      <c r="M28" s="361">
        <f>'Sch M 2.2'!O69+'Sch M 2.2'!O76+'Sch M 2.2'!O83+'Sch M 2.2'!O90+'Sch M 2.2'!O97+'Sch M 2.2'!O104+'Sch M 2.2'!O133+'Sch M 2.2'!O140+'Sch M 2.2'!O147+'Sch M 2.2'!O154+'Sch M 2.2'!O161+'Sch M 2.2'!O189+'Sch M 2.2'!O196+'Sch M 2.2'!O203</f>
        <v>3187224.3799999994</v>
      </c>
      <c r="N28" s="361">
        <f>'Sch M 2.2'!P69+'Sch M 2.2'!P76+'Sch M 2.2'!P83+'Sch M 2.2'!P90+'Sch M 2.2'!P97+'Sch M 2.2'!P104+'Sch M 2.2'!P133+'Sch M 2.2'!P140+'Sch M 2.2'!P147+'Sch M 2.2'!P154+'Sch M 2.2'!P161+'Sch M 2.2'!P189+'Sch M 2.2'!P196+'Sch M 2.2'!P203</f>
        <v>7249845.21</v>
      </c>
      <c r="O28" s="360">
        <f>SUM(C28:N28)</f>
        <v>49521727.370000005</v>
      </c>
      <c r="R28" s="113"/>
    </row>
    <row r="29" spans="1:18" x14ac:dyDescent="0.35">
      <c r="A29" s="74"/>
      <c r="B29" s="154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60"/>
    </row>
    <row r="30" spans="1:18" x14ac:dyDescent="0.35">
      <c r="A30" s="129">
        <f>A28+1</f>
        <v>11</v>
      </c>
      <c r="B30" s="135" t="s">
        <v>309</v>
      </c>
      <c r="C30" s="359">
        <f t="shared" ref="C30:O30" si="2">C27-C28</f>
        <v>13172139.289999997</v>
      </c>
      <c r="D30" s="359">
        <f t="shared" si="2"/>
        <v>13176687.463333329</v>
      </c>
      <c r="E30" s="359">
        <f t="shared" si="2"/>
        <v>11375356.650000002</v>
      </c>
      <c r="F30" s="359">
        <f t="shared" si="2"/>
        <v>8358048.4266666695</v>
      </c>
      <c r="G30" s="359">
        <f t="shared" si="2"/>
        <v>6377676.5199999986</v>
      </c>
      <c r="H30" s="359">
        <f t="shared" si="2"/>
        <v>5552485.1999999993</v>
      </c>
      <c r="I30" s="359">
        <f t="shared" si="2"/>
        <v>5182881.2433333332</v>
      </c>
      <c r="J30" s="359">
        <f t="shared" si="2"/>
        <v>5215662.043333333</v>
      </c>
      <c r="K30" s="359">
        <f t="shared" si="2"/>
        <v>5341995.4766666666</v>
      </c>
      <c r="L30" s="359">
        <f t="shared" si="2"/>
        <v>5871018.5700000003</v>
      </c>
      <c r="M30" s="359">
        <f t="shared" si="2"/>
        <v>7427250.8933333326</v>
      </c>
      <c r="N30" s="359">
        <f t="shared" si="2"/>
        <v>10948833.223333336</v>
      </c>
      <c r="O30" s="359">
        <f t="shared" si="2"/>
        <v>98000035</v>
      </c>
      <c r="R30" s="670"/>
    </row>
    <row r="31" spans="1:18" x14ac:dyDescent="0.35">
      <c r="A31" s="74"/>
      <c r="B31" s="154"/>
      <c r="C31" s="185"/>
      <c r="D31" s="185"/>
      <c r="E31" s="185"/>
      <c r="F31" s="185"/>
      <c r="G31" s="186"/>
      <c r="H31" s="187"/>
      <c r="I31" s="185"/>
      <c r="J31" s="185"/>
      <c r="K31" s="185"/>
      <c r="L31" s="185"/>
      <c r="M31" s="185"/>
      <c r="N31" s="185"/>
      <c r="O31" s="69"/>
      <c r="R31" s="670"/>
    </row>
    <row r="32" spans="1:18" x14ac:dyDescent="0.35">
      <c r="A32" s="74"/>
      <c r="B32" s="154"/>
      <c r="C32" s="185"/>
      <c r="D32" s="185"/>
      <c r="E32" s="185"/>
      <c r="F32" s="185"/>
      <c r="G32" s="186"/>
      <c r="H32" s="187"/>
      <c r="I32" s="185"/>
      <c r="J32" s="185"/>
      <c r="K32" s="185"/>
      <c r="L32" s="185"/>
      <c r="M32" s="185"/>
      <c r="N32" s="185"/>
      <c r="O32" s="69"/>
    </row>
    <row r="33" spans="1:18" x14ac:dyDescent="0.35">
      <c r="A33" s="74">
        <f>A30+1</f>
        <v>12</v>
      </c>
      <c r="B33" s="154" t="s">
        <v>365</v>
      </c>
      <c r="C33" s="106"/>
      <c r="D33" s="106"/>
      <c r="E33" s="106"/>
      <c r="F33" s="106"/>
      <c r="G33" s="106"/>
      <c r="I33" s="188"/>
      <c r="J33" s="188"/>
      <c r="K33" s="188"/>
      <c r="L33" s="188"/>
      <c r="M33" s="188"/>
      <c r="N33" s="188"/>
      <c r="O33" s="164"/>
      <c r="P33" s="729"/>
    </row>
    <row r="34" spans="1:18" x14ac:dyDescent="0.35">
      <c r="A34" s="74"/>
      <c r="B34" s="154"/>
      <c r="C34" s="188"/>
      <c r="D34" s="178"/>
      <c r="E34" s="188"/>
      <c r="F34" s="188"/>
      <c r="G34" s="180"/>
      <c r="H34" s="180"/>
      <c r="I34" s="188"/>
      <c r="J34" s="188"/>
      <c r="K34" s="188"/>
      <c r="L34" s="188"/>
      <c r="M34" s="188"/>
      <c r="N34" s="188"/>
      <c r="O34" s="164"/>
      <c r="P34" s="729"/>
      <c r="Q34" s="729"/>
      <c r="R34" s="729"/>
    </row>
    <row r="35" spans="1:18" x14ac:dyDescent="0.35">
      <c r="A35" s="74">
        <f>A33+1</f>
        <v>13</v>
      </c>
      <c r="B35" s="162" t="s">
        <v>301</v>
      </c>
      <c r="C35" s="181">
        <f>'Sch M 2.2'!E67+'Sch M 2.2'!E81+'Sch M 2.2'!E88+'Sch M 2.2'!E95+'Sch M 2.2'!E102+'Sch M 2.2'!E131+'Sch M 2.2'!E145+'Sch M 2.2'!E152</f>
        <v>1484733.9999999998</v>
      </c>
      <c r="D35" s="181">
        <f>'Sch M 2.2'!F67+'Sch M 2.2'!F81+'Sch M 2.2'!F88+'Sch M 2.2'!F95+'Sch M 2.2'!F102+'Sch M 2.2'!F131+'Sch M 2.2'!F145+'Sch M 2.2'!F152</f>
        <v>1503002.6</v>
      </c>
      <c r="E35" s="181">
        <f>'Sch M 2.2'!G67+'Sch M 2.2'!G81+'Sch M 2.2'!G88+'Sch M 2.2'!G95+'Sch M 2.2'!G102+'Sch M 2.2'!G131+'Sch M 2.2'!G145+'Sch M 2.2'!G152</f>
        <v>1166691.1000000001</v>
      </c>
      <c r="F35" s="181">
        <f>'Sch M 2.2'!H67+'Sch M 2.2'!H81+'Sch M 2.2'!H88+'Sch M 2.2'!H95+'Sch M 2.2'!H102+'Sch M 2.2'!H131+'Sch M 2.2'!H145+'Sch M 2.2'!H152</f>
        <v>665313.49999999988</v>
      </c>
      <c r="G35" s="181">
        <f>'Sch M 2.2'!I67+'Sch M 2.2'!I81+'Sch M 2.2'!I88+'Sch M 2.2'!I95+'Sch M 2.2'!I102+'Sch M 2.2'!I131+'Sch M 2.2'!I145+'Sch M 2.2'!I152</f>
        <v>285090.89999999997</v>
      </c>
      <c r="H35" s="181">
        <f>'Sch M 2.2'!J67+'Sch M 2.2'!J81+'Sch M 2.2'!J88+'Sch M 2.2'!J95+'Sch M 2.2'!J102+'Sch M 2.2'!J131+'Sch M 2.2'!J145+'Sch M 2.2'!J152</f>
        <v>148204.29999999999</v>
      </c>
      <c r="I35" s="181">
        <f>'Sch M 2.2'!K67+'Sch M 2.2'!K81+'Sch M 2.2'!K88+'Sch M 2.2'!K95+'Sch M 2.2'!K102+'Sch M 2.2'!K131+'Sch M 2.2'!K145+'Sch M 2.2'!K152</f>
        <v>83409.799999999988</v>
      </c>
      <c r="J35" s="181">
        <f>'Sch M 2.2'!L67+'Sch M 2.2'!L81+'Sch M 2.2'!L88+'Sch M 2.2'!L95+'Sch M 2.2'!L102+'Sch M 2.2'!L131+'Sch M 2.2'!L145+'Sch M 2.2'!L152</f>
        <v>87653.699999999983</v>
      </c>
      <c r="K35" s="181">
        <f>'Sch M 2.2'!M67+'Sch M 2.2'!M81+'Sch M 2.2'!M88+'Sch M 2.2'!M95+'Sch M 2.2'!M102+'Sch M 2.2'!M131+'Sch M 2.2'!M145+'Sch M 2.2'!M152</f>
        <v>102271</v>
      </c>
      <c r="L35" s="181">
        <f>'Sch M 2.2'!N67+'Sch M 2.2'!N81+'Sch M 2.2'!N88+'Sch M 2.2'!N95+'Sch M 2.2'!N102+'Sch M 2.2'!N131+'Sch M 2.2'!N145+'Sch M 2.2'!N152</f>
        <v>177788.40000000002</v>
      </c>
      <c r="M35" s="181">
        <f>'Sch M 2.2'!O67+'Sch M 2.2'!O81+'Sch M 2.2'!O88+'Sch M 2.2'!O95+'Sch M 2.2'!O102+'Sch M 2.2'!O131+'Sch M 2.2'!O145+'Sch M 2.2'!O152</f>
        <v>461844.59999999992</v>
      </c>
      <c r="N35" s="181">
        <f>'Sch M 2.2'!P67+'Sch M 2.2'!P81+'Sch M 2.2'!P88+'Sch M 2.2'!P95+'Sch M 2.2'!P102+'Sch M 2.2'!P131+'Sch M 2.2'!P145+'Sch M 2.2'!P152</f>
        <v>1094130.5999999996</v>
      </c>
      <c r="O35" s="176">
        <f>SUM(C35:N35)</f>
        <v>7260134.4999999991</v>
      </c>
      <c r="P35" s="56"/>
      <c r="Q35" s="56"/>
      <c r="R35" s="56"/>
    </row>
    <row r="36" spans="1:18" x14ac:dyDescent="0.35">
      <c r="A36" s="74">
        <f>A35+1</f>
        <v>14</v>
      </c>
      <c r="B36" s="154" t="s">
        <v>302</v>
      </c>
      <c r="C36" s="181">
        <f>'Sch M 2.2'!E74+'Sch M 2.2'!E138+'Sch M 2.2'!E159</f>
        <v>733043</v>
      </c>
      <c r="D36" s="181">
        <f>'Sch M 2.2'!F74+'Sch M 2.2'!F138+'Sch M 2.2'!F159</f>
        <v>700984.00000000012</v>
      </c>
      <c r="E36" s="181">
        <f>'Sch M 2.2'!G74+'Sch M 2.2'!G138+'Sch M 2.2'!G159</f>
        <v>582736.80000000005</v>
      </c>
      <c r="F36" s="181">
        <f>'Sch M 2.2'!H74+'Sch M 2.2'!H138+'Sch M 2.2'!H159</f>
        <v>294143</v>
      </c>
      <c r="G36" s="181">
        <f>'Sch M 2.2'!I74+'Sch M 2.2'!I138+'Sch M 2.2'!I159</f>
        <v>174296.9</v>
      </c>
      <c r="H36" s="181">
        <f>'Sch M 2.2'!J74+'Sch M 2.2'!J138+'Sch M 2.2'!J159</f>
        <v>121730.50000000001</v>
      </c>
      <c r="I36" s="181">
        <f>'Sch M 2.2'!K74+'Sch M 2.2'!K138+'Sch M 2.2'!K159</f>
        <v>100026.30000000002</v>
      </c>
      <c r="J36" s="181">
        <f>'Sch M 2.2'!L74+'Sch M 2.2'!L138+'Sch M 2.2'!L159</f>
        <v>90381.5</v>
      </c>
      <c r="K36" s="181">
        <f>'Sch M 2.2'!M74+'Sch M 2.2'!M138+'Sch M 2.2'!M159</f>
        <v>95393.799999999988</v>
      </c>
      <c r="L36" s="181">
        <f>'Sch M 2.2'!N74+'Sch M 2.2'!N138+'Sch M 2.2'!N159</f>
        <v>118125.7</v>
      </c>
      <c r="M36" s="181">
        <f>'Sch M 2.2'!O74+'Sch M 2.2'!O138+'Sch M 2.2'!O159</f>
        <v>236468.69999999995</v>
      </c>
      <c r="N36" s="181">
        <f>'Sch M 2.2'!P74+'Sch M 2.2'!P138+'Sch M 2.2'!P159</f>
        <v>516678.9</v>
      </c>
      <c r="O36" s="176">
        <f>SUM(C36:N36)</f>
        <v>3764009.0999999992</v>
      </c>
      <c r="P36" s="729"/>
      <c r="Q36" s="729"/>
      <c r="R36" s="729"/>
    </row>
    <row r="37" spans="1:18" x14ac:dyDescent="0.35">
      <c r="A37" s="74">
        <f>A36+1</f>
        <v>15</v>
      </c>
      <c r="B37" s="154" t="s">
        <v>303</v>
      </c>
      <c r="C37" s="181">
        <f>'Sch M 2.2'!E187+'Sch M 2.2'!E194</f>
        <v>48458.8</v>
      </c>
      <c r="D37" s="181">
        <f>'Sch M 2.2'!F187+'Sch M 2.2'!F194</f>
        <v>46186.400000000001</v>
      </c>
      <c r="E37" s="181">
        <f>'Sch M 2.2'!G187+'Sch M 2.2'!G194</f>
        <v>30488.199999999997</v>
      </c>
      <c r="F37" s="181">
        <f>'Sch M 2.2'!H187+'Sch M 2.2'!H194</f>
        <v>9871.6</v>
      </c>
      <c r="G37" s="181">
        <f>'Sch M 2.2'!I187+'Sch M 2.2'!I194</f>
        <v>9771.9</v>
      </c>
      <c r="H37" s="181">
        <f>'Sch M 2.2'!J187+'Sch M 2.2'!J194</f>
        <v>6949.4</v>
      </c>
      <c r="I37" s="181">
        <f>'Sch M 2.2'!K187+'Sch M 2.2'!K194</f>
        <v>6025.1</v>
      </c>
      <c r="J37" s="181">
        <f>'Sch M 2.2'!L187+'Sch M 2.2'!L194</f>
        <v>7880.1</v>
      </c>
      <c r="K37" s="181">
        <f>'Sch M 2.2'!M187+'Sch M 2.2'!M194</f>
        <v>8890.2999999999993</v>
      </c>
      <c r="L37" s="181">
        <f>'Sch M 2.2'!N187+'Sch M 2.2'!N194</f>
        <v>13143.4</v>
      </c>
      <c r="M37" s="181">
        <f>'Sch M 2.2'!O187+'Sch M 2.2'!O194</f>
        <v>27525.699999999997</v>
      </c>
      <c r="N37" s="181">
        <f>'Sch M 2.2'!P187+'Sch M 2.2'!P194</f>
        <v>40778.5</v>
      </c>
      <c r="O37" s="176">
        <f>SUM(C37:N37)</f>
        <v>255969.39999999997</v>
      </c>
      <c r="P37" s="87"/>
    </row>
    <row r="38" spans="1:18" x14ac:dyDescent="0.35">
      <c r="A38" s="74">
        <f>A37+1</f>
        <v>16</v>
      </c>
      <c r="B38" s="154" t="s">
        <v>304</v>
      </c>
      <c r="C38" s="189">
        <f>'Sch M 2.2'!E201</f>
        <v>1938.9</v>
      </c>
      <c r="D38" s="189">
        <f>'Sch M 2.2'!F201</f>
        <v>1673.4</v>
      </c>
      <c r="E38" s="189">
        <f>'Sch M 2.2'!G201</f>
        <v>1850.8</v>
      </c>
      <c r="F38" s="189">
        <f>'Sch M 2.2'!H201</f>
        <v>714.5</v>
      </c>
      <c r="G38" s="189">
        <f>'Sch M 2.2'!I201</f>
        <v>576.5</v>
      </c>
      <c r="H38" s="189">
        <f>'Sch M 2.2'!J201</f>
        <v>489.9</v>
      </c>
      <c r="I38" s="189">
        <f>'Sch M 2.2'!K201</f>
        <v>341.7</v>
      </c>
      <c r="J38" s="189">
        <f>'Sch M 2.2'!L201</f>
        <v>376.6</v>
      </c>
      <c r="K38" s="189">
        <f>'Sch M 2.2'!M201</f>
        <v>306.3</v>
      </c>
      <c r="L38" s="189">
        <f>'Sch M 2.2'!N201</f>
        <v>562.5</v>
      </c>
      <c r="M38" s="189">
        <f>'Sch M 2.2'!O201</f>
        <v>936.2</v>
      </c>
      <c r="N38" s="189">
        <f>'Sch M 2.2'!P201</f>
        <v>1483.9</v>
      </c>
      <c r="O38" s="189">
        <f>SUM(C38:N38)</f>
        <v>11251.2</v>
      </c>
      <c r="P38" s="114"/>
      <c r="Q38" s="114"/>
    </row>
    <row r="39" spans="1:18" x14ac:dyDescent="0.35">
      <c r="A39" s="74">
        <f>A38+1</f>
        <v>17</v>
      </c>
      <c r="B39" s="154" t="s">
        <v>305</v>
      </c>
      <c r="C39" s="181">
        <f t="shared" ref="C39:M39" si="3">SUM(C35:C38)</f>
        <v>2268174.6999999997</v>
      </c>
      <c r="D39" s="181">
        <f t="shared" si="3"/>
        <v>2251846.4</v>
      </c>
      <c r="E39" s="181">
        <f t="shared" si="3"/>
        <v>1781766.9000000001</v>
      </c>
      <c r="F39" s="181">
        <f t="shared" si="3"/>
        <v>970042.59999999986</v>
      </c>
      <c r="G39" s="181">
        <f t="shared" si="3"/>
        <v>469736.19999999995</v>
      </c>
      <c r="H39" s="181">
        <f t="shared" si="3"/>
        <v>277374.10000000003</v>
      </c>
      <c r="I39" s="181">
        <f t="shared" si="3"/>
        <v>189802.90000000002</v>
      </c>
      <c r="J39" s="181">
        <f t="shared" si="3"/>
        <v>186291.9</v>
      </c>
      <c r="K39" s="181">
        <f t="shared" si="3"/>
        <v>206861.39999999997</v>
      </c>
      <c r="L39" s="181">
        <f t="shared" si="3"/>
        <v>309620.00000000006</v>
      </c>
      <c r="M39" s="181">
        <f t="shared" si="3"/>
        <v>726775.19999999972</v>
      </c>
      <c r="N39" s="181">
        <f>SUM(N35:N38)</f>
        <v>1653071.8999999994</v>
      </c>
      <c r="O39" s="181">
        <f>SUM(O35:O38)</f>
        <v>11291364.199999997</v>
      </c>
    </row>
    <row r="40" spans="1:18" x14ac:dyDescent="0.35">
      <c r="A40" s="74"/>
      <c r="B40" s="154"/>
      <c r="C40" s="178"/>
      <c r="D40" s="178"/>
      <c r="E40" s="178"/>
      <c r="F40" s="178"/>
      <c r="G40" s="180"/>
    </row>
    <row r="41" spans="1:18" x14ac:dyDescent="0.35">
      <c r="A41" s="74">
        <f>A39+1</f>
        <v>18</v>
      </c>
      <c r="B41" s="154" t="s">
        <v>306</v>
      </c>
      <c r="C41" s="181">
        <f>'Sch M 2.2'!E229+'Sch M 2.2'!E236+'Sch M 2.2'!E243+'Sch M 2.2'!E250+'Sch M 2.2'!E257+'Sch M 2.2'!E264+'Sch M 2.2'!E291+'Sch M 2.2'!E298+'Sch M 2.2'!E305+'Sch M 2.2'!E312+'Sch M 2.2'!E319+'Sch M 2.2'!E326+'Sch M 2.2'!E353+'Sch M 2.2'!E360</f>
        <v>2339232.7999999998</v>
      </c>
      <c r="D41" s="181">
        <f>'Sch M 2.2'!F229+'Sch M 2.2'!F236+'Sch M 2.2'!F243+'Sch M 2.2'!F250+'Sch M 2.2'!F257+'Sch M 2.2'!F264+'Sch M 2.2'!F291+'Sch M 2.2'!F298+'Sch M 2.2'!F305+'Sch M 2.2'!F312+'Sch M 2.2'!F319+'Sch M 2.2'!F326+'Sch M 2.2'!F353+'Sch M 2.2'!F360</f>
        <v>2091281.1</v>
      </c>
      <c r="E41" s="181">
        <f>'Sch M 2.2'!G229+'Sch M 2.2'!G236+'Sch M 2.2'!G243+'Sch M 2.2'!G250+'Sch M 2.2'!G257+'Sch M 2.2'!G264+'Sch M 2.2'!G291+'Sch M 2.2'!G298+'Sch M 2.2'!G305+'Sch M 2.2'!G312+'Sch M 2.2'!G319+'Sch M 2.2'!G326+'Sch M 2.2'!G353+'Sch M 2.2'!G360</f>
        <v>1996731.3</v>
      </c>
      <c r="F41" s="181">
        <f>'Sch M 2.2'!H229+'Sch M 2.2'!H236+'Sch M 2.2'!H243+'Sch M 2.2'!H250+'Sch M 2.2'!H257+'Sch M 2.2'!H264+'Sch M 2.2'!H291+'Sch M 2.2'!H298+'Sch M 2.2'!H305+'Sch M 2.2'!H312+'Sch M 2.2'!H319+'Sch M 2.2'!H326+'Sch M 2.2'!H353+'Sch M 2.2'!H360</f>
        <v>1573935.2999999998</v>
      </c>
      <c r="G41" s="181">
        <f>'Sch M 2.2'!I229+'Sch M 2.2'!I236+'Sch M 2.2'!I243+'Sch M 2.2'!I250+'Sch M 2.2'!I257+'Sch M 2.2'!I264+'Sch M 2.2'!I291+'Sch M 2.2'!I298+'Sch M 2.2'!I305+'Sch M 2.2'!I312+'Sch M 2.2'!I319+'Sch M 2.2'!I326+'Sch M 2.2'!I353+'Sch M 2.2'!I360</f>
        <v>1226545.8</v>
      </c>
      <c r="H41" s="181">
        <f>'Sch M 2.2'!J229+'Sch M 2.2'!J236+'Sch M 2.2'!J243+'Sch M 2.2'!J250+'Sch M 2.2'!J257+'Sch M 2.2'!J264+'Sch M 2.2'!J291+'Sch M 2.2'!J298+'Sch M 2.2'!J305+'Sch M 2.2'!J312+'Sch M 2.2'!J319+'Sch M 2.2'!J326+'Sch M 2.2'!J353+'Sch M 2.2'!J360</f>
        <v>1064967.4000000001</v>
      </c>
      <c r="I41" s="181">
        <f>'Sch M 2.2'!K229+'Sch M 2.2'!K236+'Sch M 2.2'!K243+'Sch M 2.2'!K250+'Sch M 2.2'!K257+'Sch M 2.2'!K264+'Sch M 2.2'!K291+'Sch M 2.2'!K298+'Sch M 2.2'!K305+'Sch M 2.2'!K312+'Sch M 2.2'!K319+'Sch M 2.2'!K326+'Sch M 2.2'!K353+'Sch M 2.2'!K360</f>
        <v>1009219.9</v>
      </c>
      <c r="J41" s="181">
        <f>'Sch M 2.2'!L229+'Sch M 2.2'!L236+'Sch M 2.2'!L243+'Sch M 2.2'!L250+'Sch M 2.2'!L257+'Sch M 2.2'!L264+'Sch M 2.2'!L291+'Sch M 2.2'!L298+'Sch M 2.2'!L305+'Sch M 2.2'!L312+'Sch M 2.2'!L319+'Sch M 2.2'!L326+'Sch M 2.2'!L353+'Sch M 2.2'!L360</f>
        <v>1131965.7</v>
      </c>
      <c r="K41" s="181">
        <f>'Sch M 2.2'!M229+'Sch M 2.2'!M236+'Sch M 2.2'!M243+'Sch M 2.2'!M250+'Sch M 2.2'!M257+'Sch M 2.2'!M264+'Sch M 2.2'!M291+'Sch M 2.2'!M298+'Sch M 2.2'!M305+'Sch M 2.2'!M312+'Sch M 2.2'!M319+'Sch M 2.2'!M326+'Sch M 2.2'!M353+'Sch M 2.2'!M360</f>
        <v>1203775.7000000002</v>
      </c>
      <c r="L41" s="181">
        <f>'Sch M 2.2'!N229+'Sch M 2.2'!N236+'Sch M 2.2'!N243+'Sch M 2.2'!N250+'Sch M 2.2'!N257+'Sch M 2.2'!N264+'Sch M 2.2'!N291+'Sch M 2.2'!N298+'Sch M 2.2'!N305+'Sch M 2.2'!N312+'Sch M 2.2'!N319+'Sch M 2.2'!N326+'Sch M 2.2'!N353+'Sch M 2.2'!N360</f>
        <v>1470532.1</v>
      </c>
      <c r="M41" s="181">
        <f>'Sch M 2.2'!O229+'Sch M 2.2'!O236+'Sch M 2.2'!O243+'Sch M 2.2'!O250+'Sch M 2.2'!O257+'Sch M 2.2'!O264+'Sch M 2.2'!O291+'Sch M 2.2'!O298+'Sch M 2.2'!O305+'Sch M 2.2'!O312+'Sch M 2.2'!O319+'Sch M 2.2'!O326+'Sch M 2.2'!O353+'Sch M 2.2'!O360</f>
        <v>1764884.4</v>
      </c>
      <c r="N41" s="181">
        <f>'Sch M 2.2'!P229+'Sch M 2.2'!P236+'Sch M 2.2'!P243+'Sch M 2.2'!P250+'Sch M 2.2'!P257+'Sch M 2.2'!P264+'Sch M 2.2'!P291+'Sch M 2.2'!P298+'Sch M 2.2'!P305+'Sch M 2.2'!P312+'Sch M 2.2'!P319+'Sch M 2.2'!P326+'Sch M 2.2'!P353+'Sch M 2.2'!P360</f>
        <v>2123734.7000000002</v>
      </c>
      <c r="O41" s="176">
        <f>SUM(C41:N41)</f>
        <v>18996806.199999999</v>
      </c>
      <c r="P41" s="67"/>
    </row>
    <row r="42" spans="1:18" x14ac:dyDescent="0.35">
      <c r="A42" s="74"/>
      <c r="B42" s="63"/>
      <c r="C42" s="178"/>
      <c r="D42" s="178"/>
      <c r="E42" s="178"/>
      <c r="F42" s="178"/>
      <c r="G42" s="188"/>
      <c r="H42" s="188"/>
      <c r="I42" s="188"/>
      <c r="J42" s="188"/>
      <c r="K42" s="188"/>
      <c r="L42" s="188"/>
      <c r="M42" s="188"/>
      <c r="N42" s="188"/>
      <c r="O42" s="188"/>
      <c r="Q42" s="811"/>
      <c r="R42" s="811"/>
    </row>
    <row r="43" spans="1:18" ht="16" thickBot="1" x14ac:dyDescent="0.4">
      <c r="A43" s="74">
        <f>A41+1</f>
        <v>19</v>
      </c>
      <c r="B43" s="63" t="s">
        <v>310</v>
      </c>
      <c r="C43" s="190">
        <f t="shared" ref="C43:M43" si="4">C39+C41</f>
        <v>4607407.5</v>
      </c>
      <c r="D43" s="190">
        <f t="shared" si="4"/>
        <v>4343127.5</v>
      </c>
      <c r="E43" s="190">
        <f t="shared" si="4"/>
        <v>3778498.2</v>
      </c>
      <c r="F43" s="190">
        <f t="shared" si="4"/>
        <v>2543977.8999999994</v>
      </c>
      <c r="G43" s="190">
        <f t="shared" si="4"/>
        <v>1696282</v>
      </c>
      <c r="H43" s="190">
        <f t="shared" si="4"/>
        <v>1342341.5000000002</v>
      </c>
      <c r="I43" s="190">
        <f t="shared" si="4"/>
        <v>1199022.8</v>
      </c>
      <c r="J43" s="190">
        <f t="shared" si="4"/>
        <v>1318257.5999999999</v>
      </c>
      <c r="K43" s="190">
        <f t="shared" si="4"/>
        <v>1410637.1</v>
      </c>
      <c r="L43" s="190">
        <f t="shared" si="4"/>
        <v>1780152.1</v>
      </c>
      <c r="M43" s="190">
        <f t="shared" si="4"/>
        <v>2491659.5999999996</v>
      </c>
      <c r="N43" s="190">
        <f>N39+N41</f>
        <v>3776806.5999999996</v>
      </c>
      <c r="O43" s="190">
        <f>SUM(C43:N43)</f>
        <v>30288170.400000006</v>
      </c>
      <c r="P43" s="80"/>
      <c r="Q43" s="790"/>
      <c r="R43" s="791"/>
    </row>
    <row r="44" spans="1:18" ht="16" thickTop="1" x14ac:dyDescent="0.35">
      <c r="A44" s="74"/>
      <c r="C44" s="735"/>
      <c r="D44" s="178"/>
      <c r="E44" s="191"/>
      <c r="F44" s="191"/>
      <c r="G44" s="188"/>
      <c r="H44" s="181"/>
      <c r="I44" s="191"/>
      <c r="J44" s="191"/>
      <c r="K44" s="191"/>
      <c r="L44" s="191"/>
      <c r="M44" s="191"/>
      <c r="N44" s="191"/>
      <c r="O44" s="192"/>
      <c r="P44" s="92"/>
      <c r="Q44" s="736"/>
      <c r="R44" s="92"/>
    </row>
    <row r="45" spans="1:18" x14ac:dyDescent="0.35">
      <c r="A45" s="74"/>
      <c r="C45" s="193"/>
      <c r="D45" s="193"/>
      <c r="E45" s="193"/>
      <c r="F45" s="193"/>
      <c r="G45" s="178"/>
      <c r="I45" s="193"/>
      <c r="J45" s="193"/>
      <c r="K45" s="193"/>
      <c r="L45" s="193"/>
      <c r="M45" s="193"/>
      <c r="N45" s="193"/>
      <c r="O45" s="94"/>
      <c r="P45" s="80"/>
      <c r="Q45" s="737"/>
      <c r="R45" s="80"/>
    </row>
    <row r="46" spans="1:18" x14ac:dyDescent="0.35">
      <c r="A46" s="63"/>
      <c r="C46" s="63"/>
      <c r="D46" s="60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R46" s="153"/>
    </row>
    <row r="47" spans="1:18" x14ac:dyDescent="0.35">
      <c r="A47" s="63"/>
      <c r="C47" s="63"/>
      <c r="D47" s="60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Q47" s="80"/>
      <c r="R47" s="80"/>
    </row>
    <row r="48" spans="1:18" x14ac:dyDescent="0.35">
      <c r="A48" s="63"/>
      <c r="C48" s="63"/>
      <c r="D48" s="60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Q48" s="80"/>
      <c r="R48" s="80"/>
    </row>
    <row r="49" spans="1:16" x14ac:dyDescent="0.35">
      <c r="A49" s="809" t="s">
        <v>36</v>
      </c>
      <c r="B49" s="809"/>
      <c r="C49" s="809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09"/>
    </row>
    <row r="50" spans="1:16" x14ac:dyDescent="0.35">
      <c r="A50" s="809" t="str">
        <f>A2</f>
        <v>Case No. 2021-00183</v>
      </c>
      <c r="B50" s="809"/>
      <c r="C50" s="809"/>
      <c r="D50" s="809"/>
      <c r="E50" s="809"/>
      <c r="F50" s="809"/>
      <c r="G50" s="809"/>
      <c r="H50" s="809"/>
      <c r="I50" s="809"/>
      <c r="J50" s="809"/>
      <c r="K50" s="809"/>
      <c r="L50" s="809"/>
      <c r="M50" s="809"/>
      <c r="N50" s="809"/>
      <c r="O50" s="809"/>
    </row>
    <row r="51" spans="1:16" x14ac:dyDescent="0.35">
      <c r="A51" s="809" t="s">
        <v>198</v>
      </c>
      <c r="B51" s="809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09"/>
    </row>
    <row r="52" spans="1:16" x14ac:dyDescent="0.35">
      <c r="A52" s="809" t="str">
        <f>A4</f>
        <v>For the 12 Months Ended December 31, 2022</v>
      </c>
      <c r="B52" s="809"/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</row>
    <row r="53" spans="1:16" x14ac:dyDescent="0.35">
      <c r="A53" s="813" t="s">
        <v>39</v>
      </c>
      <c r="B53" s="813"/>
      <c r="C53" s="813"/>
      <c r="D53" s="813"/>
      <c r="E53" s="813"/>
      <c r="F53" s="813"/>
      <c r="G53" s="813"/>
      <c r="H53" s="813"/>
      <c r="I53" s="813"/>
      <c r="J53" s="813"/>
      <c r="K53" s="813"/>
      <c r="L53" s="813"/>
      <c r="M53" s="813"/>
      <c r="N53" s="813"/>
      <c r="O53" s="813"/>
    </row>
    <row r="54" spans="1:16" x14ac:dyDescent="0.35">
      <c r="A54" s="48" t="s">
        <v>327</v>
      </c>
    </row>
    <row r="55" spans="1:16" x14ac:dyDescent="0.35">
      <c r="A55" s="48" t="s">
        <v>220</v>
      </c>
      <c r="O55" s="50" t="s">
        <v>37</v>
      </c>
    </row>
    <row r="56" spans="1:16" x14ac:dyDescent="0.35">
      <c r="A56" s="51" t="s">
        <v>63</v>
      </c>
      <c r="O56" s="50" t="s">
        <v>328</v>
      </c>
    </row>
    <row r="57" spans="1:16" x14ac:dyDescent="0.35">
      <c r="A57" s="734" t="s">
        <v>299</v>
      </c>
      <c r="O57" s="203" t="str">
        <f>O9</f>
        <v>Witness:  Judith L. Siegler</v>
      </c>
    </row>
    <row r="58" spans="1:16" x14ac:dyDescent="0.35">
      <c r="A58" s="51"/>
      <c r="O58" s="50"/>
    </row>
    <row r="59" spans="1:16" x14ac:dyDescent="0.35">
      <c r="A59" s="812" t="s">
        <v>291</v>
      </c>
      <c r="B59" s="812"/>
      <c r="C59" s="812"/>
      <c r="D59" s="812"/>
      <c r="E59" s="812"/>
      <c r="F59" s="812"/>
      <c r="G59" s="812"/>
      <c r="H59" s="812"/>
      <c r="I59" s="812"/>
      <c r="J59" s="812"/>
      <c r="K59" s="812"/>
      <c r="L59" s="812"/>
      <c r="M59" s="812"/>
      <c r="N59" s="812"/>
      <c r="O59" s="812"/>
      <c r="P59" s="52"/>
    </row>
    <row r="60" spans="1:16" x14ac:dyDescent="0.35">
      <c r="A60" s="51"/>
      <c r="B60" s="52"/>
      <c r="C60" s="52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</row>
    <row r="61" spans="1:16" x14ac:dyDescent="0.35">
      <c r="A61" s="729" t="s">
        <v>1</v>
      </c>
      <c r="B61" s="96"/>
      <c r="C61" s="729"/>
      <c r="D61" s="729"/>
    </row>
    <row r="62" spans="1:16" x14ac:dyDescent="0.35">
      <c r="A62" s="729" t="s">
        <v>3</v>
      </c>
      <c r="B62" s="729" t="s">
        <v>4</v>
      </c>
      <c r="C62" s="157" t="str">
        <f>B!$D$11</f>
        <v>Jan-22</v>
      </c>
      <c r="D62" s="157" t="str">
        <f>B!$E$11</f>
        <v>Feb-22</v>
      </c>
      <c r="E62" s="157" t="str">
        <f>B!$F$11</f>
        <v>Mar-22</v>
      </c>
      <c r="F62" s="157" t="str">
        <f>B!$G$11</f>
        <v>Apr-22</v>
      </c>
      <c r="G62" s="157" t="str">
        <f>B!$H$11</f>
        <v>May-22</v>
      </c>
      <c r="H62" s="157" t="str">
        <f>B!$I$11</f>
        <v>Jun-22</v>
      </c>
      <c r="I62" s="157" t="str">
        <f>B!$J$11</f>
        <v>Jul-22</v>
      </c>
      <c r="J62" s="157" t="str">
        <f>B!$K$11</f>
        <v>Aug-22</v>
      </c>
      <c r="K62" s="157" t="str">
        <f>B!$L$11</f>
        <v>Sep-22</v>
      </c>
      <c r="L62" s="157" t="str">
        <f>B!$M$11</f>
        <v>Oct-22</v>
      </c>
      <c r="M62" s="157" t="str">
        <f>B!$N$11</f>
        <v>Nov-22</v>
      </c>
      <c r="N62" s="157" t="s">
        <v>367</v>
      </c>
      <c r="O62" s="57" t="s">
        <v>9</v>
      </c>
    </row>
    <row r="63" spans="1:16" x14ac:dyDescent="0.35">
      <c r="A63" s="729"/>
      <c r="B63" s="729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</row>
    <row r="64" spans="1:16" x14ac:dyDescent="0.35">
      <c r="A64" s="74">
        <v>1</v>
      </c>
      <c r="B64" s="154" t="s">
        <v>364</v>
      </c>
      <c r="C64" s="106"/>
      <c r="D64" s="106"/>
      <c r="E64" s="106"/>
      <c r="F64" s="106"/>
      <c r="G64" s="106"/>
      <c r="H64" s="728"/>
      <c r="I64" s="728"/>
      <c r="J64" s="728"/>
      <c r="K64" s="728"/>
      <c r="L64" s="728"/>
      <c r="M64" s="728"/>
      <c r="N64" s="728"/>
      <c r="O64" s="728"/>
    </row>
    <row r="65" spans="1:18" x14ac:dyDescent="0.35">
      <c r="A65" s="74"/>
      <c r="B65" s="154"/>
      <c r="C65" s="728"/>
      <c r="D65" s="728"/>
      <c r="E65" s="728"/>
      <c r="F65" s="728"/>
      <c r="G65" s="728"/>
      <c r="H65" s="728"/>
      <c r="I65" s="728"/>
      <c r="J65" s="728"/>
      <c r="K65" s="728"/>
      <c r="L65" s="728"/>
      <c r="M65" s="728"/>
      <c r="N65" s="728"/>
      <c r="O65" s="728"/>
    </row>
    <row r="66" spans="1:18" x14ac:dyDescent="0.35">
      <c r="A66" s="74">
        <f>A64+1</f>
        <v>2</v>
      </c>
      <c r="B66" s="162" t="s">
        <v>301</v>
      </c>
      <c r="C66" s="174">
        <f>'Sch M 2.3'!E69+'Sch M 2.3'!E83+'Sch M 2.3'!E90+'Sch M 2.3'!E97+'Sch M 2.3'!E104+'Sch M 2.3'!E131+'Sch M 2.3'!E145+'Sch M 2.3'!E152</f>
        <v>16105108.82</v>
      </c>
      <c r="D66" s="174">
        <f>'Sch M 2.3'!F69+'Sch M 2.3'!F83+'Sch M 2.3'!F90+'Sch M 2.3'!F97+'Sch M 2.3'!F104+'Sch M 2.3'!F131+'Sch M 2.3'!F145+'Sch M 2.3'!F152</f>
        <v>16271205.74</v>
      </c>
      <c r="E66" s="174">
        <f>'Sch M 2.3'!G69+'Sch M 2.3'!G83+'Sch M 2.3'!G90+'Sch M 2.3'!G97+'Sch M 2.3'!G104+'Sch M 2.3'!G131+'Sch M 2.3'!G145+'Sch M 2.3'!G152</f>
        <v>13375229.820000002</v>
      </c>
      <c r="F66" s="174">
        <f>'Sch M 2.3'!H69+'Sch M 2.3'!H83+'Sch M 2.3'!H90+'Sch M 2.3'!H97+'Sch M 2.3'!H104+'Sch M 2.3'!H131+'Sch M 2.3'!H145+'Sch M 2.3'!H152</f>
        <v>9020689.5700000003</v>
      </c>
      <c r="G66" s="174">
        <f>'Sch M 2.3'!I69+'Sch M 2.3'!I83+'Sch M 2.3'!I90+'Sch M 2.3'!I97+'Sch M 2.3'!I104+'Sch M 2.3'!I131+'Sch M 2.3'!I145+'Sch M 2.3'!I152</f>
        <v>5720474.2399999993</v>
      </c>
      <c r="H66" s="174">
        <f>'Sch M 2.3'!J69+'Sch M 2.3'!J83+'Sch M 2.3'!J90+'Sch M 2.3'!J97+'Sch M 2.3'!J104+'Sch M 2.3'!J131+'Sch M 2.3'!J145+'Sch M 2.3'!J152</f>
        <v>4518957.46</v>
      </c>
      <c r="I66" s="174">
        <f>'Sch M 2.3'!K69+'Sch M 2.3'!K83+'Sch M 2.3'!K90+'Sch M 2.3'!K97+'Sch M 2.3'!K104+'Sch M 2.3'!K131+'Sch M 2.3'!K145+'Sch M 2.3'!K152</f>
        <v>3954924.24</v>
      </c>
      <c r="J66" s="174">
        <f>'Sch M 2.3'!L69+'Sch M 2.3'!L83+'Sch M 2.3'!L90+'Sch M 2.3'!L97+'Sch M 2.3'!L104+'Sch M 2.3'!L131+'Sch M 2.3'!L145+'Sch M 2.3'!L152</f>
        <v>3988838.33</v>
      </c>
      <c r="K66" s="174">
        <f>'Sch M 2.3'!M69+'Sch M 2.3'!M83+'Sch M 2.3'!M90+'Sch M 2.3'!M97+'Sch M 2.3'!M104+'Sch M 2.3'!M131+'Sch M 2.3'!M145+'Sch M 2.3'!M152</f>
        <v>4101507.23</v>
      </c>
      <c r="L66" s="174">
        <f>'Sch M 2.3'!N69+'Sch M 2.3'!N83+'Sch M 2.3'!N90+'Sch M 2.3'!N97+'Sch M 2.3'!N104+'Sch M 2.3'!N131+'Sch M 2.3'!N145+'Sch M 2.3'!N152</f>
        <v>4757196.4100000011</v>
      </c>
      <c r="M66" s="174">
        <f>'Sch M 2.3'!O69+'Sch M 2.3'!O83+'Sch M 2.3'!O90+'Sch M 2.3'!O97+'Sch M 2.3'!O104+'Sch M 2.3'!O131+'Sch M 2.3'!O145+'Sch M 2.3'!O152</f>
        <v>7251853.9099999992</v>
      </c>
      <c r="N66" s="174">
        <f>'Sch M 2.3'!P69+'Sch M 2.3'!P83+'Sch M 2.3'!P90+'Sch M 2.3'!P97+'Sch M 2.3'!P104+'Sch M 2.3'!P131+'Sch M 2.3'!P145+'Sch M 2.3'!P152</f>
        <v>12756317.230000002</v>
      </c>
      <c r="O66" s="175">
        <f>SUM(C66:N66)</f>
        <v>101822303</v>
      </c>
    </row>
    <row r="67" spans="1:18" x14ac:dyDescent="0.35">
      <c r="A67" s="74">
        <f>A66+1</f>
        <v>3</v>
      </c>
      <c r="B67" s="154" t="s">
        <v>302</v>
      </c>
      <c r="C67" s="176">
        <f>'Sch M 2.3'!E76+'Sch M 2.3'!E138+'Sch M 2.3'!E159</f>
        <v>6479228.6700000009</v>
      </c>
      <c r="D67" s="176">
        <f>'Sch M 2.3'!F76+'Sch M 2.3'!F138+'Sch M 2.3'!F159</f>
        <v>6259762.2000000002</v>
      </c>
      <c r="E67" s="176">
        <f>'Sch M 2.3'!G76+'Sch M 2.3'!G138+'Sch M 2.3'!G159</f>
        <v>5389058.9800000004</v>
      </c>
      <c r="F67" s="176">
        <f>'Sch M 2.3'!H76+'Sch M 2.3'!H138+'Sch M 2.3'!H159</f>
        <v>3245486.2300000004</v>
      </c>
      <c r="G67" s="176">
        <f>'Sch M 2.3'!I76+'Sch M 2.3'!I138+'Sch M 2.3'!I159</f>
        <v>2345630.7599999998</v>
      </c>
      <c r="H67" s="176">
        <f>'Sch M 2.3'!J76+'Sch M 2.3'!J138+'Sch M 2.3'!J159</f>
        <v>1931201.91</v>
      </c>
      <c r="I67" s="176">
        <f>'Sch M 2.3'!K76+'Sch M 2.3'!K138+'Sch M 2.3'!K159</f>
        <v>1759912.1999999997</v>
      </c>
      <c r="J67" s="176">
        <f>'Sch M 2.3'!L76+'Sch M 2.3'!L138+'Sch M 2.3'!L159</f>
        <v>1683596.0800000003</v>
      </c>
      <c r="K67" s="176">
        <f>'Sch M 2.3'!M76+'Sch M 2.3'!M138+'Sch M 2.3'!M159</f>
        <v>1720461.3</v>
      </c>
      <c r="L67" s="176">
        <f>'Sch M 2.3'!N76+'Sch M 2.3'!N138+'Sch M 2.3'!N159</f>
        <v>1895442.18</v>
      </c>
      <c r="M67" s="176">
        <f>'Sch M 2.3'!O76+'Sch M 2.3'!O138+'Sch M 2.3'!O159</f>
        <v>2803904.71</v>
      </c>
      <c r="N67" s="176">
        <f>'Sch M 2.3'!P76+'Sch M 2.3'!P138+'Sch M 2.3'!P159</f>
        <v>4902290.41</v>
      </c>
      <c r="O67" s="175">
        <f>SUM(C67:N67)</f>
        <v>40415975.63000001</v>
      </c>
    </row>
    <row r="68" spans="1:18" x14ac:dyDescent="0.35">
      <c r="A68" s="74">
        <f>A67+1</f>
        <v>4</v>
      </c>
      <c r="B68" s="154" t="s">
        <v>303</v>
      </c>
      <c r="C68" s="181">
        <f>'Sch M 2.3'!E186+'Sch M 2.3'!E193</f>
        <v>342485.52999999997</v>
      </c>
      <c r="D68" s="181">
        <f>'Sch M 2.3'!F186+'Sch M 2.3'!F193</f>
        <v>327060.07</v>
      </c>
      <c r="E68" s="181">
        <f>'Sch M 2.3'!G186+'Sch M 2.3'!G193</f>
        <v>219835.14</v>
      </c>
      <c r="F68" s="181">
        <f>'Sch M 2.3'!H186+'Sch M 2.3'!H193</f>
        <v>75860.06</v>
      </c>
      <c r="G68" s="181">
        <f>'Sch M 2.3'!I186+'Sch M 2.3'!I193</f>
        <v>74933.87999999999</v>
      </c>
      <c r="H68" s="181">
        <f>'Sch M 2.3'!J186+'Sch M 2.3'!J193</f>
        <v>54582.74</v>
      </c>
      <c r="I68" s="181">
        <f>'Sch M 2.3'!K186+'Sch M 2.3'!K193</f>
        <v>47694.21</v>
      </c>
      <c r="J68" s="181">
        <f>'Sch M 2.3'!L186+'Sch M 2.3'!L193</f>
        <v>60908.13</v>
      </c>
      <c r="K68" s="181">
        <f>'Sch M 2.3'!M186+'Sch M 2.3'!M193</f>
        <v>68175.72</v>
      </c>
      <c r="L68" s="181">
        <f>'Sch M 2.3'!N186+'Sch M 2.3'!N193</f>
        <v>98324.08</v>
      </c>
      <c r="M68" s="181">
        <f>'Sch M 2.3'!O186+'Sch M 2.3'!O193</f>
        <v>198197.70999999996</v>
      </c>
      <c r="N68" s="181">
        <f>'Sch M 2.3'!P186+'Sch M 2.3'!P193</f>
        <v>289755.88999999996</v>
      </c>
      <c r="O68" s="175">
        <f>SUM(C68:N68)</f>
        <v>1857813.16</v>
      </c>
    </row>
    <row r="69" spans="1:18" x14ac:dyDescent="0.35">
      <c r="A69" s="74">
        <f>A68+1</f>
        <v>5</v>
      </c>
      <c r="B69" s="154" t="s">
        <v>304</v>
      </c>
      <c r="C69" s="64">
        <f>'Sch M 2.3'!E200</f>
        <v>13110.52</v>
      </c>
      <c r="D69" s="64">
        <f>'Sch M 2.3'!F200</f>
        <v>11586.72</v>
      </c>
      <c r="E69" s="64">
        <f>'Sch M 2.3'!G200</f>
        <v>12604.88</v>
      </c>
      <c r="F69" s="64">
        <f>'Sch M 2.3'!H200</f>
        <v>6083.2</v>
      </c>
      <c r="G69" s="64">
        <f>'Sch M 2.3'!I200</f>
        <v>5291.17</v>
      </c>
      <c r="H69" s="64">
        <f>'Sch M 2.3'!J200</f>
        <v>4794.13</v>
      </c>
      <c r="I69" s="64">
        <f>'Sch M 2.3'!K200</f>
        <v>3943.56</v>
      </c>
      <c r="J69" s="64">
        <f>'Sch M 2.3'!L200</f>
        <v>4143.8499999999995</v>
      </c>
      <c r="K69" s="64">
        <f>'Sch M 2.3'!M200</f>
        <v>3740.37</v>
      </c>
      <c r="L69" s="64">
        <f>'Sch M 2.3'!N200</f>
        <v>5210.8100000000004</v>
      </c>
      <c r="M69" s="64">
        <f>'Sch M 2.3'!O200</f>
        <v>7355.62</v>
      </c>
      <c r="N69" s="64">
        <f>'Sch M 2.3'!P200</f>
        <v>10499.1</v>
      </c>
      <c r="O69" s="64">
        <f>SUM(C69:N69)</f>
        <v>88363.93</v>
      </c>
    </row>
    <row r="70" spans="1:18" x14ac:dyDescent="0.35">
      <c r="A70" s="74">
        <f>A69+1</f>
        <v>6</v>
      </c>
      <c r="B70" s="154" t="s">
        <v>305</v>
      </c>
      <c r="C70" s="49">
        <f t="shared" ref="C70:M70" si="5">SUM(C66:C69)</f>
        <v>22939933.540000003</v>
      </c>
      <c r="D70" s="49">
        <f t="shared" si="5"/>
        <v>22869614.73</v>
      </c>
      <c r="E70" s="49">
        <f t="shared" si="5"/>
        <v>18996728.820000004</v>
      </c>
      <c r="F70" s="49">
        <f t="shared" si="5"/>
        <v>12348119.060000001</v>
      </c>
      <c r="G70" s="49">
        <f t="shared" si="5"/>
        <v>8146330.0499999989</v>
      </c>
      <c r="H70" s="49">
        <f t="shared" si="5"/>
        <v>6509536.2400000002</v>
      </c>
      <c r="I70" s="49">
        <f t="shared" si="5"/>
        <v>5766474.209999999</v>
      </c>
      <c r="J70" s="49">
        <f t="shared" si="5"/>
        <v>5737486.3899999997</v>
      </c>
      <c r="K70" s="49">
        <f t="shared" si="5"/>
        <v>5893884.6200000001</v>
      </c>
      <c r="L70" s="49">
        <f t="shared" si="5"/>
        <v>6756173.4800000004</v>
      </c>
      <c r="M70" s="49">
        <f t="shared" si="5"/>
        <v>10261311.949999997</v>
      </c>
      <c r="N70" s="49">
        <f>SUM(N66:N69)</f>
        <v>17958862.630000003</v>
      </c>
      <c r="O70" s="179">
        <f>SUM(O66:O69)</f>
        <v>144184455.72</v>
      </c>
    </row>
    <row r="71" spans="1:18" x14ac:dyDescent="0.35">
      <c r="A71" s="74"/>
      <c r="C71" s="180"/>
      <c r="D71" s="180"/>
      <c r="E71" s="180"/>
      <c r="F71" s="180"/>
      <c r="O71" s="63"/>
    </row>
    <row r="72" spans="1:18" x14ac:dyDescent="0.35">
      <c r="A72" s="74">
        <f>A70+1</f>
        <v>7</v>
      </c>
      <c r="B72" s="154" t="s">
        <v>306</v>
      </c>
      <c r="C72" s="181">
        <f>'Sch M 2.3'!E227+'Sch M 2.3'!E234+'Sch M 2.3'!E241+'Sch M 2.3'!E248+'Sch M 2.3'!E255+'Sch M 2.3'!E262+'Sch M 2.3'!E290+'Sch M 2.3'!E297+'Sch M 2.3'!E304+'Sch M 2.3'!E311+'Sch M 2.3'!E318+'Sch M 2.3'!E325+'Sch M 2.3'!E352+'Sch M 2.3'!E359</f>
        <v>3641015.2743199994</v>
      </c>
      <c r="D72" s="181">
        <f>'Sch M 2.3'!F227+'Sch M 2.3'!F234+'Sch M 2.3'!F241+'Sch M 2.3'!F248+'Sch M 2.3'!F255+'Sch M 2.3'!F262+'Sch M 2.3'!F290+'Sch M 2.3'!F297+'Sch M 2.3'!F304+'Sch M 2.3'!F311+'Sch M 2.3'!F318+'Sch M 2.3'!F325+'Sch M 2.3'!F352+'Sch M 2.3'!F359</f>
        <v>3540549.0032799998</v>
      </c>
      <c r="E72" s="181">
        <f>'Sch M 2.3'!G227+'Sch M 2.3'!G234+'Sch M 2.3'!G241+'Sch M 2.3'!G248+'Sch M 2.3'!G255+'Sch M 2.3'!G262+'Sch M 2.3'!G290+'Sch M 2.3'!G297+'Sch M 2.3'!G304+'Sch M 2.3'!G311+'Sch M 2.3'!G318+'Sch M 2.3'!G325+'Sch M 2.3'!G352+'Sch M 2.3'!G359</f>
        <v>3142528.7322399998</v>
      </c>
      <c r="F72" s="181">
        <f>'Sch M 2.3'!H227+'Sch M 2.3'!H234+'Sch M 2.3'!H241+'Sch M 2.3'!H248+'Sch M 2.3'!H255+'Sch M 2.3'!H262+'Sch M 2.3'!H290+'Sch M 2.3'!H297+'Sch M 2.3'!H304+'Sch M 2.3'!H311+'Sch M 2.3'!H318+'Sch M 2.3'!H325+'Sch M 2.3'!H352+'Sch M 2.3'!H359</f>
        <v>2449596.7444799999</v>
      </c>
      <c r="G72" s="181">
        <f>'Sch M 2.3'!I227+'Sch M 2.3'!I234+'Sch M 2.3'!I241+'Sch M 2.3'!I248+'Sch M 2.3'!I255+'Sch M 2.3'!I262+'Sch M 2.3'!I290+'Sch M 2.3'!I297+'Sch M 2.3'!I304+'Sch M 2.3'!I311+'Sch M 2.3'!I318+'Sch M 2.3'!I325+'Sch M 2.3'!I352+'Sch M 2.3'!I359</f>
        <v>1956844.5558399998</v>
      </c>
      <c r="H72" s="181">
        <f>'Sch M 2.3'!J227+'Sch M 2.3'!J234+'Sch M 2.3'!J241+'Sch M 2.3'!J248+'Sch M 2.3'!J255+'Sch M 2.3'!J262+'Sch M 2.3'!J290+'Sch M 2.3'!J297+'Sch M 2.3'!J304+'Sch M 2.3'!J311+'Sch M 2.3'!J318+'Sch M 2.3'!J325+'Sch M 2.3'!J352+'Sch M 2.3'!J359</f>
        <v>1717007.7652800002</v>
      </c>
      <c r="I72" s="181">
        <f>'Sch M 2.3'!K227+'Sch M 2.3'!K234+'Sch M 2.3'!K241+'Sch M 2.3'!K248+'Sch M 2.3'!K255+'Sch M 2.3'!K262+'Sch M 2.3'!K290+'Sch M 2.3'!K297+'Sch M 2.3'!K304+'Sch M 2.3'!K311+'Sch M 2.3'!K318+'Sch M 2.3'!K325+'Sch M 2.3'!K352+'Sch M 2.3'!K359</f>
        <v>1594011.7062399997</v>
      </c>
      <c r="J72" s="181">
        <f>'Sch M 2.3'!L227+'Sch M 2.3'!L234+'Sch M 2.3'!L241+'Sch M 2.3'!L248+'Sch M 2.3'!L255+'Sch M 2.3'!L262+'Sch M 2.3'!L290+'Sch M 2.3'!L297+'Sch M 2.3'!L304+'Sch M 2.3'!L311+'Sch M 2.3'!L318+'Sch M 2.3'!L325+'Sch M 2.3'!L352+'Sch M 2.3'!L359</f>
        <v>1662831.0140800001</v>
      </c>
      <c r="K72" s="181">
        <f>'Sch M 2.3'!M227+'Sch M 2.3'!M234+'Sch M 2.3'!M241+'Sch M 2.3'!M248+'Sch M 2.3'!M255+'Sch M 2.3'!M262+'Sch M 2.3'!M290+'Sch M 2.3'!M297+'Sch M 2.3'!M304+'Sch M 2.3'!M311+'Sch M 2.3'!M318+'Sch M 2.3'!M325+'Sch M 2.3'!M352+'Sch M 2.3'!M359</f>
        <v>1684720.0993599999</v>
      </c>
      <c r="L72" s="181">
        <f>'Sch M 2.3'!N227+'Sch M 2.3'!N234+'Sch M 2.3'!N241+'Sch M 2.3'!N248+'Sch M 2.3'!N255+'Sch M 2.3'!N262+'Sch M 2.3'!N290+'Sch M 2.3'!N297+'Sch M 2.3'!N304+'Sch M 2.3'!N311+'Sch M 2.3'!N318+'Sch M 2.3'!N325+'Sch M 2.3'!N352+'Sch M 2.3'!N359</f>
        <v>1842336.88592</v>
      </c>
      <c r="M72" s="181">
        <f>'Sch M 2.3'!O227+'Sch M 2.3'!O234+'Sch M 2.3'!O241+'Sch M 2.3'!O248+'Sch M 2.3'!O255+'Sch M 2.3'!O262+'Sch M 2.3'!O290+'Sch M 2.3'!O297+'Sch M 2.3'!O304+'Sch M 2.3'!O311+'Sch M 2.3'!O318+'Sch M 2.3'!O325+'Sch M 2.3'!O352+'Sch M 2.3'!O359</f>
        <v>2298210.3346400005</v>
      </c>
      <c r="N72" s="181">
        <f>'Sch M 2.3'!P227+'Sch M 2.3'!P234+'Sch M 2.3'!P241+'Sch M 2.3'!P248+'Sch M 2.3'!P255+'Sch M 2.3'!P262+'Sch M 2.3'!P290+'Sch M 2.3'!P297+'Sch M 2.3'!P304+'Sch M 2.3'!P311+'Sch M 2.3'!P318+'Sch M 2.3'!P325+'Sch M 2.3'!P352+'Sch M 2.3'!P359</f>
        <v>3047626.0439999998</v>
      </c>
      <c r="O72" s="177">
        <f>SUM(C72:N72)</f>
        <v>28577278.159679998</v>
      </c>
    </row>
    <row r="73" spans="1:18" x14ac:dyDescent="0.35">
      <c r="A73" s="74">
        <f>A72+1</f>
        <v>8</v>
      </c>
      <c r="B73" s="154" t="s">
        <v>307</v>
      </c>
      <c r="C73" s="49">
        <f>'Sch M 2.3'!E371</f>
        <v>116198.20999999999</v>
      </c>
      <c r="D73" s="49">
        <f>'Sch M 2.3'!F371</f>
        <v>200081.94333333333</v>
      </c>
      <c r="E73" s="49">
        <f>'Sch M 2.3'!G371</f>
        <v>130621.90000000002</v>
      </c>
      <c r="F73" s="49">
        <f>'Sch M 2.3'!H371</f>
        <v>86433.956666666665</v>
      </c>
      <c r="G73" s="49">
        <f>'Sch M 2.3'!I371</f>
        <v>68315.399999999994</v>
      </c>
      <c r="H73" s="49">
        <f>'Sch M 2.3'!J371</f>
        <v>55345.01</v>
      </c>
      <c r="I73" s="49">
        <f>'Sch M 2.3'!K371</f>
        <v>63645.133333333331</v>
      </c>
      <c r="J73" s="49">
        <f>'Sch M 2.3'!L371</f>
        <v>54004.903333333328</v>
      </c>
      <c r="K73" s="49">
        <f>'Sch M 2.3'!M371</f>
        <v>110207.27666666666</v>
      </c>
      <c r="L73" s="49">
        <f>'Sch M 2.3'!N371</f>
        <v>190539.93</v>
      </c>
      <c r="M73" s="49">
        <f>'Sch M 2.3'!O371</f>
        <v>72618.143333333341</v>
      </c>
      <c r="N73" s="49">
        <f>'Sch M 2.3'!P371</f>
        <v>150101.61333333334</v>
      </c>
      <c r="O73" s="177">
        <f>SUM(C73:N73)</f>
        <v>1298113.42</v>
      </c>
    </row>
    <row r="74" spans="1:18" x14ac:dyDescent="0.35">
      <c r="A74" s="74"/>
      <c r="O74" s="182"/>
      <c r="Q74" s="811"/>
      <c r="R74" s="811"/>
    </row>
    <row r="75" spans="1:18" x14ac:dyDescent="0.35">
      <c r="A75" s="74">
        <f>A73+1</f>
        <v>9</v>
      </c>
      <c r="B75" s="154" t="s">
        <v>308</v>
      </c>
      <c r="C75" s="49">
        <f t="shared" ref="C75:M75" si="6">C70+C72+C73</f>
        <v>26697147.024320003</v>
      </c>
      <c r="D75" s="49">
        <f t="shared" si="6"/>
        <v>26610245.676613331</v>
      </c>
      <c r="E75" s="49">
        <f t="shared" si="6"/>
        <v>22269879.452240001</v>
      </c>
      <c r="F75" s="49">
        <f t="shared" si="6"/>
        <v>14884149.761146668</v>
      </c>
      <c r="G75" s="49">
        <f t="shared" si="6"/>
        <v>10171490.00584</v>
      </c>
      <c r="H75" s="49">
        <f t="shared" si="6"/>
        <v>8281889.0152799999</v>
      </c>
      <c r="I75" s="49">
        <f t="shared" si="6"/>
        <v>7424131.049573333</v>
      </c>
      <c r="J75" s="49">
        <f t="shared" si="6"/>
        <v>7454322.3074133331</v>
      </c>
      <c r="K75" s="49">
        <f t="shared" si="6"/>
        <v>7688811.9960266659</v>
      </c>
      <c r="L75" s="49">
        <f t="shared" si="6"/>
        <v>8789050.2959199995</v>
      </c>
      <c r="M75" s="49">
        <f t="shared" si="6"/>
        <v>12632140.42797333</v>
      </c>
      <c r="N75" s="49">
        <f>N70+N72+N73</f>
        <v>21156590.287333336</v>
      </c>
      <c r="O75" s="177">
        <f>SUM(C75:N75)</f>
        <v>174059847.29968002</v>
      </c>
      <c r="Q75" s="790"/>
      <c r="R75" s="791"/>
    </row>
    <row r="76" spans="1:18" x14ac:dyDescent="0.35">
      <c r="A76" s="74">
        <f>A75+1</f>
        <v>10</v>
      </c>
      <c r="B76" s="154" t="s">
        <v>148</v>
      </c>
      <c r="C76" s="183">
        <f>'Sch M 2.3'!E68+'Sch M 2.3'!E75+'Sch M 2.3'!E82+'Sch M 2.3'!E89++'Sch M 2.3'!E96+'Sch M 2.3'!E103+'Sch M 2.3'!E130+'Sch M 2.3'!E137+'Sch M 2.3'!E144+'Sch M 2.3'!E151+'Sch M 2.3'!E158+'Sch M 2.3'!E185+'Sch M 2.3'!E192+'Sch M 2.3'!E199</f>
        <v>9947919.959999999</v>
      </c>
      <c r="D76" s="183">
        <f>'Sch M 2.3'!F68+'Sch M 2.3'!F75+'Sch M 2.3'!F82+'Sch M 2.3'!F89++'Sch M 2.3'!F96+'Sch M 2.3'!F103+'Sch M 2.3'!F130+'Sch M 2.3'!F137+'Sch M 2.3'!F144+'Sch M 2.3'!F151+'Sch M 2.3'!F158+'Sch M 2.3'!F185+'Sch M 2.3'!F192+'Sch M 2.3'!F199</f>
        <v>9876423.7200000007</v>
      </c>
      <c r="E76" s="183">
        <f>'Sch M 2.3'!G68+'Sch M 2.3'!G75+'Sch M 2.3'!G82+'Sch M 2.3'!G89++'Sch M 2.3'!G96+'Sch M 2.3'!G103+'Sch M 2.3'!G130+'Sch M 2.3'!G137+'Sch M 2.3'!G144+'Sch M 2.3'!G151+'Sch M 2.3'!G158+'Sch M 2.3'!G185+'Sch M 2.3'!G192+'Sch M 2.3'!G199</f>
        <v>7814590.29</v>
      </c>
      <c r="F76" s="183">
        <f>'Sch M 2.3'!H68+'Sch M 2.3'!H75+'Sch M 2.3'!H82+'Sch M 2.3'!H89++'Sch M 2.3'!H96+'Sch M 2.3'!H103+'Sch M 2.3'!H130+'Sch M 2.3'!H137+'Sch M 2.3'!H144+'Sch M 2.3'!H151+'Sch M 2.3'!H158+'Sch M 2.3'!H185+'Sch M 2.3'!H192+'Sch M 2.3'!H199</f>
        <v>4254207.2699999996</v>
      </c>
      <c r="G76" s="183">
        <f>'Sch M 2.3'!I68+'Sch M 2.3'!I75+'Sch M 2.3'!I82+'Sch M 2.3'!I89++'Sch M 2.3'!I96+'Sch M 2.3'!I103+'Sch M 2.3'!I130+'Sch M 2.3'!I137+'Sch M 2.3'!I144+'Sch M 2.3'!I151+'Sch M 2.3'!I158+'Sch M 2.3'!I185+'Sch M 2.3'!I192+'Sch M 2.3'!I199</f>
        <v>2060219.4400000002</v>
      </c>
      <c r="H76" s="183">
        <f>'Sch M 2.3'!J68+'Sch M 2.3'!J75+'Sch M 2.3'!J82+'Sch M 2.3'!J89++'Sch M 2.3'!J96+'Sch M 2.3'!J103+'Sch M 2.3'!J130+'Sch M 2.3'!J137+'Sch M 2.3'!J144+'Sch M 2.3'!J151+'Sch M 2.3'!J158+'Sch M 2.3'!J185+'Sch M 2.3'!J192+'Sch M 2.3'!J199</f>
        <v>1216667.3199999998</v>
      </c>
      <c r="I76" s="183">
        <f>'Sch M 2.3'!K68+'Sch M 2.3'!K75+'Sch M 2.3'!K82+'Sch M 2.3'!K89++'Sch M 2.3'!K96+'Sch M 2.3'!K103+'Sch M 2.3'!K130+'Sch M 2.3'!K137+'Sch M 2.3'!K144+'Sch M 2.3'!K151+'Sch M 2.3'!K158+'Sch M 2.3'!K185+'Sch M 2.3'!K192+'Sch M 2.3'!K199</f>
        <v>832536.78</v>
      </c>
      <c r="J76" s="183">
        <f>'Sch M 2.3'!L68+'Sch M 2.3'!L75+'Sch M 2.3'!L82+'Sch M 2.3'!L89++'Sch M 2.3'!L96+'Sch M 2.3'!L103+'Sch M 2.3'!L130+'Sch M 2.3'!L137+'Sch M 2.3'!L144+'Sch M 2.3'!L151+'Sch M 2.3'!L158+'Sch M 2.3'!L185+'Sch M 2.3'!L192+'Sch M 2.3'!L199</f>
        <v>817096.7300000001</v>
      </c>
      <c r="K76" s="183">
        <f>'Sch M 2.3'!M68+'Sch M 2.3'!M75+'Sch M 2.3'!M82+'Sch M 2.3'!M89++'Sch M 2.3'!M96+'Sch M 2.3'!M103+'Sch M 2.3'!M130+'Sch M 2.3'!M137+'Sch M 2.3'!M144+'Sch M 2.3'!M151+'Sch M 2.3'!M158+'Sch M 2.3'!M185+'Sch M 2.3'!M192+'Sch M 2.3'!M199</f>
        <v>907222.3899999999</v>
      </c>
      <c r="L76" s="183">
        <f>'Sch M 2.3'!N68+'Sch M 2.3'!N75+'Sch M 2.3'!N82+'Sch M 2.3'!N89++'Sch M 2.3'!N96+'Sch M 2.3'!N103+'Sch M 2.3'!N130+'Sch M 2.3'!N137+'Sch M 2.3'!N144+'Sch M 2.3'!N151+'Sch M 2.3'!N158+'Sch M 2.3'!N185+'Sch M 2.3'!N192+'Sch M 2.3'!N199</f>
        <v>1357773.8800000001</v>
      </c>
      <c r="M76" s="183">
        <f>'Sch M 2.3'!O68+'Sch M 2.3'!O75+'Sch M 2.3'!O82+'Sch M 2.3'!O89++'Sch M 2.3'!O96+'Sch M 2.3'!O103+'Sch M 2.3'!O130+'Sch M 2.3'!O137+'Sch M 2.3'!O144+'Sch M 2.3'!O151+'Sch M 2.3'!O158+'Sch M 2.3'!O185+'Sch M 2.3'!O192+'Sch M 2.3'!O199</f>
        <v>3187224.3799999994</v>
      </c>
      <c r="N76" s="183">
        <f>'Sch M 2.3'!P68+'Sch M 2.3'!P75+'Sch M 2.3'!P82+'Sch M 2.3'!P89++'Sch M 2.3'!P96+'Sch M 2.3'!P103+'Sch M 2.3'!P130+'Sch M 2.3'!P137+'Sch M 2.3'!P144+'Sch M 2.3'!P151+'Sch M 2.3'!P158+'Sch M 2.3'!P185+'Sch M 2.3'!P192+'Sch M 2.3'!P199</f>
        <v>7249845.21</v>
      </c>
      <c r="O76" s="177">
        <f>SUM(C76:N76)</f>
        <v>49521727.370000005</v>
      </c>
      <c r="R76" s="113"/>
    </row>
    <row r="77" spans="1:18" x14ac:dyDescent="0.35">
      <c r="A77" s="74"/>
      <c r="B77" s="154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60"/>
      <c r="R77" s="113"/>
    </row>
    <row r="78" spans="1:18" ht="16" thickBot="1" x14ac:dyDescent="0.4">
      <c r="A78" s="74">
        <f>A76+1</f>
        <v>11</v>
      </c>
      <c r="B78" s="154" t="s">
        <v>309</v>
      </c>
      <c r="C78" s="184">
        <f t="shared" ref="C78:M78" si="7">C75-C76</f>
        <v>16749227.064320004</v>
      </c>
      <c r="D78" s="184">
        <f t="shared" si="7"/>
        <v>16733821.95661333</v>
      </c>
      <c r="E78" s="184">
        <f t="shared" si="7"/>
        <v>14455289.162240002</v>
      </c>
      <c r="F78" s="184">
        <f t="shared" si="7"/>
        <v>10629942.491146669</v>
      </c>
      <c r="G78" s="184">
        <f t="shared" si="7"/>
        <v>8111270.5658399994</v>
      </c>
      <c r="H78" s="184">
        <f t="shared" si="7"/>
        <v>7065221.6952800006</v>
      </c>
      <c r="I78" s="184">
        <f t="shared" si="7"/>
        <v>6591594.2695733327</v>
      </c>
      <c r="J78" s="184">
        <f t="shared" si="7"/>
        <v>6637225.5774133326</v>
      </c>
      <c r="K78" s="184">
        <f t="shared" si="7"/>
        <v>6781589.6060266662</v>
      </c>
      <c r="L78" s="184">
        <f t="shared" si="7"/>
        <v>7431276.4159199996</v>
      </c>
      <c r="M78" s="184">
        <f t="shared" si="7"/>
        <v>9444916.0479733311</v>
      </c>
      <c r="N78" s="184">
        <f>N75-N76</f>
        <v>13906745.077333335</v>
      </c>
      <c r="O78" s="184">
        <f>O75-O76</f>
        <v>124538119.92968002</v>
      </c>
    </row>
    <row r="79" spans="1:18" ht="16" thickTop="1" x14ac:dyDescent="0.35">
      <c r="A79" s="74"/>
      <c r="B79" s="154"/>
      <c r="C79" s="185"/>
      <c r="D79" s="185"/>
      <c r="E79" s="185"/>
      <c r="F79" s="185"/>
      <c r="G79" s="186"/>
      <c r="H79" s="187"/>
      <c r="I79" s="185"/>
      <c r="J79" s="185"/>
      <c r="K79" s="185"/>
      <c r="L79" s="185"/>
      <c r="M79" s="185"/>
      <c r="N79" s="185"/>
      <c r="O79" s="69"/>
    </row>
    <row r="80" spans="1:18" x14ac:dyDescent="0.35">
      <c r="A80" s="74"/>
      <c r="B80" s="154"/>
      <c r="C80" s="185"/>
      <c r="D80" s="185"/>
      <c r="E80" s="185"/>
      <c r="F80" s="185"/>
      <c r="G80" s="186"/>
      <c r="H80" s="187"/>
      <c r="I80" s="185"/>
      <c r="J80" s="185"/>
      <c r="K80" s="185"/>
      <c r="L80" s="185"/>
      <c r="M80" s="185"/>
      <c r="N80" s="185"/>
      <c r="O80" s="69"/>
    </row>
    <row r="81" spans="1:18" x14ac:dyDescent="0.35">
      <c r="A81" s="74">
        <f>A78+1</f>
        <v>12</v>
      </c>
      <c r="B81" s="154" t="s">
        <v>365</v>
      </c>
      <c r="C81" s="106"/>
      <c r="D81" s="106"/>
      <c r="E81" s="106"/>
      <c r="F81" s="106"/>
      <c r="G81" s="106"/>
      <c r="I81" s="188"/>
      <c r="J81" s="188"/>
      <c r="K81" s="188"/>
      <c r="L81" s="188"/>
      <c r="M81" s="188"/>
      <c r="N81" s="188"/>
      <c r="O81" s="164"/>
      <c r="P81" s="729"/>
      <c r="R81" s="729"/>
    </row>
    <row r="82" spans="1:18" x14ac:dyDescent="0.35">
      <c r="A82" s="74"/>
      <c r="B82" s="154"/>
      <c r="C82" s="188"/>
      <c r="D82" s="178"/>
      <c r="E82" s="188"/>
      <c r="F82" s="188"/>
      <c r="G82" s="180"/>
      <c r="H82" s="180"/>
      <c r="I82" s="188"/>
      <c r="J82" s="188"/>
      <c r="K82" s="188"/>
      <c r="L82" s="188"/>
      <c r="M82" s="188"/>
      <c r="N82" s="188"/>
      <c r="O82" s="164"/>
      <c r="P82" s="729"/>
      <c r="Q82" s="729"/>
      <c r="R82" s="729"/>
    </row>
    <row r="83" spans="1:18" x14ac:dyDescent="0.35">
      <c r="A83" s="74">
        <f>A81+1</f>
        <v>13</v>
      </c>
      <c r="B83" s="162" t="s">
        <v>301</v>
      </c>
      <c r="C83" s="181">
        <f>'Sch M 2.3'!E66+'Sch M 2.3'!E80+'Sch M 2.3'!E87+'Sch M 2.3'!E94+'Sch M 2.3'!E101+'Sch M 2.3'!E128+'Sch M 2.3'!E142+'Sch M 2.3'!E149</f>
        <v>1484733.9999999998</v>
      </c>
      <c r="D83" s="181">
        <f>'Sch M 2.3'!F66+'Sch M 2.3'!F80+'Sch M 2.3'!F87+'Sch M 2.3'!F94+'Sch M 2.3'!F101+'Sch M 2.3'!F128+'Sch M 2.3'!F142+'Sch M 2.3'!F149</f>
        <v>1503002.6</v>
      </c>
      <c r="E83" s="181">
        <f>'Sch M 2.3'!G66+'Sch M 2.3'!G80+'Sch M 2.3'!G87+'Sch M 2.3'!G94+'Sch M 2.3'!G101+'Sch M 2.3'!G128+'Sch M 2.3'!G142+'Sch M 2.3'!G149</f>
        <v>1166691.1000000001</v>
      </c>
      <c r="F83" s="181">
        <f>'Sch M 2.3'!H66+'Sch M 2.3'!H80+'Sch M 2.3'!H87+'Sch M 2.3'!H94+'Sch M 2.3'!H101+'Sch M 2.3'!H128+'Sch M 2.3'!H142+'Sch M 2.3'!H149</f>
        <v>665313.49999999988</v>
      </c>
      <c r="G83" s="181">
        <f>'Sch M 2.3'!I66+'Sch M 2.3'!I80+'Sch M 2.3'!I87+'Sch M 2.3'!I94+'Sch M 2.3'!I101+'Sch M 2.3'!I128+'Sch M 2.3'!I142+'Sch M 2.3'!I149</f>
        <v>285090.89999999997</v>
      </c>
      <c r="H83" s="181">
        <f>'Sch M 2.3'!J66+'Sch M 2.3'!J80+'Sch M 2.3'!J87+'Sch M 2.3'!J94+'Sch M 2.3'!J101+'Sch M 2.3'!J128+'Sch M 2.3'!J142+'Sch M 2.3'!J149</f>
        <v>148204.29999999999</v>
      </c>
      <c r="I83" s="181">
        <f>'Sch M 2.3'!K66+'Sch M 2.3'!K80+'Sch M 2.3'!K87+'Sch M 2.3'!K94+'Sch M 2.3'!K101+'Sch M 2.3'!K128+'Sch M 2.3'!K142+'Sch M 2.3'!K149</f>
        <v>83409.799999999988</v>
      </c>
      <c r="J83" s="181">
        <f>'Sch M 2.3'!L66+'Sch M 2.3'!L80+'Sch M 2.3'!L87+'Sch M 2.3'!L94+'Sch M 2.3'!L101+'Sch M 2.3'!L128+'Sch M 2.3'!L142+'Sch M 2.3'!L149</f>
        <v>87653.699999999983</v>
      </c>
      <c r="K83" s="181">
        <f>'Sch M 2.3'!M66+'Sch M 2.3'!M80+'Sch M 2.3'!M87+'Sch M 2.3'!M94+'Sch M 2.3'!M101+'Sch M 2.3'!M128+'Sch M 2.3'!M142+'Sch M 2.3'!M149</f>
        <v>102271</v>
      </c>
      <c r="L83" s="181">
        <f>'Sch M 2.3'!N66+'Sch M 2.3'!N80+'Sch M 2.3'!N87+'Sch M 2.3'!N94+'Sch M 2.3'!N101+'Sch M 2.3'!N128+'Sch M 2.3'!N142+'Sch M 2.3'!N149</f>
        <v>177788.40000000002</v>
      </c>
      <c r="M83" s="181">
        <f>'Sch M 2.3'!O66+'Sch M 2.3'!O80+'Sch M 2.3'!O87+'Sch M 2.3'!O94+'Sch M 2.3'!O101+'Sch M 2.3'!O128+'Sch M 2.3'!O142+'Sch M 2.3'!O149</f>
        <v>461844.59999999992</v>
      </c>
      <c r="N83" s="181">
        <f>'Sch M 2.3'!P66+'Sch M 2.3'!P80+'Sch M 2.3'!P87+'Sch M 2.3'!P94+'Sch M 2.3'!P101+'Sch M 2.3'!P128+'Sch M 2.3'!P142+'Sch M 2.3'!P149</f>
        <v>1094130.5999999996</v>
      </c>
      <c r="O83" s="176">
        <f>SUM(C83:N83)</f>
        <v>7260134.4999999991</v>
      </c>
      <c r="P83" s="56"/>
      <c r="Q83" s="56"/>
      <c r="R83" s="56"/>
    </row>
    <row r="84" spans="1:18" x14ac:dyDescent="0.35">
      <c r="A84" s="74">
        <f>A83+1</f>
        <v>14</v>
      </c>
      <c r="B84" s="154" t="s">
        <v>302</v>
      </c>
      <c r="C84" s="181">
        <f>'Sch M 2.3'!E73+'Sch M 2.3'!E135+'Sch M 2.3'!E156</f>
        <v>733043</v>
      </c>
      <c r="D84" s="181">
        <f>'Sch M 2.3'!F73+'Sch M 2.3'!F135+'Sch M 2.3'!F156</f>
        <v>700984.00000000012</v>
      </c>
      <c r="E84" s="181">
        <f>'Sch M 2.3'!G73+'Sch M 2.3'!G135+'Sch M 2.3'!G156</f>
        <v>582736.80000000005</v>
      </c>
      <c r="F84" s="181">
        <f>'Sch M 2.3'!H73+'Sch M 2.3'!H135+'Sch M 2.3'!H156</f>
        <v>294143</v>
      </c>
      <c r="G84" s="181">
        <f>'Sch M 2.3'!I73+'Sch M 2.3'!I135+'Sch M 2.3'!I156</f>
        <v>174296.9</v>
      </c>
      <c r="H84" s="181">
        <f>'Sch M 2.3'!J73+'Sch M 2.3'!J135+'Sch M 2.3'!J156</f>
        <v>121730.50000000001</v>
      </c>
      <c r="I84" s="181">
        <f>'Sch M 2.3'!K73+'Sch M 2.3'!K135+'Sch M 2.3'!K156</f>
        <v>100026.30000000002</v>
      </c>
      <c r="J84" s="181">
        <f>'Sch M 2.3'!L73+'Sch M 2.3'!L135+'Sch M 2.3'!L156</f>
        <v>90381.5</v>
      </c>
      <c r="K84" s="181">
        <f>'Sch M 2.3'!M73+'Sch M 2.3'!M135+'Sch M 2.3'!M156</f>
        <v>95393.799999999988</v>
      </c>
      <c r="L84" s="181">
        <f>'Sch M 2.3'!N73+'Sch M 2.3'!N135+'Sch M 2.3'!N156</f>
        <v>118125.7</v>
      </c>
      <c r="M84" s="181">
        <f>'Sch M 2.3'!O73+'Sch M 2.3'!O135+'Sch M 2.3'!O156</f>
        <v>236468.69999999995</v>
      </c>
      <c r="N84" s="181">
        <f>'Sch M 2.3'!P73+'Sch M 2.3'!P135+'Sch M 2.3'!P156</f>
        <v>516678.9</v>
      </c>
      <c r="O84" s="176">
        <f>SUM(C84:N84)</f>
        <v>3764009.0999999992</v>
      </c>
      <c r="P84" s="729"/>
      <c r="Q84" s="729"/>
      <c r="R84" s="729"/>
    </row>
    <row r="85" spans="1:18" x14ac:dyDescent="0.35">
      <c r="A85" s="74">
        <f>A84+1</f>
        <v>15</v>
      </c>
      <c r="B85" s="154" t="s">
        <v>303</v>
      </c>
      <c r="C85" s="181">
        <f>'Sch M 2.3'!E183+'Sch M 2.3'!E190</f>
        <v>48458.8</v>
      </c>
      <c r="D85" s="181">
        <f>'Sch M 2.3'!F183+'Sch M 2.3'!F190</f>
        <v>46186.400000000001</v>
      </c>
      <c r="E85" s="181">
        <f>'Sch M 2.3'!G183+'Sch M 2.3'!G190</f>
        <v>30488.199999999997</v>
      </c>
      <c r="F85" s="181">
        <f>'Sch M 2.3'!H183+'Sch M 2.3'!H190</f>
        <v>9871.6</v>
      </c>
      <c r="G85" s="181">
        <f>'Sch M 2.3'!I183+'Sch M 2.3'!I190</f>
        <v>9771.9</v>
      </c>
      <c r="H85" s="181">
        <f>'Sch M 2.3'!J183+'Sch M 2.3'!J190</f>
        <v>6949.4</v>
      </c>
      <c r="I85" s="181">
        <f>'Sch M 2.3'!K183+'Sch M 2.3'!K190</f>
        <v>6025.1</v>
      </c>
      <c r="J85" s="181">
        <f>'Sch M 2.3'!L183+'Sch M 2.3'!L190</f>
        <v>7880.1</v>
      </c>
      <c r="K85" s="181">
        <f>'Sch M 2.3'!M183+'Sch M 2.3'!M190</f>
        <v>8890.2999999999993</v>
      </c>
      <c r="L85" s="181">
        <f>'Sch M 2.3'!N183+'Sch M 2.3'!N190</f>
        <v>13143.4</v>
      </c>
      <c r="M85" s="181">
        <f>'Sch M 2.3'!O183+'Sch M 2.3'!O190</f>
        <v>27525.699999999997</v>
      </c>
      <c r="N85" s="181">
        <f>'Sch M 2.3'!P183+'Sch M 2.3'!P190</f>
        <v>40778.5</v>
      </c>
      <c r="O85" s="176">
        <f>SUM(C85:N85)</f>
        <v>255969.39999999997</v>
      </c>
      <c r="P85" s="87"/>
    </row>
    <row r="86" spans="1:18" x14ac:dyDescent="0.35">
      <c r="A86" s="74">
        <f>A85+1</f>
        <v>16</v>
      </c>
      <c r="B86" s="154" t="s">
        <v>304</v>
      </c>
      <c r="C86" s="189">
        <f>'Sch M 2.3'!E197</f>
        <v>1938.9</v>
      </c>
      <c r="D86" s="189">
        <f>'Sch M 2.3'!F197</f>
        <v>1673.4</v>
      </c>
      <c r="E86" s="189">
        <f>'Sch M 2.3'!G197</f>
        <v>1850.8</v>
      </c>
      <c r="F86" s="189">
        <f>'Sch M 2.3'!H197</f>
        <v>714.5</v>
      </c>
      <c r="G86" s="189">
        <f>'Sch M 2.3'!I197</f>
        <v>576.5</v>
      </c>
      <c r="H86" s="189">
        <f>'Sch M 2.3'!J197</f>
        <v>489.9</v>
      </c>
      <c r="I86" s="189">
        <f>'Sch M 2.3'!K197</f>
        <v>341.7</v>
      </c>
      <c r="J86" s="189">
        <f>'Sch M 2.3'!L197</f>
        <v>376.6</v>
      </c>
      <c r="K86" s="189">
        <f>'Sch M 2.3'!M197</f>
        <v>306.3</v>
      </c>
      <c r="L86" s="189">
        <f>'Sch M 2.3'!N197</f>
        <v>562.5</v>
      </c>
      <c r="M86" s="189">
        <f>'Sch M 2.3'!O197</f>
        <v>936.2</v>
      </c>
      <c r="N86" s="189">
        <f>'Sch M 2.3'!P197</f>
        <v>1483.9</v>
      </c>
      <c r="O86" s="189">
        <f>SUM(C86:N86)</f>
        <v>11251.2</v>
      </c>
      <c r="P86" s="114"/>
      <c r="Q86" s="114"/>
    </row>
    <row r="87" spans="1:18" x14ac:dyDescent="0.35">
      <c r="A87" s="74">
        <f>A86+1</f>
        <v>17</v>
      </c>
      <c r="B87" s="154" t="s">
        <v>305</v>
      </c>
      <c r="C87" s="181">
        <f t="shared" ref="C87:M87" si="8">SUM(C83:C86)</f>
        <v>2268174.6999999997</v>
      </c>
      <c r="D87" s="181">
        <f t="shared" si="8"/>
        <v>2251846.4</v>
      </c>
      <c r="E87" s="181">
        <f t="shared" si="8"/>
        <v>1781766.9000000001</v>
      </c>
      <c r="F87" s="181">
        <f t="shared" si="8"/>
        <v>970042.59999999986</v>
      </c>
      <c r="G87" s="181">
        <f t="shared" si="8"/>
        <v>469736.19999999995</v>
      </c>
      <c r="H87" s="181">
        <f t="shared" si="8"/>
        <v>277374.10000000003</v>
      </c>
      <c r="I87" s="181">
        <f t="shared" si="8"/>
        <v>189802.90000000002</v>
      </c>
      <c r="J87" s="181">
        <f t="shared" si="8"/>
        <v>186291.9</v>
      </c>
      <c r="K87" s="181">
        <f t="shared" si="8"/>
        <v>206861.39999999997</v>
      </c>
      <c r="L87" s="181">
        <f t="shared" si="8"/>
        <v>309620.00000000006</v>
      </c>
      <c r="M87" s="181">
        <f t="shared" si="8"/>
        <v>726775.19999999972</v>
      </c>
      <c r="N87" s="181">
        <f>SUM(N83:N86)</f>
        <v>1653071.8999999994</v>
      </c>
      <c r="O87" s="181">
        <f>SUM(O83:O86)</f>
        <v>11291364.199999997</v>
      </c>
    </row>
    <row r="88" spans="1:18" x14ac:dyDescent="0.35">
      <c r="A88" s="74"/>
      <c r="B88" s="154"/>
      <c r="C88" s="178"/>
      <c r="D88" s="178"/>
      <c r="E88" s="178"/>
      <c r="F88" s="178"/>
      <c r="G88" s="180"/>
    </row>
    <row r="89" spans="1:18" x14ac:dyDescent="0.35">
      <c r="A89" s="74">
        <f>A87+1</f>
        <v>18</v>
      </c>
      <c r="B89" s="154" t="s">
        <v>306</v>
      </c>
      <c r="C89" s="181">
        <f>'Sch M 2.3'!E224+'Sch M 2.3'!E231+'Sch M 2.3'!E238+'Sch M 2.3'!E245+'Sch M 2.3'!E252+'Sch M 2.3'!E259+'Sch M 2.3'!E287+'Sch M 2.3'!E294+'Sch M 2.3'!E301+'Sch M 2.3'!E308+'Sch M 2.3'!E315+'Sch M 2.3'!E322+'Sch M 2.3'!E349+'Sch M 2.3'!E356</f>
        <v>2339232.7999999998</v>
      </c>
      <c r="D89" s="181">
        <f>'Sch M 2.3'!F224+'Sch M 2.3'!F231+'Sch M 2.3'!F238+'Sch M 2.3'!F245+'Sch M 2.3'!F252+'Sch M 2.3'!F259+'Sch M 2.3'!F287+'Sch M 2.3'!F294+'Sch M 2.3'!F301+'Sch M 2.3'!F308+'Sch M 2.3'!F315+'Sch M 2.3'!F322+'Sch M 2.3'!F349+'Sch M 2.3'!F356</f>
        <v>2091281.1</v>
      </c>
      <c r="E89" s="181">
        <f>'Sch M 2.3'!G224+'Sch M 2.3'!G231+'Sch M 2.3'!G238+'Sch M 2.3'!G245+'Sch M 2.3'!G252+'Sch M 2.3'!G259+'Sch M 2.3'!G287+'Sch M 2.3'!G294+'Sch M 2.3'!G301+'Sch M 2.3'!G308+'Sch M 2.3'!G315+'Sch M 2.3'!G322+'Sch M 2.3'!G349+'Sch M 2.3'!G356</f>
        <v>1996731.3</v>
      </c>
      <c r="F89" s="181">
        <f>'Sch M 2.3'!H224+'Sch M 2.3'!H231+'Sch M 2.3'!H238+'Sch M 2.3'!H245+'Sch M 2.3'!H252+'Sch M 2.3'!H259+'Sch M 2.3'!H287+'Sch M 2.3'!H294+'Sch M 2.3'!H301+'Sch M 2.3'!H308+'Sch M 2.3'!H315+'Sch M 2.3'!H322+'Sch M 2.3'!H349+'Sch M 2.3'!H356</f>
        <v>1573935.2999999998</v>
      </c>
      <c r="G89" s="181">
        <f>'Sch M 2.3'!I224+'Sch M 2.3'!I231+'Sch M 2.3'!I238+'Sch M 2.3'!I245+'Sch M 2.3'!I252+'Sch M 2.3'!I259+'Sch M 2.3'!I287+'Sch M 2.3'!I294+'Sch M 2.3'!I301+'Sch M 2.3'!I308+'Sch M 2.3'!I315+'Sch M 2.3'!I322+'Sch M 2.3'!I349+'Sch M 2.3'!I356</f>
        <v>1226545.8</v>
      </c>
      <c r="H89" s="181">
        <f>'Sch M 2.3'!J224+'Sch M 2.3'!J231+'Sch M 2.3'!J238+'Sch M 2.3'!J245+'Sch M 2.3'!J252+'Sch M 2.3'!J259+'Sch M 2.3'!J287+'Sch M 2.3'!J294+'Sch M 2.3'!J301+'Sch M 2.3'!J308+'Sch M 2.3'!J315+'Sch M 2.3'!J322+'Sch M 2.3'!J349+'Sch M 2.3'!J356</f>
        <v>1064967.4000000001</v>
      </c>
      <c r="I89" s="181">
        <f>'Sch M 2.3'!K224+'Sch M 2.3'!K231+'Sch M 2.3'!K238+'Sch M 2.3'!K245+'Sch M 2.3'!K252+'Sch M 2.3'!K259+'Sch M 2.3'!K287+'Sch M 2.3'!K294+'Sch M 2.3'!K301+'Sch M 2.3'!K308+'Sch M 2.3'!K315+'Sch M 2.3'!K322+'Sch M 2.3'!K349+'Sch M 2.3'!K356</f>
        <v>1009219.9</v>
      </c>
      <c r="J89" s="181">
        <f>'Sch M 2.3'!L224+'Sch M 2.3'!L231+'Sch M 2.3'!L238+'Sch M 2.3'!L245+'Sch M 2.3'!L252+'Sch M 2.3'!L259+'Sch M 2.3'!L287+'Sch M 2.3'!L294+'Sch M 2.3'!L301+'Sch M 2.3'!L308+'Sch M 2.3'!L315+'Sch M 2.3'!L322+'Sch M 2.3'!L349+'Sch M 2.3'!L356</f>
        <v>1131965.7</v>
      </c>
      <c r="K89" s="181">
        <f>'Sch M 2.3'!M224+'Sch M 2.3'!M231+'Sch M 2.3'!M238+'Sch M 2.3'!M245+'Sch M 2.3'!M252+'Sch M 2.3'!M259+'Sch M 2.3'!M287+'Sch M 2.3'!M294+'Sch M 2.3'!M301+'Sch M 2.3'!M308+'Sch M 2.3'!M315+'Sch M 2.3'!M322+'Sch M 2.3'!M349+'Sch M 2.3'!M356</f>
        <v>1203775.7000000002</v>
      </c>
      <c r="L89" s="181">
        <f>'Sch M 2.3'!N224+'Sch M 2.3'!N231+'Sch M 2.3'!N238+'Sch M 2.3'!N245+'Sch M 2.3'!N252+'Sch M 2.3'!N259+'Sch M 2.3'!N287+'Sch M 2.3'!N294+'Sch M 2.3'!N301+'Sch M 2.3'!N308+'Sch M 2.3'!N315+'Sch M 2.3'!N322+'Sch M 2.3'!N349+'Sch M 2.3'!N356</f>
        <v>1470532.1</v>
      </c>
      <c r="M89" s="181">
        <f>'Sch M 2.3'!O224+'Sch M 2.3'!O231+'Sch M 2.3'!O238+'Sch M 2.3'!O245+'Sch M 2.3'!O252+'Sch M 2.3'!O259+'Sch M 2.3'!O287+'Sch M 2.3'!O294+'Sch M 2.3'!O301+'Sch M 2.3'!O308+'Sch M 2.3'!O315+'Sch M 2.3'!O322+'Sch M 2.3'!O349+'Sch M 2.3'!O356</f>
        <v>1764884.4</v>
      </c>
      <c r="N89" s="181">
        <f>'Sch M 2.3'!P224+'Sch M 2.3'!P231+'Sch M 2.3'!P238+'Sch M 2.3'!P245+'Sch M 2.3'!P252+'Sch M 2.3'!P259+'Sch M 2.3'!P287+'Sch M 2.3'!P294+'Sch M 2.3'!P301+'Sch M 2.3'!P308+'Sch M 2.3'!P315+'Sch M 2.3'!P322+'Sch M 2.3'!P349+'Sch M 2.3'!P356</f>
        <v>2123734.7000000002</v>
      </c>
      <c r="O89" s="176">
        <f>SUM(C89:N89)</f>
        <v>18996806.199999999</v>
      </c>
    </row>
    <row r="90" spans="1:18" x14ac:dyDescent="0.35">
      <c r="A90" s="74"/>
      <c r="B90" s="63"/>
      <c r="C90" s="178"/>
      <c r="D90" s="178"/>
      <c r="E90" s="178"/>
      <c r="F90" s="178"/>
      <c r="G90" s="188"/>
      <c r="H90" s="188"/>
      <c r="I90" s="188"/>
      <c r="J90" s="188"/>
      <c r="K90" s="188"/>
      <c r="L90" s="188"/>
      <c r="M90" s="188"/>
      <c r="N90" s="188"/>
      <c r="O90" s="188"/>
    </row>
    <row r="91" spans="1:18" ht="16" thickBot="1" x14ac:dyDescent="0.4">
      <c r="A91" s="74">
        <f>A89+1</f>
        <v>19</v>
      </c>
      <c r="B91" s="63" t="s">
        <v>310</v>
      </c>
      <c r="C91" s="190">
        <f t="shared" ref="C91:M91" si="9">C87+C89</f>
        <v>4607407.5</v>
      </c>
      <c r="D91" s="190">
        <f t="shared" si="9"/>
        <v>4343127.5</v>
      </c>
      <c r="E91" s="190">
        <f t="shared" si="9"/>
        <v>3778498.2</v>
      </c>
      <c r="F91" s="190">
        <f t="shared" si="9"/>
        <v>2543977.8999999994</v>
      </c>
      <c r="G91" s="190">
        <f t="shared" si="9"/>
        <v>1696282</v>
      </c>
      <c r="H91" s="190">
        <f t="shared" si="9"/>
        <v>1342341.5000000002</v>
      </c>
      <c r="I91" s="190">
        <f t="shared" si="9"/>
        <v>1199022.8</v>
      </c>
      <c r="J91" s="190">
        <f t="shared" si="9"/>
        <v>1318257.5999999999</v>
      </c>
      <c r="K91" s="190">
        <f t="shared" si="9"/>
        <v>1410637.1</v>
      </c>
      <c r="L91" s="190">
        <f t="shared" si="9"/>
        <v>1780152.1</v>
      </c>
      <c r="M91" s="190">
        <f t="shared" si="9"/>
        <v>2491659.5999999996</v>
      </c>
      <c r="N91" s="190">
        <f>N87+N89</f>
        <v>3776806.5999999996</v>
      </c>
      <c r="O91" s="190">
        <f>SUM(C91:N91)</f>
        <v>30288170.400000006</v>
      </c>
      <c r="P91" s="80"/>
      <c r="Q91" s="737"/>
      <c r="R91" s="80"/>
    </row>
    <row r="92" spans="1:18" ht="16" thickTop="1" x14ac:dyDescent="0.35">
      <c r="A92" s="74"/>
      <c r="C92" s="735"/>
      <c r="D92" s="178"/>
      <c r="E92" s="191"/>
      <c r="F92" s="191"/>
      <c r="G92" s="188"/>
      <c r="H92" s="181"/>
      <c r="I92" s="191"/>
      <c r="J92" s="191"/>
      <c r="K92" s="191"/>
      <c r="L92" s="191"/>
      <c r="M92" s="191"/>
      <c r="N92" s="191"/>
      <c r="O92" s="192"/>
      <c r="P92" s="92"/>
      <c r="Q92" s="736"/>
      <c r="R92" s="92"/>
    </row>
    <row r="93" spans="1:18" x14ac:dyDescent="0.35">
      <c r="A93" s="74"/>
      <c r="C93" s="193"/>
      <c r="D93" s="193"/>
      <c r="E93" s="193"/>
      <c r="F93" s="193"/>
      <c r="G93" s="178"/>
      <c r="I93" s="193"/>
      <c r="J93" s="193"/>
      <c r="K93" s="193"/>
      <c r="L93" s="193"/>
      <c r="M93" s="193"/>
      <c r="N93" s="193"/>
      <c r="O93" s="94"/>
      <c r="P93" s="80"/>
      <c r="Q93" s="737"/>
      <c r="R93" s="80"/>
    </row>
    <row r="94" spans="1:18" x14ac:dyDescent="0.35">
      <c r="A94" s="74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94"/>
      <c r="P94" s="80"/>
      <c r="Q94" s="737"/>
      <c r="R94" s="80"/>
    </row>
    <row r="95" spans="1:18" x14ac:dyDescent="0.35">
      <c r="A95" s="74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94"/>
      <c r="P95" s="80"/>
      <c r="Q95" s="737"/>
      <c r="R95" s="80"/>
    </row>
    <row r="96" spans="1:18" x14ac:dyDescent="0.35">
      <c r="A96" s="74"/>
      <c r="B96" s="154"/>
      <c r="C96" s="738"/>
      <c r="D96" s="60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80"/>
      <c r="Q96" s="92"/>
      <c r="R96" s="80"/>
    </row>
    <row r="97" spans="1:18" x14ac:dyDescent="0.35">
      <c r="A97" s="74"/>
      <c r="C97" s="738"/>
      <c r="D97" s="60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80"/>
      <c r="Q97" s="80"/>
      <c r="R97" s="80"/>
    </row>
    <row r="98" spans="1:18" x14ac:dyDescent="0.35">
      <c r="A98" s="74"/>
      <c r="B98" s="154"/>
      <c r="C98" s="738"/>
      <c r="D98" s="60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80"/>
      <c r="Q98" s="80"/>
      <c r="R98" s="80"/>
    </row>
    <row r="99" spans="1:18" x14ac:dyDescent="0.35">
      <c r="A99" s="74"/>
      <c r="C99" s="63"/>
      <c r="D99" s="60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Q99" s="80"/>
      <c r="R99" s="80"/>
    </row>
    <row r="100" spans="1:18" x14ac:dyDescent="0.35">
      <c r="A100" s="63"/>
      <c r="C100" s="63"/>
      <c r="D100" s="60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Q100" s="80"/>
      <c r="R100" s="80"/>
    </row>
    <row r="101" spans="1:18" x14ac:dyDescent="0.35">
      <c r="A101" s="63"/>
      <c r="B101" s="154"/>
      <c r="C101" s="63"/>
      <c r="D101" s="60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R101" s="113"/>
    </row>
    <row r="102" spans="1:18" x14ac:dyDescent="0.35">
      <c r="A102" s="63"/>
      <c r="C102" s="63"/>
      <c r="D102" s="60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R102" s="153"/>
    </row>
    <row r="103" spans="1:18" x14ac:dyDescent="0.35">
      <c r="A103" s="63"/>
      <c r="C103" s="63"/>
      <c r="D103" s="60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Q103" s="80"/>
      <c r="R103" s="80"/>
    </row>
    <row r="104" spans="1:18" x14ac:dyDescent="0.35">
      <c r="A104" s="63"/>
      <c r="C104" s="63"/>
      <c r="D104" s="60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Q104" s="80"/>
      <c r="R104" s="80"/>
    </row>
  </sheetData>
  <mergeCells count="15">
    <mergeCell ref="Q26:R26"/>
    <mergeCell ref="Q42:R42"/>
    <mergeCell ref="Q74:R74"/>
    <mergeCell ref="A59:O59"/>
    <mergeCell ref="A1:O1"/>
    <mergeCell ref="A2:O2"/>
    <mergeCell ref="A3:O3"/>
    <mergeCell ref="A4:O4"/>
    <mergeCell ref="A5:O5"/>
    <mergeCell ref="A11:O11"/>
    <mergeCell ref="A49:O49"/>
    <mergeCell ref="A50:O50"/>
    <mergeCell ref="A51:O51"/>
    <mergeCell ref="A52:O52"/>
    <mergeCell ref="A53:O53"/>
  </mergeCells>
  <printOptions horizontalCentered="1"/>
  <pageMargins left="0.25" right="0.25" top="1" bottom="0.25" header="0.5" footer="0.5"/>
  <pageSetup scale="48" orientation="landscape" r:id="rId1"/>
  <headerFooter alignWithMargins="0"/>
  <rowBreaks count="1" manualBreakCount="1">
    <brk id="4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4"/>
  <dimension ref="A1:M67"/>
  <sheetViews>
    <sheetView topLeftCell="A18" workbookViewId="0">
      <selection activeCell="G101" sqref="G100:G101"/>
    </sheetView>
  </sheetViews>
  <sheetFormatPr defaultColWidth="10" defaultRowHeight="10" x14ac:dyDescent="0.2"/>
  <cols>
    <col min="1" max="1" width="5.125" style="216" customWidth="1"/>
    <col min="2" max="2" width="50.375" style="216" bestFit="1" customWidth="1"/>
    <col min="3" max="3" width="11.375" style="216" bestFit="1" customWidth="1"/>
    <col min="4" max="4" width="15" style="216" bestFit="1" customWidth="1"/>
    <col min="5" max="5" width="15.625" style="216" bestFit="1" customWidth="1"/>
    <col min="6" max="6" width="14.625" style="216" bestFit="1" customWidth="1"/>
    <col min="7" max="7" width="16.625" style="216" bestFit="1" customWidth="1"/>
    <col min="8" max="8" width="15" style="216" bestFit="1" customWidth="1"/>
    <col min="9" max="9" width="13.625" style="216" bestFit="1" customWidth="1"/>
    <col min="10" max="10" width="12.375" style="216" customWidth="1"/>
    <col min="11" max="11" width="16" style="216" customWidth="1"/>
    <col min="12" max="12" width="10" style="216" customWidth="1"/>
    <col min="13" max="13" width="15.625" style="216" customWidth="1"/>
    <col min="14" max="16384" width="10" style="216"/>
  </cols>
  <sheetData>
    <row r="1" spans="1:11" ht="10.5" x14ac:dyDescent="0.25">
      <c r="A1" s="800" t="str">
        <f>CONAME</f>
        <v>Columbia Gas of Kentucky, Inc.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1" ht="10.5" x14ac:dyDescent="0.25">
      <c r="A2" s="800" t="str">
        <f>case</f>
        <v>Case No. 2021-00183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1" ht="10.5" x14ac:dyDescent="0.25">
      <c r="A3" s="800" t="s">
        <v>198</v>
      </c>
      <c r="B3" s="800"/>
      <c r="C3" s="800"/>
      <c r="D3" s="800"/>
      <c r="E3" s="800"/>
      <c r="F3" s="800"/>
      <c r="G3" s="800"/>
      <c r="H3" s="800"/>
      <c r="I3" s="800"/>
      <c r="J3" s="800"/>
    </row>
    <row r="4" spans="1:11" ht="10.5" x14ac:dyDescent="0.25">
      <c r="A4" s="800" t="str">
        <f>TYDESC</f>
        <v>For the 12 Months Ended December 31, 2022</v>
      </c>
      <c r="B4" s="800"/>
      <c r="C4" s="800"/>
      <c r="D4" s="800"/>
      <c r="E4" s="800"/>
      <c r="F4" s="800"/>
      <c r="G4" s="800"/>
      <c r="H4" s="800"/>
      <c r="I4" s="800"/>
      <c r="J4" s="800"/>
    </row>
    <row r="5" spans="1:11" ht="10.5" x14ac:dyDescent="0.25">
      <c r="A5" s="814" t="s">
        <v>39</v>
      </c>
      <c r="B5" s="814"/>
      <c r="C5" s="814"/>
      <c r="D5" s="814"/>
      <c r="E5" s="814"/>
      <c r="F5" s="814"/>
      <c r="G5" s="814"/>
      <c r="H5" s="814"/>
      <c r="I5" s="814"/>
      <c r="J5" s="814"/>
    </row>
    <row r="6" spans="1:11" ht="10.5" x14ac:dyDescent="0.25">
      <c r="A6" s="732"/>
      <c r="B6" s="732"/>
      <c r="C6" s="732"/>
      <c r="D6" s="732"/>
      <c r="E6" s="732"/>
      <c r="F6" s="732"/>
      <c r="G6" s="732"/>
      <c r="H6" s="732"/>
      <c r="I6" s="732"/>
      <c r="J6" s="732"/>
    </row>
    <row r="7" spans="1:11" ht="10.5" x14ac:dyDescent="0.25">
      <c r="A7" s="245" t="s">
        <v>479</v>
      </c>
    </row>
    <row r="8" spans="1:11" ht="10.5" x14ac:dyDescent="0.25">
      <c r="A8" s="245" t="s">
        <v>446</v>
      </c>
      <c r="J8" s="583" t="s">
        <v>313</v>
      </c>
    </row>
    <row r="9" spans="1:11" ht="10.5" x14ac:dyDescent="0.25">
      <c r="A9" s="392" t="s">
        <v>63</v>
      </c>
      <c r="J9" s="583" t="s">
        <v>352</v>
      </c>
    </row>
    <row r="10" spans="1:11" ht="10.5" x14ac:dyDescent="0.25">
      <c r="A10" s="749" t="s">
        <v>299</v>
      </c>
      <c r="B10" s="739"/>
      <c r="C10" s="739"/>
      <c r="D10" s="739"/>
      <c r="E10" s="739"/>
      <c r="F10" s="739"/>
      <c r="G10" s="739"/>
      <c r="H10" s="740"/>
      <c r="I10" s="739"/>
      <c r="J10" s="741" t="str">
        <f>Witness</f>
        <v>Witness:  Judith L. Siegler</v>
      </c>
      <c r="K10" s="280"/>
    </row>
    <row r="11" spans="1:11" ht="10.5" x14ac:dyDescent="0.25">
      <c r="A11" s="242"/>
      <c r="B11" s="727"/>
      <c r="C11" s="727"/>
      <c r="D11" s="727"/>
      <c r="E11" s="727" t="s">
        <v>67</v>
      </c>
      <c r="F11" s="727" t="s">
        <v>353</v>
      </c>
      <c r="G11" s="727"/>
      <c r="H11" s="727" t="s">
        <v>67</v>
      </c>
      <c r="I11" s="727"/>
      <c r="J11" s="732" t="s">
        <v>70</v>
      </c>
    </row>
    <row r="12" spans="1:11" ht="10.5" x14ac:dyDescent="0.25">
      <c r="A12" s="727" t="s">
        <v>1</v>
      </c>
      <c r="B12" s="727" t="s">
        <v>0</v>
      </c>
      <c r="C12" s="727" t="s">
        <v>44</v>
      </c>
      <c r="D12" s="727"/>
      <c r="E12" s="727" t="s">
        <v>68</v>
      </c>
      <c r="F12" s="727" t="s">
        <v>357</v>
      </c>
      <c r="G12" s="727" t="s">
        <v>20</v>
      </c>
      <c r="H12" s="727" t="s">
        <v>30</v>
      </c>
      <c r="I12" s="727" t="s">
        <v>20</v>
      </c>
      <c r="J12" s="727" t="s">
        <v>20</v>
      </c>
    </row>
    <row r="13" spans="1:11" ht="10.5" x14ac:dyDescent="0.25">
      <c r="A13" s="263" t="s">
        <v>3</v>
      </c>
      <c r="B13" s="263" t="s">
        <v>66</v>
      </c>
      <c r="C13" s="263" t="s">
        <v>290</v>
      </c>
      <c r="D13" s="263" t="s">
        <v>26</v>
      </c>
      <c r="E13" s="263" t="s">
        <v>48</v>
      </c>
      <c r="F13" s="263" t="s">
        <v>354</v>
      </c>
      <c r="G13" s="263" t="s">
        <v>5</v>
      </c>
      <c r="H13" s="263" t="s">
        <v>48</v>
      </c>
      <c r="I13" s="263" t="s">
        <v>69</v>
      </c>
      <c r="J13" s="263" t="s">
        <v>69</v>
      </c>
    </row>
    <row r="14" spans="1:11" ht="10.5" x14ac:dyDescent="0.25">
      <c r="A14" s="727"/>
      <c r="B14" s="732" t="s">
        <v>42</v>
      </c>
      <c r="C14" s="732" t="s">
        <v>43</v>
      </c>
      <c r="D14" s="732" t="s">
        <v>45</v>
      </c>
      <c r="E14" s="732" t="s">
        <v>46</v>
      </c>
      <c r="F14" s="732" t="s">
        <v>49</v>
      </c>
      <c r="G14" s="732" t="s">
        <v>50</v>
      </c>
      <c r="H14" s="732" t="s">
        <v>51</v>
      </c>
      <c r="I14" s="732" t="s">
        <v>358</v>
      </c>
      <c r="J14" s="732" t="s">
        <v>359</v>
      </c>
    </row>
    <row r="15" spans="1:11" ht="10.5" x14ac:dyDescent="0.25">
      <c r="E15" s="732" t="s">
        <v>60</v>
      </c>
      <c r="F15" s="732" t="s">
        <v>60</v>
      </c>
      <c r="G15" s="732" t="s">
        <v>60</v>
      </c>
      <c r="H15" s="732" t="s">
        <v>60</v>
      </c>
      <c r="I15" s="732" t="s">
        <v>60</v>
      </c>
      <c r="J15" s="732" t="s">
        <v>61</v>
      </c>
    </row>
    <row r="17" spans="1:13" ht="10.5" x14ac:dyDescent="0.25">
      <c r="A17" s="216">
        <v>1</v>
      </c>
      <c r="B17" s="742" t="s">
        <v>94</v>
      </c>
      <c r="C17" s="742"/>
      <c r="D17" s="742"/>
    </row>
    <row r="19" spans="1:13" x14ac:dyDescent="0.2">
      <c r="A19" s="216">
        <f>A17+1</f>
        <v>2</v>
      </c>
      <c r="B19" s="216" t="str">
        <f>Input!B16</f>
        <v>General Service - Residential</v>
      </c>
      <c r="C19" s="267">
        <f>'Sch M 2.2'!Q66</f>
        <v>1313261</v>
      </c>
      <c r="D19" s="424">
        <f>'Sch M 2.2'!Q67</f>
        <v>7256607.7000000002</v>
      </c>
      <c r="E19" s="419">
        <f>'Sch M 2.2'!Q70</f>
        <v>86451073.719999999</v>
      </c>
      <c r="F19" s="228">
        <f>ROUND('C'!P17*(Input!$AB$16-Input!$O$16),2)</f>
        <v>-100866.85</v>
      </c>
      <c r="G19" s="750">
        <f>E19+F19</f>
        <v>86350206.870000005</v>
      </c>
      <c r="H19" s="419">
        <f>'Sch M 2.3'!Q69</f>
        <v>101816233.07000001</v>
      </c>
      <c r="I19" s="419">
        <f>H19-G19</f>
        <v>15466026.200000003</v>
      </c>
      <c r="J19" s="269">
        <f t="shared" ref="J19:J32" si="0">IF(E19=0,0,ROUND(I19/E19,4)*100)</f>
        <v>17.89</v>
      </c>
    </row>
    <row r="20" spans="1:13" x14ac:dyDescent="0.2">
      <c r="A20" s="216">
        <f t="shared" ref="A20:A44" si="1">A19+1</f>
        <v>3</v>
      </c>
      <c r="B20" s="216" t="str">
        <f>Input!B17</f>
        <v>LG&amp;E Commercial</v>
      </c>
      <c r="C20" s="267">
        <f>'Sch M 2.2'!Q73</f>
        <v>0</v>
      </c>
      <c r="D20" s="424">
        <f>'Sch M 2.2'!Q74</f>
        <v>0</v>
      </c>
      <c r="E20" s="267">
        <f>'Sch M 2.2'!Q77</f>
        <v>0</v>
      </c>
      <c r="F20" s="267">
        <v>0</v>
      </c>
      <c r="G20" s="750">
        <f t="shared" ref="G20:G32" si="2">E20+F20</f>
        <v>0</v>
      </c>
      <c r="H20" s="267">
        <f>'Sch M 2.3'!Q76</f>
        <v>0</v>
      </c>
      <c r="I20" s="419">
        <f t="shared" ref="I20:I32" si="3">H20-G20</f>
        <v>0</v>
      </c>
      <c r="J20" s="269">
        <f t="shared" si="0"/>
        <v>0</v>
      </c>
    </row>
    <row r="21" spans="1:13" x14ac:dyDescent="0.2">
      <c r="A21" s="216">
        <f t="shared" si="1"/>
        <v>4</v>
      </c>
      <c r="B21" s="216" t="str">
        <f>Input!B18</f>
        <v>LG&amp;E Residential</v>
      </c>
      <c r="C21" s="267">
        <f>'Sch M 2.2'!Q80</f>
        <v>48</v>
      </c>
      <c r="D21" s="424">
        <f>'Sch M 2.2'!Q81</f>
        <v>452.4</v>
      </c>
      <c r="E21" s="267">
        <f>'Sch M 2.2'!Q84</f>
        <v>4820.84</v>
      </c>
      <c r="F21" s="267">
        <v>0</v>
      </c>
      <c r="G21" s="750">
        <f t="shared" si="2"/>
        <v>4820.84</v>
      </c>
      <c r="H21" s="267">
        <f>'Sch M 2.3'!Q83</f>
        <v>4820.84</v>
      </c>
      <c r="I21" s="419">
        <f t="shared" si="3"/>
        <v>0</v>
      </c>
      <c r="J21" s="269">
        <f t="shared" si="0"/>
        <v>0</v>
      </c>
      <c r="M21" s="215"/>
    </row>
    <row r="22" spans="1:13" x14ac:dyDescent="0.2">
      <c r="A22" s="216">
        <f t="shared" si="1"/>
        <v>5</v>
      </c>
      <c r="B22" s="216" t="str">
        <f>Input!B19</f>
        <v>Inland Gas General Service - Residential</v>
      </c>
      <c r="C22" s="267">
        <f>'Sch M 2.2'!Q87</f>
        <v>120</v>
      </c>
      <c r="D22" s="424">
        <f>'Sch M 2.2'!Q88</f>
        <v>1382.6</v>
      </c>
      <c r="E22" s="267">
        <f>'Sch M 2.2'!Q91</f>
        <v>572.95000000000005</v>
      </c>
      <c r="F22" s="267">
        <v>0</v>
      </c>
      <c r="G22" s="750">
        <f t="shared" si="2"/>
        <v>572.95000000000005</v>
      </c>
      <c r="H22" s="267">
        <f>'Sch M 2.3'!Q90</f>
        <v>572.95000000000005</v>
      </c>
      <c r="I22" s="419">
        <f t="shared" si="3"/>
        <v>0</v>
      </c>
      <c r="J22" s="269">
        <f t="shared" si="0"/>
        <v>0</v>
      </c>
      <c r="M22" s="215"/>
    </row>
    <row r="23" spans="1:13" x14ac:dyDescent="0.2">
      <c r="A23" s="216">
        <f t="shared" si="1"/>
        <v>6</v>
      </c>
      <c r="B23" s="216" t="str">
        <f>Input!B21</f>
        <v>Inland Gas General Service - Residential</v>
      </c>
      <c r="C23" s="267">
        <f>'Sch M 2.2'!Q94</f>
        <v>0</v>
      </c>
      <c r="D23" s="424">
        <f>'Sch M 2.2'!Q95</f>
        <v>0</v>
      </c>
      <c r="E23" s="267">
        <f>'Sch M 2.2'!Q98</f>
        <v>0</v>
      </c>
      <c r="F23" s="267">
        <v>0</v>
      </c>
      <c r="G23" s="750">
        <f t="shared" si="2"/>
        <v>0</v>
      </c>
      <c r="H23" s="267">
        <f>'Sch M 2.3'!Q97</f>
        <v>0</v>
      </c>
      <c r="I23" s="419">
        <f t="shared" si="3"/>
        <v>0</v>
      </c>
      <c r="J23" s="269">
        <f t="shared" si="0"/>
        <v>0</v>
      </c>
    </row>
    <row r="24" spans="1:13" ht="10.5" x14ac:dyDescent="0.25">
      <c r="A24" s="216">
        <f t="shared" si="1"/>
        <v>7</v>
      </c>
      <c r="B24" s="216" t="str">
        <f>Input!B22</f>
        <v>Inland Gas General Service - Residential</v>
      </c>
      <c r="C24" s="267">
        <f>'Sch M 2.2'!Q101</f>
        <v>36</v>
      </c>
      <c r="D24" s="424">
        <f>'Sch M 2.2'!Q102</f>
        <v>263.8</v>
      </c>
      <c r="E24" s="267">
        <f>'Sch M 2.2'!Q105</f>
        <v>162.06000000000003</v>
      </c>
      <c r="F24" s="267">
        <v>0</v>
      </c>
      <c r="G24" s="750">
        <f t="shared" si="2"/>
        <v>162.06000000000003</v>
      </c>
      <c r="H24" s="267">
        <f>'Sch M 2.3'!Q104</f>
        <v>162.06000000000003</v>
      </c>
      <c r="I24" s="419">
        <f t="shared" si="3"/>
        <v>0</v>
      </c>
      <c r="J24" s="269">
        <f t="shared" si="0"/>
        <v>0</v>
      </c>
      <c r="K24" s="727"/>
      <c r="M24" s="727"/>
    </row>
    <row r="25" spans="1:13" ht="10.5" x14ac:dyDescent="0.25">
      <c r="A25" s="216">
        <f t="shared" si="1"/>
        <v>8</v>
      </c>
      <c r="B25" s="216" t="str">
        <f>Input!B23</f>
        <v xml:space="preserve">LG&amp;E Residential </v>
      </c>
      <c r="C25" s="267">
        <f>'Sch M 2.2'!Q130</f>
        <v>12</v>
      </c>
      <c r="D25" s="424">
        <f>'Sch M 2.2'!Q131</f>
        <v>672.3</v>
      </c>
      <c r="E25" s="267">
        <f>'Sch M 2.2'!Q134</f>
        <v>235.35000000000005</v>
      </c>
      <c r="F25" s="267">
        <v>0</v>
      </c>
      <c r="G25" s="750">
        <f t="shared" si="2"/>
        <v>235.35000000000005</v>
      </c>
      <c r="H25" s="267">
        <f>'Sch M 2.3'!Q131</f>
        <v>235.35000000000005</v>
      </c>
      <c r="I25" s="419">
        <f t="shared" si="3"/>
        <v>0</v>
      </c>
      <c r="J25" s="269">
        <f t="shared" si="0"/>
        <v>0</v>
      </c>
      <c r="K25" s="727"/>
      <c r="L25" s="727"/>
      <c r="M25" s="727"/>
    </row>
    <row r="26" spans="1:13" ht="10.5" x14ac:dyDescent="0.25">
      <c r="A26" s="216">
        <f t="shared" si="1"/>
        <v>9</v>
      </c>
      <c r="B26" s="216" t="str">
        <f>Input!B24</f>
        <v>LG&amp;E Commercial</v>
      </c>
      <c r="C26" s="267">
        <f>'Sch M 2.2'!Q137</f>
        <v>0</v>
      </c>
      <c r="D26" s="424">
        <f>'Sch M 2.2'!Q138</f>
        <v>0</v>
      </c>
      <c r="E26" s="267">
        <f>'Sch M 2.2'!Q141</f>
        <v>0</v>
      </c>
      <c r="F26" s="267">
        <v>0</v>
      </c>
      <c r="G26" s="750">
        <f t="shared" si="2"/>
        <v>0</v>
      </c>
      <c r="H26" s="267">
        <f>'Sch M 2.3'!Q138</f>
        <v>0</v>
      </c>
      <c r="I26" s="419">
        <f t="shared" si="3"/>
        <v>0</v>
      </c>
      <c r="J26" s="269">
        <f t="shared" si="0"/>
        <v>0</v>
      </c>
      <c r="K26" s="263"/>
      <c r="L26" s="263"/>
      <c r="M26" s="263"/>
    </row>
    <row r="27" spans="1:13" ht="10.5" x14ac:dyDescent="0.25">
      <c r="A27" s="216">
        <f t="shared" si="1"/>
        <v>10</v>
      </c>
      <c r="B27" s="216" t="str">
        <f>Input!B25</f>
        <v>LG&amp;E Residential</v>
      </c>
      <c r="C27" s="267">
        <f>'Sch M 2.2'!Q144</f>
        <v>12</v>
      </c>
      <c r="D27" s="424">
        <f>'Sch M 2.2'!Q145</f>
        <v>588.90000000000009</v>
      </c>
      <c r="E27" s="267">
        <f>'Sch M 2.2'!Q148</f>
        <v>212.01000000000005</v>
      </c>
      <c r="F27" s="267">
        <v>0</v>
      </c>
      <c r="G27" s="750">
        <f t="shared" si="2"/>
        <v>212.01000000000005</v>
      </c>
      <c r="H27" s="267">
        <f>'Sch M 2.3'!Q145</f>
        <v>212.01000000000005</v>
      </c>
      <c r="I27" s="419">
        <f t="shared" si="3"/>
        <v>0</v>
      </c>
      <c r="J27" s="269">
        <f t="shared" si="0"/>
        <v>0</v>
      </c>
      <c r="K27" s="727"/>
      <c r="L27" s="727"/>
      <c r="M27" s="727"/>
    </row>
    <row r="28" spans="1:13" x14ac:dyDescent="0.2">
      <c r="A28" s="216">
        <f t="shared" si="1"/>
        <v>11</v>
      </c>
      <c r="B28" s="216" t="str">
        <f>Input!B26</f>
        <v>LG&amp;E Residential</v>
      </c>
      <c r="C28" s="267">
        <f>'Sch M 2.2'!Q151</f>
        <v>12</v>
      </c>
      <c r="D28" s="424">
        <f>'Sch M 2.2'!Q152</f>
        <v>166.80000000000004</v>
      </c>
      <c r="E28" s="267">
        <f>'Sch M 2.2'!Q155</f>
        <v>66.72</v>
      </c>
      <c r="F28" s="267">
        <v>0</v>
      </c>
      <c r="G28" s="750">
        <f t="shared" si="2"/>
        <v>66.72</v>
      </c>
      <c r="H28" s="267">
        <f>'Sch M 2.3'!Q152</f>
        <v>66.72</v>
      </c>
      <c r="I28" s="419">
        <f t="shared" si="3"/>
        <v>0</v>
      </c>
      <c r="J28" s="269">
        <f t="shared" si="0"/>
        <v>0</v>
      </c>
      <c r="K28" s="242"/>
    </row>
    <row r="29" spans="1:13" x14ac:dyDescent="0.2">
      <c r="A29" s="216">
        <f t="shared" si="1"/>
        <v>12</v>
      </c>
      <c r="B29" s="216" t="str">
        <f>Input!B27</f>
        <v>General Service - Commercial</v>
      </c>
      <c r="C29" s="267">
        <f>'Sch M 2.2'!Q158</f>
        <v>138926</v>
      </c>
      <c r="D29" s="424">
        <f>'Sch M 2.2'!Q159</f>
        <v>3764009.0999999992</v>
      </c>
      <c r="E29" s="267">
        <f>'Sch M 2.2'!Q162</f>
        <v>35527761.530000001</v>
      </c>
      <c r="F29" s="228">
        <f>ROUND(D29*(Input!$AB$16-Input!$O$16),2)</f>
        <v>-52319.73</v>
      </c>
      <c r="G29" s="750">
        <f>E29+F29</f>
        <v>35475441.800000004</v>
      </c>
      <c r="H29" s="267">
        <f>'Sch M 2.3'!Q159</f>
        <v>40415975.63000001</v>
      </c>
      <c r="I29" s="419">
        <f t="shared" si="3"/>
        <v>4940533.8300000057</v>
      </c>
      <c r="J29" s="269">
        <f t="shared" si="0"/>
        <v>13.91</v>
      </c>
      <c r="K29" s="743"/>
      <c r="L29" s="743"/>
    </row>
    <row r="30" spans="1:13" x14ac:dyDescent="0.2">
      <c r="A30" s="216">
        <f t="shared" si="1"/>
        <v>13</v>
      </c>
      <c r="B30" s="216" t="str">
        <f>Input!B28</f>
        <v>General Service - Industrial</v>
      </c>
      <c r="C30" s="267">
        <f>'Sch M 2.2'!Q186</f>
        <v>618</v>
      </c>
      <c r="D30" s="424">
        <f>'Sch M 2.2'!Q187</f>
        <v>255969.39999999997</v>
      </c>
      <c r="E30" s="267">
        <f>'Sch M 2.2'!Q190</f>
        <v>1704101.4800000004</v>
      </c>
      <c r="F30" s="228">
        <f>ROUND(D30*(Input!$AB$16-Input!$O$16),2)</f>
        <v>-3557.97</v>
      </c>
      <c r="G30" s="750">
        <f t="shared" si="2"/>
        <v>1700543.5100000005</v>
      </c>
      <c r="H30" s="267">
        <f>'Sch M 2.3'!Q186</f>
        <v>1857813.16</v>
      </c>
      <c r="I30" s="419">
        <f t="shared" si="3"/>
        <v>157269.64999999944</v>
      </c>
      <c r="J30" s="269">
        <f t="shared" si="0"/>
        <v>9.2299999999999986</v>
      </c>
    </row>
    <row r="31" spans="1:13" x14ac:dyDescent="0.2">
      <c r="A31" s="216">
        <f t="shared" si="1"/>
        <v>14</v>
      </c>
      <c r="B31" s="216" t="str">
        <f>Input!B33</f>
        <v>Interruptible Service - Industrial</v>
      </c>
      <c r="C31" s="267">
        <f>'Sch M 2.2'!Q193</f>
        <v>0</v>
      </c>
      <c r="D31" s="424">
        <f>'Sch M 2.2'!Q194</f>
        <v>0</v>
      </c>
      <c r="E31" s="267">
        <f>'Sch M 2.2'!Q197</f>
        <v>0</v>
      </c>
      <c r="F31" s="228">
        <f>ROUND(D31*(Input!$AB$16-Input!$O$16),2)</f>
        <v>0</v>
      </c>
      <c r="G31" s="750">
        <f t="shared" si="2"/>
        <v>0</v>
      </c>
      <c r="H31" s="267">
        <f>'Sch M 2.3'!Q193</f>
        <v>0</v>
      </c>
      <c r="I31" s="608">
        <f t="shared" si="3"/>
        <v>0</v>
      </c>
      <c r="J31" s="269">
        <f t="shared" si="0"/>
        <v>0</v>
      </c>
      <c r="K31" s="233"/>
      <c r="L31" s="751"/>
      <c r="M31" s="233"/>
    </row>
    <row r="32" spans="1:13" x14ac:dyDescent="0.2">
      <c r="A32" s="216">
        <f t="shared" si="1"/>
        <v>15</v>
      </c>
      <c r="B32" s="216" t="str">
        <f>Input!B34</f>
        <v>Intrastate Utility Service - Wholesale</v>
      </c>
      <c r="C32" s="267">
        <f>'Sch M 2.2'!Q200</f>
        <v>24</v>
      </c>
      <c r="D32" s="424">
        <f>'Sch M 2.2'!Q201</f>
        <v>11251.2</v>
      </c>
      <c r="E32" s="267">
        <f>'Sch M 2.2'!Q204</f>
        <v>80099.34</v>
      </c>
      <c r="F32" s="228">
        <f>ROUND(D32*(Input!$AB$16-Input!$O$16),2)</f>
        <v>-156.38999999999999</v>
      </c>
      <c r="G32" s="750">
        <f t="shared" si="2"/>
        <v>79942.95</v>
      </c>
      <c r="H32" s="267">
        <f>'Sch M 2.3'!Q200</f>
        <v>88363.93</v>
      </c>
      <c r="I32" s="608">
        <f t="shared" si="3"/>
        <v>8420.9799999999959</v>
      </c>
      <c r="J32" s="269">
        <f t="shared" si="0"/>
        <v>10.51</v>
      </c>
      <c r="K32" s="744"/>
      <c r="L32" s="752"/>
      <c r="M32" s="744"/>
    </row>
    <row r="33" spans="1:13" x14ac:dyDescent="0.2">
      <c r="D33" s="424"/>
      <c r="E33" s="753"/>
      <c r="F33" s="753"/>
      <c r="G33" s="753"/>
      <c r="H33" s="693"/>
      <c r="I33" s="269"/>
      <c r="J33" s="693"/>
      <c r="K33" s="233"/>
      <c r="L33" s="751"/>
      <c r="M33" s="233"/>
    </row>
    <row r="34" spans="1:13" ht="10.5" x14ac:dyDescent="0.25">
      <c r="A34" s="216">
        <f>A32+1</f>
        <v>16</v>
      </c>
      <c r="B34" s="742" t="s">
        <v>95</v>
      </c>
      <c r="C34" s="742"/>
      <c r="D34" s="424"/>
      <c r="E34" s="753"/>
      <c r="F34" s="753"/>
      <c r="G34" s="753"/>
      <c r="H34" s="693"/>
      <c r="I34" s="269"/>
      <c r="J34" s="693"/>
      <c r="K34" s="233"/>
      <c r="L34" s="751"/>
      <c r="M34" s="233"/>
    </row>
    <row r="35" spans="1:13" x14ac:dyDescent="0.2">
      <c r="D35" s="424"/>
      <c r="E35" s="753"/>
      <c r="F35" s="753"/>
      <c r="G35" s="753"/>
      <c r="H35" s="693"/>
      <c r="I35" s="269"/>
      <c r="J35" s="693"/>
      <c r="K35" s="233"/>
      <c r="L35" s="751"/>
      <c r="M35" s="233"/>
    </row>
    <row r="36" spans="1:13" x14ac:dyDescent="0.2">
      <c r="A36" s="216">
        <f>A34+1</f>
        <v>17</v>
      </c>
      <c r="B36" s="216" t="str">
        <f>Input!B38</f>
        <v xml:space="preserve">GTS Choice - Residential </v>
      </c>
      <c r="C36" s="267">
        <f>'Sch M 2.2'!Q228</f>
        <v>166993</v>
      </c>
      <c r="D36" s="424">
        <f>'Sch M 2.2'!Q229</f>
        <v>1022609.6999999998</v>
      </c>
      <c r="E36" s="267">
        <f>'Sch M 2.2'!Q232</f>
        <v>7250553.2899999991</v>
      </c>
      <c r="F36" s="267">
        <v>0</v>
      </c>
      <c r="G36" s="228">
        <f t="shared" ref="G36:G49" si="4">E36+F36</f>
        <v>7250553.2899999991</v>
      </c>
      <c r="H36" s="267">
        <f>'Sch M 2.3'!Q227</f>
        <v>9311302.4196799994</v>
      </c>
      <c r="I36" s="419">
        <f t="shared" ref="I36:I49" si="5">H36-G36</f>
        <v>2060749.1296800002</v>
      </c>
      <c r="J36" s="269">
        <f t="shared" ref="J36:J49" si="6">IF(E36=0,0,ROUND(I36/E36,4)*100)</f>
        <v>28.42</v>
      </c>
      <c r="K36" s="233"/>
      <c r="L36" s="744"/>
      <c r="M36" s="233"/>
    </row>
    <row r="37" spans="1:13" x14ac:dyDescent="0.2">
      <c r="A37" s="216">
        <f t="shared" si="1"/>
        <v>18</v>
      </c>
      <c r="B37" s="216" t="str">
        <f>Input!B39</f>
        <v>GTS Choice - Commercial</v>
      </c>
      <c r="C37" s="267">
        <f>'Sch M 2.2'!Q235</f>
        <v>38286</v>
      </c>
      <c r="D37" s="424">
        <f>'Sch M 2.2'!Q236</f>
        <v>1476267.6</v>
      </c>
      <c r="E37" s="267">
        <f>'Sch M 2.2'!Q239</f>
        <v>6225788.3699999992</v>
      </c>
      <c r="F37" s="267">
        <v>0</v>
      </c>
      <c r="G37" s="228">
        <f t="shared" si="4"/>
        <v>6225788.3699999992</v>
      </c>
      <c r="H37" s="267">
        <f>'Sch M 2.3'!Q234</f>
        <v>7855701.2100000009</v>
      </c>
      <c r="I37" s="267">
        <f t="shared" si="5"/>
        <v>1629912.8400000017</v>
      </c>
      <c r="J37" s="269">
        <f t="shared" si="6"/>
        <v>26.179999999999996</v>
      </c>
      <c r="K37" s="233"/>
      <c r="L37" s="233"/>
      <c r="M37" s="233"/>
    </row>
    <row r="38" spans="1:13" x14ac:dyDescent="0.2">
      <c r="A38" s="216">
        <f t="shared" si="1"/>
        <v>19</v>
      </c>
      <c r="B38" s="216" t="str">
        <f>Input!B40</f>
        <v>GTS Choice - Industrial</v>
      </c>
      <c r="C38" s="267">
        <f>'Sch M 2.2'!Q242</f>
        <v>144</v>
      </c>
      <c r="D38" s="424">
        <f>'Sch M 2.2'!Q243</f>
        <v>45086.799999999996</v>
      </c>
      <c r="E38" s="267">
        <f>'Sch M 2.2'!Q246</f>
        <v>107456.06</v>
      </c>
      <c r="F38" s="267">
        <v>0</v>
      </c>
      <c r="G38" s="228">
        <f t="shared" si="4"/>
        <v>107456.06</v>
      </c>
      <c r="H38" s="267">
        <f>'Sch M 2.3'!Q241</f>
        <v>136478.04</v>
      </c>
      <c r="I38" s="267">
        <f t="shared" si="5"/>
        <v>29021.98000000001</v>
      </c>
      <c r="J38" s="269">
        <f t="shared" si="6"/>
        <v>27.01</v>
      </c>
      <c r="K38" s="233"/>
      <c r="L38" s="233"/>
      <c r="M38" s="233"/>
    </row>
    <row r="39" spans="1:13" x14ac:dyDescent="0.2">
      <c r="A39" s="216">
        <f t="shared" si="1"/>
        <v>20</v>
      </c>
      <c r="B39" s="216" t="str">
        <f>Input!B41</f>
        <v>GTS Delivery Service - Commercial</v>
      </c>
      <c r="C39" s="267">
        <f>'Sch M 2.2'!Q249</f>
        <v>336</v>
      </c>
      <c r="D39" s="424">
        <f>'Sch M 2.2'!Q250</f>
        <v>2851457</v>
      </c>
      <c r="E39" s="267">
        <f>'Sch M 2.2'!Q253</f>
        <v>2725642.5700000003</v>
      </c>
      <c r="F39" s="267">
        <v>0</v>
      </c>
      <c r="G39" s="228">
        <f t="shared" si="4"/>
        <v>2725642.5700000003</v>
      </c>
      <c r="H39" s="267">
        <f>'Sch M 2.3'!Q248</f>
        <v>3486999.32</v>
      </c>
      <c r="I39" s="267">
        <f t="shared" si="5"/>
        <v>761356.74999999953</v>
      </c>
      <c r="J39" s="269">
        <f t="shared" si="6"/>
        <v>27.93</v>
      </c>
      <c r="L39" s="233"/>
      <c r="M39" s="233"/>
    </row>
    <row r="40" spans="1:13" x14ac:dyDescent="0.2">
      <c r="A40" s="216">
        <f t="shared" si="1"/>
        <v>21</v>
      </c>
      <c r="B40" s="216" t="str">
        <f>Input!B42</f>
        <v>GTS Delivery Service - Industrial</v>
      </c>
      <c r="C40" s="267">
        <f>'Sch M 2.2'!Q256</f>
        <v>494</v>
      </c>
      <c r="D40" s="424">
        <f>'Sch M 2.2'!Q257</f>
        <v>5839895.8000000007</v>
      </c>
      <c r="E40" s="267">
        <f>'Sch M 2.2'!Q260</f>
        <v>4657050.92</v>
      </c>
      <c r="F40" s="267">
        <v>0</v>
      </c>
      <c r="G40" s="228">
        <f t="shared" si="4"/>
        <v>4657050.92</v>
      </c>
      <c r="H40" s="267">
        <f>'Sch M 2.3'!Q255</f>
        <v>5969738.6700000009</v>
      </c>
      <c r="I40" s="267">
        <f t="shared" si="5"/>
        <v>1312687.7500000009</v>
      </c>
      <c r="J40" s="269">
        <f t="shared" si="6"/>
        <v>28.189999999999998</v>
      </c>
      <c r="L40" s="233"/>
      <c r="M40" s="233"/>
    </row>
    <row r="41" spans="1:13" x14ac:dyDescent="0.2">
      <c r="A41" s="216">
        <f t="shared" si="1"/>
        <v>22</v>
      </c>
      <c r="B41" s="216" t="str">
        <f>Input!B43</f>
        <v>GTS Grandfathered Delivery Service - Commercial</v>
      </c>
      <c r="C41" s="267">
        <f>'Sch M 2.2'!Q263</f>
        <v>158</v>
      </c>
      <c r="D41" s="424">
        <f>'Sch M 2.2'!Q264</f>
        <v>380827.49999999988</v>
      </c>
      <c r="E41" s="267">
        <f>'Sch M 2.2'!Q267</f>
        <v>759909.12999999989</v>
      </c>
      <c r="F41" s="267">
        <v>0</v>
      </c>
      <c r="G41" s="228">
        <f t="shared" si="4"/>
        <v>759909.12999999989</v>
      </c>
      <c r="H41" s="267">
        <f>'Sch M 2.3'!Q262</f>
        <v>972511.98999999987</v>
      </c>
      <c r="I41" s="267">
        <f t="shared" si="5"/>
        <v>212602.86</v>
      </c>
      <c r="J41" s="269">
        <f t="shared" si="6"/>
        <v>27.98</v>
      </c>
      <c r="M41" s="215"/>
    </row>
    <row r="42" spans="1:13" x14ac:dyDescent="0.2">
      <c r="A42" s="216">
        <f t="shared" si="1"/>
        <v>23</v>
      </c>
      <c r="B42" s="216" t="str">
        <f>Input!B44</f>
        <v>GTS Grandfathered Delivery Service - Industrial</v>
      </c>
      <c r="C42" s="267">
        <f>'Sch M 2.2'!Q290</f>
        <v>84</v>
      </c>
      <c r="D42" s="424">
        <f>'Sch M 2.2'!Q291</f>
        <v>67061.8</v>
      </c>
      <c r="E42" s="267">
        <f>'Sch M 2.2'!Q294</f>
        <v>144100.69</v>
      </c>
      <c r="F42" s="267">
        <v>0</v>
      </c>
      <c r="G42" s="228">
        <f t="shared" si="4"/>
        <v>144100.69</v>
      </c>
      <c r="H42" s="267">
        <f>'Sch M 2.3'!Q290</f>
        <v>183699.31</v>
      </c>
      <c r="I42" s="267">
        <f t="shared" si="5"/>
        <v>39598.619999999995</v>
      </c>
      <c r="J42" s="269">
        <f t="shared" si="6"/>
        <v>27.48</v>
      </c>
      <c r="M42" s="745"/>
    </row>
    <row r="43" spans="1:13" x14ac:dyDescent="0.2">
      <c r="A43" s="216">
        <f t="shared" si="1"/>
        <v>24</v>
      </c>
      <c r="B43" s="216" t="str">
        <f>Input!B45</f>
        <v>GTS Main Line Service - Industrial</v>
      </c>
      <c r="C43" s="267">
        <f>'Sch M 2.2'!Q297</f>
        <v>36</v>
      </c>
      <c r="D43" s="424">
        <f>'Sch M 2.2'!Q298</f>
        <v>602100</v>
      </c>
      <c r="E43" s="267">
        <f>'Sch M 2.2'!Q301</f>
        <v>69542.820000000007</v>
      </c>
      <c r="F43" s="267">
        <v>0</v>
      </c>
      <c r="G43" s="228">
        <f t="shared" si="4"/>
        <v>69542.820000000007</v>
      </c>
      <c r="H43" s="267">
        <f>'Sch M 2.3'!Q297</f>
        <v>75788.100000000006</v>
      </c>
      <c r="I43" s="267">
        <f t="shared" si="5"/>
        <v>6245.2799999999988</v>
      </c>
      <c r="J43" s="269">
        <f t="shared" si="6"/>
        <v>8.98</v>
      </c>
      <c r="L43" s="233"/>
      <c r="M43" s="233"/>
    </row>
    <row r="44" spans="1:13" x14ac:dyDescent="0.2">
      <c r="A44" s="216">
        <f t="shared" si="1"/>
        <v>25</v>
      </c>
      <c r="B44" s="216" t="str">
        <f>Input!B46</f>
        <v>GTS Flex Rate - Commercial</v>
      </c>
      <c r="C44" s="267">
        <f>'Sch M 2.2'!Q304</f>
        <v>0</v>
      </c>
      <c r="D44" s="424">
        <f>'Sch M 2.2'!Q305</f>
        <v>0</v>
      </c>
      <c r="E44" s="267">
        <f>'Sch M 2.2'!Q308</f>
        <v>0</v>
      </c>
      <c r="F44" s="267">
        <v>0</v>
      </c>
      <c r="G44" s="228">
        <f t="shared" si="4"/>
        <v>0</v>
      </c>
      <c r="H44" s="267">
        <f>'Sch M 2.3'!Q304</f>
        <v>0</v>
      </c>
      <c r="I44" s="267">
        <f t="shared" si="5"/>
        <v>0</v>
      </c>
      <c r="J44" s="269">
        <f t="shared" si="6"/>
        <v>0</v>
      </c>
      <c r="L44" s="233"/>
      <c r="M44" s="233"/>
    </row>
    <row r="45" spans="1:13" ht="10.5" x14ac:dyDescent="0.25">
      <c r="A45" s="216">
        <f>A44+1</f>
        <v>26</v>
      </c>
      <c r="B45" s="216" t="str">
        <f>Input!B47</f>
        <v>GTS Flex Rate - Commercial</v>
      </c>
      <c r="C45" s="267">
        <f>'Sch M 2.2'!Q311</f>
        <v>0</v>
      </c>
      <c r="D45" s="424">
        <f>'Sch M 2.2'!Q312</f>
        <v>0</v>
      </c>
      <c r="E45" s="267">
        <f>'Sch M 2.2'!Q315</f>
        <v>0</v>
      </c>
      <c r="F45" s="267">
        <v>0</v>
      </c>
      <c r="G45" s="228">
        <f t="shared" si="4"/>
        <v>0</v>
      </c>
      <c r="H45" s="267">
        <f>'Sch M 2.3'!Q311</f>
        <v>0</v>
      </c>
      <c r="I45" s="267">
        <f t="shared" si="5"/>
        <v>0</v>
      </c>
      <c r="J45" s="269">
        <f t="shared" si="6"/>
        <v>0</v>
      </c>
      <c r="K45" s="727"/>
      <c r="L45" s="746"/>
      <c r="M45" s="746"/>
    </row>
    <row r="46" spans="1:13" x14ac:dyDescent="0.2">
      <c r="A46" s="216">
        <f>A45+1</f>
        <v>27</v>
      </c>
      <c r="B46" s="216" t="str">
        <f>Input!B48</f>
        <v>GTS Flex Rate - Industrial</v>
      </c>
      <c r="C46" s="267">
        <f>'Sch M 2.2'!Q318</f>
        <v>36</v>
      </c>
      <c r="D46" s="424">
        <f>'Sch M 2.2'!Q319</f>
        <v>6711500</v>
      </c>
      <c r="E46" s="267">
        <f>'Sch M 2.2'!Q322</f>
        <v>585059.09999999986</v>
      </c>
      <c r="F46" s="267">
        <v>0</v>
      </c>
      <c r="G46" s="228">
        <f t="shared" si="4"/>
        <v>585059.09999999986</v>
      </c>
      <c r="H46" s="267">
        <f>'Sch M 2.3'!Q318</f>
        <v>585059.09999999986</v>
      </c>
      <c r="I46" s="267">
        <f t="shared" si="5"/>
        <v>0</v>
      </c>
      <c r="J46" s="269">
        <f t="shared" si="6"/>
        <v>0</v>
      </c>
      <c r="K46" s="242"/>
      <c r="L46" s="233"/>
      <c r="M46" s="233"/>
    </row>
    <row r="47" spans="1:13" x14ac:dyDescent="0.2">
      <c r="A47" s="216">
        <f>A46+1</f>
        <v>28</v>
      </c>
      <c r="B47" s="216" t="str">
        <f>Input!B49</f>
        <v>GTS Flex Rate - Industrial</v>
      </c>
      <c r="C47" s="267">
        <f>'Sch M 2.2'!Q325</f>
        <v>0</v>
      </c>
      <c r="D47" s="424">
        <f>'Sch M 2.2'!Q326</f>
        <v>0</v>
      </c>
      <c r="E47" s="267">
        <f>'Sch M 2.2'!Q329</f>
        <v>0</v>
      </c>
      <c r="F47" s="267">
        <v>0</v>
      </c>
      <c r="G47" s="228">
        <f t="shared" si="4"/>
        <v>0</v>
      </c>
      <c r="H47" s="267">
        <f>'Sch M 2.3'!Q325</f>
        <v>0</v>
      </c>
      <c r="I47" s="267">
        <f t="shared" si="5"/>
        <v>0</v>
      </c>
      <c r="J47" s="269">
        <f t="shared" si="6"/>
        <v>0</v>
      </c>
      <c r="L47" s="233"/>
      <c r="M47" s="233"/>
    </row>
    <row r="48" spans="1:13" x14ac:dyDescent="0.2">
      <c r="A48" s="216">
        <f>A47+1</f>
        <v>29</v>
      </c>
      <c r="B48" s="216" t="str">
        <f>Input!B50</f>
        <v>GTS Special Agency Service</v>
      </c>
      <c r="C48" s="267">
        <f>'Sch M 2.2'!Q352</f>
        <v>0</v>
      </c>
      <c r="D48" s="272">
        <f>'Sch M 2.2'!Q353</f>
        <v>0</v>
      </c>
      <c r="E48" s="267">
        <f>'Sch M 2.2'!Q356</f>
        <v>0</v>
      </c>
      <c r="F48" s="267">
        <v>0</v>
      </c>
      <c r="G48" s="228">
        <f t="shared" si="4"/>
        <v>0</v>
      </c>
      <c r="H48" s="267">
        <f>'Sch M 2.3'!Q352</f>
        <v>0</v>
      </c>
      <c r="I48" s="267">
        <f t="shared" si="5"/>
        <v>0</v>
      </c>
      <c r="J48" s="269">
        <f t="shared" si="6"/>
        <v>0</v>
      </c>
      <c r="K48" s="233"/>
      <c r="L48" s="233"/>
      <c r="M48" s="233"/>
    </row>
    <row r="49" spans="1:13" x14ac:dyDescent="0.2">
      <c r="A49" s="216">
        <f>A48+1</f>
        <v>30</v>
      </c>
      <c r="B49" s="216" t="str">
        <f>Input!B51</f>
        <v>GTS Special Rate - Industrial</v>
      </c>
      <c r="C49" s="255">
        <f>'Sch M 2.2'!Q359</f>
        <v>0</v>
      </c>
      <c r="D49" s="424">
        <f>'Sch M 2.2'!Q360</f>
        <v>0</v>
      </c>
      <c r="E49" s="255">
        <f>'Sch M 2.2'!Q363</f>
        <v>0</v>
      </c>
      <c r="F49" s="255">
        <v>0</v>
      </c>
      <c r="G49" s="255">
        <f t="shared" si="4"/>
        <v>0</v>
      </c>
      <c r="H49" s="255">
        <f>'Sch M 2.3'!Q359</f>
        <v>0</v>
      </c>
      <c r="I49" s="255">
        <f t="shared" si="5"/>
        <v>0</v>
      </c>
      <c r="J49" s="455">
        <f t="shared" si="6"/>
        <v>0</v>
      </c>
      <c r="K49" s="233"/>
      <c r="L49" s="233"/>
      <c r="M49" s="233"/>
    </row>
    <row r="50" spans="1:13" x14ac:dyDescent="0.2">
      <c r="D50" s="424"/>
      <c r="E50" s="233"/>
      <c r="F50" s="233"/>
      <c r="G50" s="233"/>
      <c r="H50" s="233"/>
      <c r="I50" s="267"/>
      <c r="J50" s="693"/>
      <c r="K50" s="233"/>
      <c r="L50" s="233"/>
      <c r="M50" s="233"/>
    </row>
    <row r="51" spans="1:13" x14ac:dyDescent="0.2">
      <c r="A51" s="216">
        <f>A49+1</f>
        <v>31</v>
      </c>
      <c r="B51" s="216" t="s">
        <v>106</v>
      </c>
      <c r="C51" s="233">
        <f t="shared" ref="C51:I51" si="7">SUM(C19:C49)</f>
        <v>1659636</v>
      </c>
      <c r="D51" s="506">
        <f>SUM(D19:D49)</f>
        <v>30288170.400000002</v>
      </c>
      <c r="E51" s="419">
        <f t="shared" si="7"/>
        <v>146294208.94999999</v>
      </c>
      <c r="F51" s="419">
        <f t="shared" si="7"/>
        <v>-156900.94000000003</v>
      </c>
      <c r="G51" s="419">
        <f t="shared" si="7"/>
        <v>146137308.00999999</v>
      </c>
      <c r="H51" s="419">
        <f t="shared" si="7"/>
        <v>172761733.87968001</v>
      </c>
      <c r="I51" s="419">
        <f t="shared" si="7"/>
        <v>26624425.86968001</v>
      </c>
      <c r="J51" s="269">
        <f>IF(E51=0,0,ROUND(I51/E51,4)*100)</f>
        <v>18.2</v>
      </c>
      <c r="K51" s="744"/>
      <c r="L51" s="744"/>
      <c r="M51" s="744"/>
    </row>
    <row r="52" spans="1:13" x14ac:dyDescent="0.2">
      <c r="E52" s="233"/>
      <c r="F52" s="233"/>
      <c r="G52" s="233"/>
      <c r="H52" s="233"/>
      <c r="J52" s="693"/>
      <c r="K52" s="233"/>
      <c r="L52" s="233"/>
      <c r="M52" s="233"/>
    </row>
    <row r="53" spans="1:13" ht="10.5" x14ac:dyDescent="0.25">
      <c r="A53" s="216">
        <f>A51+1</f>
        <v>32</v>
      </c>
      <c r="B53" s="742" t="s">
        <v>102</v>
      </c>
      <c r="C53" s="742"/>
      <c r="D53" s="742"/>
      <c r="E53" s="233"/>
      <c r="F53" s="233"/>
      <c r="G53" s="233"/>
      <c r="H53" s="233"/>
      <c r="J53" s="693"/>
      <c r="K53" s="233"/>
      <c r="L53" s="233"/>
      <c r="M53" s="233"/>
    </row>
    <row r="54" spans="1:13" x14ac:dyDescent="0.2">
      <c r="E54" s="233"/>
      <c r="F54" s="233"/>
      <c r="G54" s="233"/>
      <c r="H54" s="233"/>
      <c r="J54" s="693"/>
      <c r="K54" s="233"/>
      <c r="L54" s="233"/>
      <c r="M54" s="233"/>
    </row>
    <row r="55" spans="1:13" x14ac:dyDescent="0.2">
      <c r="A55" s="216">
        <f>A53+1</f>
        <v>33</v>
      </c>
      <c r="B55" s="216" t="s">
        <v>177</v>
      </c>
      <c r="E55" s="419">
        <f>'Sch M 2.2'!Q369</f>
        <v>390077.64</v>
      </c>
      <c r="F55" s="419">
        <v>0</v>
      </c>
      <c r="G55" s="228">
        <f>E55+F55</f>
        <v>390077.64</v>
      </c>
      <c r="H55" s="233">
        <f>'Sch M 2.3'!Q29</f>
        <v>460637.64000000007</v>
      </c>
      <c r="I55" s="419">
        <f>H55-G55</f>
        <v>70560.000000000058</v>
      </c>
      <c r="J55" s="269">
        <f>IF(E55=0,0,ROUND(I55/E55,4)*100)</f>
        <v>18.09</v>
      </c>
      <c r="K55" s="233"/>
      <c r="L55" s="233"/>
      <c r="M55" s="233"/>
    </row>
    <row r="56" spans="1:13" x14ac:dyDescent="0.2">
      <c r="A56" s="216">
        <f>A55+1</f>
        <v>34</v>
      </c>
      <c r="B56" s="216" t="s">
        <v>103</v>
      </c>
      <c r="E56" s="233">
        <f>'Sch M 2.2'!Q370</f>
        <v>117501.34666666666</v>
      </c>
      <c r="F56" s="233">
        <v>0</v>
      </c>
      <c r="G56" s="228">
        <f>E56+F56</f>
        <v>117501.34666666666</v>
      </c>
      <c r="H56" s="233">
        <f>'Sch M 2.3'!Q30</f>
        <v>117501.34666666666</v>
      </c>
      <c r="I56" s="267">
        <f>H56-G56</f>
        <v>0</v>
      </c>
      <c r="J56" s="269">
        <f>IF(E56=0,0,ROUND(I56/E56,4)*100)</f>
        <v>0</v>
      </c>
      <c r="K56" s="233"/>
      <c r="L56" s="233"/>
      <c r="M56" s="233"/>
    </row>
    <row r="57" spans="1:13" x14ac:dyDescent="0.2">
      <c r="A57" s="216">
        <f>A56+1</f>
        <v>35</v>
      </c>
      <c r="B57" s="216" t="s">
        <v>315</v>
      </c>
      <c r="E57" s="233">
        <f>'Sch M 2.2'!Q371</f>
        <v>41592</v>
      </c>
      <c r="F57" s="233">
        <v>0</v>
      </c>
      <c r="G57" s="228">
        <f>E57+F57</f>
        <v>41592</v>
      </c>
      <c r="H57" s="233">
        <f>'Sch M 2.3'!Q31</f>
        <v>41592</v>
      </c>
      <c r="I57" s="267">
        <f>H57-G57</f>
        <v>0</v>
      </c>
      <c r="J57" s="269">
        <f>IF(E57=0,0,ROUND(I57/E57,4)*100)</f>
        <v>0</v>
      </c>
      <c r="K57" s="233"/>
      <c r="L57" s="233"/>
      <c r="M57" s="233"/>
    </row>
    <row r="58" spans="1:13" x14ac:dyDescent="0.2">
      <c r="A58" s="216">
        <f>A57+1</f>
        <v>36</v>
      </c>
      <c r="B58" s="216" t="s">
        <v>104</v>
      </c>
      <c r="E58" s="233">
        <f>'Sch M 2.2'!Q372</f>
        <v>0</v>
      </c>
      <c r="F58" s="233">
        <v>0</v>
      </c>
      <c r="G58" s="228">
        <f>E58+F58</f>
        <v>0</v>
      </c>
      <c r="H58" s="233">
        <f>'Sch M 2.3'!Q32</f>
        <v>0</v>
      </c>
      <c r="I58" s="267">
        <f>H58-G58</f>
        <v>0</v>
      </c>
      <c r="J58" s="269">
        <f>IF(E58=0,0,ROUND(I58/E58,4)*100)</f>
        <v>0</v>
      </c>
      <c r="K58" s="233"/>
      <c r="L58" s="233"/>
      <c r="M58" s="233"/>
    </row>
    <row r="59" spans="1:13" x14ac:dyDescent="0.2">
      <c r="A59" s="216">
        <f>A58+1</f>
        <v>37</v>
      </c>
      <c r="B59" s="216" t="s">
        <v>105</v>
      </c>
      <c r="E59" s="744">
        <f>'Sch M 2.2'!Q373</f>
        <v>678382.43333333335</v>
      </c>
      <c r="F59" s="744">
        <v>0</v>
      </c>
      <c r="G59" s="255">
        <f>E59+F59</f>
        <v>678382.43333333335</v>
      </c>
      <c r="H59" s="744">
        <f>'Sch M 2.3'!Q33</f>
        <v>678382.43333333335</v>
      </c>
      <c r="I59" s="255">
        <f>H59-G59</f>
        <v>0</v>
      </c>
      <c r="J59" s="455">
        <f>IF(E59=0,0,ROUND(I59/E59,4)*100)</f>
        <v>0</v>
      </c>
      <c r="K59" s="233"/>
      <c r="L59" s="233"/>
      <c r="M59" s="233"/>
    </row>
    <row r="60" spans="1:13" x14ac:dyDescent="0.2">
      <c r="E60" s="233"/>
      <c r="F60" s="233"/>
      <c r="G60" s="233"/>
      <c r="H60" s="233"/>
      <c r="I60" s="233"/>
      <c r="J60" s="693"/>
      <c r="K60" s="506"/>
      <c r="L60" s="506"/>
      <c r="M60" s="506"/>
    </row>
    <row r="61" spans="1:13" x14ac:dyDescent="0.2">
      <c r="A61" s="216">
        <f>A59+1</f>
        <v>38</v>
      </c>
      <c r="B61" s="216" t="s">
        <v>124</v>
      </c>
      <c r="E61" s="419">
        <f>SUM(E55:E59)</f>
        <v>1227553.42</v>
      </c>
      <c r="F61" s="419">
        <f>SUM(F55:F59)</f>
        <v>0</v>
      </c>
      <c r="G61" s="419">
        <f>SUM(G55:G59)</f>
        <v>1227553.42</v>
      </c>
      <c r="H61" s="419">
        <f>SUM(H55:H59)</f>
        <v>1298113.42</v>
      </c>
      <c r="I61" s="419">
        <f>SUM(I55:I59)</f>
        <v>70560.000000000058</v>
      </c>
      <c r="J61" s="269">
        <f>IF(E61=0,0,ROUND(I61/E61,4)*100)</f>
        <v>5.75</v>
      </c>
      <c r="K61" s="506"/>
      <c r="L61" s="233"/>
      <c r="M61" s="233"/>
    </row>
    <row r="62" spans="1:13" ht="10.5" x14ac:dyDescent="0.25">
      <c r="E62" s="747"/>
      <c r="F62" s="747"/>
      <c r="G62" s="747"/>
      <c r="H62" s="233"/>
      <c r="I62" s="233"/>
      <c r="J62" s="693"/>
      <c r="K62" s="506"/>
      <c r="L62" s="233"/>
      <c r="M62" s="233"/>
    </row>
    <row r="63" spans="1:13" x14ac:dyDescent="0.2">
      <c r="A63" s="216">
        <f>A61+1</f>
        <v>39</v>
      </c>
      <c r="B63" s="216" t="s">
        <v>108</v>
      </c>
      <c r="E63" s="419">
        <f>E61+E51</f>
        <v>147521762.36999997</v>
      </c>
      <c r="F63" s="419">
        <f>F61+F51</f>
        <v>-156900.94000000003</v>
      </c>
      <c r="G63" s="419">
        <f>G61+G51</f>
        <v>147364861.42999998</v>
      </c>
      <c r="H63" s="419">
        <f>H61+H51</f>
        <v>174059847.29967999</v>
      </c>
      <c r="I63" s="419">
        <f>I61+I51</f>
        <v>26694985.86968001</v>
      </c>
      <c r="J63" s="269">
        <f>IF(E63=0,0,ROUND(I63/E63,4)*100)</f>
        <v>18.099999999999998</v>
      </c>
      <c r="K63" s="506"/>
      <c r="L63" s="233"/>
      <c r="M63" s="233"/>
    </row>
    <row r="64" spans="1:13" x14ac:dyDescent="0.2">
      <c r="E64" s="506"/>
      <c r="F64" s="506"/>
      <c r="G64" s="506"/>
      <c r="H64" s="506"/>
      <c r="I64" s="506"/>
      <c r="J64" s="693"/>
      <c r="K64" s="506"/>
      <c r="L64" s="506"/>
      <c r="M64" s="506"/>
    </row>
    <row r="65" spans="5:5" x14ac:dyDescent="0.2">
      <c r="E65" s="683"/>
    </row>
    <row r="66" spans="5:5" x14ac:dyDescent="0.2">
      <c r="E66" s="262"/>
    </row>
    <row r="67" spans="5:5" x14ac:dyDescent="0.2">
      <c r="E67" s="748"/>
    </row>
  </sheetData>
  <mergeCells count="5">
    <mergeCell ref="A1:J1"/>
    <mergeCell ref="A2:J2"/>
    <mergeCell ref="A3:J3"/>
    <mergeCell ref="A4:J4"/>
    <mergeCell ref="A5:J5"/>
  </mergeCells>
  <phoneticPr fontId="0" type="noConversion"/>
  <pageMargins left="0.5" right="0.25" top="0.75" bottom="0.25" header="0" footer="0"/>
  <pageSetup scale="81" orientation="portrait" r:id="rId1"/>
  <headerFooter alignWithMargins="0"/>
  <rowBreaks count="1" manualBreakCount="1"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INDEX M</vt:lpstr>
      <vt:lpstr>Input</vt:lpstr>
      <vt:lpstr>A</vt:lpstr>
      <vt:lpstr>B</vt:lpstr>
      <vt:lpstr>C</vt:lpstr>
      <vt:lpstr>D pg 1</vt:lpstr>
      <vt:lpstr>D pg 2</vt:lpstr>
      <vt:lpstr>Sch M</vt:lpstr>
      <vt:lpstr>Sch M 2.1</vt:lpstr>
      <vt:lpstr>Sch M 2.2</vt:lpstr>
      <vt:lpstr>Sch M 2.3</vt:lpstr>
      <vt:lpstr>Rate Design KLJ-RDES-1</vt:lpstr>
      <vt:lpstr>Late Payment KLJ-RDES-2</vt:lpstr>
      <vt:lpstr>KLJ-RDES-3</vt:lpstr>
      <vt:lpstr>KLJ-RDES-4</vt:lpstr>
      <vt:lpstr>case</vt:lpstr>
      <vt:lpstr>Commodity</vt:lpstr>
      <vt:lpstr>CONAME</vt:lpstr>
      <vt:lpstr>EGC</vt:lpstr>
      <vt:lpstr>EGCC</vt:lpstr>
      <vt:lpstr>EGCDATE</vt:lpstr>
      <vt:lpstr>firmcom</vt:lpstr>
      <vt:lpstr>firmdem</vt:lpstr>
      <vt:lpstr>HEAD</vt:lpstr>
      <vt:lpstr>A!Print_Area</vt:lpstr>
      <vt:lpstr>B!Print_Area</vt:lpstr>
      <vt:lpstr>'C'!Print_Area</vt:lpstr>
      <vt:lpstr>'D pg 1'!Print_Area</vt:lpstr>
      <vt:lpstr>'D pg 2'!Print_Area</vt:lpstr>
      <vt:lpstr>'INDEX M'!Print_Area</vt:lpstr>
      <vt:lpstr>Input!Print_Area</vt:lpstr>
      <vt:lpstr>'KLJ-RDES-3'!Print_Area</vt:lpstr>
      <vt:lpstr>'KLJ-RDES-4'!Print_Area</vt:lpstr>
      <vt:lpstr>'Late Payment KLJ-RDES-2'!Print_Area</vt:lpstr>
      <vt:lpstr>'Rate Design KLJ-RDES-1'!Print_Area</vt:lpstr>
      <vt:lpstr>'Sch M'!Print_Area</vt:lpstr>
      <vt:lpstr>'Sch M 2.1'!Print_Area</vt:lpstr>
      <vt:lpstr>'Sch M 2.2'!Print_Area</vt:lpstr>
      <vt:lpstr>'Sch M 2.3'!Print_Area</vt:lpstr>
      <vt:lpstr>Print_Area_MI</vt:lpstr>
      <vt:lpstr>TYDESC</vt:lpstr>
      <vt:lpstr>Witness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Ryan \ John</cp:lastModifiedBy>
  <cp:lastPrinted>2021-05-19T17:52:06Z</cp:lastPrinted>
  <dcterms:created xsi:type="dcterms:W3CDTF">1997-11-13T15:08:18Z</dcterms:created>
  <dcterms:modified xsi:type="dcterms:W3CDTF">2021-06-11T19:50:41Z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SV_QUERY_LIST_4F35BF76-6C0D-4D9B-82B2-816C12CF3733">
    <vt:lpwstr>empty_477D106A-C0D6-4607-AEBD-E2C9D60EA279</vt:lpwstr>
  </property>
</Properties>
</file>