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8800" windowHeight="12620"/>
  </bookViews>
  <sheets>
    <sheet name="7-d - TME 5.31.21" sheetId="1" r:id="rId1"/>
    <sheet name="7-d - TME 08.31.21" sheetId="2" r:id="rId2"/>
    <sheet name="7-d - TME 12.31.2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1">'7-d - TME 08.31.21'!$A$1:$P$36</definedName>
    <definedName name="_xlnm.Print_Area" localSheetId="2">'7-d - TME 12.31.22'!$A$1:$P$36</definedName>
    <definedName name="_xlnm.Print_Area" localSheetId="0">'7-d - TME 5.31.21'!$A$1:$P$37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3" l="1"/>
  <c r="O30" i="3"/>
  <c r="O26" i="3"/>
  <c r="N24" i="3"/>
  <c r="N28" i="3" s="1"/>
  <c r="N32" i="3" s="1"/>
  <c r="N36" i="3" s="1"/>
  <c r="K24" i="3"/>
  <c r="K28" i="3" s="1"/>
  <c r="K32" i="3" s="1"/>
  <c r="K36" i="3" s="1"/>
  <c r="J24" i="3"/>
  <c r="J28" i="3" s="1"/>
  <c r="J32" i="3" s="1"/>
  <c r="J36" i="3" s="1"/>
  <c r="F24" i="3"/>
  <c r="F28" i="3" s="1"/>
  <c r="F32" i="3" s="1"/>
  <c r="F36" i="3" s="1"/>
  <c r="C24" i="3"/>
  <c r="C28" i="3" s="1"/>
  <c r="C32" i="3" s="1"/>
  <c r="C36" i="3" s="1"/>
  <c r="N22" i="3"/>
  <c r="M22" i="3"/>
  <c r="L22" i="3"/>
  <c r="K22" i="3"/>
  <c r="J22" i="3"/>
  <c r="I22" i="3"/>
  <c r="H22" i="3"/>
  <c r="G22" i="3"/>
  <c r="O22" i="3" s="1"/>
  <c r="F22" i="3"/>
  <c r="E22" i="3"/>
  <c r="D22" i="3"/>
  <c r="C22" i="3"/>
  <c r="O21" i="3"/>
  <c r="O20" i="3"/>
  <c r="O19" i="3"/>
  <c r="N17" i="3"/>
  <c r="M17" i="3"/>
  <c r="M24" i="3" s="1"/>
  <c r="M28" i="3" s="1"/>
  <c r="M32" i="3" s="1"/>
  <c r="M36" i="3" s="1"/>
  <c r="L17" i="3"/>
  <c r="L24" i="3" s="1"/>
  <c r="L28" i="3" s="1"/>
  <c r="L32" i="3" s="1"/>
  <c r="L36" i="3" s="1"/>
  <c r="K17" i="3"/>
  <c r="J17" i="3"/>
  <c r="I17" i="3"/>
  <c r="I24" i="3" s="1"/>
  <c r="I28" i="3" s="1"/>
  <c r="I32" i="3" s="1"/>
  <c r="I36" i="3" s="1"/>
  <c r="H17" i="3"/>
  <c r="H24" i="3" s="1"/>
  <c r="H28" i="3" s="1"/>
  <c r="H32" i="3" s="1"/>
  <c r="H36" i="3" s="1"/>
  <c r="G17" i="3"/>
  <c r="G24" i="3" s="1"/>
  <c r="G28" i="3" s="1"/>
  <c r="G32" i="3" s="1"/>
  <c r="G36" i="3" s="1"/>
  <c r="F17" i="3"/>
  <c r="E17" i="3"/>
  <c r="E24" i="3" s="1"/>
  <c r="E28" i="3" s="1"/>
  <c r="E32" i="3" s="1"/>
  <c r="E36" i="3" s="1"/>
  <c r="D17" i="3"/>
  <c r="D24" i="3" s="1"/>
  <c r="D28" i="3" s="1"/>
  <c r="D32" i="3" s="1"/>
  <c r="D36" i="3" s="1"/>
  <c r="C17" i="3"/>
  <c r="O16" i="3"/>
  <c r="O15" i="3"/>
  <c r="B6" i="3"/>
  <c r="K34" i="2"/>
  <c r="J34" i="2"/>
  <c r="I34" i="2"/>
  <c r="F34" i="2"/>
  <c r="C34" i="2"/>
  <c r="K30" i="2"/>
  <c r="J30" i="2"/>
  <c r="I30" i="2"/>
  <c r="K26" i="2"/>
  <c r="J26" i="2"/>
  <c r="I26" i="2"/>
  <c r="H26" i="2"/>
  <c r="F26" i="2"/>
  <c r="N22" i="2"/>
  <c r="M22" i="2"/>
  <c r="L22" i="2"/>
  <c r="K22" i="2"/>
  <c r="J22" i="2"/>
  <c r="K21" i="2"/>
  <c r="J21" i="2"/>
  <c r="I21" i="2"/>
  <c r="G21" i="2"/>
  <c r="E21" i="2"/>
  <c r="D21" i="2"/>
  <c r="K20" i="2"/>
  <c r="J20" i="2"/>
  <c r="I20" i="2"/>
  <c r="G20" i="2"/>
  <c r="F20" i="2"/>
  <c r="K19" i="2"/>
  <c r="J19" i="2"/>
  <c r="I19" i="2"/>
  <c r="I22" i="2" s="1"/>
  <c r="N17" i="2"/>
  <c r="N24" i="2" s="1"/>
  <c r="N28" i="2" s="1"/>
  <c r="N32" i="2" s="1"/>
  <c r="N36" i="2" s="1"/>
  <c r="M17" i="2"/>
  <c r="M24" i="2" s="1"/>
  <c r="M28" i="2" s="1"/>
  <c r="M32" i="2" s="1"/>
  <c r="M36" i="2" s="1"/>
  <c r="L17" i="2"/>
  <c r="L24" i="2" s="1"/>
  <c r="L28" i="2" s="1"/>
  <c r="L32" i="2" s="1"/>
  <c r="L36" i="2" s="1"/>
  <c r="K16" i="2"/>
  <c r="J16" i="2"/>
  <c r="I16" i="2"/>
  <c r="H16" i="2"/>
  <c r="G16" i="2"/>
  <c r="K15" i="2"/>
  <c r="K17" i="2" s="1"/>
  <c r="K24" i="2" s="1"/>
  <c r="K28" i="2" s="1"/>
  <c r="K32" i="2" s="1"/>
  <c r="K36" i="2" s="1"/>
  <c r="J15" i="2"/>
  <c r="J17" i="2" s="1"/>
  <c r="J24" i="2" s="1"/>
  <c r="J28" i="2" s="1"/>
  <c r="J32" i="2" s="1"/>
  <c r="J36" i="2" s="1"/>
  <c r="I15" i="2"/>
  <c r="I17" i="2" s="1"/>
  <c r="I24" i="2" s="1"/>
  <c r="I28" i="2" s="1"/>
  <c r="I32" i="2" s="1"/>
  <c r="I36" i="2" s="1"/>
  <c r="H15" i="2"/>
  <c r="H17" i="2" s="1"/>
  <c r="B6" i="2"/>
  <c r="K35" i="1"/>
  <c r="H34" i="2" s="1"/>
  <c r="J35" i="1"/>
  <c r="G34" i="2" s="1"/>
  <c r="H35" i="1"/>
  <c r="E34" i="2" s="1"/>
  <c r="G35" i="1"/>
  <c r="D34" i="2" s="1"/>
  <c r="F35" i="1"/>
  <c r="E35" i="1"/>
  <c r="C35" i="1"/>
  <c r="O35" i="1" s="1"/>
  <c r="K31" i="1"/>
  <c r="H30" i="2" s="1"/>
  <c r="J31" i="1"/>
  <c r="G30" i="2" s="1"/>
  <c r="I31" i="1"/>
  <c r="F30" i="2" s="1"/>
  <c r="H31" i="1"/>
  <c r="E30" i="2" s="1"/>
  <c r="G31" i="1"/>
  <c r="D30" i="2" s="1"/>
  <c r="F31" i="1"/>
  <c r="C30" i="2" s="1"/>
  <c r="O30" i="2" s="1"/>
  <c r="E31" i="1"/>
  <c r="D31" i="1"/>
  <c r="O31" i="1" s="1"/>
  <c r="O27" i="1"/>
  <c r="J27" i="1"/>
  <c r="G26" i="2" s="1"/>
  <c r="H27" i="1"/>
  <c r="E26" i="2" s="1"/>
  <c r="G27" i="1"/>
  <c r="D26" i="2" s="1"/>
  <c r="F27" i="1"/>
  <c r="C26" i="2" s="1"/>
  <c r="O26" i="2" s="1"/>
  <c r="E27" i="1"/>
  <c r="N25" i="1"/>
  <c r="N29" i="1" s="1"/>
  <c r="N33" i="1" s="1"/>
  <c r="N37" i="1" s="1"/>
  <c r="N23" i="1"/>
  <c r="M23" i="1"/>
  <c r="L23" i="1"/>
  <c r="C23" i="1"/>
  <c r="K22" i="1"/>
  <c r="H21" i="2" s="1"/>
  <c r="I22" i="1"/>
  <c r="F21" i="2" s="1"/>
  <c r="H22" i="1"/>
  <c r="G22" i="1"/>
  <c r="F22" i="1"/>
  <c r="C21" i="2" s="1"/>
  <c r="E22" i="1"/>
  <c r="O22" i="1" s="1"/>
  <c r="O21" i="1"/>
  <c r="K21" i="1"/>
  <c r="H20" i="2" s="1"/>
  <c r="J21" i="1"/>
  <c r="I21" i="1"/>
  <c r="H21" i="1"/>
  <c r="E20" i="2" s="1"/>
  <c r="G21" i="1"/>
  <c r="D20" i="2" s="1"/>
  <c r="F21" i="1"/>
  <c r="C20" i="2" s="1"/>
  <c r="K20" i="1"/>
  <c r="K23" i="1" s="1"/>
  <c r="J20" i="1"/>
  <c r="G19" i="2" s="1"/>
  <c r="G22" i="2" s="1"/>
  <c r="I20" i="1"/>
  <c r="F19" i="2" s="1"/>
  <c r="H20" i="1"/>
  <c r="E19" i="2" s="1"/>
  <c r="G20" i="1"/>
  <c r="D19" i="2" s="1"/>
  <c r="F20" i="1"/>
  <c r="C19" i="2" s="1"/>
  <c r="E20" i="1"/>
  <c r="E23" i="1" s="1"/>
  <c r="D20" i="1"/>
  <c r="D23" i="1" s="1"/>
  <c r="N18" i="1"/>
  <c r="M18" i="1"/>
  <c r="M25" i="1" s="1"/>
  <c r="M29" i="1" s="1"/>
  <c r="M33" i="1" s="1"/>
  <c r="M37" i="1" s="1"/>
  <c r="L18" i="1"/>
  <c r="L25" i="1" s="1"/>
  <c r="L29" i="1" s="1"/>
  <c r="L33" i="1" s="1"/>
  <c r="L37" i="1" s="1"/>
  <c r="K18" i="1"/>
  <c r="K25" i="1" s="1"/>
  <c r="K29" i="1" s="1"/>
  <c r="K33" i="1" s="1"/>
  <c r="K37" i="1" s="1"/>
  <c r="K17" i="1"/>
  <c r="J17" i="1"/>
  <c r="I17" i="1"/>
  <c r="F16" i="2" s="1"/>
  <c r="H17" i="1"/>
  <c r="E16" i="2" s="1"/>
  <c r="G17" i="1"/>
  <c r="D16" i="2" s="1"/>
  <c r="F17" i="1"/>
  <c r="C16" i="2" s="1"/>
  <c r="J16" i="1"/>
  <c r="G15" i="2" s="1"/>
  <c r="G17" i="2" s="1"/>
  <c r="G24" i="2" s="1"/>
  <c r="G28" i="2" s="1"/>
  <c r="G32" i="2" s="1"/>
  <c r="G36" i="2" s="1"/>
  <c r="I16" i="1"/>
  <c r="F15" i="2" s="1"/>
  <c r="H16" i="1"/>
  <c r="H18" i="1" s="1"/>
  <c r="G16" i="1"/>
  <c r="G18" i="1" s="1"/>
  <c r="F16" i="1"/>
  <c r="F18" i="1" s="1"/>
  <c r="E16" i="1"/>
  <c r="E18" i="1" s="1"/>
  <c r="D16" i="1"/>
  <c r="D18" i="1" s="1"/>
  <c r="D25" i="1" s="1"/>
  <c r="D29" i="1" s="1"/>
  <c r="D33" i="1" s="1"/>
  <c r="D37" i="1" s="1"/>
  <c r="C16" i="1"/>
  <c r="C18" i="1" s="1"/>
  <c r="F17" i="2" l="1"/>
  <c r="F22" i="2"/>
  <c r="C25" i="1"/>
  <c r="O16" i="2"/>
  <c r="C22" i="2"/>
  <c r="D22" i="2"/>
  <c r="E22" i="2"/>
  <c r="E25" i="1"/>
  <c r="E29" i="1" s="1"/>
  <c r="E33" i="1" s="1"/>
  <c r="E37" i="1" s="1"/>
  <c r="O20" i="2"/>
  <c r="O21" i="2"/>
  <c r="O34" i="2"/>
  <c r="H19" i="2"/>
  <c r="H22" i="2" s="1"/>
  <c r="H24" i="2" s="1"/>
  <c r="H28" i="2" s="1"/>
  <c r="H32" i="2" s="1"/>
  <c r="H36" i="2" s="1"/>
  <c r="O20" i="1"/>
  <c r="I18" i="1"/>
  <c r="O18" i="1" s="1"/>
  <c r="C15" i="2"/>
  <c r="O17" i="3"/>
  <c r="O24" i="3" s="1"/>
  <c r="O28" i="3" s="1"/>
  <c r="O32" i="3" s="1"/>
  <c r="O36" i="3" s="1"/>
  <c r="O17" i="1"/>
  <c r="J18" i="1"/>
  <c r="F23" i="1"/>
  <c r="O23" i="1" s="1"/>
  <c r="D15" i="2"/>
  <c r="D17" i="2" s="1"/>
  <c r="O16" i="1"/>
  <c r="G23" i="1"/>
  <c r="G25" i="1" s="1"/>
  <c r="G29" i="1" s="1"/>
  <c r="G33" i="1" s="1"/>
  <c r="G37" i="1" s="1"/>
  <c r="E15" i="2"/>
  <c r="E17" i="2" s="1"/>
  <c r="E24" i="2" s="1"/>
  <c r="E28" i="2" s="1"/>
  <c r="E32" i="2" s="1"/>
  <c r="E36" i="2" s="1"/>
  <c r="H23" i="1"/>
  <c r="H25" i="1" s="1"/>
  <c r="H29" i="1" s="1"/>
  <c r="H33" i="1" s="1"/>
  <c r="H37" i="1" s="1"/>
  <c r="I23" i="1"/>
  <c r="J23" i="1"/>
  <c r="C17" i="2" l="1"/>
  <c r="O15" i="2"/>
  <c r="F25" i="1"/>
  <c r="F29" i="1" s="1"/>
  <c r="F33" i="1" s="1"/>
  <c r="F37" i="1" s="1"/>
  <c r="D24" i="2"/>
  <c r="D28" i="2" s="1"/>
  <c r="D32" i="2" s="1"/>
  <c r="D36" i="2" s="1"/>
  <c r="O19" i="2"/>
  <c r="C29" i="1"/>
  <c r="O25" i="1"/>
  <c r="O22" i="2"/>
  <c r="I25" i="1"/>
  <c r="I29" i="1" s="1"/>
  <c r="I33" i="1" s="1"/>
  <c r="I37" i="1" s="1"/>
  <c r="J25" i="1"/>
  <c r="J29" i="1" s="1"/>
  <c r="J33" i="1" s="1"/>
  <c r="J37" i="1" s="1"/>
  <c r="F24" i="2"/>
  <c r="F28" i="2" s="1"/>
  <c r="F32" i="2" s="1"/>
  <c r="F36" i="2" s="1"/>
  <c r="C33" i="1" l="1"/>
  <c r="O29" i="1"/>
  <c r="C24" i="2"/>
  <c r="O17" i="2"/>
  <c r="C28" i="2" l="1"/>
  <c r="O24" i="2"/>
  <c r="C37" i="1"/>
  <c r="O37" i="1" s="1"/>
  <c r="O33" i="1"/>
  <c r="C32" i="2" l="1"/>
  <c r="O28" i="2"/>
  <c r="C36" i="2" l="1"/>
  <c r="O36" i="2" s="1"/>
  <c r="O32" i="2"/>
</calcChain>
</file>

<file path=xl/sharedStrings.xml><?xml version="1.0" encoding="utf-8"?>
<sst xmlns="http://schemas.openxmlformats.org/spreadsheetml/2006/main" count="136" uniqueCount="40">
  <si>
    <t>Columbia Gas of Kentucky, Inc.</t>
  </si>
  <si>
    <t>Income Statement Budget</t>
  </si>
  <si>
    <t>For the Twelve Months Ending May 31, 2021</t>
  </si>
  <si>
    <t>($000)</t>
  </si>
  <si>
    <t>Line</t>
  </si>
  <si>
    <t>Actual</t>
  </si>
  <si>
    <t>Forecast</t>
  </si>
  <si>
    <t>No.</t>
  </si>
  <si>
    <t>12 Months Preceding Filing Date</t>
  </si>
  <si>
    <t>Total</t>
  </si>
  <si>
    <t>1</t>
  </si>
  <si>
    <t>Gas Revenue</t>
  </si>
  <si>
    <t>2</t>
  </si>
  <si>
    <t>Gas Purchase Expense</t>
  </si>
  <si>
    <t>3</t>
  </si>
  <si>
    <t>Plant Revenue</t>
  </si>
  <si>
    <t>4</t>
  </si>
  <si>
    <t>O&amp;M Expenses</t>
  </si>
  <si>
    <t>5</t>
  </si>
  <si>
    <t>Depreciation &amp; Amortization</t>
  </si>
  <si>
    <t>6</t>
  </si>
  <si>
    <t>Other Taxes</t>
  </si>
  <si>
    <t>7</t>
  </si>
  <si>
    <t>Plant Expenses</t>
  </si>
  <si>
    <t>8</t>
  </si>
  <si>
    <t>Operating Income Before Income Taxes</t>
  </si>
  <si>
    <t>9</t>
  </si>
  <si>
    <t>Income Taxes</t>
  </si>
  <si>
    <t>10</t>
  </si>
  <si>
    <t>Net Operating Income</t>
  </si>
  <si>
    <t>Other Income &amp; Deductions</t>
  </si>
  <si>
    <t>Income Before Interest Expense</t>
  </si>
  <si>
    <t>Interest Expense</t>
  </si>
  <si>
    <t>14</t>
  </si>
  <si>
    <t>Net Income</t>
  </si>
  <si>
    <t>Base Period: Twelve Months Ending August 31, 2021</t>
  </si>
  <si>
    <t>Base Period</t>
  </si>
  <si>
    <t>Forecasted Test Period: Twelve Months Ending December 31, 2022</t>
  </si>
  <si>
    <t>Forecasted Period</t>
  </si>
  <si>
    <t>Case No. 2021 - 00183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</si>
</sst>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_);_(* \(#,##0.00000000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0" applyFont="1"/>
    <xf numFmtId="0" fontId="2" fillId="0" borderId="0" xfId="1" quotePrefix="1" applyFont="1" applyFill="1" applyAlignment="1">
      <alignment horizontal="center"/>
    </xf>
    <xf numFmtId="17" fontId="5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17" fontId="2" fillId="0" borderId="1" xfId="2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vertical="top"/>
    </xf>
    <xf numFmtId="0" fontId="6" fillId="0" borderId="0" xfId="1" applyFont="1" applyFill="1"/>
    <xf numFmtId="164" fontId="4" fillId="0" borderId="1" xfId="2" applyNumberFormat="1" applyFont="1" applyFill="1" applyBorder="1" applyAlignment="1">
      <alignment vertical="top"/>
    </xf>
    <xf numFmtId="164" fontId="4" fillId="0" borderId="0" xfId="2" applyNumberFormat="1" applyFont="1" applyFill="1" applyBorder="1"/>
    <xf numFmtId="164" fontId="2" fillId="0" borderId="0" xfId="2" applyNumberFormat="1" applyFont="1" applyFill="1" applyBorder="1"/>
    <xf numFmtId="164" fontId="2" fillId="0" borderId="1" xfId="2" applyNumberFormat="1" applyFont="1" applyFill="1" applyBorder="1"/>
    <xf numFmtId="164" fontId="4" fillId="0" borderId="1" xfId="2" applyNumberFormat="1" applyFont="1" applyFill="1" applyBorder="1"/>
    <xf numFmtId="164" fontId="4" fillId="0" borderId="2" xfId="2" applyNumberFormat="1" applyFont="1" applyFill="1" applyBorder="1" applyAlignment="1">
      <alignment vertical="top"/>
    </xf>
    <xf numFmtId="164" fontId="2" fillId="0" borderId="2" xfId="2" applyNumberFormat="1" applyFont="1" applyFill="1" applyBorder="1"/>
    <xf numFmtId="164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0" xfId="1" applyNumberFormat="1" applyFont="1" applyFill="1"/>
    <xf numFmtId="43" fontId="2" fillId="0" borderId="0" xfId="1" applyNumberFormat="1" applyFont="1" applyFill="1"/>
    <xf numFmtId="0" fontId="2" fillId="0" borderId="0" xfId="1" applyFont="1"/>
    <xf numFmtId="0" fontId="2" fillId="0" borderId="0" xfId="1" applyFont="1" applyAlignment="1">
      <alignment horizontal="right"/>
    </xf>
    <xf numFmtId="0" fontId="7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/>
    </xf>
    <xf numFmtId="17" fontId="8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0" fontId="8" fillId="0" borderId="0" xfId="1" applyFont="1" applyFill="1" applyBorder="1"/>
    <xf numFmtId="17" fontId="8" fillId="0" borderId="0" xfId="2" applyNumberFormat="1" applyFont="1" applyFill="1" applyBorder="1" applyAlignment="1">
      <alignment horizontal="center"/>
    </xf>
    <xf numFmtId="17" fontId="4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1" applyNumberFormat="1" applyFont="1"/>
    <xf numFmtId="0" fontId="8" fillId="0" borderId="1" xfId="1" applyFont="1" applyFill="1" applyBorder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Comma 5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Q41"/>
  <sheetViews>
    <sheetView tabSelected="1" topLeftCell="A7" zoomScale="110" zoomScaleNormal="110" workbookViewId="0">
      <selection activeCell="G27" sqref="G27"/>
    </sheetView>
  </sheetViews>
  <sheetFormatPr defaultColWidth="9.08984375" defaultRowHeight="14" x14ac:dyDescent="0.3"/>
  <cols>
    <col min="1" max="1" width="4.54296875" style="1" customWidth="1"/>
    <col min="2" max="2" width="37" style="1" bestFit="1" customWidth="1"/>
    <col min="3" max="3" width="10.6328125" style="1" customWidth="1"/>
    <col min="4" max="4" width="10.81640625" style="1" customWidth="1"/>
    <col min="5" max="10" width="10.6328125" style="1" customWidth="1"/>
    <col min="11" max="11" width="10.453125" style="1" customWidth="1"/>
    <col min="12" max="15" width="10.6328125" style="1" customWidth="1"/>
    <col min="16" max="16384" width="9.08984375" style="1"/>
  </cols>
  <sheetData>
    <row r="2" spans="1:17" ht="15.5" x14ac:dyDescent="0.35">
      <c r="O2" s="2"/>
      <c r="Q2" s="3"/>
    </row>
    <row r="3" spans="1:17" ht="15.5" x14ac:dyDescent="0.35">
      <c r="O3" s="2"/>
      <c r="Q3" s="3"/>
    </row>
    <row r="5" spans="1:17" x14ac:dyDescent="0.3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7" x14ac:dyDescent="0.3">
      <c r="B6" s="41" t="s">
        <v>39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7" x14ac:dyDescent="0.3">
      <c r="B7" s="40" t="s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7" x14ac:dyDescent="0.3">
      <c r="B8" s="40" t="s">
        <v>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x14ac:dyDescent="0.3">
      <c r="B9" s="42" t="s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7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2" spans="1:17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7" x14ac:dyDescent="0.3">
      <c r="A13" s="6" t="s">
        <v>4</v>
      </c>
      <c r="C13" s="7" t="s">
        <v>5</v>
      </c>
      <c r="D13" s="7" t="s">
        <v>5</v>
      </c>
      <c r="E13" s="7" t="s">
        <v>5</v>
      </c>
      <c r="F13" s="7" t="s">
        <v>5</v>
      </c>
      <c r="G13" s="7" t="s">
        <v>5</v>
      </c>
      <c r="H13" s="7" t="s">
        <v>5</v>
      </c>
      <c r="I13" s="7" t="s">
        <v>5</v>
      </c>
      <c r="J13" s="7" t="s">
        <v>5</v>
      </c>
      <c r="K13" s="7" t="s">
        <v>5</v>
      </c>
      <c r="L13" s="7" t="s">
        <v>6</v>
      </c>
      <c r="M13" s="7" t="s">
        <v>6</v>
      </c>
      <c r="N13" s="7" t="s">
        <v>6</v>
      </c>
    </row>
    <row r="14" spans="1:17" x14ac:dyDescent="0.3">
      <c r="A14" s="8" t="s">
        <v>7</v>
      </c>
      <c r="B14" s="8" t="s">
        <v>8</v>
      </c>
      <c r="C14" s="9">
        <v>43983</v>
      </c>
      <c r="D14" s="9">
        <v>44013</v>
      </c>
      <c r="E14" s="9">
        <v>44044</v>
      </c>
      <c r="F14" s="9">
        <v>44075</v>
      </c>
      <c r="G14" s="9">
        <v>44105</v>
      </c>
      <c r="H14" s="9">
        <v>44136</v>
      </c>
      <c r="I14" s="9">
        <v>44166</v>
      </c>
      <c r="J14" s="9">
        <v>44197</v>
      </c>
      <c r="K14" s="9">
        <v>44228</v>
      </c>
      <c r="L14" s="9">
        <v>44256</v>
      </c>
      <c r="M14" s="9">
        <v>44287</v>
      </c>
      <c r="N14" s="9">
        <v>44317</v>
      </c>
      <c r="O14" s="10" t="s">
        <v>9</v>
      </c>
    </row>
    <row r="15" spans="1:17" x14ac:dyDescent="0.3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3">
      <c r="A16" s="13" t="s">
        <v>10</v>
      </c>
      <c r="B16" s="14" t="s">
        <v>11</v>
      </c>
      <c r="C16" s="15">
        <f>4185.10654+1244.96716+113.82448</f>
        <v>5543.8981800000001</v>
      </c>
      <c r="D16" s="15">
        <f>4194.37542+1208.09595+105.43635</f>
        <v>5507.9077200000002</v>
      </c>
      <c r="E16" s="15">
        <f>4187.83829+1298.2899+10.50744</f>
        <v>5496.6356299999998</v>
      </c>
      <c r="F16" s="15">
        <f>4385.33723+1271.02328+90.71094</f>
        <v>5747.0714500000004</v>
      </c>
      <c r="G16" s="15">
        <f>6088.21326+1644.91407+140.6013</f>
        <v>7873.7286300000005</v>
      </c>
      <c r="H16" s="15">
        <f>10281.07934+1849.83214+104.75977</f>
        <v>12235.671250000001</v>
      </c>
      <c r="I16" s="15">
        <f>16679.90745+2433.99363+121.517</f>
        <v>19235.418079999999</v>
      </c>
      <c r="J16" s="15">
        <f>19308.51536+2807.66884+384.50473</f>
        <v>22500.68893</v>
      </c>
      <c r="K16" s="15">
        <v>21078.129519999999</v>
      </c>
      <c r="L16" s="15">
        <v>14588.704779952192</v>
      </c>
      <c r="M16" s="15">
        <v>8569.7386394025743</v>
      </c>
      <c r="N16" s="15">
        <v>6650.8837677374777</v>
      </c>
      <c r="O16" s="15">
        <f>SUM(C16:N16)</f>
        <v>135028.47657709225</v>
      </c>
      <c r="Q16" s="16"/>
    </row>
    <row r="17" spans="1:17" x14ac:dyDescent="0.3">
      <c r="A17" s="13" t="s">
        <v>12</v>
      </c>
      <c r="B17" s="14" t="s">
        <v>13</v>
      </c>
      <c r="C17" s="17">
        <v>584.14437999999996</v>
      </c>
      <c r="D17" s="17">
        <v>593.79780000000005</v>
      </c>
      <c r="E17" s="17">
        <v>564.78832999999997</v>
      </c>
      <c r="F17" s="17">
        <f>711.3747</f>
        <v>711.37469999999996</v>
      </c>
      <c r="G17" s="17">
        <f>1563.00113</f>
        <v>1563.0011300000001</v>
      </c>
      <c r="H17" s="17">
        <f>3936.15216</f>
        <v>3936.1521600000001</v>
      </c>
      <c r="I17" s="17">
        <f>7880.2352</f>
        <v>7880.2352000000001</v>
      </c>
      <c r="J17" s="17">
        <f>9368.88062</f>
        <v>9368.8806199999999</v>
      </c>
      <c r="K17" s="17">
        <f>9397.7368</f>
        <v>9397.7368000000006</v>
      </c>
      <c r="L17" s="17">
        <v>5629.7565947127659</v>
      </c>
      <c r="M17" s="17">
        <v>2474.5165387979896</v>
      </c>
      <c r="N17" s="17">
        <v>1976.3618548487129</v>
      </c>
      <c r="O17" s="17">
        <f t="shared" ref="O17" si="0">SUM(C17:N17)</f>
        <v>44680.746108359468</v>
      </c>
      <c r="Q17" s="16"/>
    </row>
    <row r="18" spans="1:17" x14ac:dyDescent="0.3">
      <c r="A18" s="13" t="s">
        <v>14</v>
      </c>
      <c r="B18" s="14" t="s">
        <v>15</v>
      </c>
      <c r="C18" s="15">
        <f>C16-C17</f>
        <v>4959.7538000000004</v>
      </c>
      <c r="D18" s="15">
        <f t="shared" ref="D18:N18" si="1">D16-D17</f>
        <v>4914.1099199999999</v>
      </c>
      <c r="E18" s="15">
        <f t="shared" si="1"/>
        <v>4931.8472999999994</v>
      </c>
      <c r="F18" s="15">
        <f t="shared" si="1"/>
        <v>5035.6967500000001</v>
      </c>
      <c r="G18" s="15">
        <f t="shared" si="1"/>
        <v>6310.7275000000009</v>
      </c>
      <c r="H18" s="15">
        <f t="shared" si="1"/>
        <v>8299.5190900000016</v>
      </c>
      <c r="I18" s="15">
        <f t="shared" si="1"/>
        <v>11355.18288</v>
      </c>
      <c r="J18" s="15">
        <f t="shared" si="1"/>
        <v>13131.80831</v>
      </c>
      <c r="K18" s="15">
        <f t="shared" si="1"/>
        <v>11680.392719999998</v>
      </c>
      <c r="L18" s="15">
        <f t="shared" si="1"/>
        <v>8958.9481852394256</v>
      </c>
      <c r="M18" s="15">
        <f t="shared" si="1"/>
        <v>6095.2221006045847</v>
      </c>
      <c r="N18" s="15">
        <f t="shared" si="1"/>
        <v>4674.5219128887647</v>
      </c>
      <c r="O18" s="15">
        <f>SUM(C18:N18)</f>
        <v>90347.730468732785</v>
      </c>
      <c r="Q18" s="16"/>
    </row>
    <row r="19" spans="1:17" x14ac:dyDescent="0.3">
      <c r="A19" s="6"/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Q19" s="16"/>
    </row>
    <row r="20" spans="1:17" x14ac:dyDescent="0.3">
      <c r="A20" s="13" t="s">
        <v>16</v>
      </c>
      <c r="B20" s="14" t="s">
        <v>17</v>
      </c>
      <c r="C20" s="15">
        <v>3524.7185800000002</v>
      </c>
      <c r="D20" s="15">
        <f>3248.21011+530.22404</f>
        <v>3778.43415</v>
      </c>
      <c r="E20" s="15">
        <f>3049.49442+600.90697</f>
        <v>3650.40139</v>
      </c>
      <c r="F20" s="15">
        <f>5113.18601+366.98632</f>
        <v>5480.1723300000003</v>
      </c>
      <c r="G20" s="15">
        <f>3473.54212+480.36105</f>
        <v>3953.90317</v>
      </c>
      <c r="H20" s="15">
        <f>3422.17447+738.0609</f>
        <v>4160.2353700000003</v>
      </c>
      <c r="I20" s="15">
        <f>5518.2864+675.30938</f>
        <v>6193.5957799999996</v>
      </c>
      <c r="J20" s="15">
        <f>3636.73608+490.89856</f>
        <v>4127.6346400000002</v>
      </c>
      <c r="K20" s="15">
        <f>2941.73725+388.61188</f>
        <v>3330.3491300000001</v>
      </c>
      <c r="L20" s="15">
        <v>4965.0096707839948</v>
      </c>
      <c r="M20" s="15">
        <v>5058.0286933460648</v>
      </c>
      <c r="N20" s="15">
        <v>4791.1228574028864</v>
      </c>
      <c r="O20" s="19">
        <f t="shared" ref="O20:O23" si="2">SUM(C20:N20)</f>
        <v>53013.605761532948</v>
      </c>
      <c r="Q20" s="16"/>
    </row>
    <row r="21" spans="1:17" x14ac:dyDescent="0.3">
      <c r="A21" s="13" t="s">
        <v>18</v>
      </c>
      <c r="B21" s="14" t="s">
        <v>19</v>
      </c>
      <c r="C21" s="15">
        <v>1252.66121</v>
      </c>
      <c r="D21" s="15">
        <v>1264.40446</v>
      </c>
      <c r="E21" s="15">
        <v>1276.1019699999999</v>
      </c>
      <c r="F21" s="15">
        <f>1284.3695</f>
        <v>1284.3695</v>
      </c>
      <c r="G21" s="15">
        <f>1292.35277</f>
        <v>1292.35277</v>
      </c>
      <c r="H21" s="15">
        <f>1308.11802</f>
        <v>1308.1180199999999</v>
      </c>
      <c r="I21" s="15">
        <f>1321.84862</f>
        <v>1321.84862</v>
      </c>
      <c r="J21" s="15">
        <f>1328.73858</f>
        <v>1328.73858</v>
      </c>
      <c r="K21" s="15">
        <f>1341.51573</f>
        <v>1341.5157300000001</v>
      </c>
      <c r="L21" s="15">
        <v>1344.5066528418647</v>
      </c>
      <c r="M21" s="15">
        <v>1351.8016039110651</v>
      </c>
      <c r="N21" s="15">
        <v>1358.3787994667296</v>
      </c>
      <c r="O21" s="19">
        <f t="shared" si="2"/>
        <v>15724.797916219659</v>
      </c>
    </row>
    <row r="22" spans="1:17" x14ac:dyDescent="0.3">
      <c r="A22" s="13" t="s">
        <v>20</v>
      </c>
      <c r="B22" s="14" t="s">
        <v>21</v>
      </c>
      <c r="C22" s="17">
        <v>552.90832999999998</v>
      </c>
      <c r="D22" s="17">
        <v>564.48847999999998</v>
      </c>
      <c r="E22" s="17">
        <f>551.27368</f>
        <v>551.27368000000001</v>
      </c>
      <c r="F22" s="17">
        <f>558.93871</f>
        <v>558.93871000000001</v>
      </c>
      <c r="G22" s="17">
        <f>563.6492</f>
        <v>563.64919999999995</v>
      </c>
      <c r="H22" s="17">
        <f>557.8977</f>
        <v>557.89769999999999</v>
      </c>
      <c r="I22" s="17">
        <f>568.09402</f>
        <v>568.09402</v>
      </c>
      <c r="J22" s="17">
        <v>643.57435999999996</v>
      </c>
      <c r="K22" s="17">
        <f>527.4403</f>
        <v>527.44029999999998</v>
      </c>
      <c r="L22" s="17">
        <v>660.54784417298504</v>
      </c>
      <c r="M22" s="17">
        <v>672.15893567646833</v>
      </c>
      <c r="N22" s="17">
        <v>660.75527496601308</v>
      </c>
      <c r="O22" s="20">
        <f t="shared" si="2"/>
        <v>7081.7268348154648</v>
      </c>
    </row>
    <row r="23" spans="1:17" x14ac:dyDescent="0.3">
      <c r="A23" s="13" t="s">
        <v>22</v>
      </c>
      <c r="B23" s="14" t="s">
        <v>23</v>
      </c>
      <c r="C23" s="15">
        <f>SUM(C20:C22)</f>
        <v>5330.2881200000002</v>
      </c>
      <c r="D23" s="15">
        <f t="shared" ref="D23:N23" si="3">SUM(D20:D22)</f>
        <v>5607.3270899999998</v>
      </c>
      <c r="E23" s="15">
        <f t="shared" si="3"/>
        <v>5477.7770399999999</v>
      </c>
      <c r="F23" s="15">
        <f t="shared" si="3"/>
        <v>7323.4805400000005</v>
      </c>
      <c r="G23" s="15">
        <f t="shared" si="3"/>
        <v>5809.9051399999998</v>
      </c>
      <c r="H23" s="15">
        <f t="shared" si="3"/>
        <v>6026.2510899999997</v>
      </c>
      <c r="I23" s="15">
        <f t="shared" si="3"/>
        <v>8083.538419999999</v>
      </c>
      <c r="J23" s="15">
        <f t="shared" si="3"/>
        <v>6099.94758</v>
      </c>
      <c r="K23" s="15">
        <f t="shared" si="3"/>
        <v>5199.3051599999999</v>
      </c>
      <c r="L23" s="15">
        <f t="shared" si="3"/>
        <v>6970.0641677988442</v>
      </c>
      <c r="M23" s="15">
        <f t="shared" si="3"/>
        <v>7081.989232933598</v>
      </c>
      <c r="N23" s="15">
        <f t="shared" si="3"/>
        <v>6810.2569318356291</v>
      </c>
      <c r="O23" s="19">
        <f t="shared" si="2"/>
        <v>75820.130512568066</v>
      </c>
    </row>
    <row r="24" spans="1:17" x14ac:dyDescent="0.3">
      <c r="A24" s="6"/>
      <c r="B24" s="11"/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7" x14ac:dyDescent="0.3">
      <c r="A25" s="13" t="s">
        <v>24</v>
      </c>
      <c r="B25" s="14" t="s">
        <v>25</v>
      </c>
      <c r="C25" s="18">
        <f>+C18-C23</f>
        <v>-370.53431999999975</v>
      </c>
      <c r="D25" s="19">
        <f t="shared" ref="D25:N25" si="4">+D18-D23</f>
        <v>-693.2171699999999</v>
      </c>
      <c r="E25" s="19">
        <f t="shared" si="4"/>
        <v>-545.92974000000049</v>
      </c>
      <c r="F25" s="19">
        <f t="shared" si="4"/>
        <v>-2287.7837900000004</v>
      </c>
      <c r="G25" s="19">
        <f t="shared" si="4"/>
        <v>500.82236000000103</v>
      </c>
      <c r="H25" s="19">
        <f t="shared" si="4"/>
        <v>2273.2680000000018</v>
      </c>
      <c r="I25" s="19">
        <f t="shared" si="4"/>
        <v>3271.6444600000013</v>
      </c>
      <c r="J25" s="19">
        <f t="shared" si="4"/>
        <v>7031.8607300000003</v>
      </c>
      <c r="K25" s="19">
        <f t="shared" si="4"/>
        <v>6481.0875599999981</v>
      </c>
      <c r="L25" s="19">
        <f t="shared" si="4"/>
        <v>1988.8840174405814</v>
      </c>
      <c r="M25" s="19">
        <f t="shared" si="4"/>
        <v>-986.76713232901329</v>
      </c>
      <c r="N25" s="19">
        <f t="shared" si="4"/>
        <v>-2135.7350189468643</v>
      </c>
      <c r="O25" s="19">
        <f>SUM(C25:N25)</f>
        <v>14527.599956164708</v>
      </c>
    </row>
    <row r="26" spans="1:17" x14ac:dyDescent="0.3">
      <c r="A26" s="6"/>
      <c r="B26" s="11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 x14ac:dyDescent="0.3">
      <c r="A27" s="13" t="s">
        <v>26</v>
      </c>
      <c r="B27" s="14" t="s">
        <v>27</v>
      </c>
      <c r="C27" s="15">
        <v>-297.41199999999998</v>
      </c>
      <c r="D27" s="15">
        <v>-395.387</v>
      </c>
      <c r="E27" s="15">
        <f>-357.946</f>
        <v>-357.94600000000003</v>
      </c>
      <c r="F27" s="15">
        <f>-789.98</f>
        <v>-789.98</v>
      </c>
      <c r="G27" s="15">
        <f>-94.854</f>
        <v>-94.853999999999999</v>
      </c>
      <c r="H27" s="15">
        <f>330.966</f>
        <v>330.96600000000001</v>
      </c>
      <c r="I27" s="15">
        <v>1678.105</v>
      </c>
      <c r="J27" s="15">
        <f>1524.686</f>
        <v>1524.6859999999999</v>
      </c>
      <c r="K27" s="15">
        <v>1400.732</v>
      </c>
      <c r="L27" s="15">
        <v>321.5212138087191</v>
      </c>
      <c r="M27" s="15">
        <v>-445.12217307910117</v>
      </c>
      <c r="N27" s="15">
        <v>-740.27154979364298</v>
      </c>
      <c r="O27" s="19">
        <f>SUM(C27:N27)</f>
        <v>2135.0374909359748</v>
      </c>
    </row>
    <row r="28" spans="1:17" x14ac:dyDescent="0.3">
      <c r="A28" s="6"/>
      <c r="B28" s="11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7" x14ac:dyDescent="0.3">
      <c r="A29" s="13" t="s">
        <v>28</v>
      </c>
      <c r="B29" s="14" t="s">
        <v>29</v>
      </c>
      <c r="C29" s="18">
        <f>+C25-C27</f>
        <v>-73.122319999999775</v>
      </c>
      <c r="D29" s="19">
        <f t="shared" ref="D29:N29" si="5">+D25-D27</f>
        <v>-297.8301699999999</v>
      </c>
      <c r="E29" s="19">
        <f t="shared" si="5"/>
        <v>-187.98374000000047</v>
      </c>
      <c r="F29" s="19">
        <f t="shared" si="5"/>
        <v>-1497.8037900000004</v>
      </c>
      <c r="G29" s="19">
        <f t="shared" si="5"/>
        <v>595.67636000000107</v>
      </c>
      <c r="H29" s="19">
        <f t="shared" si="5"/>
        <v>1942.302000000002</v>
      </c>
      <c r="I29" s="19">
        <f t="shared" si="5"/>
        <v>1593.5394600000013</v>
      </c>
      <c r="J29" s="19">
        <f t="shared" si="5"/>
        <v>5507.1747300000006</v>
      </c>
      <c r="K29" s="19">
        <f t="shared" si="5"/>
        <v>5080.3555599999981</v>
      </c>
      <c r="L29" s="19">
        <f t="shared" si="5"/>
        <v>1667.3628036318623</v>
      </c>
      <c r="M29" s="19">
        <f t="shared" si="5"/>
        <v>-541.64495924991206</v>
      </c>
      <c r="N29" s="19">
        <f t="shared" si="5"/>
        <v>-1395.4634691532215</v>
      </c>
      <c r="O29" s="19">
        <f>SUM(C29:N29)</f>
        <v>12392.562465228732</v>
      </c>
    </row>
    <row r="30" spans="1:17" x14ac:dyDescent="0.3">
      <c r="A30" s="6"/>
      <c r="B30" s="11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 x14ac:dyDescent="0.3">
      <c r="A31" s="6">
        <v>11</v>
      </c>
      <c r="B31" s="14" t="s">
        <v>30</v>
      </c>
      <c r="C31" s="18">
        <v>57.289230000000003</v>
      </c>
      <c r="D31" s="19">
        <f>15.29064+0.86012</f>
        <v>16.150759999999998</v>
      </c>
      <c r="E31" s="19">
        <f>5.14536+31.72443</f>
        <v>36.869790000000002</v>
      </c>
      <c r="F31" s="19">
        <f>1.34026+123.16344</f>
        <v>124.50369999999999</v>
      </c>
      <c r="G31" s="19">
        <f>5.05811+220.96199</f>
        <v>226.02009999999999</v>
      </c>
      <c r="H31" s="19">
        <f>233.0663-8.85386</f>
        <v>224.21244000000002</v>
      </c>
      <c r="I31" s="19">
        <f>9.42662+199.10562</f>
        <v>208.53224</v>
      </c>
      <c r="J31" s="19">
        <f>0.13079+263.07254</f>
        <v>263.20332999999999</v>
      </c>
      <c r="K31" s="19">
        <f>0.04132+99.05558</f>
        <v>99.096900000000005</v>
      </c>
      <c r="L31" s="19">
        <v>170.52406229666667</v>
      </c>
      <c r="M31" s="19">
        <v>49.606367696666666</v>
      </c>
      <c r="N31" s="19">
        <v>34.464396839999999</v>
      </c>
      <c r="O31" s="19">
        <f>SUM(C31:N31)</f>
        <v>1510.4733168333335</v>
      </c>
    </row>
    <row r="32" spans="1:17" x14ac:dyDescent="0.3">
      <c r="A32" s="6"/>
      <c r="B32" s="11"/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6" x14ac:dyDescent="0.3">
      <c r="A33" s="6">
        <v>12</v>
      </c>
      <c r="B33" s="14" t="s">
        <v>31</v>
      </c>
      <c r="C33" s="18">
        <f t="shared" ref="C33:N33" si="6">+C29+C31</f>
        <v>-15.833089999999771</v>
      </c>
      <c r="D33" s="19">
        <f t="shared" si="6"/>
        <v>-281.6794099999999</v>
      </c>
      <c r="E33" s="19">
        <f t="shared" si="6"/>
        <v>-151.11395000000047</v>
      </c>
      <c r="F33" s="19">
        <f t="shared" si="6"/>
        <v>-1373.3000900000004</v>
      </c>
      <c r="G33" s="19">
        <f t="shared" si="6"/>
        <v>821.69646000000103</v>
      </c>
      <c r="H33" s="19">
        <f t="shared" si="6"/>
        <v>2166.5144400000017</v>
      </c>
      <c r="I33" s="19">
        <f t="shared" si="6"/>
        <v>1802.0717000000013</v>
      </c>
      <c r="J33" s="19">
        <f t="shared" si="6"/>
        <v>5770.3780600000009</v>
      </c>
      <c r="K33" s="19">
        <f t="shared" si="6"/>
        <v>5179.4524599999986</v>
      </c>
      <c r="L33" s="19">
        <f t="shared" si="6"/>
        <v>1837.886865928529</v>
      </c>
      <c r="M33" s="19">
        <f t="shared" si="6"/>
        <v>-492.0385915532454</v>
      </c>
      <c r="N33" s="19">
        <f t="shared" si="6"/>
        <v>-1360.9990723132214</v>
      </c>
      <c r="O33" s="19">
        <f>SUM(C33:N33)</f>
        <v>13903.035782062065</v>
      </c>
    </row>
    <row r="34" spans="1:16" x14ac:dyDescent="0.3">
      <c r="A34" s="6"/>
      <c r="B34" s="11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6" x14ac:dyDescent="0.3">
      <c r="A35" s="6">
        <v>13</v>
      </c>
      <c r="B35" s="14" t="s">
        <v>32</v>
      </c>
      <c r="C35" s="18">
        <f>580.442</f>
        <v>580.44200000000001</v>
      </c>
      <c r="D35" s="19">
        <v>633.57034999999996</v>
      </c>
      <c r="E35" s="19">
        <f>630.77632</f>
        <v>630.77632000000006</v>
      </c>
      <c r="F35" s="19">
        <f>616.96863</f>
        <v>616.96862999999996</v>
      </c>
      <c r="G35" s="19">
        <f>622.6559</f>
        <v>622.65589999999997</v>
      </c>
      <c r="H35" s="19">
        <f>688.39904</f>
        <v>688.39904000000001</v>
      </c>
      <c r="I35" s="19">
        <v>649.72379000000001</v>
      </c>
      <c r="J35" s="19">
        <f>633.10672</f>
        <v>633.10672</v>
      </c>
      <c r="K35" s="19">
        <f>579.10665</f>
        <v>579.10664999999995</v>
      </c>
      <c r="L35" s="19">
        <v>649.19898352822088</v>
      </c>
      <c r="M35" s="19">
        <v>625.34912468095604</v>
      </c>
      <c r="N35" s="19">
        <v>644.202700932055</v>
      </c>
      <c r="O35" s="19">
        <f>SUM(C35:N35)</f>
        <v>7553.5002091412316</v>
      </c>
    </row>
    <row r="36" spans="1:16" x14ac:dyDescent="0.3">
      <c r="A36" s="6"/>
      <c r="B36" s="11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6" ht="14.5" thickBot="1" x14ac:dyDescent="0.35">
      <c r="A37" s="13" t="s">
        <v>33</v>
      </c>
      <c r="B37" s="14" t="s">
        <v>34</v>
      </c>
      <c r="C37" s="22">
        <f>C33-C35</f>
        <v>-596.27508999999975</v>
      </c>
      <c r="D37" s="22">
        <f t="shared" ref="D37:N37" si="7">D33-D35</f>
        <v>-915.24975999999992</v>
      </c>
      <c r="E37" s="22">
        <f t="shared" si="7"/>
        <v>-781.89027000000056</v>
      </c>
      <c r="F37" s="22">
        <f t="shared" si="7"/>
        <v>-1990.2687200000005</v>
      </c>
      <c r="G37" s="22">
        <f t="shared" si="7"/>
        <v>199.04056000000105</v>
      </c>
      <c r="H37" s="22">
        <f t="shared" si="7"/>
        <v>1478.1154000000017</v>
      </c>
      <c r="I37" s="22">
        <f t="shared" si="7"/>
        <v>1152.3479100000013</v>
      </c>
      <c r="J37" s="22">
        <f t="shared" si="7"/>
        <v>5137.2713400000011</v>
      </c>
      <c r="K37" s="22">
        <f t="shared" si="7"/>
        <v>4600.3458099999989</v>
      </c>
      <c r="L37" s="22">
        <f t="shared" si="7"/>
        <v>1188.6878824003081</v>
      </c>
      <c r="M37" s="22">
        <f t="shared" si="7"/>
        <v>-1117.3877162342014</v>
      </c>
      <c r="N37" s="22">
        <f t="shared" si="7"/>
        <v>-2005.2017732452764</v>
      </c>
      <c r="O37" s="23">
        <f>SUM(C37:N37)</f>
        <v>6349.5355729208331</v>
      </c>
      <c r="P37" s="24"/>
    </row>
    <row r="38" spans="1:16" ht="14.5" thickTop="1" x14ac:dyDescent="0.3">
      <c r="B38" s="11"/>
      <c r="C38" s="11"/>
      <c r="D38" s="11"/>
      <c r="E38" s="11"/>
      <c r="F38" s="11"/>
      <c r="G38" s="11"/>
      <c r="H38" s="25"/>
      <c r="I38" s="11"/>
      <c r="J38" s="11"/>
      <c r="K38" s="11"/>
      <c r="L38" s="11"/>
      <c r="M38" s="11"/>
      <c r="N38" s="11"/>
      <c r="O38" s="11"/>
    </row>
    <row r="39" spans="1:16" x14ac:dyDescent="0.3">
      <c r="C39" s="15"/>
      <c r="H39" s="26"/>
    </row>
    <row r="40" spans="1:16" x14ac:dyDescent="0.3">
      <c r="C40" s="15"/>
    </row>
    <row r="41" spans="1:16" x14ac:dyDescent="0.3">
      <c r="C41" s="15"/>
      <c r="H41" s="27"/>
    </row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Q39"/>
  <sheetViews>
    <sheetView zoomScale="110" zoomScaleNormal="110" workbookViewId="0">
      <selection activeCell="B7" sqref="B7:O7"/>
    </sheetView>
  </sheetViews>
  <sheetFormatPr defaultColWidth="8.90625" defaultRowHeight="14" x14ac:dyDescent="0.3"/>
  <cols>
    <col min="1" max="1" width="4.54296875" style="1" customWidth="1"/>
    <col min="2" max="2" width="34.453125" style="28" bestFit="1" customWidth="1"/>
    <col min="3" max="15" width="10.6328125" style="28" customWidth="1"/>
    <col min="16" max="16384" width="8.90625" style="28"/>
  </cols>
  <sheetData>
    <row r="2" spans="1:17" ht="15.5" x14ac:dyDescent="0.35">
      <c r="O2" s="29"/>
      <c r="Q2" s="3"/>
    </row>
    <row r="3" spans="1:17" ht="15.5" x14ac:dyDescent="0.35">
      <c r="O3" s="29"/>
      <c r="Q3" s="3"/>
    </row>
    <row r="5" spans="1:17" x14ac:dyDescent="0.3"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7" x14ac:dyDescent="0.3">
      <c r="B6" s="40" t="str">
        <f>'7-d - TME 5.31.21'!B6:O6</f>
        <v>Case No. 2021 - 00183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7" x14ac:dyDescent="0.3">
      <c r="B7" s="40" t="s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7" x14ac:dyDescent="0.3">
      <c r="B8" s="40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x14ac:dyDescent="0.3">
      <c r="B9" s="42" t="s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7" x14ac:dyDescent="0.3">
      <c r="B10" s="4"/>
      <c r="O10" s="4"/>
    </row>
    <row r="11" spans="1:17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7" x14ac:dyDescent="0.3">
      <c r="A12" s="6" t="s">
        <v>4</v>
      </c>
      <c r="B12" s="4"/>
      <c r="C12" s="7" t="s">
        <v>5</v>
      </c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6</v>
      </c>
      <c r="J12" s="7" t="s">
        <v>6</v>
      </c>
      <c r="K12" s="7" t="s">
        <v>6</v>
      </c>
      <c r="L12" s="7" t="s">
        <v>6</v>
      </c>
      <c r="M12" s="7" t="s">
        <v>6</v>
      </c>
      <c r="N12" s="7" t="s">
        <v>6</v>
      </c>
      <c r="O12" s="4"/>
    </row>
    <row r="13" spans="1:17" x14ac:dyDescent="0.3">
      <c r="A13" s="30" t="s">
        <v>7</v>
      </c>
      <c r="B13" s="31" t="s">
        <v>36</v>
      </c>
      <c r="C13" s="32">
        <v>44075</v>
      </c>
      <c r="D13" s="32">
        <v>44105</v>
      </c>
      <c r="E13" s="32">
        <v>44136</v>
      </c>
      <c r="F13" s="32">
        <v>44166</v>
      </c>
      <c r="G13" s="32">
        <v>44197</v>
      </c>
      <c r="H13" s="32">
        <v>44228</v>
      </c>
      <c r="I13" s="32">
        <v>44256</v>
      </c>
      <c r="J13" s="32">
        <v>44287</v>
      </c>
      <c r="K13" s="32">
        <v>44317</v>
      </c>
      <c r="L13" s="32">
        <v>44348</v>
      </c>
      <c r="M13" s="32">
        <v>44378</v>
      </c>
      <c r="N13" s="32">
        <v>44409</v>
      </c>
      <c r="O13" s="33" t="s">
        <v>9</v>
      </c>
    </row>
    <row r="14" spans="1:17" x14ac:dyDescent="0.3">
      <c r="B14" s="34"/>
      <c r="C14" s="35"/>
      <c r="D14" s="35"/>
      <c r="E14" s="35"/>
      <c r="F14" s="35"/>
      <c r="G14" s="36"/>
      <c r="H14" s="36"/>
      <c r="I14" s="36"/>
      <c r="J14" s="36"/>
      <c r="K14" s="36"/>
      <c r="L14" s="36"/>
      <c r="M14" s="36"/>
      <c r="N14" s="36"/>
      <c r="O14" s="37"/>
    </row>
    <row r="15" spans="1:17" x14ac:dyDescent="0.3">
      <c r="A15" s="13" t="s">
        <v>10</v>
      </c>
      <c r="B15" s="14" t="s">
        <v>11</v>
      </c>
      <c r="C15" s="15">
        <f>'7-d - TME 5.31.21'!F16</f>
        <v>5747.0714500000004</v>
      </c>
      <c r="D15" s="15">
        <f>'7-d - TME 5.31.21'!G16</f>
        <v>7873.7286300000005</v>
      </c>
      <c r="E15" s="15">
        <f>'7-d - TME 5.31.21'!H16</f>
        <v>12235.671250000001</v>
      </c>
      <c r="F15" s="15">
        <f>'7-d - TME 5.31.21'!I16</f>
        <v>19235.418079999999</v>
      </c>
      <c r="G15" s="15">
        <f>'7-d - TME 5.31.21'!J16</f>
        <v>22500.68893</v>
      </c>
      <c r="H15" s="15">
        <f>'7-d - TME 5.31.21'!K16</f>
        <v>21078.129519999999</v>
      </c>
      <c r="I15" s="15">
        <f>'7-d - TME 5.31.21'!L16</f>
        <v>14588.704779952192</v>
      </c>
      <c r="J15" s="15">
        <f>'7-d - TME 5.31.21'!M16</f>
        <v>8569.7386394025743</v>
      </c>
      <c r="K15" s="15">
        <f>'7-d - TME 5.31.21'!N16</f>
        <v>6650.8837677374777</v>
      </c>
      <c r="L15" s="15">
        <v>4863.5608623461967</v>
      </c>
      <c r="M15" s="15">
        <v>4916.3374074643216</v>
      </c>
      <c r="N15" s="15">
        <v>4921.0373651143909</v>
      </c>
      <c r="O15" s="15">
        <f>SUM(C15:N15)</f>
        <v>133180.97068201719</v>
      </c>
      <c r="Q15" s="16"/>
    </row>
    <row r="16" spans="1:17" x14ac:dyDescent="0.3">
      <c r="A16" s="13" t="s">
        <v>12</v>
      </c>
      <c r="B16" s="14" t="s">
        <v>13</v>
      </c>
      <c r="C16" s="17">
        <f>'7-d - TME 5.31.21'!F17</f>
        <v>711.37469999999996</v>
      </c>
      <c r="D16" s="17">
        <f>'7-d - TME 5.31.21'!G17</f>
        <v>1563.0011300000001</v>
      </c>
      <c r="E16" s="17">
        <f>'7-d - TME 5.31.21'!H17</f>
        <v>3936.1521600000001</v>
      </c>
      <c r="F16" s="17">
        <f>'7-d - TME 5.31.21'!I17</f>
        <v>7880.2352000000001</v>
      </c>
      <c r="G16" s="17">
        <f>'7-d - TME 5.31.21'!J17</f>
        <v>9368.8806199999999</v>
      </c>
      <c r="H16" s="17">
        <f>'7-d - TME 5.31.21'!K17</f>
        <v>9397.7368000000006</v>
      </c>
      <c r="I16" s="17">
        <f>'7-d - TME 5.31.21'!L17</f>
        <v>5629.7565947127659</v>
      </c>
      <c r="J16" s="17">
        <f>'7-d - TME 5.31.21'!M17</f>
        <v>2474.5165387979896</v>
      </c>
      <c r="K16" s="17">
        <f>'7-d - TME 5.31.21'!N17</f>
        <v>1976.3618548487129</v>
      </c>
      <c r="L16" s="17">
        <v>798.31013659667371</v>
      </c>
      <c r="M16" s="17">
        <v>912.72091686032877</v>
      </c>
      <c r="N16" s="17">
        <v>925.41538897065095</v>
      </c>
      <c r="O16" s="17">
        <f t="shared" ref="O16" si="0">SUM(C16:N16)</f>
        <v>45574.462040787119</v>
      </c>
      <c r="Q16" s="16"/>
    </row>
    <row r="17" spans="1:17" x14ac:dyDescent="0.3">
      <c r="A17" s="13" t="s">
        <v>14</v>
      </c>
      <c r="B17" s="14" t="s">
        <v>15</v>
      </c>
      <c r="C17" s="15">
        <f>C15-C16</f>
        <v>5035.6967500000001</v>
      </c>
      <c r="D17" s="15">
        <f t="shared" ref="D17:N17" si="1">D15-D16</f>
        <v>6310.7275000000009</v>
      </c>
      <c r="E17" s="15">
        <f t="shared" si="1"/>
        <v>8299.5190900000016</v>
      </c>
      <c r="F17" s="15">
        <f t="shared" si="1"/>
        <v>11355.18288</v>
      </c>
      <c r="G17" s="15">
        <f t="shared" si="1"/>
        <v>13131.80831</v>
      </c>
      <c r="H17" s="15">
        <f t="shared" si="1"/>
        <v>11680.392719999998</v>
      </c>
      <c r="I17" s="15">
        <f t="shared" si="1"/>
        <v>8958.9481852394256</v>
      </c>
      <c r="J17" s="15">
        <f t="shared" si="1"/>
        <v>6095.2221006045847</v>
      </c>
      <c r="K17" s="15">
        <f t="shared" si="1"/>
        <v>4674.5219128887647</v>
      </c>
      <c r="L17" s="15">
        <f t="shared" si="1"/>
        <v>4065.2507257495231</v>
      </c>
      <c r="M17" s="15">
        <f t="shared" si="1"/>
        <v>4003.616490603993</v>
      </c>
      <c r="N17" s="15">
        <f t="shared" si="1"/>
        <v>3995.6219761437401</v>
      </c>
      <c r="O17" s="15">
        <f>SUM(C17:N17)</f>
        <v>87606.508641230015</v>
      </c>
      <c r="Q17" s="16"/>
    </row>
    <row r="18" spans="1:17" x14ac:dyDescent="0.3">
      <c r="A18" s="6"/>
      <c r="B18" s="1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Q18" s="16"/>
    </row>
    <row r="19" spans="1:17" x14ac:dyDescent="0.3">
      <c r="A19" s="13" t="s">
        <v>16</v>
      </c>
      <c r="B19" s="14" t="s">
        <v>17</v>
      </c>
      <c r="C19" s="15">
        <f>'7-d - TME 5.31.21'!F20</f>
        <v>5480.1723300000003</v>
      </c>
      <c r="D19" s="15">
        <f>'7-d - TME 5.31.21'!G20</f>
        <v>3953.90317</v>
      </c>
      <c r="E19" s="15">
        <f>'7-d - TME 5.31.21'!H20</f>
        <v>4160.2353700000003</v>
      </c>
      <c r="F19" s="15">
        <f>'7-d - TME 5.31.21'!I20</f>
        <v>6193.5957799999996</v>
      </c>
      <c r="G19" s="15">
        <f>'7-d - TME 5.31.21'!J20</f>
        <v>4127.6346400000002</v>
      </c>
      <c r="H19" s="15">
        <f>'7-d - TME 5.31.21'!K20</f>
        <v>3330.3491300000001</v>
      </c>
      <c r="I19" s="15">
        <f>'7-d - TME 5.31.21'!L20</f>
        <v>4965.0096707839948</v>
      </c>
      <c r="J19" s="15">
        <f>'7-d - TME 5.31.21'!M20</f>
        <v>5058.0286933460648</v>
      </c>
      <c r="K19" s="15">
        <f>'7-d - TME 5.31.21'!N20</f>
        <v>4791.1228574028864</v>
      </c>
      <c r="L19" s="15">
        <v>4789.1904213497055</v>
      </c>
      <c r="M19" s="15">
        <v>4692.2348859981321</v>
      </c>
      <c r="N19" s="15">
        <v>4713.8085679895121</v>
      </c>
      <c r="O19" s="19">
        <f t="shared" ref="O19:O22" si="2">SUM(C19:N19)</f>
        <v>56255.285516870295</v>
      </c>
      <c r="Q19" s="16"/>
    </row>
    <row r="20" spans="1:17" x14ac:dyDescent="0.3">
      <c r="A20" s="13" t="s">
        <v>18</v>
      </c>
      <c r="B20" s="14" t="s">
        <v>19</v>
      </c>
      <c r="C20" s="15">
        <f>'7-d - TME 5.31.21'!F21</f>
        <v>1284.3695</v>
      </c>
      <c r="D20" s="15">
        <f>'7-d - TME 5.31.21'!G21</f>
        <v>1292.35277</v>
      </c>
      <c r="E20" s="15">
        <f>'7-d - TME 5.31.21'!H21</f>
        <v>1308.1180199999999</v>
      </c>
      <c r="F20" s="15">
        <f>'7-d - TME 5.31.21'!I21</f>
        <v>1321.84862</v>
      </c>
      <c r="G20" s="15">
        <f>'7-d - TME 5.31.21'!J21</f>
        <v>1328.73858</v>
      </c>
      <c r="H20" s="15">
        <f>'7-d - TME 5.31.21'!K21</f>
        <v>1341.5157300000001</v>
      </c>
      <c r="I20" s="15">
        <f>'7-d - TME 5.31.21'!L21</f>
        <v>1344.5066528418647</v>
      </c>
      <c r="J20" s="15">
        <f>'7-d - TME 5.31.21'!M21</f>
        <v>1351.8016039110651</v>
      </c>
      <c r="K20" s="15">
        <f>'7-d - TME 5.31.21'!N21</f>
        <v>1358.3787994667296</v>
      </c>
      <c r="L20" s="15">
        <v>1365.7919092928721</v>
      </c>
      <c r="M20" s="15">
        <v>1374.1411210047343</v>
      </c>
      <c r="N20" s="15">
        <v>1386.3037561328429</v>
      </c>
      <c r="O20" s="19">
        <f t="shared" si="2"/>
        <v>16057.867062650108</v>
      </c>
    </row>
    <row r="21" spans="1:17" x14ac:dyDescent="0.3">
      <c r="A21" s="13" t="s">
        <v>20</v>
      </c>
      <c r="B21" s="14" t="s">
        <v>21</v>
      </c>
      <c r="C21" s="17">
        <f>'7-d - TME 5.31.21'!F22</f>
        <v>558.93871000000001</v>
      </c>
      <c r="D21" s="17">
        <f>'7-d - TME 5.31.21'!G22</f>
        <v>563.64919999999995</v>
      </c>
      <c r="E21" s="17">
        <f>'7-d - TME 5.31.21'!H22</f>
        <v>557.89769999999999</v>
      </c>
      <c r="F21" s="17">
        <f>'7-d - TME 5.31.21'!I22</f>
        <v>568.09402</v>
      </c>
      <c r="G21" s="17">
        <f>'7-d - TME 5.31.21'!J22</f>
        <v>643.57435999999996</v>
      </c>
      <c r="H21" s="17">
        <f>'7-d - TME 5.31.21'!K22</f>
        <v>527.44029999999998</v>
      </c>
      <c r="I21" s="17">
        <f>'7-d - TME 5.31.21'!L22</f>
        <v>660.54784417298504</v>
      </c>
      <c r="J21" s="17">
        <f>'7-d - TME 5.31.21'!M22</f>
        <v>672.15893567646833</v>
      </c>
      <c r="K21" s="17">
        <f>'7-d - TME 5.31.21'!N22</f>
        <v>660.75527496601308</v>
      </c>
      <c r="L21" s="17">
        <v>664.07922440334232</v>
      </c>
      <c r="M21" s="17">
        <v>664.3388657978121</v>
      </c>
      <c r="N21" s="17">
        <v>657.55074926072325</v>
      </c>
      <c r="O21" s="20">
        <f t="shared" si="2"/>
        <v>7399.0251842773432</v>
      </c>
    </row>
    <row r="22" spans="1:17" x14ac:dyDescent="0.3">
      <c r="A22" s="13" t="s">
        <v>22</v>
      </c>
      <c r="B22" s="14" t="s">
        <v>23</v>
      </c>
      <c r="C22" s="15">
        <f>SUM(C19:C21)</f>
        <v>7323.4805400000005</v>
      </c>
      <c r="D22" s="15">
        <f t="shared" ref="D22:N22" si="3">SUM(D19:D21)</f>
        <v>5809.9051399999998</v>
      </c>
      <c r="E22" s="15">
        <f t="shared" si="3"/>
        <v>6026.2510899999997</v>
      </c>
      <c r="F22" s="15">
        <f t="shared" si="3"/>
        <v>8083.538419999999</v>
      </c>
      <c r="G22" s="15">
        <f t="shared" si="3"/>
        <v>6099.94758</v>
      </c>
      <c r="H22" s="15">
        <f t="shared" si="3"/>
        <v>5199.3051599999999</v>
      </c>
      <c r="I22" s="15">
        <f t="shared" si="3"/>
        <v>6970.0641677988442</v>
      </c>
      <c r="J22" s="15">
        <f t="shared" si="3"/>
        <v>7081.989232933598</v>
      </c>
      <c r="K22" s="15">
        <f t="shared" si="3"/>
        <v>6810.2569318356291</v>
      </c>
      <c r="L22" s="15">
        <f t="shared" si="3"/>
        <v>6819.0615550459206</v>
      </c>
      <c r="M22" s="15">
        <f t="shared" si="3"/>
        <v>6730.7148728006787</v>
      </c>
      <c r="N22" s="15">
        <f t="shared" si="3"/>
        <v>6757.663073383078</v>
      </c>
      <c r="O22" s="19">
        <f t="shared" si="2"/>
        <v>79712.177763797736</v>
      </c>
    </row>
    <row r="23" spans="1:17" x14ac:dyDescent="0.3">
      <c r="A23" s="6"/>
      <c r="B23" s="1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7" x14ac:dyDescent="0.3">
      <c r="A24" s="13" t="s">
        <v>24</v>
      </c>
      <c r="B24" s="14" t="s">
        <v>25</v>
      </c>
      <c r="C24" s="19">
        <f>+C17-C22</f>
        <v>-2287.7837900000004</v>
      </c>
      <c r="D24" s="19">
        <f t="shared" ref="D24:N24" si="4">+D17-D22</f>
        <v>500.82236000000103</v>
      </c>
      <c r="E24" s="19">
        <f t="shared" si="4"/>
        <v>2273.2680000000018</v>
      </c>
      <c r="F24" s="19">
        <f t="shared" si="4"/>
        <v>3271.6444600000013</v>
      </c>
      <c r="G24" s="19">
        <f t="shared" si="4"/>
        <v>7031.8607300000003</v>
      </c>
      <c r="H24" s="19">
        <f t="shared" si="4"/>
        <v>6481.0875599999981</v>
      </c>
      <c r="I24" s="19">
        <f t="shared" si="4"/>
        <v>1988.8840174405814</v>
      </c>
      <c r="J24" s="19">
        <f t="shared" si="4"/>
        <v>-986.76713232901329</v>
      </c>
      <c r="K24" s="19">
        <f t="shared" si="4"/>
        <v>-2135.7350189468643</v>
      </c>
      <c r="L24" s="19">
        <f t="shared" si="4"/>
        <v>-2753.8108292963975</v>
      </c>
      <c r="M24" s="19">
        <f t="shared" si="4"/>
        <v>-2727.0983821966856</v>
      </c>
      <c r="N24" s="19">
        <f t="shared" si="4"/>
        <v>-2762.0410972393379</v>
      </c>
      <c r="O24" s="19">
        <f>SUM(C24:N24)</f>
        <v>7894.3308774322886</v>
      </c>
    </row>
    <row r="25" spans="1:17" x14ac:dyDescent="0.3">
      <c r="A25" s="6"/>
      <c r="B25" s="1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7" x14ac:dyDescent="0.3">
      <c r="A26" s="13" t="s">
        <v>26</v>
      </c>
      <c r="B26" s="14" t="s">
        <v>27</v>
      </c>
      <c r="C26" s="15">
        <f>'7-d - TME 5.31.21'!F27</f>
        <v>-789.98</v>
      </c>
      <c r="D26" s="15">
        <f>'7-d - TME 5.31.21'!G27</f>
        <v>-94.853999999999999</v>
      </c>
      <c r="E26" s="15">
        <f>'7-d - TME 5.31.21'!H27</f>
        <v>330.96600000000001</v>
      </c>
      <c r="F26" s="15">
        <f>'7-d - TME 5.31.21'!I27</f>
        <v>1678.105</v>
      </c>
      <c r="G26" s="15">
        <f>'7-d - TME 5.31.21'!J27</f>
        <v>1524.6859999999999</v>
      </c>
      <c r="H26" s="15">
        <f>'7-d - TME 5.31.21'!K27</f>
        <v>1400.732</v>
      </c>
      <c r="I26" s="15">
        <f>'7-d - TME 5.31.21'!L27</f>
        <v>321.5212138087191</v>
      </c>
      <c r="J26" s="15">
        <f>'7-d - TME 5.31.21'!M27</f>
        <v>-445.12217307910117</v>
      </c>
      <c r="K26" s="15">
        <f>'7-d - TME 5.31.21'!N27</f>
        <v>-740.27154979364298</v>
      </c>
      <c r="L26" s="15">
        <v>-888.27544927391318</v>
      </c>
      <c r="M26" s="15">
        <v>-903.46366378777088</v>
      </c>
      <c r="N26" s="15">
        <v>-913.6429276445698</v>
      </c>
      <c r="O26" s="19">
        <f>SUM(C26:N26)</f>
        <v>480.40045022972083</v>
      </c>
    </row>
    <row r="27" spans="1:17" x14ac:dyDescent="0.3">
      <c r="A27" s="6"/>
      <c r="B27" s="1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7" x14ac:dyDescent="0.3">
      <c r="A28" s="13" t="s">
        <v>28</v>
      </c>
      <c r="B28" s="14" t="s">
        <v>29</v>
      </c>
      <c r="C28" s="19">
        <f>+C24-C26</f>
        <v>-1497.8037900000004</v>
      </c>
      <c r="D28" s="19">
        <f t="shared" ref="D28:N28" si="5">+D24-D26</f>
        <v>595.67636000000107</v>
      </c>
      <c r="E28" s="19">
        <f t="shared" si="5"/>
        <v>1942.302000000002</v>
      </c>
      <c r="F28" s="19">
        <f t="shared" si="5"/>
        <v>1593.5394600000013</v>
      </c>
      <c r="G28" s="19">
        <f t="shared" si="5"/>
        <v>5507.1747300000006</v>
      </c>
      <c r="H28" s="19">
        <f t="shared" si="5"/>
        <v>5080.3555599999981</v>
      </c>
      <c r="I28" s="19">
        <f t="shared" si="5"/>
        <v>1667.3628036318623</v>
      </c>
      <c r="J28" s="19">
        <f t="shared" si="5"/>
        <v>-541.64495924991206</v>
      </c>
      <c r="K28" s="19">
        <f t="shared" si="5"/>
        <v>-1395.4634691532215</v>
      </c>
      <c r="L28" s="19">
        <f t="shared" si="5"/>
        <v>-1865.5353800224843</v>
      </c>
      <c r="M28" s="19">
        <f t="shared" si="5"/>
        <v>-1823.6347184089148</v>
      </c>
      <c r="N28" s="19">
        <f t="shared" si="5"/>
        <v>-1848.3981695947682</v>
      </c>
      <c r="O28" s="19">
        <f>SUM(C28:N28)</f>
        <v>7413.9304272025638</v>
      </c>
    </row>
    <row r="29" spans="1:17" x14ac:dyDescent="0.3">
      <c r="A29" s="6"/>
      <c r="B29" s="1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 x14ac:dyDescent="0.3">
      <c r="A30" s="6">
        <v>11</v>
      </c>
      <c r="B30" s="14" t="s">
        <v>30</v>
      </c>
      <c r="C30" s="15">
        <f>'7-d - TME 5.31.21'!F31</f>
        <v>124.50369999999999</v>
      </c>
      <c r="D30" s="15">
        <f>'7-d - TME 5.31.21'!G31</f>
        <v>226.02009999999999</v>
      </c>
      <c r="E30" s="15">
        <f>'7-d - TME 5.31.21'!H31</f>
        <v>224.21244000000002</v>
      </c>
      <c r="F30" s="15">
        <f>'7-d - TME 5.31.21'!I31</f>
        <v>208.53224</v>
      </c>
      <c r="G30" s="15">
        <f>'7-d - TME 5.31.21'!J31</f>
        <v>263.20332999999999</v>
      </c>
      <c r="H30" s="15">
        <f>'7-d - TME 5.31.21'!K31</f>
        <v>99.096900000000005</v>
      </c>
      <c r="I30" s="15">
        <f>'7-d - TME 5.31.21'!L31</f>
        <v>170.52406229666667</v>
      </c>
      <c r="J30" s="15">
        <f>'7-d - TME 5.31.21'!M31</f>
        <v>49.606367696666666</v>
      </c>
      <c r="K30" s="15">
        <f>'7-d - TME 5.31.21'!N31</f>
        <v>34.464396839999999</v>
      </c>
      <c r="L30" s="15">
        <v>28.14648931</v>
      </c>
      <c r="M30" s="15">
        <v>27.355724536666667</v>
      </c>
      <c r="N30" s="15">
        <v>27.943538790000002</v>
      </c>
      <c r="O30" s="19">
        <f>SUM(C30:N30)</f>
        <v>1483.6092894700002</v>
      </c>
    </row>
    <row r="31" spans="1:17" x14ac:dyDescent="0.3">
      <c r="A31" s="6"/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7" x14ac:dyDescent="0.3">
      <c r="A32" s="6">
        <v>12</v>
      </c>
      <c r="B32" s="14" t="s">
        <v>31</v>
      </c>
      <c r="C32" s="19">
        <f t="shared" ref="C32:N32" si="6">+C28+C30</f>
        <v>-1373.3000900000004</v>
      </c>
      <c r="D32" s="19">
        <f t="shared" si="6"/>
        <v>821.69646000000103</v>
      </c>
      <c r="E32" s="19">
        <f t="shared" si="6"/>
        <v>2166.5144400000017</v>
      </c>
      <c r="F32" s="19">
        <f t="shared" si="6"/>
        <v>1802.0717000000013</v>
      </c>
      <c r="G32" s="19">
        <f t="shared" si="6"/>
        <v>5770.3780600000009</v>
      </c>
      <c r="H32" s="19">
        <f t="shared" si="6"/>
        <v>5179.4524599999986</v>
      </c>
      <c r="I32" s="19">
        <f t="shared" si="6"/>
        <v>1837.886865928529</v>
      </c>
      <c r="J32" s="19">
        <f t="shared" si="6"/>
        <v>-492.0385915532454</v>
      </c>
      <c r="K32" s="19">
        <f t="shared" si="6"/>
        <v>-1360.9990723132214</v>
      </c>
      <c r="L32" s="19">
        <f t="shared" si="6"/>
        <v>-1837.3888907124842</v>
      </c>
      <c r="M32" s="19">
        <f t="shared" si="6"/>
        <v>-1796.2789938722481</v>
      </c>
      <c r="N32" s="19">
        <f t="shared" si="6"/>
        <v>-1820.4546308047682</v>
      </c>
      <c r="O32" s="19">
        <f>SUM(C32:N32)</f>
        <v>8897.5397166725634</v>
      </c>
    </row>
    <row r="33" spans="1:16" x14ac:dyDescent="0.3">
      <c r="A33" s="6"/>
      <c r="B33" s="1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6" x14ac:dyDescent="0.3">
      <c r="A34" s="6">
        <v>13</v>
      </c>
      <c r="B34" s="14" t="s">
        <v>32</v>
      </c>
      <c r="C34" s="15">
        <f>'7-d - TME 5.31.21'!F35</f>
        <v>616.96862999999996</v>
      </c>
      <c r="D34" s="15">
        <f>'7-d - TME 5.31.21'!G35</f>
        <v>622.65589999999997</v>
      </c>
      <c r="E34" s="15">
        <f>'7-d - TME 5.31.21'!H35</f>
        <v>688.39904000000001</v>
      </c>
      <c r="F34" s="15">
        <f>'7-d - TME 5.31.21'!I35</f>
        <v>649.72379000000001</v>
      </c>
      <c r="G34" s="15">
        <f>'7-d - TME 5.31.21'!J35</f>
        <v>633.10672</v>
      </c>
      <c r="H34" s="15">
        <f>'7-d - TME 5.31.21'!K35</f>
        <v>579.10664999999995</v>
      </c>
      <c r="I34" s="15">
        <f>'7-d - TME 5.31.21'!L35</f>
        <v>649.19898352822088</v>
      </c>
      <c r="J34" s="15">
        <f>'7-d - TME 5.31.21'!M35</f>
        <v>625.34912468095604</v>
      </c>
      <c r="K34" s="15">
        <f>'7-d - TME 5.31.21'!N35</f>
        <v>644.202700932055</v>
      </c>
      <c r="L34" s="15">
        <v>613.01098497402279</v>
      </c>
      <c r="M34" s="15">
        <v>699.80727457037301</v>
      </c>
      <c r="N34" s="15">
        <v>706.25102651371503</v>
      </c>
      <c r="O34" s="19">
        <f>SUM(C34:N34)</f>
        <v>7727.7808251993429</v>
      </c>
    </row>
    <row r="35" spans="1:16" x14ac:dyDescent="0.3">
      <c r="A35" s="6"/>
      <c r="B35" s="1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6" ht="14.5" thickBot="1" x14ac:dyDescent="0.35">
      <c r="A36" s="13" t="s">
        <v>33</v>
      </c>
      <c r="B36" s="14" t="s">
        <v>34</v>
      </c>
      <c r="C36" s="22">
        <f>C32-C34</f>
        <v>-1990.2687200000005</v>
      </c>
      <c r="D36" s="22">
        <f t="shared" ref="D36:N36" si="7">D32-D34</f>
        <v>199.04056000000105</v>
      </c>
      <c r="E36" s="22">
        <f t="shared" si="7"/>
        <v>1478.1154000000017</v>
      </c>
      <c r="F36" s="22">
        <f t="shared" si="7"/>
        <v>1152.3479100000013</v>
      </c>
      <c r="G36" s="22">
        <f t="shared" si="7"/>
        <v>5137.2713400000011</v>
      </c>
      <c r="H36" s="22">
        <f t="shared" si="7"/>
        <v>4600.3458099999989</v>
      </c>
      <c r="I36" s="22">
        <f t="shared" si="7"/>
        <v>1188.6878824003081</v>
      </c>
      <c r="J36" s="22">
        <f t="shared" si="7"/>
        <v>-1117.3877162342014</v>
      </c>
      <c r="K36" s="22">
        <f t="shared" si="7"/>
        <v>-2005.2017732452764</v>
      </c>
      <c r="L36" s="22">
        <f t="shared" si="7"/>
        <v>-2450.3998756865071</v>
      </c>
      <c r="M36" s="22">
        <f t="shared" si="7"/>
        <v>-2496.0862684426211</v>
      </c>
      <c r="N36" s="22">
        <f t="shared" si="7"/>
        <v>-2526.7056573184832</v>
      </c>
      <c r="O36" s="23">
        <f>SUM(C36:N36)</f>
        <v>1169.7588914732228</v>
      </c>
      <c r="P36" s="38"/>
    </row>
    <row r="37" spans="1:16" ht="14.5" thickTop="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Q37"/>
  <sheetViews>
    <sheetView zoomScale="110" zoomScaleNormal="110" workbookViewId="0">
      <selection activeCell="B6" sqref="B6:O6"/>
    </sheetView>
  </sheetViews>
  <sheetFormatPr defaultColWidth="9.08984375" defaultRowHeight="14" x14ac:dyDescent="0.3"/>
  <cols>
    <col min="1" max="1" width="4" style="1" customWidth="1"/>
    <col min="2" max="2" width="37" style="1" bestFit="1" customWidth="1"/>
    <col min="3" max="15" width="10.6328125" style="1" customWidth="1"/>
    <col min="16" max="16384" width="9.08984375" style="1"/>
  </cols>
  <sheetData>
    <row r="2" spans="1:17" ht="15.5" x14ac:dyDescent="0.35">
      <c r="O2" s="2"/>
      <c r="Q2" s="3"/>
    </row>
    <row r="3" spans="1:17" ht="15.5" x14ac:dyDescent="0.35">
      <c r="O3" s="2"/>
      <c r="Q3" s="3"/>
    </row>
    <row r="5" spans="1:17" x14ac:dyDescent="0.3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7" x14ac:dyDescent="0.3">
      <c r="B6" s="40" t="str">
        <f>'7-d - TME 5.31.21'!B6:O6</f>
        <v>Case No. 2021 - 00183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7" x14ac:dyDescent="0.3">
      <c r="B7" s="40" t="s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7" x14ac:dyDescent="0.3">
      <c r="B8" s="40" t="s">
        <v>37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x14ac:dyDescent="0.3">
      <c r="B9" s="42" t="s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7" x14ac:dyDescent="0.3">
      <c r="B10" s="4"/>
      <c r="O10" s="4"/>
    </row>
    <row r="11" spans="1:17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7" x14ac:dyDescent="0.3">
      <c r="A12" s="6" t="s">
        <v>4</v>
      </c>
      <c r="B12" s="4"/>
      <c r="C12" s="7" t="s">
        <v>6</v>
      </c>
      <c r="D12" s="7" t="s">
        <v>6</v>
      </c>
      <c r="E12" s="7" t="s">
        <v>6</v>
      </c>
      <c r="F12" s="7" t="s">
        <v>6</v>
      </c>
      <c r="G12" s="7" t="s">
        <v>6</v>
      </c>
      <c r="H12" s="7" t="s">
        <v>6</v>
      </c>
      <c r="I12" s="7" t="s">
        <v>6</v>
      </c>
      <c r="J12" s="7" t="s">
        <v>6</v>
      </c>
      <c r="K12" s="7" t="s">
        <v>6</v>
      </c>
      <c r="L12" s="7" t="s">
        <v>6</v>
      </c>
      <c r="M12" s="7" t="s">
        <v>6</v>
      </c>
      <c r="N12" s="7" t="s">
        <v>6</v>
      </c>
      <c r="O12" s="4"/>
    </row>
    <row r="13" spans="1:17" x14ac:dyDescent="0.3">
      <c r="A13" s="30" t="s">
        <v>7</v>
      </c>
      <c r="B13" s="39" t="s">
        <v>38</v>
      </c>
      <c r="C13" s="32">
        <v>44562</v>
      </c>
      <c r="D13" s="32">
        <v>44593</v>
      </c>
      <c r="E13" s="32">
        <v>44621</v>
      </c>
      <c r="F13" s="32">
        <v>44652</v>
      </c>
      <c r="G13" s="32">
        <v>44682</v>
      </c>
      <c r="H13" s="32">
        <v>44713</v>
      </c>
      <c r="I13" s="32">
        <v>44743</v>
      </c>
      <c r="J13" s="32">
        <v>44774</v>
      </c>
      <c r="K13" s="32">
        <v>44805</v>
      </c>
      <c r="L13" s="32">
        <v>44835</v>
      </c>
      <c r="M13" s="32">
        <v>44866</v>
      </c>
      <c r="N13" s="32">
        <v>44896</v>
      </c>
      <c r="O13" s="33" t="s">
        <v>9</v>
      </c>
    </row>
    <row r="14" spans="1:17" x14ac:dyDescent="0.3">
      <c r="B14" s="34"/>
      <c r="C14" s="35"/>
      <c r="D14" s="35"/>
      <c r="E14" s="35"/>
      <c r="F14" s="35"/>
      <c r="G14" s="36"/>
      <c r="H14" s="36"/>
      <c r="I14" s="36"/>
      <c r="J14" s="36"/>
      <c r="K14" s="36"/>
      <c r="L14" s="36"/>
      <c r="M14" s="36"/>
      <c r="N14" s="36"/>
      <c r="O14" s="37"/>
    </row>
    <row r="15" spans="1:17" x14ac:dyDescent="0.3">
      <c r="A15" s="13" t="s">
        <v>10</v>
      </c>
      <c r="B15" s="14" t="s">
        <v>11</v>
      </c>
      <c r="C15" s="15">
        <v>16175.246506044994</v>
      </c>
      <c r="D15" s="15">
        <v>14828.346000079515</v>
      </c>
      <c r="E15" s="15">
        <v>12837.860639766142</v>
      </c>
      <c r="F15" s="15">
        <v>9968.7891882829281</v>
      </c>
      <c r="G15" s="15">
        <v>8540.3879507890106</v>
      </c>
      <c r="H15" s="15">
        <v>7896.057031141564</v>
      </c>
      <c r="I15" s="15">
        <v>7846.9471372210419</v>
      </c>
      <c r="J15" s="15">
        <v>7864.1960140020037</v>
      </c>
      <c r="K15" s="15">
        <v>8002.7545870660151</v>
      </c>
      <c r="L15" s="15">
        <v>9186.4857479314778</v>
      </c>
      <c r="M15" s="15">
        <v>11431.558430200603</v>
      </c>
      <c r="N15" s="15">
        <v>14718.205178833694</v>
      </c>
      <c r="O15" s="15">
        <f>SUM(C15:N15)</f>
        <v>129296.83441135898</v>
      </c>
    </row>
    <row r="16" spans="1:17" x14ac:dyDescent="0.3">
      <c r="A16" s="13" t="s">
        <v>12</v>
      </c>
      <c r="B16" s="14" t="s">
        <v>13</v>
      </c>
      <c r="C16" s="17">
        <v>3852.1280675000003</v>
      </c>
      <c r="D16" s="17">
        <v>3852.1280675000003</v>
      </c>
      <c r="E16" s="17">
        <v>3852.1280675000003</v>
      </c>
      <c r="F16" s="17">
        <v>3852.1280675000003</v>
      </c>
      <c r="G16" s="17">
        <v>3852.1280675000003</v>
      </c>
      <c r="H16" s="17">
        <v>3852.1280675000003</v>
      </c>
      <c r="I16" s="17">
        <v>3852.1280675000003</v>
      </c>
      <c r="J16" s="17">
        <v>3852.1280675000003</v>
      </c>
      <c r="K16" s="17">
        <v>3852.1280675000003</v>
      </c>
      <c r="L16" s="17">
        <v>3852.1280675000003</v>
      </c>
      <c r="M16" s="17">
        <v>3852.1280675000003</v>
      </c>
      <c r="N16" s="17">
        <v>3852.1280675000003</v>
      </c>
      <c r="O16" s="17">
        <f t="shared" ref="O16" si="0">SUM(C16:N16)</f>
        <v>46225.536810000012</v>
      </c>
    </row>
    <row r="17" spans="1:15" x14ac:dyDescent="0.3">
      <c r="A17" s="13" t="s">
        <v>14</v>
      </c>
      <c r="B17" s="14" t="s">
        <v>15</v>
      </c>
      <c r="C17" s="15">
        <f>C15-C16</f>
        <v>12323.118438544994</v>
      </c>
      <c r="D17" s="15">
        <f t="shared" ref="D17:N17" si="1">D15-D16</f>
        <v>10976.217932579515</v>
      </c>
      <c r="E17" s="15">
        <f t="shared" si="1"/>
        <v>8985.7325722661426</v>
      </c>
      <c r="F17" s="15">
        <f t="shared" si="1"/>
        <v>6116.6611207829283</v>
      </c>
      <c r="G17" s="15">
        <f t="shared" si="1"/>
        <v>4688.2598832890108</v>
      </c>
      <c r="H17" s="15">
        <f t="shared" si="1"/>
        <v>4043.9289636415638</v>
      </c>
      <c r="I17" s="15">
        <f t="shared" si="1"/>
        <v>3994.8190697210416</v>
      </c>
      <c r="J17" s="15">
        <f t="shared" si="1"/>
        <v>4012.0679465020035</v>
      </c>
      <c r="K17" s="15">
        <f t="shared" si="1"/>
        <v>4150.6265195660144</v>
      </c>
      <c r="L17" s="15">
        <f t="shared" si="1"/>
        <v>5334.357680431478</v>
      </c>
      <c r="M17" s="15">
        <f t="shared" si="1"/>
        <v>7579.4303627006029</v>
      </c>
      <c r="N17" s="15">
        <f t="shared" si="1"/>
        <v>10866.077111333694</v>
      </c>
      <c r="O17" s="15">
        <f>SUM(C17:N17)</f>
        <v>83071.297601358994</v>
      </c>
    </row>
    <row r="18" spans="1:15" x14ac:dyDescent="0.3">
      <c r="A18" s="6"/>
      <c r="B18" s="1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3">
      <c r="A19" s="13" t="s">
        <v>16</v>
      </c>
      <c r="B19" s="14" t="s">
        <v>17</v>
      </c>
      <c r="C19" s="15">
        <v>4654.3209163420361</v>
      </c>
      <c r="D19" s="15">
        <v>4656.4801313005746</v>
      </c>
      <c r="E19" s="15">
        <v>4758.1389813312262</v>
      </c>
      <c r="F19" s="15">
        <v>4844.1000192847132</v>
      </c>
      <c r="G19" s="15">
        <v>4688.6322092105947</v>
      </c>
      <c r="H19" s="15">
        <v>4663.6939334496274</v>
      </c>
      <c r="I19" s="15">
        <v>4521.1067673836105</v>
      </c>
      <c r="J19" s="15">
        <v>4647.9650808991328</v>
      </c>
      <c r="K19" s="15">
        <v>5128.1160596693244</v>
      </c>
      <c r="L19" s="15">
        <v>4695.9126872027728</v>
      </c>
      <c r="M19" s="15">
        <v>4165.7244145775194</v>
      </c>
      <c r="N19" s="15">
        <v>4484.2056567682866</v>
      </c>
      <c r="O19" s="19">
        <f t="shared" ref="O19:O22" si="2">SUM(C19:N19)</f>
        <v>55908.396857419415</v>
      </c>
    </row>
    <row r="20" spans="1:15" x14ac:dyDescent="0.3">
      <c r="A20" s="13" t="s">
        <v>18</v>
      </c>
      <c r="B20" s="14" t="s">
        <v>19</v>
      </c>
      <c r="C20" s="15">
        <v>1464.6875974252662</v>
      </c>
      <c r="D20" s="15">
        <v>1473.0752215405469</v>
      </c>
      <c r="E20" s="15">
        <v>1482.0427790066528</v>
      </c>
      <c r="F20" s="15">
        <v>1489.0656672990312</v>
      </c>
      <c r="G20" s="15">
        <v>1495.3975685313205</v>
      </c>
      <c r="H20" s="15">
        <v>1502.5342088890518</v>
      </c>
      <c r="I20" s="15">
        <v>1510.5720395236378</v>
      </c>
      <c r="J20" s="15">
        <v>1522.2810732149394</v>
      </c>
      <c r="K20" s="15">
        <v>1530.9123239453284</v>
      </c>
      <c r="L20" s="15">
        <v>1544.7414916185294</v>
      </c>
      <c r="M20" s="15">
        <v>1566.1555764385653</v>
      </c>
      <c r="N20" s="15">
        <v>1591.3414357437368</v>
      </c>
      <c r="O20" s="19">
        <f t="shared" si="2"/>
        <v>18172.806983176608</v>
      </c>
    </row>
    <row r="21" spans="1:15" x14ac:dyDescent="0.3">
      <c r="A21" s="13" t="s">
        <v>20</v>
      </c>
      <c r="B21" s="14" t="s">
        <v>21</v>
      </c>
      <c r="C21" s="17">
        <v>734.56197733183421</v>
      </c>
      <c r="D21" s="17">
        <v>731.71244185253579</v>
      </c>
      <c r="E21" s="17">
        <v>740.64315593790218</v>
      </c>
      <c r="F21" s="17">
        <v>752.6001541185417</v>
      </c>
      <c r="G21" s="17">
        <v>740.85680965472102</v>
      </c>
      <c r="H21" s="17">
        <v>744.27805150722202</v>
      </c>
      <c r="I21" s="17">
        <v>744.54790821147412</v>
      </c>
      <c r="J21" s="17">
        <v>737.55614817827257</v>
      </c>
      <c r="K21" s="17">
        <v>738.45975416930219</v>
      </c>
      <c r="L21" s="17">
        <v>736.96654683062184</v>
      </c>
      <c r="M21" s="17">
        <v>719.92710666044707</v>
      </c>
      <c r="N21" s="17">
        <v>722.45820092708902</v>
      </c>
      <c r="O21" s="20">
        <f t="shared" si="2"/>
        <v>8844.5682553799634</v>
      </c>
    </row>
    <row r="22" spans="1:15" x14ac:dyDescent="0.3">
      <c r="A22" s="13" t="s">
        <v>22</v>
      </c>
      <c r="B22" s="14" t="s">
        <v>23</v>
      </c>
      <c r="C22" s="15">
        <f>SUM(C19:C21)</f>
        <v>6853.5704910991362</v>
      </c>
      <c r="D22" s="15">
        <f t="shared" ref="D22:N22" si="3">SUM(D19:D21)</f>
        <v>6861.2677946936574</v>
      </c>
      <c r="E22" s="15">
        <f t="shared" si="3"/>
        <v>6980.8249162757811</v>
      </c>
      <c r="F22" s="15">
        <f t="shared" si="3"/>
        <v>7085.7658407022864</v>
      </c>
      <c r="G22" s="15">
        <f t="shared" si="3"/>
        <v>6924.886587396637</v>
      </c>
      <c r="H22" s="15">
        <f t="shared" si="3"/>
        <v>6910.5061938459012</v>
      </c>
      <c r="I22" s="15">
        <f t="shared" si="3"/>
        <v>6776.2267151187225</v>
      </c>
      <c r="J22" s="15">
        <f t="shared" si="3"/>
        <v>6907.8023022923444</v>
      </c>
      <c r="K22" s="15">
        <f t="shared" si="3"/>
        <v>7397.4881377839547</v>
      </c>
      <c r="L22" s="15">
        <f t="shared" si="3"/>
        <v>6977.6207256519237</v>
      </c>
      <c r="M22" s="15">
        <f t="shared" si="3"/>
        <v>6451.8070976765321</v>
      </c>
      <c r="N22" s="15">
        <f t="shared" si="3"/>
        <v>6798.0052934391124</v>
      </c>
      <c r="O22" s="19">
        <f t="shared" si="2"/>
        <v>82925.77209597599</v>
      </c>
    </row>
    <row r="23" spans="1:15" x14ac:dyDescent="0.3">
      <c r="A23" s="6"/>
      <c r="B23" s="1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3">
      <c r="A24" s="13" t="s">
        <v>24</v>
      </c>
      <c r="B24" s="14" t="s">
        <v>25</v>
      </c>
      <c r="C24" s="19">
        <f>+C17-C22</f>
        <v>5469.547947445858</v>
      </c>
      <c r="D24" s="19">
        <f t="shared" ref="D24:O24" si="4">+D17-D22</f>
        <v>4114.9501378858577</v>
      </c>
      <c r="E24" s="19">
        <f t="shared" si="4"/>
        <v>2004.9076559903615</v>
      </c>
      <c r="F24" s="19">
        <f t="shared" si="4"/>
        <v>-969.1047199193581</v>
      </c>
      <c r="G24" s="19">
        <f t="shared" si="4"/>
        <v>-2236.6267041076262</v>
      </c>
      <c r="H24" s="19">
        <f t="shared" si="4"/>
        <v>-2866.5772302043374</v>
      </c>
      <c r="I24" s="19">
        <f t="shared" si="4"/>
        <v>-2781.4076453976809</v>
      </c>
      <c r="J24" s="19">
        <f t="shared" si="4"/>
        <v>-2895.7343557903409</v>
      </c>
      <c r="K24" s="19">
        <f t="shared" si="4"/>
        <v>-3246.8616182179403</v>
      </c>
      <c r="L24" s="19">
        <f t="shared" si="4"/>
        <v>-1643.2630452204457</v>
      </c>
      <c r="M24" s="19">
        <f t="shared" si="4"/>
        <v>1127.6232650240709</v>
      </c>
      <c r="N24" s="19">
        <f t="shared" si="4"/>
        <v>4068.0718178945817</v>
      </c>
      <c r="O24" s="19">
        <f t="shared" si="4"/>
        <v>145.5255053830042</v>
      </c>
    </row>
    <row r="25" spans="1:15" x14ac:dyDescent="0.3">
      <c r="A25" s="6"/>
      <c r="B25" s="1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3">
      <c r="A26" s="13" t="s">
        <v>26</v>
      </c>
      <c r="B26" s="14" t="s">
        <v>27</v>
      </c>
      <c r="C26" s="15">
        <v>1137.6297061786922</v>
      </c>
      <c r="D26" s="15">
        <v>816.27958440137706</v>
      </c>
      <c r="E26" s="15">
        <v>273.5241148354466</v>
      </c>
      <c r="F26" s="15">
        <v>-479.60711500062223</v>
      </c>
      <c r="G26" s="15">
        <v>-807.15974357362404</v>
      </c>
      <c r="H26" s="15">
        <v>-960.13531656354041</v>
      </c>
      <c r="I26" s="15">
        <v>-957.90365154506333</v>
      </c>
      <c r="J26" s="15">
        <v>-988.70254141418764</v>
      </c>
      <c r="K26" s="15">
        <v>-1068.5322517723835</v>
      </c>
      <c r="L26" s="15">
        <v>-674.76165050646546</v>
      </c>
      <c r="M26" s="15">
        <v>23.492942606262194</v>
      </c>
      <c r="N26" s="15">
        <v>753.96540779486827</v>
      </c>
      <c r="O26" s="19">
        <f>SUM(C26:N26)</f>
        <v>-2931.9105145592403</v>
      </c>
    </row>
    <row r="27" spans="1:15" x14ac:dyDescent="0.3">
      <c r="A27" s="6"/>
      <c r="B27" s="1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x14ac:dyDescent="0.3">
      <c r="A28" s="13" t="s">
        <v>28</v>
      </c>
      <c r="B28" s="14" t="s">
        <v>29</v>
      </c>
      <c r="C28" s="19">
        <f>+C24-C26</f>
        <v>4331.9182412671653</v>
      </c>
      <c r="D28" s="19">
        <f t="shared" ref="D28:O28" si="5">+D24-D26</f>
        <v>3298.6705534844805</v>
      </c>
      <c r="E28" s="19">
        <f t="shared" si="5"/>
        <v>1731.3835411549148</v>
      </c>
      <c r="F28" s="19">
        <f t="shared" si="5"/>
        <v>-489.49760491873587</v>
      </c>
      <c r="G28" s="19">
        <f t="shared" si="5"/>
        <v>-1429.4669605340023</v>
      </c>
      <c r="H28" s="19">
        <f t="shared" si="5"/>
        <v>-1906.4419136407969</v>
      </c>
      <c r="I28" s="19">
        <f t="shared" si="5"/>
        <v>-1823.5039938526174</v>
      </c>
      <c r="J28" s="19">
        <f t="shared" si="5"/>
        <v>-1907.0318143761533</v>
      </c>
      <c r="K28" s="19">
        <f t="shared" si="5"/>
        <v>-2178.3293664455568</v>
      </c>
      <c r="L28" s="19">
        <f t="shared" si="5"/>
        <v>-968.50139471398029</v>
      </c>
      <c r="M28" s="19">
        <f t="shared" si="5"/>
        <v>1104.1303224178087</v>
      </c>
      <c r="N28" s="19">
        <f t="shared" si="5"/>
        <v>3314.1064100997137</v>
      </c>
      <c r="O28" s="19">
        <f t="shared" si="5"/>
        <v>3077.4360199422445</v>
      </c>
    </row>
    <row r="29" spans="1:15" x14ac:dyDescent="0.3">
      <c r="A29" s="6"/>
      <c r="B29" s="1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x14ac:dyDescent="0.3">
      <c r="A30" s="6">
        <v>11</v>
      </c>
      <c r="B30" s="14" t="s">
        <v>30</v>
      </c>
      <c r="C30" s="15">
        <v>87.327895933333338</v>
      </c>
      <c r="D30" s="15">
        <v>78.681906006666665</v>
      </c>
      <c r="E30" s="15">
        <v>66.99043665666666</v>
      </c>
      <c r="F30" s="15">
        <v>54.405649976666666</v>
      </c>
      <c r="G30" s="15">
        <v>36.711583230000002</v>
      </c>
      <c r="H30" s="15">
        <v>28.436605170000004</v>
      </c>
      <c r="I30" s="15">
        <v>26.225225556666668</v>
      </c>
      <c r="J30" s="15">
        <v>26.783466040000004</v>
      </c>
      <c r="K30" s="15">
        <v>29.25715636</v>
      </c>
      <c r="L30" s="15">
        <v>29.775185556666667</v>
      </c>
      <c r="M30" s="15">
        <v>41.409455656666665</v>
      </c>
      <c r="N30" s="15">
        <v>62.44422345866667</v>
      </c>
      <c r="O30" s="19">
        <f>SUM(C30:N30)</f>
        <v>568.44878960199992</v>
      </c>
    </row>
    <row r="31" spans="1:15" x14ac:dyDescent="0.3">
      <c r="A31" s="6"/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3">
      <c r="A32" s="6">
        <v>12</v>
      </c>
      <c r="B32" s="14" t="s">
        <v>31</v>
      </c>
      <c r="C32" s="19">
        <f t="shared" ref="C32:O32" si="6">+C28+C30</f>
        <v>4419.2461372004982</v>
      </c>
      <c r="D32" s="19">
        <f t="shared" si="6"/>
        <v>3377.3524594911473</v>
      </c>
      <c r="E32" s="19">
        <f t="shared" si="6"/>
        <v>1798.3739778115814</v>
      </c>
      <c r="F32" s="19">
        <f t="shared" si="6"/>
        <v>-435.09195494206921</v>
      </c>
      <c r="G32" s="19">
        <f t="shared" si="6"/>
        <v>-1392.7553773040022</v>
      </c>
      <c r="H32" s="19">
        <f t="shared" si="6"/>
        <v>-1878.005308470797</v>
      </c>
      <c r="I32" s="19">
        <f t="shared" si="6"/>
        <v>-1797.2787682959508</v>
      </c>
      <c r="J32" s="19">
        <f t="shared" si="6"/>
        <v>-1880.2483483361534</v>
      </c>
      <c r="K32" s="19">
        <f t="shared" si="6"/>
        <v>-2149.0722100855569</v>
      </c>
      <c r="L32" s="19">
        <f t="shared" si="6"/>
        <v>-938.72620915731363</v>
      </c>
      <c r="M32" s="19">
        <f t="shared" si="6"/>
        <v>1145.5397780744754</v>
      </c>
      <c r="N32" s="19">
        <f t="shared" si="6"/>
        <v>3376.5506335583805</v>
      </c>
      <c r="O32" s="19">
        <f t="shared" si="6"/>
        <v>3645.8848095442445</v>
      </c>
    </row>
    <row r="33" spans="1:16" x14ac:dyDescent="0.3">
      <c r="A33" s="6"/>
      <c r="B33" s="1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6" x14ac:dyDescent="0.3">
      <c r="A34" s="6">
        <v>13</v>
      </c>
      <c r="B34" s="14" t="s">
        <v>32</v>
      </c>
      <c r="C34" s="15">
        <v>729.69152820073305</v>
      </c>
      <c r="D34" s="15">
        <v>654.42416870330032</v>
      </c>
      <c r="E34" s="15">
        <v>708.06284096854915</v>
      </c>
      <c r="F34" s="15">
        <v>740.0277218099684</v>
      </c>
      <c r="G34" s="15">
        <v>767.64785754037234</v>
      </c>
      <c r="H34" s="15">
        <v>742.55090243801328</v>
      </c>
      <c r="I34" s="15">
        <v>816.56455845908374</v>
      </c>
      <c r="J34" s="15">
        <v>826.23853291498506</v>
      </c>
      <c r="K34" s="15">
        <v>797.54371975807248</v>
      </c>
      <c r="L34" s="15">
        <v>823.42143912290044</v>
      </c>
      <c r="M34" s="15">
        <v>807.32641580919017</v>
      </c>
      <c r="N34" s="15">
        <v>841.06439502436046</v>
      </c>
      <c r="O34" s="19">
        <f>SUM(C34:N34)</f>
        <v>9254.5640807495292</v>
      </c>
    </row>
    <row r="35" spans="1:16" x14ac:dyDescent="0.3">
      <c r="A35" s="6"/>
      <c r="B35" s="1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6" ht="14.5" thickBot="1" x14ac:dyDescent="0.35">
      <c r="A36" s="13" t="s">
        <v>33</v>
      </c>
      <c r="B36" s="14" t="s">
        <v>34</v>
      </c>
      <c r="C36" s="22">
        <f>C32-C34</f>
        <v>3689.5546089997652</v>
      </c>
      <c r="D36" s="22">
        <f t="shared" ref="D36:O36" si="7">D32-D34</f>
        <v>2722.9282907878469</v>
      </c>
      <c r="E36" s="22">
        <f t="shared" si="7"/>
        <v>1090.3111368430323</v>
      </c>
      <c r="F36" s="22">
        <f t="shared" si="7"/>
        <v>-1175.1196767520375</v>
      </c>
      <c r="G36" s="22">
        <f t="shared" si="7"/>
        <v>-2160.4032348443743</v>
      </c>
      <c r="H36" s="22">
        <f t="shared" si="7"/>
        <v>-2620.5562109088105</v>
      </c>
      <c r="I36" s="22">
        <f t="shared" si="7"/>
        <v>-2613.8433267550345</v>
      </c>
      <c r="J36" s="22">
        <f t="shared" si="7"/>
        <v>-2706.4868812511386</v>
      </c>
      <c r="K36" s="22">
        <f t="shared" si="7"/>
        <v>-2946.6159298436296</v>
      </c>
      <c r="L36" s="22">
        <f t="shared" si="7"/>
        <v>-1762.1476482802141</v>
      </c>
      <c r="M36" s="22">
        <f t="shared" si="7"/>
        <v>338.21336226528524</v>
      </c>
      <c r="N36" s="22">
        <f t="shared" si="7"/>
        <v>2535.4862385340202</v>
      </c>
      <c r="O36" s="22">
        <f t="shared" si="7"/>
        <v>-5608.6792712052847</v>
      </c>
      <c r="P36" s="24"/>
    </row>
    <row r="37" spans="1:16" ht="14.5" thickTop="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7-d - TME 5.31.21</vt:lpstr>
      <vt:lpstr>7-d - TME 08.31.21</vt:lpstr>
      <vt:lpstr>7-d - TME 12.31.22</vt:lpstr>
      <vt:lpstr>'7-d - TME 08.31.21'!Print_Area</vt:lpstr>
      <vt:lpstr>'7-d - TME 12.31.22'!Print_Area</vt:lpstr>
      <vt:lpstr>'7-d - TME 5.31.21'!Print_Area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dcterms:created xsi:type="dcterms:W3CDTF">2021-04-08T19:19:51Z</dcterms:created>
  <dcterms:modified xsi:type="dcterms:W3CDTF">2021-06-11T16:41:15Z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