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6\Draft Responses\FINAL TO GS\"/>
    </mc:Choice>
  </mc:AlternateContent>
  <xr:revisionPtr revIDLastSave="0" documentId="8_{382E1BF3-DD72-4B66-BDD0-1F3BF976E4E5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Summary" sheetId="7" r:id="rId1"/>
    <sheet name="2021 Cap Investment " sheetId="8" r:id="rId2"/>
    <sheet name="2022 Cap Investment" sheetId="4" r:id="rId3"/>
    <sheet name="MACRS HY MQ" sheetId="6" r:id="rId4"/>
    <sheet name="Rebuttal Return" sheetId="9" r:id="rId5"/>
  </sheets>
  <definedNames>
    <definedName name="_xlnm.Print_Area" localSheetId="1">'2021 Cap Investment '!$A$1:$AK$49</definedName>
    <definedName name="_xlnm.Print_Area" localSheetId="2">'2022 Cap Investment'!$A$1:$R$48</definedName>
    <definedName name="_xlnm.Print_Area" localSheetId="3">'MACRS HY MQ'!$A$1:$I$37</definedName>
    <definedName name="_xlnm.Print_Area" localSheetId="4">'Rebuttal Return'!$A$1:$H$27</definedName>
    <definedName name="_xlnm.Print_Area" localSheetId="0">Summary!$A$1:$L$39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4" l="1"/>
  <c r="Y44" i="8" l="1"/>
  <c r="Z44" i="8" s="1"/>
  <c r="AA44" i="8" s="1"/>
  <c r="AB44" i="8" s="1"/>
  <c r="AC44" i="8" s="1"/>
  <c r="AD44" i="8" s="1"/>
  <c r="AE44" i="8" s="1"/>
  <c r="AF44" i="8" s="1"/>
  <c r="AG44" i="8" s="1"/>
  <c r="AH44" i="8" s="1"/>
  <c r="AI44" i="8" s="1"/>
  <c r="P40" i="4" l="1"/>
  <c r="O40" i="4"/>
  <c r="N40" i="4"/>
  <c r="M40" i="4"/>
  <c r="L40" i="4"/>
  <c r="K40" i="4"/>
  <c r="J40" i="4"/>
  <c r="I40" i="4"/>
  <c r="H40" i="4"/>
  <c r="G40" i="4"/>
  <c r="F40" i="4"/>
  <c r="E40" i="4"/>
  <c r="D40" i="4"/>
  <c r="T12" i="8"/>
  <c r="T13" i="8" s="1"/>
  <c r="T14" i="8" s="1"/>
  <c r="T15" i="8" s="1"/>
  <c r="T16" i="8" s="1"/>
  <c r="T17" i="8" s="1"/>
  <c r="T18" i="8" s="1"/>
  <c r="T19" i="8" s="1"/>
  <c r="T20" i="8" s="1"/>
  <c r="T21" i="8" s="1"/>
  <c r="T22" i="8" s="1"/>
  <c r="T23" i="8" s="1"/>
  <c r="T24" i="8" s="1"/>
  <c r="T25" i="8" s="1"/>
  <c r="T26" i="8" s="1"/>
  <c r="T27" i="8" s="1"/>
  <c r="T28" i="8" s="1"/>
  <c r="T29" i="8" s="1"/>
  <c r="T30" i="8" s="1"/>
  <c r="T31" i="8" s="1"/>
  <c r="T32" i="8" s="1"/>
  <c r="T33" i="8" s="1"/>
  <c r="T34" i="8" s="1"/>
  <c r="T35" i="8" s="1"/>
  <c r="T36" i="8" s="1"/>
  <c r="T37" i="8" s="1"/>
  <c r="T38" i="8" s="1"/>
  <c r="T39" i="8" s="1"/>
  <c r="T40" i="8" s="1"/>
  <c r="T41" i="8" s="1"/>
  <c r="T42" i="8" s="1"/>
  <c r="T43" i="8" s="1"/>
  <c r="T44" i="8" s="1"/>
  <c r="T45" i="8" s="1"/>
  <c r="T46" i="8" s="1"/>
  <c r="T47" i="8" s="1"/>
  <c r="T48" i="8" s="1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P14" i="8"/>
  <c r="R40" i="4" l="1"/>
  <c r="H36" i="6"/>
  <c r="AI46" i="8"/>
  <c r="AH46" i="8"/>
  <c r="AG46" i="8"/>
  <c r="AF46" i="8"/>
  <c r="AE46" i="8"/>
  <c r="AD46" i="8"/>
  <c r="AC46" i="8"/>
  <c r="AB46" i="8"/>
  <c r="AA46" i="8"/>
  <c r="Z46" i="8"/>
  <c r="Y46" i="8"/>
  <c r="X46" i="8"/>
  <c r="AI10" i="8" l="1"/>
  <c r="AH10" i="8"/>
  <c r="AG10" i="8"/>
  <c r="AF10" i="8"/>
  <c r="AE10" i="8"/>
  <c r="AD10" i="8"/>
  <c r="AC10" i="8"/>
  <c r="AB10" i="8"/>
  <c r="AA10" i="8"/>
  <c r="Z10" i="8"/>
  <c r="Y10" i="8"/>
  <c r="Y9" i="8"/>
  <c r="Z9" i="8" s="1"/>
  <c r="AA9" i="8" s="1"/>
  <c r="AB9" i="8" s="1"/>
  <c r="AC9" i="8" s="1"/>
  <c r="AD9" i="8" s="1"/>
  <c r="AE9" i="8" s="1"/>
  <c r="AF9" i="8" s="1"/>
  <c r="AG9" i="8" s="1"/>
  <c r="AH9" i="8" s="1"/>
  <c r="AI9" i="8" s="1"/>
  <c r="X10" i="8"/>
  <c r="F9" i="8"/>
  <c r="G9" i="8" s="1"/>
  <c r="H9" i="8" s="1"/>
  <c r="I9" i="8" s="1"/>
  <c r="J9" i="8" s="1"/>
  <c r="K9" i="8" s="1"/>
  <c r="L9" i="8" s="1"/>
  <c r="M9" i="8" s="1"/>
  <c r="N9" i="8" s="1"/>
  <c r="O9" i="8" s="1"/>
  <c r="P9" i="8" s="1"/>
  <c r="O14" i="8"/>
  <c r="N14" i="8"/>
  <c r="M14" i="8"/>
  <c r="L14" i="8"/>
  <c r="K14" i="8"/>
  <c r="J14" i="8"/>
  <c r="I14" i="8"/>
  <c r="H14" i="8"/>
  <c r="G14" i="8"/>
  <c r="F14" i="8"/>
  <c r="E14" i="8"/>
  <c r="P46" i="8"/>
  <c r="O46" i="8"/>
  <c r="N46" i="8"/>
  <c r="M46" i="8"/>
  <c r="L46" i="8"/>
  <c r="K46" i="8"/>
  <c r="J46" i="8"/>
  <c r="I46" i="8"/>
  <c r="H46" i="8"/>
  <c r="G46" i="8"/>
  <c r="F46" i="8"/>
  <c r="E46" i="8"/>
  <c r="D30" i="8"/>
  <c r="E28" i="8" s="1"/>
  <c r="D15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l="1"/>
  <c r="A45" i="8" s="1"/>
  <c r="A46" i="8" s="1"/>
  <c r="A47" i="8" s="1"/>
  <c r="A48" i="8" s="1"/>
  <c r="D35" i="8"/>
  <c r="D17" i="8"/>
  <c r="E13" i="8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13" i="7"/>
  <c r="A14" i="7" s="1"/>
  <c r="A15" i="7" s="1"/>
  <c r="A16" i="7" s="1"/>
  <c r="A17" i="7" s="1"/>
  <c r="A18" i="7" s="1"/>
  <c r="A19" i="7" s="1"/>
  <c r="A20" i="7" l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D36" i="8"/>
  <c r="D22" i="8"/>
  <c r="D23" i="8" s="1"/>
  <c r="E15" i="8"/>
  <c r="E35" i="8" s="1"/>
  <c r="E36" i="8" l="1"/>
  <c r="E22" i="8"/>
  <c r="D25" i="8"/>
  <c r="E21" i="8"/>
  <c r="F13" i="8"/>
  <c r="E17" i="8"/>
  <c r="E23" i="8" l="1"/>
  <c r="F21" i="8" s="1"/>
  <c r="F15" i="8"/>
  <c r="F35" i="8" s="1"/>
  <c r="P46" i="4"/>
  <c r="O46" i="4"/>
  <c r="N46" i="4"/>
  <c r="M46" i="4"/>
  <c r="L46" i="4"/>
  <c r="K46" i="4"/>
  <c r="J46" i="4"/>
  <c r="I46" i="4"/>
  <c r="H46" i="4"/>
  <c r="G46" i="4"/>
  <c r="F46" i="4"/>
  <c r="E46" i="4"/>
  <c r="G15" i="6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E25" i="8" l="1"/>
  <c r="F36" i="8"/>
  <c r="F22" i="8"/>
  <c r="F23" i="8" s="1"/>
  <c r="F17" i="8"/>
  <c r="G13" i="8"/>
  <c r="G21" i="8" l="1"/>
  <c r="F25" i="8"/>
  <c r="G15" i="8"/>
  <c r="G35" i="8"/>
  <c r="F14" i="4"/>
  <c r="G14" i="4"/>
  <c r="H14" i="4"/>
  <c r="I14" i="4"/>
  <c r="J14" i="4"/>
  <c r="K14" i="4"/>
  <c r="L14" i="4"/>
  <c r="M14" i="4"/>
  <c r="N14" i="4"/>
  <c r="P14" i="4"/>
  <c r="E14" i="4"/>
  <c r="G22" i="8" l="1"/>
  <c r="G23" i="8" s="1"/>
  <c r="G36" i="8"/>
  <c r="G17" i="8"/>
  <c r="H13" i="8"/>
  <c r="D15" i="4"/>
  <c r="D30" i="4"/>
  <c r="E28" i="4"/>
  <c r="G25" i="8" l="1"/>
  <c r="H21" i="8"/>
  <c r="H15" i="8"/>
  <c r="D35" i="4"/>
  <c r="D17" i="4"/>
  <c r="E13" i="4"/>
  <c r="H17" i="8" l="1"/>
  <c r="I13" i="8"/>
  <c r="H35" i="8"/>
  <c r="E15" i="4"/>
  <c r="E35" i="4" s="1"/>
  <c r="D36" i="4"/>
  <c r="D22" i="4"/>
  <c r="D23" i="4" s="1"/>
  <c r="I15" i="8" l="1"/>
  <c r="H36" i="8"/>
  <c r="H22" i="8"/>
  <c r="H23" i="8" s="1"/>
  <c r="D25" i="4"/>
  <c r="E21" i="4"/>
  <c r="E22" i="4"/>
  <c r="E36" i="4"/>
  <c r="F13" i="4"/>
  <c r="E17" i="4"/>
  <c r="J13" i="8" l="1"/>
  <c r="I17" i="8"/>
  <c r="H25" i="8"/>
  <c r="I21" i="8"/>
  <c r="I35" i="8"/>
  <c r="F15" i="4"/>
  <c r="E23" i="4"/>
  <c r="I36" i="8" l="1"/>
  <c r="I22" i="8"/>
  <c r="I23" i="8" s="1"/>
  <c r="J15" i="8"/>
  <c r="F21" i="4"/>
  <c r="E25" i="4"/>
  <c r="G13" i="4"/>
  <c r="F17" i="4"/>
  <c r="F35" i="4"/>
  <c r="J21" i="8" l="1"/>
  <c r="I25" i="8"/>
  <c r="K13" i="8"/>
  <c r="J17" i="8"/>
  <c r="J35" i="8"/>
  <c r="G15" i="4"/>
  <c r="F22" i="4"/>
  <c r="F23" i="4" s="1"/>
  <c r="F36" i="4"/>
  <c r="K15" i="8" l="1"/>
  <c r="K35" i="8" s="1"/>
  <c r="J36" i="8"/>
  <c r="J22" i="8"/>
  <c r="J23" i="8" s="1"/>
  <c r="G21" i="4"/>
  <c r="F25" i="4"/>
  <c r="G17" i="4"/>
  <c r="H13" i="4"/>
  <c r="G35" i="4"/>
  <c r="K21" i="8" l="1"/>
  <c r="J25" i="8"/>
  <c r="K22" i="8"/>
  <c r="K36" i="8"/>
  <c r="K17" i="8"/>
  <c r="L13" i="8"/>
  <c r="G36" i="4"/>
  <c r="G22" i="4"/>
  <c r="G23" i="4" s="1"/>
  <c r="H15" i="4"/>
  <c r="L15" i="8" l="1"/>
  <c r="K23" i="8"/>
  <c r="G25" i="4"/>
  <c r="H21" i="4"/>
  <c r="H17" i="4"/>
  <c r="I13" i="4"/>
  <c r="H35" i="4"/>
  <c r="L17" i="8" l="1"/>
  <c r="M13" i="8"/>
  <c r="K25" i="8"/>
  <c r="L21" i="8"/>
  <c r="L35" i="8"/>
  <c r="I15" i="4"/>
  <c r="I35" i="4"/>
  <c r="H36" i="4"/>
  <c r="H22" i="4"/>
  <c r="H23" i="4" s="1"/>
  <c r="M15" i="8" l="1"/>
  <c r="L36" i="8"/>
  <c r="L22" i="8"/>
  <c r="L23" i="8" s="1"/>
  <c r="H25" i="4"/>
  <c r="I21" i="4"/>
  <c r="I22" i="4"/>
  <c r="I36" i="4"/>
  <c r="J13" i="4"/>
  <c r="I17" i="4"/>
  <c r="L25" i="8" l="1"/>
  <c r="M21" i="8"/>
  <c r="N13" i="8"/>
  <c r="M17" i="8"/>
  <c r="M35" i="8"/>
  <c r="J15" i="4"/>
  <c r="I23" i="4"/>
  <c r="N15" i="8" l="1"/>
  <c r="N35" i="8" s="1"/>
  <c r="M36" i="8"/>
  <c r="M22" i="8"/>
  <c r="M23" i="8" s="1"/>
  <c r="K13" i="4"/>
  <c r="J17" i="4"/>
  <c r="J35" i="4"/>
  <c r="J21" i="4"/>
  <c r="I25" i="4"/>
  <c r="N21" i="8" l="1"/>
  <c r="M25" i="8"/>
  <c r="N36" i="8"/>
  <c r="N22" i="8"/>
  <c r="O13" i="8"/>
  <c r="N17" i="8"/>
  <c r="J22" i="4"/>
  <c r="J23" i="4" s="1"/>
  <c r="J36" i="4"/>
  <c r="K15" i="4"/>
  <c r="O15" i="8" l="1"/>
  <c r="N23" i="8"/>
  <c r="K21" i="4"/>
  <c r="J25" i="4"/>
  <c r="K17" i="4"/>
  <c r="L13" i="4"/>
  <c r="K35" i="4"/>
  <c r="P13" i="8" l="1"/>
  <c r="P15" i="8" s="1"/>
  <c r="O17" i="8"/>
  <c r="O21" i="8"/>
  <c r="N25" i="8"/>
  <c r="O35" i="8"/>
  <c r="L15" i="4"/>
  <c r="L35" i="4" s="1"/>
  <c r="K36" i="4"/>
  <c r="K22" i="4"/>
  <c r="K23" i="4" s="1"/>
  <c r="F43" i="8" l="1"/>
  <c r="N43" i="8"/>
  <c r="N44" i="8"/>
  <c r="G43" i="8"/>
  <c r="G45" i="8" s="1"/>
  <c r="O43" i="8"/>
  <c r="G44" i="8"/>
  <c r="O44" i="8"/>
  <c r="H43" i="8"/>
  <c r="P43" i="8"/>
  <c r="H44" i="8"/>
  <c r="P44" i="8"/>
  <c r="I43" i="8"/>
  <c r="I44" i="8"/>
  <c r="E44" i="8"/>
  <c r="J43" i="8"/>
  <c r="J45" i="8" s="1"/>
  <c r="J44" i="8"/>
  <c r="K43" i="8"/>
  <c r="K45" i="8" s="1"/>
  <c r="K44" i="8"/>
  <c r="L43" i="8"/>
  <c r="L44" i="8"/>
  <c r="M43" i="8"/>
  <c r="M45" i="8" s="1"/>
  <c r="E43" i="8"/>
  <c r="M44" i="8"/>
  <c r="F44" i="8"/>
  <c r="X13" i="8"/>
  <c r="X15" i="8"/>
  <c r="O22" i="8"/>
  <c r="O23" i="8" s="1"/>
  <c r="O36" i="8"/>
  <c r="O45" i="8" s="1"/>
  <c r="K25" i="4"/>
  <c r="L21" i="4"/>
  <c r="L36" i="4"/>
  <c r="L22" i="4"/>
  <c r="L17" i="4"/>
  <c r="M13" i="4"/>
  <c r="H45" i="8" l="1"/>
  <c r="L45" i="8"/>
  <c r="N45" i="8"/>
  <c r="E45" i="8"/>
  <c r="I45" i="8"/>
  <c r="F45" i="8"/>
  <c r="X35" i="8"/>
  <c r="Y13" i="8"/>
  <c r="X17" i="8"/>
  <c r="O25" i="8"/>
  <c r="P21" i="8"/>
  <c r="P17" i="8"/>
  <c r="P35" i="8"/>
  <c r="M15" i="4"/>
  <c r="L23" i="4"/>
  <c r="X39" i="8" l="1"/>
  <c r="AH43" i="8"/>
  <c r="AF43" i="8"/>
  <c r="Z43" i="8"/>
  <c r="AE43" i="8"/>
  <c r="Y43" i="8"/>
  <c r="AB43" i="8"/>
  <c r="AD43" i="8"/>
  <c r="AG43" i="8"/>
  <c r="X43" i="8"/>
  <c r="AA43" i="8"/>
  <c r="AI43" i="8"/>
  <c r="AC43" i="8"/>
  <c r="N29" i="8"/>
  <c r="N47" i="8"/>
  <c r="G29" i="8"/>
  <c r="G47" i="8"/>
  <c r="H29" i="8"/>
  <c r="H47" i="8"/>
  <c r="J29" i="8"/>
  <c r="J47" i="8"/>
  <c r="K29" i="8"/>
  <c r="K47" i="8"/>
  <c r="L29" i="8"/>
  <c r="L47" i="8"/>
  <c r="M29" i="8"/>
  <c r="M47" i="8"/>
  <c r="O29" i="8"/>
  <c r="O47" i="8"/>
  <c r="F29" i="8"/>
  <c r="F47" i="8"/>
  <c r="I29" i="8"/>
  <c r="I47" i="8"/>
  <c r="X40" i="8"/>
  <c r="Y39" i="8"/>
  <c r="X36" i="8"/>
  <c r="X45" i="8" s="1"/>
  <c r="X22" i="8"/>
  <c r="Y15" i="8"/>
  <c r="Y35" i="8" s="1"/>
  <c r="P23" i="8"/>
  <c r="P36" i="8"/>
  <c r="P45" i="8" s="1"/>
  <c r="P22" i="8"/>
  <c r="L25" i="4"/>
  <c r="M21" i="4"/>
  <c r="N13" i="4"/>
  <c r="M17" i="4"/>
  <c r="M35" i="4"/>
  <c r="X29" i="8" l="1"/>
  <c r="X47" i="8"/>
  <c r="E29" i="8"/>
  <c r="E30" i="8" s="1"/>
  <c r="F28" i="8" s="1"/>
  <c r="F30" i="8" s="1"/>
  <c r="G28" i="8" s="1"/>
  <c r="G30" i="8" s="1"/>
  <c r="H28" i="8" s="1"/>
  <c r="H30" i="8" s="1"/>
  <c r="I28" i="8" s="1"/>
  <c r="I30" i="8" s="1"/>
  <c r="J28" i="8" s="1"/>
  <c r="J30" i="8" s="1"/>
  <c r="K28" i="8" s="1"/>
  <c r="K30" i="8" s="1"/>
  <c r="L28" i="8" s="1"/>
  <c r="L30" i="8" s="1"/>
  <c r="M28" i="8" s="1"/>
  <c r="M30" i="8" s="1"/>
  <c r="N28" i="8" s="1"/>
  <c r="N30" i="8" s="1"/>
  <c r="O28" i="8" s="1"/>
  <c r="O30" i="8" s="1"/>
  <c r="P28" i="8" s="1"/>
  <c r="E47" i="8"/>
  <c r="Y40" i="8"/>
  <c r="Z39" i="8"/>
  <c r="Y22" i="8"/>
  <c r="Y36" i="8"/>
  <c r="Y45" i="8" s="1"/>
  <c r="P25" i="8"/>
  <c r="X21" i="8"/>
  <c r="X23" i="8" s="1"/>
  <c r="Z13" i="8"/>
  <c r="Y17" i="8"/>
  <c r="N15" i="4"/>
  <c r="N35" i="4" s="1"/>
  <c r="M22" i="4"/>
  <c r="M23" i="4" s="1"/>
  <c r="M36" i="4"/>
  <c r="Y29" i="8" l="1"/>
  <c r="Y47" i="8"/>
  <c r="P29" i="8"/>
  <c r="P30" i="8" s="1"/>
  <c r="X28" i="8" s="1"/>
  <c r="X30" i="8" s="1"/>
  <c r="Y28" i="8" s="1"/>
  <c r="Y30" i="8" s="1"/>
  <c r="Z28" i="8" s="1"/>
  <c r="P47" i="8"/>
  <c r="AA39" i="8"/>
  <c r="Z40" i="8"/>
  <c r="X25" i="8"/>
  <c r="Y21" i="8"/>
  <c r="Y23" i="8" s="1"/>
  <c r="Z15" i="8"/>
  <c r="Z35" i="8" s="1"/>
  <c r="N22" i="4"/>
  <c r="N36" i="4"/>
  <c r="N21" i="4"/>
  <c r="M25" i="4"/>
  <c r="O13" i="4"/>
  <c r="N17" i="4"/>
  <c r="N23" i="4" l="1"/>
  <c r="N25" i="4" s="1"/>
  <c r="AB39" i="8"/>
  <c r="AA40" i="8"/>
  <c r="Z22" i="8"/>
  <c r="Z36" i="8"/>
  <c r="Z45" i="8" s="1"/>
  <c r="Z21" i="8"/>
  <c r="Y25" i="8"/>
  <c r="AA13" i="8"/>
  <c r="Z17" i="8"/>
  <c r="O21" i="4"/>
  <c r="O15" i="4"/>
  <c r="Z29" i="8" l="1"/>
  <c r="Z30" i="8" s="1"/>
  <c r="AA28" i="8" s="1"/>
  <c r="Z47" i="8"/>
  <c r="Z23" i="8"/>
  <c r="AC39" i="8"/>
  <c r="AB40" i="8"/>
  <c r="AA21" i="8"/>
  <c r="Z25" i="8"/>
  <c r="AA15" i="8"/>
  <c r="AA35" i="8" s="1"/>
  <c r="O17" i="4"/>
  <c r="P13" i="4"/>
  <c r="O35" i="4"/>
  <c r="AD39" i="8" l="1"/>
  <c r="AC40" i="8"/>
  <c r="AA17" i="8"/>
  <c r="AB13" i="8"/>
  <c r="P15" i="4"/>
  <c r="O36" i="4"/>
  <c r="O22" i="4"/>
  <c r="O23" i="4" s="1"/>
  <c r="F43" i="4" l="1"/>
  <c r="J43" i="4"/>
  <c r="N43" i="4"/>
  <c r="F44" i="4"/>
  <c r="J44" i="4"/>
  <c r="N44" i="4"/>
  <c r="G43" i="4"/>
  <c r="G45" i="4" s="1"/>
  <c r="K43" i="4"/>
  <c r="O43" i="4"/>
  <c r="O45" i="4" s="1"/>
  <c r="G44" i="4"/>
  <c r="K44" i="4"/>
  <c r="O44" i="4"/>
  <c r="H43" i="4"/>
  <c r="H45" i="4" s="1"/>
  <c r="L43" i="4"/>
  <c r="L45" i="4" s="1"/>
  <c r="P43" i="4"/>
  <c r="H44" i="4"/>
  <c r="L44" i="4"/>
  <c r="P44" i="4"/>
  <c r="I43" i="4"/>
  <c r="M43" i="4"/>
  <c r="E43" i="4"/>
  <c r="I44" i="4"/>
  <c r="M44" i="4"/>
  <c r="E44" i="4"/>
  <c r="AE39" i="8"/>
  <c r="AD40" i="8"/>
  <c r="AA22" i="8"/>
  <c r="AA23" i="8" s="1"/>
  <c r="AA36" i="8"/>
  <c r="AA45" i="8" s="1"/>
  <c r="AB15" i="8"/>
  <c r="AB35" i="8" s="1"/>
  <c r="P17" i="4"/>
  <c r="R17" i="4" s="1"/>
  <c r="O25" i="4"/>
  <c r="P21" i="4"/>
  <c r="P35" i="4"/>
  <c r="E45" i="4" l="1"/>
  <c r="I45" i="4"/>
  <c r="I29" i="4" s="1"/>
  <c r="N45" i="4"/>
  <c r="J45" i="4"/>
  <c r="J47" i="4" s="1"/>
  <c r="F45" i="4"/>
  <c r="F47" i="4" s="1"/>
  <c r="M45" i="4"/>
  <c r="M47" i="4" s="1"/>
  <c r="K45" i="4"/>
  <c r="O29" i="4"/>
  <c r="O47" i="4"/>
  <c r="J29" i="4"/>
  <c r="H29" i="4"/>
  <c r="H47" i="4"/>
  <c r="N29" i="4"/>
  <c r="N47" i="4"/>
  <c r="G29" i="4"/>
  <c r="G47" i="4"/>
  <c r="L29" i="4"/>
  <c r="L47" i="4"/>
  <c r="M29" i="4"/>
  <c r="K29" i="4"/>
  <c r="K47" i="4"/>
  <c r="F29" i="4"/>
  <c r="AA29" i="8"/>
  <c r="AA30" i="8" s="1"/>
  <c r="AA47" i="8"/>
  <c r="AF39" i="8"/>
  <c r="AE40" i="8"/>
  <c r="AB28" i="8"/>
  <c r="AB17" i="8"/>
  <c r="AC13" i="8"/>
  <c r="AB21" i="8"/>
  <c r="AA25" i="8"/>
  <c r="P22" i="4"/>
  <c r="P23" i="4" s="1"/>
  <c r="P25" i="4" s="1"/>
  <c r="R25" i="4" s="1"/>
  <c r="P36" i="4"/>
  <c r="P45" i="4" s="1"/>
  <c r="I47" i="4" l="1"/>
  <c r="E29" i="4"/>
  <c r="E30" i="4" s="1"/>
  <c r="F28" i="4" s="1"/>
  <c r="F30" i="4" s="1"/>
  <c r="G28" i="4" s="1"/>
  <c r="G30" i="4" s="1"/>
  <c r="H28" i="4" s="1"/>
  <c r="H30" i="4" s="1"/>
  <c r="I28" i="4" s="1"/>
  <c r="I30" i="4" s="1"/>
  <c r="J28" i="4" s="1"/>
  <c r="J30" i="4" s="1"/>
  <c r="K28" i="4" s="1"/>
  <c r="K30" i="4" s="1"/>
  <c r="L28" i="4" s="1"/>
  <c r="L30" i="4" s="1"/>
  <c r="M28" i="4" s="1"/>
  <c r="M30" i="4" s="1"/>
  <c r="N28" i="4" s="1"/>
  <c r="N30" i="4" s="1"/>
  <c r="O28" i="4" s="1"/>
  <c r="O30" i="4" s="1"/>
  <c r="P28" i="4" s="1"/>
  <c r="E47" i="4"/>
  <c r="AG39" i="8"/>
  <c r="AF40" i="8"/>
  <c r="AB22" i="8"/>
  <c r="AB23" i="8" s="1"/>
  <c r="AB36" i="8"/>
  <c r="AB45" i="8" s="1"/>
  <c r="AC15" i="8"/>
  <c r="AC35" i="8" s="1"/>
  <c r="R36" i="4"/>
  <c r="P29" i="4" l="1"/>
  <c r="P30" i="4" s="1"/>
  <c r="R30" i="4" s="1"/>
  <c r="R32" i="4" s="1"/>
  <c r="E14" i="7" s="1"/>
  <c r="P47" i="4"/>
  <c r="AB29" i="8"/>
  <c r="AB30" i="8" s="1"/>
  <c r="AC28" i="8" s="1"/>
  <c r="AB47" i="8"/>
  <c r="AH39" i="8"/>
  <c r="AG40" i="8"/>
  <c r="E24" i="7"/>
  <c r="I24" i="7" s="1"/>
  <c r="AC22" i="8"/>
  <c r="AC36" i="8"/>
  <c r="AC45" i="8" s="1"/>
  <c r="AD13" i="8"/>
  <c r="AC17" i="8"/>
  <c r="AC21" i="8"/>
  <c r="AB25" i="8"/>
  <c r="AC29" i="8" l="1"/>
  <c r="AC30" i="8" s="1"/>
  <c r="AC47" i="8"/>
  <c r="AI39" i="8"/>
  <c r="AI40" i="8" s="1"/>
  <c r="AH40" i="8"/>
  <c r="I14" i="7"/>
  <c r="AD15" i="8"/>
  <c r="AD35" i="8" s="1"/>
  <c r="AC23" i="8"/>
  <c r="AK40" i="8" l="1"/>
  <c r="E27" i="7" s="1"/>
  <c r="AD28" i="8"/>
  <c r="AD21" i="8"/>
  <c r="AC25" i="8"/>
  <c r="AD22" i="8"/>
  <c r="AD36" i="8"/>
  <c r="AD45" i="8" s="1"/>
  <c r="AE13" i="8"/>
  <c r="AD17" i="8"/>
  <c r="AD29" i="8" l="1"/>
  <c r="AD30" i="8" s="1"/>
  <c r="AD47" i="8"/>
  <c r="F28" i="7"/>
  <c r="I27" i="7"/>
  <c r="J28" i="7" s="1"/>
  <c r="AE15" i="8"/>
  <c r="AE35" i="8" s="1"/>
  <c r="AD23" i="8"/>
  <c r="AE28" i="8" l="1"/>
  <c r="AD25" i="8"/>
  <c r="AE21" i="8"/>
  <c r="AF13" i="8"/>
  <c r="AE17" i="8"/>
  <c r="AF15" i="8" l="1"/>
  <c r="AF35" i="8" s="1"/>
  <c r="AE22" i="8"/>
  <c r="AE23" i="8" s="1"/>
  <c r="AE36" i="8"/>
  <c r="AE45" i="8" s="1"/>
  <c r="AE29" i="8" l="1"/>
  <c r="AE30" i="8" s="1"/>
  <c r="AE47" i="8"/>
  <c r="AF28" i="8"/>
  <c r="AF21" i="8"/>
  <c r="AE25" i="8"/>
  <c r="AF22" i="8"/>
  <c r="AF36" i="8"/>
  <c r="AF45" i="8" s="1"/>
  <c r="AG13" i="8"/>
  <c r="AF17" i="8"/>
  <c r="AF29" i="8" l="1"/>
  <c r="AF30" i="8" s="1"/>
  <c r="AF47" i="8"/>
  <c r="AF23" i="8"/>
  <c r="AG21" i="8" s="1"/>
  <c r="AG15" i="8"/>
  <c r="AG35" i="8" s="1"/>
  <c r="AF25" i="8" l="1"/>
  <c r="AG28" i="8"/>
  <c r="AH13" i="8"/>
  <c r="AG17" i="8"/>
  <c r="AG22" i="8" l="1"/>
  <c r="AG23" i="8" s="1"/>
  <c r="AG36" i="8"/>
  <c r="AG45" i="8" s="1"/>
  <c r="AH15" i="8"/>
  <c r="AH35" i="8" s="1"/>
  <c r="AG29" i="8" l="1"/>
  <c r="AG30" i="8" s="1"/>
  <c r="AH28" i="8" s="1"/>
  <c r="AG47" i="8"/>
  <c r="AH22" i="8"/>
  <c r="AH36" i="8"/>
  <c r="AH45" i="8" s="1"/>
  <c r="AH17" i="8"/>
  <c r="AI13" i="8"/>
  <c r="AH21" i="8"/>
  <c r="AG25" i="8"/>
  <c r="AH29" i="8" l="1"/>
  <c r="AH30" i="8" s="1"/>
  <c r="AH47" i="8"/>
  <c r="AI15" i="8"/>
  <c r="AI17" i="8" s="1"/>
  <c r="AK17" i="8" s="1"/>
  <c r="AH23" i="8"/>
  <c r="AI28" i="8" l="1"/>
  <c r="AI35" i="8"/>
  <c r="AI22" i="8" s="1"/>
  <c r="AI21" i="8"/>
  <c r="AH25" i="8"/>
  <c r="AI36" i="8" l="1"/>
  <c r="AI45" i="8" s="1"/>
  <c r="AK36" i="8"/>
  <c r="E23" i="7" s="1"/>
  <c r="AI23" i="8"/>
  <c r="AI25" i="8" s="1"/>
  <c r="AK25" i="8" s="1"/>
  <c r="AI29" i="8" l="1"/>
  <c r="AI30" i="8" s="1"/>
  <c r="AK30" i="8" s="1"/>
  <c r="AK32" i="8" s="1"/>
  <c r="E13" i="7" s="1"/>
  <c r="I13" i="7" s="1"/>
  <c r="J15" i="7" s="1"/>
  <c r="K19" i="7" s="1"/>
  <c r="AI47" i="8"/>
  <c r="I23" i="7"/>
  <c r="J25" i="7" s="1"/>
  <c r="J29" i="7" s="1"/>
  <c r="K33" i="7" s="1"/>
  <c r="F25" i="7"/>
  <c r="F29" i="7" s="1"/>
  <c r="G33" i="7" s="1"/>
  <c r="K35" i="7" l="1"/>
  <c r="F15" i="7"/>
  <c r="G19" i="7" s="1"/>
  <c r="G35" i="7" s="1"/>
</calcChain>
</file>

<file path=xl/sharedStrings.xml><?xml version="1.0" encoding="utf-8"?>
<sst xmlns="http://schemas.openxmlformats.org/spreadsheetml/2006/main" count="197" uniqueCount="94">
  <si>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</si>
  <si>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</si>
  <si>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</si>
  <si>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</si>
  <si>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</si>
  <si>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</si>
  <si>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</si>
  <si>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</si>
  <si>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</si>
  <si>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</si>
  <si>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</si>
  <si>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</si>
  <si>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Beginning Month</t>
  </si>
  <si>
    <t>Ending Month</t>
  </si>
  <si>
    <t>Total Plant in Service</t>
  </si>
  <si>
    <t>Depreciation</t>
  </si>
  <si>
    <t>End of Month</t>
  </si>
  <si>
    <t>Total Accumulated Depreciation</t>
  </si>
  <si>
    <t>Total Accumlated Depreciation</t>
  </si>
  <si>
    <t>Total Depreciation</t>
  </si>
  <si>
    <t>Deferred Income Tax</t>
  </si>
  <si>
    <t>Additions - $7,000,000</t>
  </si>
  <si>
    <t>Year</t>
  </si>
  <si>
    <t>20-year</t>
  </si>
  <si>
    <t>13-Month Average</t>
  </si>
  <si>
    <t>Total Rate Base</t>
  </si>
  <si>
    <t>2022 Expense</t>
  </si>
  <si>
    <t>Rate Base</t>
  </si>
  <si>
    <t xml:space="preserve">   Total Rate Base</t>
  </si>
  <si>
    <t>2021-00183</t>
  </si>
  <si>
    <t>Line #</t>
  </si>
  <si>
    <t>Property Taxes</t>
  </si>
  <si>
    <t>Total Property Taxes</t>
  </si>
  <si>
    <t xml:space="preserve">   Monthly Expense</t>
  </si>
  <si>
    <t>Revenue Requirement</t>
  </si>
  <si>
    <t>Total Revenue Requirement Impact</t>
  </si>
  <si>
    <t>Revenue Requirement on Rate Base</t>
  </si>
  <si>
    <t>Per Rebuttal Capital Structure/Return</t>
  </si>
  <si>
    <t>Per Settlement Capital Structure/Return</t>
  </si>
  <si>
    <t>Operating Expense Adjustments</t>
  </si>
  <si>
    <t>Revenue Requirement on Operating Expense Adjustments</t>
  </si>
  <si>
    <t>Columbia Gas of Kentucky</t>
  </si>
  <si>
    <t>Impact of Line DE ILI Capital Investment on Revenue Requirement in Case No. 2021-00183</t>
  </si>
  <si>
    <t>2021 Capital Investment for Line DE ILI</t>
  </si>
  <si>
    <t>Plant in Service Curve</t>
  </si>
  <si>
    <t>Additions - $10,000,000</t>
  </si>
  <si>
    <t>GPA 37600</t>
  </si>
  <si>
    <t>Rate Case</t>
  </si>
  <si>
    <t>Test Year</t>
  </si>
  <si>
    <t xml:space="preserve">                  Total Expense Adjustments</t>
  </si>
  <si>
    <t xml:space="preserve">   Statutory Tax Rate</t>
  </si>
  <si>
    <t>Details on Deferred Income Tax Calculation</t>
  </si>
  <si>
    <t xml:space="preserve">       Deferred Tax (Line 34 * 35)</t>
  </si>
  <si>
    <t>Depreciation Expense</t>
  </si>
  <si>
    <t>Property Taxe Expense</t>
  </si>
  <si>
    <t>PSC DR Set 6 No 6</t>
  </si>
  <si>
    <t>Attachment A</t>
  </si>
  <si>
    <t>2022 Capital Investment for Line DE ILI</t>
  </si>
  <si>
    <t xml:space="preserve">   20 yr MACRS HY Tax Depreciation - Year 1</t>
  </si>
  <si>
    <t xml:space="preserve">   20 yr MACRS HY Tax Depreciation - Year 2</t>
  </si>
  <si>
    <t>MACRS Tax Depreciation Rate</t>
  </si>
  <si>
    <t xml:space="preserve">   Repairs and 263a @ 35.898%</t>
  </si>
  <si>
    <t xml:space="preserve">   Repairs and 263A @ 0%</t>
  </si>
  <si>
    <t xml:space="preserve">   Book v Tax Depreciation Difference (Ln 25 - Ln 33 - Ln 34)</t>
  </si>
  <si>
    <t>2021 Capital Investment (Page 3)</t>
  </si>
  <si>
    <t>2022 Capital Investment (Page 4)</t>
  </si>
  <si>
    <t xml:space="preserve">    2021 Capital - expensed in 2022 (Page 3)</t>
  </si>
  <si>
    <t xml:space="preserve">    2022 Capital - expensed in 2022 (Page 4)</t>
  </si>
  <si>
    <t xml:space="preserve">    2021 Capital - expensed in 2022 (Page 4)</t>
  </si>
  <si>
    <t>Return on Rate Base - Note A</t>
  </si>
  <si>
    <t>Note A</t>
  </si>
  <si>
    <t>Capital</t>
  </si>
  <si>
    <t>Component</t>
  </si>
  <si>
    <t>Weighted</t>
  </si>
  <si>
    <t>Grossed UP</t>
  </si>
  <si>
    <t>Ratio</t>
  </si>
  <si>
    <t>Average Cost</t>
  </si>
  <si>
    <t>Cost</t>
  </si>
  <si>
    <t>Short Term Debt</t>
  </si>
  <si>
    <t>Long Term Debt</t>
  </si>
  <si>
    <t>Common Equity</t>
  </si>
  <si>
    <t>Revised - Capital Structure/Return</t>
  </si>
  <si>
    <t xml:space="preserve">Costs </t>
  </si>
  <si>
    <t xml:space="preserve">   Total Capital</t>
  </si>
  <si>
    <t>Capital Structure/Return per Rebuttal Position</t>
  </si>
  <si>
    <t>Page 6 of 6</t>
  </si>
  <si>
    <t>Page 5 of 6</t>
  </si>
  <si>
    <t>Page 4 of 6</t>
  </si>
  <si>
    <t>Page 3 of 6</t>
  </si>
  <si>
    <t>Page 2 of 6</t>
  </si>
  <si>
    <t>Page 1 of 6</t>
  </si>
  <si>
    <t>Rebuttal Position Return - Page 6</t>
  </si>
  <si>
    <t>Settlement - Stipulation Attachment A</t>
  </si>
  <si>
    <t xml:space="preserve">Gross-Up Factor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</si>
</sst>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2" xfId="1" applyNumberFormat="1" applyFont="1" applyBorder="1"/>
    <xf numFmtId="10" fontId="0" fillId="0" borderId="0" xfId="2" applyNumberFormat="1" applyFont="1"/>
    <xf numFmtId="164" fontId="0" fillId="0" borderId="3" xfId="1" applyNumberFormat="1" applyFont="1" applyBorder="1"/>
    <xf numFmtId="164" fontId="0" fillId="0" borderId="0" xfId="1" applyNumberFormat="1" applyFont="1" applyFill="1" applyBorder="1"/>
    <xf numFmtId="164" fontId="0" fillId="0" borderId="0" xfId="0" applyNumberFormat="1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3" fontId="0" fillId="0" borderId="0" xfId="1" applyNumberFormat="1" applyFont="1"/>
    <xf numFmtId="43" fontId="0" fillId="0" borderId="0" xfId="0" applyNumberFormat="1"/>
    <xf numFmtId="164" fontId="0" fillId="0" borderId="1" xfId="1" applyNumberFormat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 applyBorder="1"/>
    <xf numFmtId="164" fontId="0" fillId="0" borderId="4" xfId="0" applyNumberFormat="1" applyBorder="1"/>
    <xf numFmtId="164" fontId="0" fillId="0" borderId="4" xfId="1" applyNumberFormat="1" applyFont="1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5" fontId="0" fillId="0" borderId="0" xfId="2" applyNumberFormat="1" applyFont="1"/>
    <xf numFmtId="10" fontId="0" fillId="0" borderId="3" xfId="0" applyNumberFormat="1" applyBorder="1" applyAlignment="1">
      <alignment vertical="center"/>
    </xf>
    <xf numFmtId="164" fontId="0" fillId="0" borderId="2" xfId="0" applyNumberFormat="1" applyBorder="1"/>
    <xf numFmtId="0" fontId="2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4" fontId="0" fillId="0" borderId="0" xfId="0" applyNumberFormat="1" applyBorder="1"/>
    <xf numFmtId="10" fontId="0" fillId="0" borderId="0" xfId="2" applyNumberFormat="1" applyFont="1" applyBorder="1"/>
    <xf numFmtId="164" fontId="0" fillId="0" borderId="8" xfId="1" applyNumberFormat="1" applyFont="1" applyBorder="1"/>
    <xf numFmtId="43" fontId="0" fillId="0" borderId="0" xfId="1" applyFont="1" applyBorder="1"/>
    <xf numFmtId="0" fontId="0" fillId="0" borderId="9" xfId="0" applyBorder="1"/>
    <xf numFmtId="0" fontId="0" fillId="0" borderId="2" xfId="0" applyBorder="1"/>
    <xf numFmtId="166" fontId="2" fillId="0" borderId="4" xfId="3" applyNumberFormat="1" applyFont="1" applyBorder="1"/>
    <xf numFmtId="164" fontId="0" fillId="0" borderId="9" xfId="0" applyNumberFormat="1" applyBorder="1"/>
    <xf numFmtId="0" fontId="0" fillId="0" borderId="2" xfId="0" applyBorder="1" applyAlignment="1">
      <alignment horizontal="center"/>
    </xf>
    <xf numFmtId="0" fontId="0" fillId="0" borderId="10" xfId="0" applyBorder="1"/>
    <xf numFmtId="0" fontId="0" fillId="0" borderId="9" xfId="0" applyBorder="1" applyAlignment="1">
      <alignment horizontal="left"/>
    </xf>
    <xf numFmtId="164" fontId="2" fillId="0" borderId="4" xfId="1" applyNumberFormat="1" applyFont="1" applyFill="1" applyBorder="1"/>
    <xf numFmtId="164" fontId="2" fillId="0" borderId="4" xfId="0" applyNumberFormat="1" applyFont="1" applyBorder="1"/>
    <xf numFmtId="10" fontId="0" fillId="0" borderId="2" xfId="2" applyNumberFormat="1" applyFont="1" applyBorder="1"/>
    <xf numFmtId="0" fontId="2" fillId="0" borderId="0" xfId="0" applyFont="1" applyBorder="1" applyAlignment="1">
      <alignment horizontal="center" vertical="center"/>
    </xf>
    <xf numFmtId="10" fontId="0" fillId="0" borderId="3" xfId="2" applyNumberFormat="1" applyFont="1" applyBorder="1"/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</cellXfs>
  <cellStyles count="5">
    <cellStyle name="Comma" xfId="1" builtinId="3"/>
    <cellStyle name="Currency" xfId="3" builtinId="4"/>
    <cellStyle name="Normal" xfId="0" builtinId="0"/>
    <cellStyle name="Percent" xfId="2" builtinId="5"/>
    <cellStyle name="Percent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workbookViewId="0">
      <selection activeCell="G23" sqref="G23"/>
    </sheetView>
  </sheetViews>
  <sheetFormatPr defaultRowHeight="15" x14ac:dyDescent="0.25"/>
  <cols>
    <col min="1" max="1" width="8.7109375" style="17"/>
    <col min="2" max="2" width="6.140625" customWidth="1"/>
    <col min="3" max="3" width="40.140625" customWidth="1"/>
    <col min="4" max="4" width="3.42578125" customWidth="1"/>
    <col min="5" max="5" width="14.5703125" bestFit="1" customWidth="1"/>
    <col min="6" max="6" width="16.140625" customWidth="1"/>
    <col min="7" max="7" width="13.140625" customWidth="1"/>
    <col min="8" max="8" width="3.140625" customWidth="1"/>
    <col min="9" max="9" width="17.85546875" customWidth="1"/>
    <col min="10" max="10" width="15" customWidth="1"/>
    <col min="11" max="11" width="14.5703125" bestFit="1" customWidth="1"/>
  </cols>
  <sheetData>
    <row r="1" spans="1:11" x14ac:dyDescent="0.25">
      <c r="K1" s="22" t="s">
        <v>29</v>
      </c>
    </row>
    <row r="2" spans="1:11" x14ac:dyDescent="0.25">
      <c r="K2" s="22" t="s">
        <v>55</v>
      </c>
    </row>
    <row r="3" spans="1:11" x14ac:dyDescent="0.25">
      <c r="K3" s="22" t="s">
        <v>56</v>
      </c>
    </row>
    <row r="4" spans="1:11" x14ac:dyDescent="0.25">
      <c r="K4" s="22" t="s">
        <v>90</v>
      </c>
    </row>
    <row r="5" spans="1:11" x14ac:dyDescent="0.25">
      <c r="F5" s="23" t="s">
        <v>41</v>
      </c>
      <c r="K5" s="22"/>
    </row>
    <row r="6" spans="1:11" x14ac:dyDescent="0.25">
      <c r="F6" s="23" t="s">
        <v>42</v>
      </c>
      <c r="K6" s="22"/>
    </row>
    <row r="9" spans="1:11" x14ac:dyDescent="0.25">
      <c r="E9" s="28"/>
      <c r="F9" s="29" t="s">
        <v>34</v>
      </c>
      <c r="G9" s="30"/>
      <c r="I9" s="28"/>
      <c r="J9" s="29" t="s">
        <v>34</v>
      </c>
      <c r="K9" s="30"/>
    </row>
    <row r="10" spans="1:11" x14ac:dyDescent="0.25">
      <c r="A10" s="17" t="s">
        <v>30</v>
      </c>
      <c r="E10" s="40"/>
      <c r="F10" s="44" t="s">
        <v>37</v>
      </c>
      <c r="G10" s="45"/>
      <c r="I10" s="46"/>
      <c r="J10" s="44" t="s">
        <v>38</v>
      </c>
      <c r="K10" s="45"/>
    </row>
    <row r="11" spans="1:11" x14ac:dyDescent="0.25">
      <c r="E11" s="31"/>
      <c r="F11" s="33"/>
      <c r="G11" s="32"/>
      <c r="I11" s="31"/>
      <c r="J11" s="33"/>
      <c r="K11" s="32"/>
    </row>
    <row r="12" spans="1:11" x14ac:dyDescent="0.25">
      <c r="A12" s="17">
        <v>1</v>
      </c>
      <c r="B12" t="s">
        <v>27</v>
      </c>
      <c r="E12" s="31"/>
      <c r="F12" s="33"/>
      <c r="G12" s="32"/>
      <c r="I12" s="31"/>
      <c r="J12" s="33"/>
      <c r="K12" s="32"/>
    </row>
    <row r="13" spans="1:11" x14ac:dyDescent="0.25">
      <c r="A13" s="17">
        <f>+A12+1</f>
        <v>2</v>
      </c>
      <c r="C13" t="s">
        <v>64</v>
      </c>
      <c r="E13" s="34">
        <f>+'2021 Cap Investment '!AK32</f>
        <v>8875912</v>
      </c>
      <c r="F13" s="33"/>
      <c r="G13" s="32"/>
      <c r="I13" s="34">
        <f>+E13</f>
        <v>8875912</v>
      </c>
      <c r="J13" s="33"/>
      <c r="K13" s="32"/>
    </row>
    <row r="14" spans="1:11" x14ac:dyDescent="0.25">
      <c r="A14" s="17">
        <f t="shared" ref="A14:A35" si="0">+A13+1</f>
        <v>3</v>
      </c>
      <c r="C14" t="s">
        <v>65</v>
      </c>
      <c r="E14" s="35">
        <f>+'2022 Cap Investment'!R32</f>
        <v>2294993</v>
      </c>
      <c r="F14" s="33"/>
      <c r="G14" s="32"/>
      <c r="I14" s="35">
        <f>+E14</f>
        <v>2294993</v>
      </c>
      <c r="J14" s="33"/>
      <c r="K14" s="32"/>
    </row>
    <row r="15" spans="1:11" x14ac:dyDescent="0.25">
      <c r="A15" s="17">
        <f t="shared" si="0"/>
        <v>4</v>
      </c>
      <c r="C15" t="s">
        <v>28</v>
      </c>
      <c r="E15" s="31"/>
      <c r="F15" s="36">
        <f>SUM(E13:E14)</f>
        <v>11170905</v>
      </c>
      <c r="G15" s="32"/>
      <c r="I15" s="31"/>
      <c r="J15" s="36">
        <f>SUM(I13:I14)</f>
        <v>11170905</v>
      </c>
      <c r="K15" s="32"/>
    </row>
    <row r="16" spans="1:11" x14ac:dyDescent="0.25">
      <c r="A16" s="17">
        <f t="shared" si="0"/>
        <v>5</v>
      </c>
      <c r="E16" s="31"/>
      <c r="F16" s="33"/>
      <c r="G16" s="32"/>
      <c r="I16" s="31"/>
      <c r="J16" s="33"/>
      <c r="K16" s="32"/>
    </row>
    <row r="17" spans="1:11" x14ac:dyDescent="0.25">
      <c r="A17" s="17">
        <f t="shared" si="0"/>
        <v>6</v>
      </c>
      <c r="C17" t="s">
        <v>69</v>
      </c>
      <c r="E17" s="31"/>
      <c r="F17" s="37">
        <v>9.2499999999999999E-2</v>
      </c>
      <c r="G17" s="32"/>
      <c r="I17" s="31"/>
      <c r="J17" s="37">
        <v>8.5800000000000001E-2</v>
      </c>
      <c r="K17" s="32"/>
    </row>
    <row r="18" spans="1:11" x14ac:dyDescent="0.25">
      <c r="A18" s="17">
        <f t="shared" si="0"/>
        <v>7</v>
      </c>
      <c r="E18" s="31"/>
      <c r="F18" s="33"/>
      <c r="G18" s="32"/>
      <c r="I18" s="31"/>
      <c r="J18" s="33"/>
      <c r="K18" s="32"/>
    </row>
    <row r="19" spans="1:11" x14ac:dyDescent="0.25">
      <c r="A19" s="17">
        <f t="shared" si="0"/>
        <v>8</v>
      </c>
      <c r="B19" t="s">
        <v>36</v>
      </c>
      <c r="E19" s="31"/>
      <c r="F19" s="33"/>
      <c r="G19" s="38">
        <f>ROUND(+F15*F17,0)</f>
        <v>1033309</v>
      </c>
      <c r="H19" s="1"/>
      <c r="I19" s="31"/>
      <c r="J19" s="18"/>
      <c r="K19" s="38">
        <f>+J15*J17</f>
        <v>958463.64899999998</v>
      </c>
    </row>
    <row r="20" spans="1:11" x14ac:dyDescent="0.25">
      <c r="A20" s="17">
        <f t="shared" si="0"/>
        <v>9</v>
      </c>
      <c r="E20" s="31"/>
      <c r="F20" s="33"/>
      <c r="G20" s="38"/>
      <c r="H20" s="1"/>
      <c r="I20" s="31"/>
      <c r="J20" s="18"/>
      <c r="K20" s="38"/>
    </row>
    <row r="21" spans="1:11" x14ac:dyDescent="0.25">
      <c r="A21" s="17">
        <f t="shared" si="0"/>
        <v>10</v>
      </c>
      <c r="B21" t="s">
        <v>39</v>
      </c>
      <c r="E21" s="31"/>
      <c r="F21" s="39"/>
      <c r="G21" s="32"/>
      <c r="I21" s="31"/>
      <c r="J21" s="39"/>
      <c r="K21" s="32"/>
    </row>
    <row r="22" spans="1:11" x14ac:dyDescent="0.25">
      <c r="A22" s="17">
        <f t="shared" si="0"/>
        <v>11</v>
      </c>
      <c r="C22" t="s">
        <v>15</v>
      </c>
      <c r="E22" s="31"/>
      <c r="F22" s="39"/>
      <c r="G22" s="32"/>
      <c r="I22" s="31"/>
      <c r="J22" s="39"/>
      <c r="K22" s="32"/>
    </row>
    <row r="23" spans="1:11" x14ac:dyDescent="0.25">
      <c r="A23" s="17">
        <f t="shared" si="0"/>
        <v>12</v>
      </c>
      <c r="C23" t="s">
        <v>66</v>
      </c>
      <c r="E23" s="34">
        <f>+'2021 Cap Investment '!AK36</f>
        <v>174000</v>
      </c>
      <c r="F23" s="39"/>
      <c r="G23" s="32"/>
      <c r="I23" s="34">
        <f>+E23</f>
        <v>174000</v>
      </c>
      <c r="J23" s="39"/>
      <c r="K23" s="32"/>
    </row>
    <row r="24" spans="1:11" x14ac:dyDescent="0.25">
      <c r="A24" s="17">
        <f t="shared" si="0"/>
        <v>13</v>
      </c>
      <c r="C24" t="s">
        <v>67</v>
      </c>
      <c r="E24" s="35">
        <f>+'2022 Cap Investment'!R36</f>
        <v>44690</v>
      </c>
      <c r="F24" s="39"/>
      <c r="G24" s="32"/>
      <c r="I24" s="35">
        <f>+E24</f>
        <v>44690</v>
      </c>
      <c r="J24" s="39"/>
      <c r="K24" s="32"/>
    </row>
    <row r="25" spans="1:11" x14ac:dyDescent="0.25">
      <c r="A25" s="17">
        <f t="shared" si="0"/>
        <v>14</v>
      </c>
      <c r="C25" t="s">
        <v>19</v>
      </c>
      <c r="E25" s="31"/>
      <c r="F25" s="18">
        <f>SUM(E23:E24)</f>
        <v>218690</v>
      </c>
      <c r="G25" s="32"/>
      <c r="I25" s="31"/>
      <c r="J25" s="18">
        <f>SUM(I23:I24)</f>
        <v>218690</v>
      </c>
      <c r="K25" s="32"/>
    </row>
    <row r="26" spans="1:11" x14ac:dyDescent="0.25">
      <c r="A26" s="17">
        <f t="shared" si="0"/>
        <v>15</v>
      </c>
      <c r="C26" t="s">
        <v>31</v>
      </c>
      <c r="E26" s="31"/>
      <c r="F26" s="18"/>
      <c r="G26" s="32"/>
      <c r="I26" s="31"/>
      <c r="J26" s="18"/>
      <c r="K26" s="32"/>
    </row>
    <row r="27" spans="1:11" x14ac:dyDescent="0.25">
      <c r="A27" s="17">
        <f t="shared" si="0"/>
        <v>16</v>
      </c>
      <c r="C27" t="s">
        <v>68</v>
      </c>
      <c r="E27" s="35">
        <f>+'2021 Cap Investment '!AK40</f>
        <v>141804</v>
      </c>
      <c r="F27" s="36"/>
      <c r="G27" s="32"/>
      <c r="I27" s="43">
        <f>+E27</f>
        <v>141804</v>
      </c>
      <c r="J27" s="36"/>
      <c r="K27" s="32"/>
    </row>
    <row r="28" spans="1:11" x14ac:dyDescent="0.25">
      <c r="A28" s="17">
        <f t="shared" si="0"/>
        <v>17</v>
      </c>
      <c r="C28" t="s">
        <v>32</v>
      </c>
      <c r="E28" s="31"/>
      <c r="F28" s="26">
        <f>+E27</f>
        <v>141804</v>
      </c>
      <c r="G28" s="32"/>
      <c r="I28" s="31"/>
      <c r="J28" s="26">
        <f>+I27</f>
        <v>141804</v>
      </c>
      <c r="K28" s="32"/>
    </row>
    <row r="29" spans="1:11" x14ac:dyDescent="0.25">
      <c r="A29" s="17">
        <f t="shared" si="0"/>
        <v>18</v>
      </c>
      <c r="C29" t="s">
        <v>49</v>
      </c>
      <c r="E29" s="31"/>
      <c r="F29" s="36">
        <f>+F25+F28</f>
        <v>360494</v>
      </c>
      <c r="G29" s="32"/>
      <c r="I29" s="31"/>
      <c r="J29" s="36">
        <f>+J25+J28</f>
        <v>360494</v>
      </c>
      <c r="K29" s="32"/>
    </row>
    <row r="30" spans="1:11" x14ac:dyDescent="0.25">
      <c r="A30" s="17">
        <f t="shared" si="0"/>
        <v>19</v>
      </c>
      <c r="E30" s="31"/>
      <c r="F30" s="33"/>
      <c r="G30" s="32"/>
      <c r="I30" s="31"/>
      <c r="J30" s="33"/>
      <c r="K30" s="32"/>
    </row>
    <row r="31" spans="1:11" x14ac:dyDescent="0.25">
      <c r="A31" s="17">
        <f t="shared" si="0"/>
        <v>20</v>
      </c>
      <c r="C31" t="s">
        <v>93</v>
      </c>
      <c r="E31" s="31"/>
      <c r="F31" s="33">
        <v>1.0063200000000001</v>
      </c>
      <c r="G31" s="32"/>
      <c r="I31" s="31"/>
      <c r="J31" s="33">
        <v>1.0063200000000001</v>
      </c>
      <c r="K31" s="32"/>
    </row>
    <row r="32" spans="1:11" x14ac:dyDescent="0.25">
      <c r="A32" s="17">
        <f t="shared" si="0"/>
        <v>21</v>
      </c>
      <c r="E32" s="31"/>
      <c r="F32" s="33"/>
      <c r="G32" s="32"/>
      <c r="I32" s="31"/>
      <c r="J32" s="33"/>
      <c r="K32" s="32"/>
    </row>
    <row r="33" spans="1:11" x14ac:dyDescent="0.25">
      <c r="A33" s="17">
        <f t="shared" si="0"/>
        <v>22</v>
      </c>
      <c r="B33" t="s">
        <v>40</v>
      </c>
      <c r="E33" s="31"/>
      <c r="F33" s="33"/>
      <c r="G33" s="38">
        <f>+F29*F31</f>
        <v>362772.32208000001</v>
      </c>
      <c r="H33" s="1"/>
      <c r="I33" s="31"/>
      <c r="J33" s="33"/>
      <c r="K33" s="38">
        <f>+J29*J31</f>
        <v>362772.32208000001</v>
      </c>
    </row>
    <row r="34" spans="1:11" x14ac:dyDescent="0.25">
      <c r="A34" s="17">
        <f t="shared" si="0"/>
        <v>23</v>
      </c>
      <c r="E34" s="31"/>
      <c r="F34" s="33"/>
      <c r="G34" s="32"/>
      <c r="I34" s="31"/>
      <c r="J34" s="33"/>
      <c r="K34" s="32"/>
    </row>
    <row r="35" spans="1:11" x14ac:dyDescent="0.25">
      <c r="A35" s="17">
        <f t="shared" si="0"/>
        <v>24</v>
      </c>
      <c r="B35" s="21" t="s">
        <v>35</v>
      </c>
      <c r="E35" s="40"/>
      <c r="F35" s="41"/>
      <c r="G35" s="42">
        <f>+G19+G33</f>
        <v>1396081.3220800001</v>
      </c>
      <c r="H35" s="7"/>
      <c r="I35" s="40"/>
      <c r="J35" s="41"/>
      <c r="K35" s="42">
        <f>+K19+K33</f>
        <v>1321235.97108</v>
      </c>
    </row>
    <row r="37" spans="1:11" x14ac:dyDescent="0.25">
      <c r="A37" s="17" t="s">
        <v>70</v>
      </c>
    </row>
    <row r="38" spans="1:11" x14ac:dyDescent="0.25">
      <c r="B38" t="s">
        <v>91</v>
      </c>
    </row>
    <row r="39" spans="1:11" x14ac:dyDescent="0.25">
      <c r="B39" t="s">
        <v>92</v>
      </c>
    </row>
  </sheetData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174"/>
  <sheetViews>
    <sheetView topLeftCell="P3" workbookViewId="0">
      <selection activeCell="W35" sqref="W35"/>
    </sheetView>
  </sheetViews>
  <sheetFormatPr defaultRowHeight="15" x14ac:dyDescent="0.25"/>
  <cols>
    <col min="1" max="1" width="8.7109375" style="23"/>
    <col min="2" max="2" width="10.85546875" customWidth="1"/>
    <col min="3" max="3" width="29.42578125" customWidth="1"/>
    <col min="4" max="4" width="8.85546875" bestFit="1" customWidth="1"/>
    <col min="5" max="5" width="10.140625" bestFit="1" customWidth="1"/>
    <col min="6" max="7" width="10" bestFit="1" customWidth="1"/>
    <col min="8" max="8" width="11.28515625" customWidth="1"/>
    <col min="9" max="14" width="10" bestFit="1" customWidth="1"/>
    <col min="15" max="15" width="12.5703125" bestFit="1" customWidth="1"/>
    <col min="16" max="16" width="11" bestFit="1" customWidth="1"/>
    <col min="17" max="17" width="11" customWidth="1"/>
    <col min="18" max="18" width="20.85546875" customWidth="1"/>
    <col min="19" max="19" width="11" customWidth="1"/>
    <col min="20" max="20" width="8.7109375" style="23"/>
    <col min="21" max="21" width="10.85546875" customWidth="1"/>
    <col min="22" max="22" width="29.85546875" customWidth="1"/>
    <col min="23" max="23" width="8.28515625" bestFit="1" customWidth="1"/>
    <col min="24" max="34" width="11" customWidth="1"/>
    <col min="35" max="35" width="11" bestFit="1" customWidth="1"/>
    <col min="36" max="36" width="4.42578125" customWidth="1"/>
    <col min="37" max="37" width="16.42578125" bestFit="1" customWidth="1"/>
  </cols>
  <sheetData>
    <row r="1" spans="1:37" x14ac:dyDescent="0.25">
      <c r="P1" s="22" t="s">
        <v>29</v>
      </c>
      <c r="Q1" s="22"/>
      <c r="R1" s="22"/>
      <c r="AK1" s="22" t="s">
        <v>29</v>
      </c>
    </row>
    <row r="2" spans="1:37" x14ac:dyDescent="0.25">
      <c r="P2" s="22" t="s">
        <v>55</v>
      </c>
      <c r="Q2" s="22"/>
      <c r="R2" s="22"/>
      <c r="AK2" s="22" t="s">
        <v>55</v>
      </c>
    </row>
    <row r="3" spans="1:37" x14ac:dyDescent="0.25">
      <c r="P3" s="22" t="s">
        <v>56</v>
      </c>
      <c r="Q3" s="22"/>
      <c r="R3" s="22"/>
      <c r="AK3" s="22" t="s">
        <v>56</v>
      </c>
    </row>
    <row r="4" spans="1:37" x14ac:dyDescent="0.25">
      <c r="P4" s="22" t="s">
        <v>89</v>
      </c>
      <c r="Q4" s="22"/>
      <c r="R4" s="22"/>
      <c r="AK4" s="22" t="s">
        <v>88</v>
      </c>
    </row>
    <row r="5" spans="1:37" x14ac:dyDescent="0.25">
      <c r="I5" s="23" t="s">
        <v>41</v>
      </c>
      <c r="AC5" s="23" t="s">
        <v>41</v>
      </c>
    </row>
    <row r="6" spans="1:37" x14ac:dyDescent="0.25">
      <c r="I6" s="23" t="s">
        <v>43</v>
      </c>
      <c r="AC6" s="23" t="s">
        <v>43</v>
      </c>
    </row>
    <row r="8" spans="1:37" x14ac:dyDescent="0.25">
      <c r="H8" s="21"/>
      <c r="AK8" s="17" t="s">
        <v>47</v>
      </c>
    </row>
    <row r="9" spans="1:37" x14ac:dyDescent="0.25">
      <c r="D9" s="17">
        <v>2020</v>
      </c>
      <c r="E9" s="17">
        <v>2021</v>
      </c>
      <c r="F9" s="17">
        <f>+E9</f>
        <v>2021</v>
      </c>
      <c r="G9" s="17">
        <f t="shared" ref="G9:P9" si="0">+F9</f>
        <v>2021</v>
      </c>
      <c r="H9" s="17">
        <f t="shared" si="0"/>
        <v>2021</v>
      </c>
      <c r="I9" s="17">
        <f t="shared" si="0"/>
        <v>2021</v>
      </c>
      <c r="J9" s="17">
        <f t="shared" si="0"/>
        <v>2021</v>
      </c>
      <c r="K9" s="17">
        <f t="shared" si="0"/>
        <v>2021</v>
      </c>
      <c r="L9" s="17">
        <f t="shared" si="0"/>
        <v>2021</v>
      </c>
      <c r="M9" s="17">
        <f t="shared" si="0"/>
        <v>2021</v>
      </c>
      <c r="N9" s="17">
        <f t="shared" si="0"/>
        <v>2021</v>
      </c>
      <c r="O9" s="17">
        <f t="shared" si="0"/>
        <v>2021</v>
      </c>
      <c r="P9" s="17">
        <f t="shared" si="0"/>
        <v>2021</v>
      </c>
      <c r="X9" s="17">
        <v>2022</v>
      </c>
      <c r="Y9" s="17">
        <f>+X9</f>
        <v>2022</v>
      </c>
      <c r="Z9" s="17">
        <f>+Y9</f>
        <v>2022</v>
      </c>
      <c r="AA9" s="17">
        <f t="shared" ref="AA9:AI9" si="1">+Z9</f>
        <v>2022</v>
      </c>
      <c r="AB9" s="17">
        <f t="shared" si="1"/>
        <v>2022</v>
      </c>
      <c r="AC9" s="17">
        <f t="shared" si="1"/>
        <v>2022</v>
      </c>
      <c r="AD9" s="17">
        <f t="shared" si="1"/>
        <v>2022</v>
      </c>
      <c r="AE9" s="17">
        <f t="shared" si="1"/>
        <v>2022</v>
      </c>
      <c r="AF9" s="17">
        <f t="shared" si="1"/>
        <v>2022</v>
      </c>
      <c r="AG9" s="17">
        <f t="shared" si="1"/>
        <v>2022</v>
      </c>
      <c r="AH9" s="17">
        <f t="shared" si="1"/>
        <v>2022</v>
      </c>
      <c r="AI9" s="17">
        <f t="shared" si="1"/>
        <v>2022</v>
      </c>
      <c r="AK9" s="17" t="s">
        <v>48</v>
      </c>
    </row>
    <row r="10" spans="1:37" x14ac:dyDescent="0.25">
      <c r="A10" s="23" t="s">
        <v>30</v>
      </c>
      <c r="D10" s="17" t="s">
        <v>0</v>
      </c>
      <c r="E10" s="17" t="s">
        <v>1</v>
      </c>
      <c r="F10" s="17" t="s">
        <v>2</v>
      </c>
      <c r="G10" s="17" t="s">
        <v>3</v>
      </c>
      <c r="H10" s="17" t="s">
        <v>4</v>
      </c>
      <c r="I10" s="17" t="s">
        <v>5</v>
      </c>
      <c r="J10" s="17" t="s">
        <v>6</v>
      </c>
      <c r="K10" s="17" t="s">
        <v>7</v>
      </c>
      <c r="L10" s="17" t="s">
        <v>8</v>
      </c>
      <c r="M10" s="17" t="s">
        <v>9</v>
      </c>
      <c r="N10" s="17" t="s">
        <v>10</v>
      </c>
      <c r="O10" s="17" t="s">
        <v>11</v>
      </c>
      <c r="P10" s="17" t="s">
        <v>0</v>
      </c>
      <c r="T10" s="23" t="s">
        <v>30</v>
      </c>
      <c r="X10" s="17" t="str">
        <f t="shared" ref="X10:AF10" si="2">+E10</f>
        <v>January</v>
      </c>
      <c r="Y10" s="17" t="str">
        <f t="shared" si="2"/>
        <v>February</v>
      </c>
      <c r="Z10" s="17" t="str">
        <f t="shared" si="2"/>
        <v>March</v>
      </c>
      <c r="AA10" s="17" t="str">
        <f t="shared" si="2"/>
        <v>April</v>
      </c>
      <c r="AB10" s="17" t="str">
        <f t="shared" si="2"/>
        <v>May</v>
      </c>
      <c r="AC10" s="17" t="str">
        <f t="shared" si="2"/>
        <v>June</v>
      </c>
      <c r="AD10" s="17" t="str">
        <f t="shared" si="2"/>
        <v>July</v>
      </c>
      <c r="AE10" s="17" t="str">
        <f t="shared" si="2"/>
        <v>August</v>
      </c>
      <c r="AF10" s="17" t="str">
        <f t="shared" si="2"/>
        <v>September</v>
      </c>
      <c r="AG10" s="17" t="str">
        <f t="shared" ref="AG10" si="3">+N10</f>
        <v>October</v>
      </c>
      <c r="AH10" s="17" t="str">
        <f t="shared" ref="AH10" si="4">+O10</f>
        <v>November</v>
      </c>
      <c r="AI10" s="17" t="str">
        <f t="shared" ref="AI10" si="5">+P10</f>
        <v>December</v>
      </c>
      <c r="AK10" t="s">
        <v>24</v>
      </c>
    </row>
    <row r="11" spans="1:37" x14ac:dyDescent="0.25">
      <c r="A11" s="23">
        <v>1</v>
      </c>
      <c r="B11" t="s">
        <v>44</v>
      </c>
      <c r="E11" s="4">
        <v>2.6442217425432919E-2</v>
      </c>
      <c r="F11" s="4">
        <v>6.4473661778878213E-2</v>
      </c>
      <c r="G11" s="4">
        <v>6.8931470832011441E-2</v>
      </c>
      <c r="H11" s="4">
        <v>5.3983263705002969E-2</v>
      </c>
      <c r="I11" s="4">
        <v>4.867181133262001E-2</v>
      </c>
      <c r="J11" s="4">
        <v>5.4857648642549731E-2</v>
      </c>
      <c r="K11" s="4">
        <v>6.1784882899805001E-2</v>
      </c>
      <c r="L11" s="4">
        <v>9.0004543312225987E-2</v>
      </c>
      <c r="M11" s="4">
        <v>6.6346361338005408E-2</v>
      </c>
      <c r="N11" s="4">
        <v>0.10630150648036059</v>
      </c>
      <c r="O11" s="4">
        <v>0.16460495165441408</v>
      </c>
      <c r="P11" s="4">
        <v>0.19359768059869364</v>
      </c>
      <c r="Q11" s="4"/>
      <c r="R11" s="4"/>
      <c r="S11" s="4"/>
      <c r="T11" s="23">
        <v>1</v>
      </c>
      <c r="U11" t="s">
        <v>44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7" x14ac:dyDescent="0.25">
      <c r="A12" s="23">
        <f>+A11+1</f>
        <v>2</v>
      </c>
      <c r="T12" s="23">
        <f>+T11+1</f>
        <v>2</v>
      </c>
    </row>
    <row r="13" spans="1:37" x14ac:dyDescent="0.25">
      <c r="A13" s="23">
        <f t="shared" ref="A13:A48" si="6">+A12+1</f>
        <v>3</v>
      </c>
      <c r="B13" t="s">
        <v>46</v>
      </c>
      <c r="C13" t="s">
        <v>12</v>
      </c>
      <c r="D13" s="1">
        <v>0</v>
      </c>
      <c r="E13" s="1">
        <f>+D15</f>
        <v>0</v>
      </c>
      <c r="F13" s="1">
        <f t="shared" ref="F13:P13" si="7">+E15</f>
        <v>264422</v>
      </c>
      <c r="G13" s="1">
        <f t="shared" si="7"/>
        <v>909159</v>
      </c>
      <c r="H13" s="1">
        <f t="shared" si="7"/>
        <v>1598474</v>
      </c>
      <c r="I13" s="1">
        <f t="shared" si="7"/>
        <v>2138307</v>
      </c>
      <c r="J13" s="1">
        <f t="shared" si="7"/>
        <v>2625025</v>
      </c>
      <c r="K13" s="1">
        <f t="shared" si="7"/>
        <v>3173601</v>
      </c>
      <c r="L13" s="1">
        <f t="shared" si="7"/>
        <v>3791450</v>
      </c>
      <c r="M13" s="1">
        <f t="shared" si="7"/>
        <v>4691495</v>
      </c>
      <c r="N13" s="1">
        <f t="shared" si="7"/>
        <v>5354959</v>
      </c>
      <c r="O13" s="1">
        <f t="shared" si="7"/>
        <v>6417974</v>
      </c>
      <c r="P13" s="1">
        <f t="shared" si="7"/>
        <v>8064024</v>
      </c>
      <c r="Q13" s="1"/>
      <c r="R13" s="1"/>
      <c r="S13" s="1"/>
      <c r="T13" s="23">
        <f t="shared" ref="T13:T48" si="8">+T12+1</f>
        <v>3</v>
      </c>
      <c r="U13" t="s">
        <v>46</v>
      </c>
      <c r="V13" t="s">
        <v>12</v>
      </c>
      <c r="W13" s="1"/>
      <c r="X13" s="1">
        <f>+P15</f>
        <v>10000000</v>
      </c>
      <c r="Y13" s="1">
        <f>+X15</f>
        <v>10000000</v>
      </c>
      <c r="Z13" s="1">
        <f t="shared" ref="Z13:AI13" si="9">+Y15</f>
        <v>10000000</v>
      </c>
      <c r="AA13" s="1">
        <f t="shared" si="9"/>
        <v>10000000</v>
      </c>
      <c r="AB13" s="1">
        <f t="shared" si="9"/>
        <v>10000000</v>
      </c>
      <c r="AC13" s="1">
        <f t="shared" si="9"/>
        <v>10000000</v>
      </c>
      <c r="AD13" s="1">
        <f t="shared" si="9"/>
        <v>10000000</v>
      </c>
      <c r="AE13" s="1">
        <f t="shared" si="9"/>
        <v>10000000</v>
      </c>
      <c r="AF13" s="1">
        <f t="shared" si="9"/>
        <v>10000000</v>
      </c>
      <c r="AG13" s="1">
        <f t="shared" si="9"/>
        <v>10000000</v>
      </c>
      <c r="AH13" s="1">
        <f t="shared" si="9"/>
        <v>10000000</v>
      </c>
      <c r="AI13" s="1">
        <f t="shared" si="9"/>
        <v>10000000</v>
      </c>
    </row>
    <row r="14" spans="1:37" x14ac:dyDescent="0.25">
      <c r="A14" s="23">
        <f t="shared" si="6"/>
        <v>4</v>
      </c>
      <c r="C14" t="s">
        <v>45</v>
      </c>
      <c r="D14" s="1">
        <v>0</v>
      </c>
      <c r="E14" s="1">
        <f>ROUND(E11*10000000,0)</f>
        <v>264422</v>
      </c>
      <c r="F14" s="1">
        <f t="shared" ref="F14:O14" si="10">ROUND(F11*10000000,0)</f>
        <v>644737</v>
      </c>
      <c r="G14" s="1">
        <f t="shared" si="10"/>
        <v>689315</v>
      </c>
      <c r="H14" s="1">
        <f t="shared" si="10"/>
        <v>539833</v>
      </c>
      <c r="I14" s="1">
        <f t="shared" si="10"/>
        <v>486718</v>
      </c>
      <c r="J14" s="1">
        <f t="shared" si="10"/>
        <v>548576</v>
      </c>
      <c r="K14" s="1">
        <f t="shared" si="10"/>
        <v>617849</v>
      </c>
      <c r="L14" s="1">
        <f t="shared" si="10"/>
        <v>900045</v>
      </c>
      <c r="M14" s="1">
        <f t="shared" si="10"/>
        <v>663464</v>
      </c>
      <c r="N14" s="1">
        <f t="shared" si="10"/>
        <v>1063015</v>
      </c>
      <c r="O14" s="1">
        <f t="shared" si="10"/>
        <v>1646050</v>
      </c>
      <c r="P14" s="1">
        <f>ROUND(P11*10000000,0)-1</f>
        <v>1935976</v>
      </c>
      <c r="Q14" s="1"/>
      <c r="R14" s="1"/>
      <c r="S14" s="1"/>
      <c r="T14" s="23">
        <f t="shared" si="8"/>
        <v>4</v>
      </c>
      <c r="V14" t="s">
        <v>45</v>
      </c>
      <c r="W14" s="1"/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</row>
    <row r="15" spans="1:37" x14ac:dyDescent="0.25">
      <c r="A15" s="23">
        <f t="shared" si="6"/>
        <v>5</v>
      </c>
      <c r="C15" t="s">
        <v>13</v>
      </c>
      <c r="D15" s="2">
        <f t="shared" ref="D15:O15" si="11">SUM(D13:D14)</f>
        <v>0</v>
      </c>
      <c r="E15" s="2">
        <f t="shared" si="11"/>
        <v>264422</v>
      </c>
      <c r="F15" s="2">
        <f t="shared" si="11"/>
        <v>909159</v>
      </c>
      <c r="G15" s="2">
        <f t="shared" si="11"/>
        <v>1598474</v>
      </c>
      <c r="H15" s="2">
        <f t="shared" si="11"/>
        <v>2138307</v>
      </c>
      <c r="I15" s="2">
        <f t="shared" si="11"/>
        <v>2625025</v>
      </c>
      <c r="J15" s="2">
        <f t="shared" si="11"/>
        <v>3173601</v>
      </c>
      <c r="K15" s="2">
        <f t="shared" si="11"/>
        <v>3791450</v>
      </c>
      <c r="L15" s="2">
        <f t="shared" si="11"/>
        <v>4691495</v>
      </c>
      <c r="M15" s="2">
        <f t="shared" si="11"/>
        <v>5354959</v>
      </c>
      <c r="N15" s="2">
        <f t="shared" si="11"/>
        <v>6417974</v>
      </c>
      <c r="O15" s="2">
        <f t="shared" si="11"/>
        <v>8064024</v>
      </c>
      <c r="P15" s="2">
        <f>SUM(P13:P14)</f>
        <v>10000000</v>
      </c>
      <c r="Q15" s="18"/>
      <c r="R15" s="18"/>
      <c r="S15" s="18"/>
      <c r="T15" s="23">
        <f t="shared" si="8"/>
        <v>5</v>
      </c>
      <c r="V15" t="s">
        <v>13</v>
      </c>
      <c r="W15" s="18"/>
      <c r="X15" s="2">
        <f>SUM(X13:X14)</f>
        <v>10000000</v>
      </c>
      <c r="Y15" s="2">
        <f t="shared" ref="Y15:AI15" si="12">SUM(Y13:Y14)</f>
        <v>10000000</v>
      </c>
      <c r="Z15" s="2">
        <f t="shared" si="12"/>
        <v>10000000</v>
      </c>
      <c r="AA15" s="2">
        <f t="shared" si="12"/>
        <v>10000000</v>
      </c>
      <c r="AB15" s="2">
        <f t="shared" si="12"/>
        <v>10000000</v>
      </c>
      <c r="AC15" s="2">
        <f t="shared" si="12"/>
        <v>10000000</v>
      </c>
      <c r="AD15" s="2">
        <f t="shared" si="12"/>
        <v>10000000</v>
      </c>
      <c r="AE15" s="2">
        <f t="shared" si="12"/>
        <v>10000000</v>
      </c>
      <c r="AF15" s="2">
        <f t="shared" si="12"/>
        <v>10000000</v>
      </c>
      <c r="AG15" s="2">
        <f t="shared" si="12"/>
        <v>10000000</v>
      </c>
      <c r="AH15" s="2">
        <f t="shared" si="12"/>
        <v>10000000</v>
      </c>
      <c r="AI15" s="2">
        <f t="shared" si="12"/>
        <v>10000000</v>
      </c>
    </row>
    <row r="16" spans="1:37" x14ac:dyDescent="0.25">
      <c r="A16" s="23">
        <f t="shared" si="6"/>
        <v>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3">
        <f t="shared" si="8"/>
        <v>6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7" x14ac:dyDescent="0.25">
      <c r="A17" s="23">
        <f t="shared" si="6"/>
        <v>7</v>
      </c>
      <c r="B17" t="s">
        <v>14</v>
      </c>
      <c r="D17" s="2">
        <f>+D15</f>
        <v>0</v>
      </c>
      <c r="E17" s="2">
        <f t="shared" ref="E17:X17" si="13">+E15</f>
        <v>264422</v>
      </c>
      <c r="F17" s="2">
        <f t="shared" si="13"/>
        <v>909159</v>
      </c>
      <c r="G17" s="2">
        <f t="shared" si="13"/>
        <v>1598474</v>
      </c>
      <c r="H17" s="2">
        <f t="shared" si="13"/>
        <v>2138307</v>
      </c>
      <c r="I17" s="2">
        <f t="shared" si="13"/>
        <v>2625025</v>
      </c>
      <c r="J17" s="2">
        <f t="shared" si="13"/>
        <v>3173601</v>
      </c>
      <c r="K17" s="2">
        <f t="shared" si="13"/>
        <v>3791450</v>
      </c>
      <c r="L17" s="2">
        <f t="shared" si="13"/>
        <v>4691495</v>
      </c>
      <c r="M17" s="2">
        <f t="shared" si="13"/>
        <v>5354959</v>
      </c>
      <c r="N17" s="2">
        <f t="shared" si="13"/>
        <v>6417974</v>
      </c>
      <c r="O17" s="2">
        <f t="shared" si="13"/>
        <v>8064024</v>
      </c>
      <c r="P17" s="2">
        <f t="shared" si="13"/>
        <v>10000000</v>
      </c>
      <c r="Q17" s="18"/>
      <c r="R17" s="18"/>
      <c r="S17" s="18"/>
      <c r="T17" s="23">
        <f t="shared" si="8"/>
        <v>7</v>
      </c>
      <c r="U17" t="s">
        <v>14</v>
      </c>
      <c r="W17" s="18"/>
      <c r="X17" s="2">
        <f t="shared" si="13"/>
        <v>10000000</v>
      </c>
      <c r="Y17" s="2">
        <f t="shared" ref="Y17:AI17" si="14">+Y15</f>
        <v>10000000</v>
      </c>
      <c r="Z17" s="2">
        <f t="shared" si="14"/>
        <v>10000000</v>
      </c>
      <c r="AA17" s="2">
        <f t="shared" si="14"/>
        <v>10000000</v>
      </c>
      <c r="AB17" s="2">
        <f t="shared" si="14"/>
        <v>10000000</v>
      </c>
      <c r="AC17" s="2">
        <f t="shared" si="14"/>
        <v>10000000</v>
      </c>
      <c r="AD17" s="2">
        <f t="shared" si="14"/>
        <v>10000000</v>
      </c>
      <c r="AE17" s="2">
        <f t="shared" si="14"/>
        <v>10000000</v>
      </c>
      <c r="AF17" s="2">
        <f t="shared" si="14"/>
        <v>10000000</v>
      </c>
      <c r="AG17" s="2">
        <f t="shared" si="14"/>
        <v>10000000</v>
      </c>
      <c r="AH17" s="2">
        <f t="shared" si="14"/>
        <v>10000000</v>
      </c>
      <c r="AI17" s="2">
        <f t="shared" si="14"/>
        <v>10000000</v>
      </c>
      <c r="AK17" s="6">
        <f>ROUND((+X17+Y17+Z17+AA17+AB17+AC17+AD17+AE17+AF17+AG17+AH17+AI17+P17)/13,0)</f>
        <v>10000000</v>
      </c>
    </row>
    <row r="18" spans="1:37" x14ac:dyDescent="0.25">
      <c r="A18" s="23">
        <f t="shared" si="6"/>
        <v>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3">
        <f t="shared" si="8"/>
        <v>8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7" x14ac:dyDescent="0.25">
      <c r="A19" s="23">
        <f t="shared" si="6"/>
        <v>9</v>
      </c>
      <c r="B19" t="s">
        <v>17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3">
        <f t="shared" si="8"/>
        <v>9</v>
      </c>
      <c r="U19" t="s">
        <v>17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7" x14ac:dyDescent="0.25">
      <c r="A20" s="23">
        <f t="shared" si="6"/>
        <v>10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3">
        <f t="shared" si="8"/>
        <v>10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7" x14ac:dyDescent="0.25">
      <c r="A21" s="23">
        <f t="shared" si="6"/>
        <v>11</v>
      </c>
      <c r="B21" t="s">
        <v>46</v>
      </c>
      <c r="C21" t="s">
        <v>12</v>
      </c>
      <c r="D21" s="1">
        <v>0</v>
      </c>
      <c r="E21" s="1">
        <f>+D23</f>
        <v>0</v>
      </c>
      <c r="F21" s="1">
        <f t="shared" ref="F21:P21" si="15">+E23</f>
        <v>-182</v>
      </c>
      <c r="G21" s="1">
        <f t="shared" si="15"/>
        <v>-989</v>
      </c>
      <c r="H21" s="1">
        <f t="shared" si="15"/>
        <v>-2713</v>
      </c>
      <c r="I21" s="1">
        <f t="shared" si="15"/>
        <v>-5282</v>
      </c>
      <c r="J21" s="1">
        <f t="shared" si="15"/>
        <v>-8557</v>
      </c>
      <c r="K21" s="1">
        <f t="shared" si="15"/>
        <v>-12544</v>
      </c>
      <c r="L21" s="1">
        <f t="shared" si="15"/>
        <v>-17332</v>
      </c>
      <c r="M21" s="1">
        <f t="shared" si="15"/>
        <v>-23164</v>
      </c>
      <c r="N21" s="1">
        <f t="shared" si="15"/>
        <v>-30071</v>
      </c>
      <c r="O21" s="1">
        <f t="shared" si="15"/>
        <v>-38165</v>
      </c>
      <c r="P21" s="1">
        <f t="shared" si="15"/>
        <v>-48121</v>
      </c>
      <c r="Q21" s="1"/>
      <c r="R21" s="1"/>
      <c r="S21" s="1"/>
      <c r="T21" s="23">
        <f t="shared" si="8"/>
        <v>11</v>
      </c>
      <c r="U21" t="s">
        <v>46</v>
      </c>
      <c r="V21" t="s">
        <v>12</v>
      </c>
      <c r="W21" s="1"/>
      <c r="X21" s="1">
        <f>+P23</f>
        <v>-60540</v>
      </c>
      <c r="Y21" s="1">
        <f>+X23</f>
        <v>-75040</v>
      </c>
      <c r="Z21" s="1">
        <f t="shared" ref="Z21:AI21" si="16">+Y23</f>
        <v>-89540</v>
      </c>
      <c r="AA21" s="1">
        <f t="shared" si="16"/>
        <v>-104040</v>
      </c>
      <c r="AB21" s="1">
        <f t="shared" si="16"/>
        <v>-118540</v>
      </c>
      <c r="AC21" s="1">
        <f t="shared" si="16"/>
        <v>-133040</v>
      </c>
      <c r="AD21" s="1">
        <f t="shared" si="16"/>
        <v>-147540</v>
      </c>
      <c r="AE21" s="1">
        <f t="shared" si="16"/>
        <v>-162040</v>
      </c>
      <c r="AF21" s="1">
        <f t="shared" si="16"/>
        <v>-176540</v>
      </c>
      <c r="AG21" s="1">
        <f t="shared" si="16"/>
        <v>-191040</v>
      </c>
      <c r="AH21" s="1">
        <f t="shared" si="16"/>
        <v>-205540</v>
      </c>
      <c r="AI21" s="1">
        <f t="shared" si="16"/>
        <v>-220040</v>
      </c>
    </row>
    <row r="22" spans="1:37" x14ac:dyDescent="0.25">
      <c r="A22" s="23">
        <f t="shared" si="6"/>
        <v>12</v>
      </c>
      <c r="C22" t="s">
        <v>15</v>
      </c>
      <c r="D22" s="3">
        <f t="shared" ref="D22:N22" si="17">-D35</f>
        <v>0</v>
      </c>
      <c r="E22" s="3">
        <f t="shared" si="17"/>
        <v>-182</v>
      </c>
      <c r="F22" s="3">
        <f t="shared" si="17"/>
        <v>-807</v>
      </c>
      <c r="G22" s="3">
        <f t="shared" si="17"/>
        <v>-1724</v>
      </c>
      <c r="H22" s="3">
        <f t="shared" si="17"/>
        <v>-2569</v>
      </c>
      <c r="I22" s="3">
        <f t="shared" si="17"/>
        <v>-3275</v>
      </c>
      <c r="J22" s="3">
        <f t="shared" si="17"/>
        <v>-3987</v>
      </c>
      <c r="K22" s="3">
        <f t="shared" si="17"/>
        <v>-4788</v>
      </c>
      <c r="L22" s="3">
        <f t="shared" si="17"/>
        <v>-5832</v>
      </c>
      <c r="M22" s="3">
        <f t="shared" si="17"/>
        <v>-6907</v>
      </c>
      <c r="N22" s="3">
        <f t="shared" si="17"/>
        <v>-8094</v>
      </c>
      <c r="O22" s="3">
        <f>-O35</f>
        <v>-9956</v>
      </c>
      <c r="P22" s="3">
        <f>-P35</f>
        <v>-12419</v>
      </c>
      <c r="Q22" s="18"/>
      <c r="R22" s="18"/>
      <c r="S22" s="1"/>
      <c r="T22" s="23">
        <f t="shared" si="8"/>
        <v>12</v>
      </c>
      <c r="V22" t="s">
        <v>15</v>
      </c>
      <c r="W22" s="1"/>
      <c r="X22" s="1">
        <f>-X35</f>
        <v>-14500</v>
      </c>
      <c r="Y22" s="1">
        <f t="shared" ref="Y22:AI22" si="18">-Y35</f>
        <v>-14500</v>
      </c>
      <c r="Z22" s="1">
        <f t="shared" si="18"/>
        <v>-14500</v>
      </c>
      <c r="AA22" s="1">
        <f t="shared" si="18"/>
        <v>-14500</v>
      </c>
      <c r="AB22" s="1">
        <f t="shared" si="18"/>
        <v>-14500</v>
      </c>
      <c r="AC22" s="1">
        <f t="shared" si="18"/>
        <v>-14500</v>
      </c>
      <c r="AD22" s="1">
        <f t="shared" si="18"/>
        <v>-14500</v>
      </c>
      <c r="AE22" s="1">
        <f t="shared" si="18"/>
        <v>-14500</v>
      </c>
      <c r="AF22" s="1">
        <f t="shared" si="18"/>
        <v>-14500</v>
      </c>
      <c r="AG22" s="1">
        <f t="shared" si="18"/>
        <v>-14500</v>
      </c>
      <c r="AH22" s="1">
        <f t="shared" si="18"/>
        <v>-14500</v>
      </c>
      <c r="AI22" s="1">
        <f t="shared" si="18"/>
        <v>-14500</v>
      </c>
    </row>
    <row r="23" spans="1:37" x14ac:dyDescent="0.25">
      <c r="A23" s="23">
        <f t="shared" si="6"/>
        <v>13</v>
      </c>
      <c r="C23" t="s">
        <v>16</v>
      </c>
      <c r="D23" s="1">
        <f t="shared" ref="D23:P23" si="19">SUM(D21:D22)</f>
        <v>0</v>
      </c>
      <c r="E23" s="1">
        <f t="shared" si="19"/>
        <v>-182</v>
      </c>
      <c r="F23" s="1">
        <f t="shared" si="19"/>
        <v>-989</v>
      </c>
      <c r="G23" s="1">
        <f t="shared" si="19"/>
        <v>-2713</v>
      </c>
      <c r="H23" s="1">
        <f t="shared" si="19"/>
        <v>-5282</v>
      </c>
      <c r="I23" s="1">
        <f t="shared" si="19"/>
        <v>-8557</v>
      </c>
      <c r="J23" s="1">
        <f t="shared" si="19"/>
        <v>-12544</v>
      </c>
      <c r="K23" s="1">
        <f t="shared" si="19"/>
        <v>-17332</v>
      </c>
      <c r="L23" s="1">
        <f t="shared" si="19"/>
        <v>-23164</v>
      </c>
      <c r="M23" s="1">
        <f t="shared" si="19"/>
        <v>-30071</v>
      </c>
      <c r="N23" s="1">
        <f t="shared" si="19"/>
        <v>-38165</v>
      </c>
      <c r="O23" s="1">
        <f t="shared" si="19"/>
        <v>-48121</v>
      </c>
      <c r="P23" s="1">
        <f t="shared" si="19"/>
        <v>-60540</v>
      </c>
      <c r="Q23" s="1"/>
      <c r="R23" s="1"/>
      <c r="S23" s="1"/>
      <c r="T23" s="23">
        <f t="shared" si="8"/>
        <v>13</v>
      </c>
      <c r="V23" t="s">
        <v>16</v>
      </c>
      <c r="W23" s="1"/>
      <c r="X23" s="1">
        <f t="shared" ref="X23:AI23" si="20">SUM(X21:X22)</f>
        <v>-75040</v>
      </c>
      <c r="Y23" s="1">
        <f t="shared" si="20"/>
        <v>-89540</v>
      </c>
      <c r="Z23" s="1">
        <f t="shared" si="20"/>
        <v>-104040</v>
      </c>
      <c r="AA23" s="1">
        <f t="shared" si="20"/>
        <v>-118540</v>
      </c>
      <c r="AB23" s="1">
        <f t="shared" si="20"/>
        <v>-133040</v>
      </c>
      <c r="AC23" s="1">
        <f t="shared" si="20"/>
        <v>-147540</v>
      </c>
      <c r="AD23" s="1">
        <f t="shared" si="20"/>
        <v>-162040</v>
      </c>
      <c r="AE23" s="1">
        <f t="shared" si="20"/>
        <v>-176540</v>
      </c>
      <c r="AF23" s="1">
        <f t="shared" si="20"/>
        <v>-191040</v>
      </c>
      <c r="AG23" s="1">
        <f t="shared" si="20"/>
        <v>-205540</v>
      </c>
      <c r="AH23" s="1">
        <f t="shared" si="20"/>
        <v>-220040</v>
      </c>
      <c r="AI23" s="1">
        <f t="shared" si="20"/>
        <v>-234540</v>
      </c>
    </row>
    <row r="24" spans="1:37" x14ac:dyDescent="0.25">
      <c r="A24" s="23">
        <f t="shared" si="6"/>
        <v>14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3">
        <f t="shared" si="8"/>
        <v>14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7" x14ac:dyDescent="0.25">
      <c r="A25" s="23">
        <f t="shared" si="6"/>
        <v>15</v>
      </c>
      <c r="B25" t="s">
        <v>18</v>
      </c>
      <c r="D25" s="1">
        <f>+D23</f>
        <v>0</v>
      </c>
      <c r="E25" s="1">
        <f t="shared" ref="E25:P25" si="21">+E23</f>
        <v>-182</v>
      </c>
      <c r="F25" s="1">
        <f t="shared" si="21"/>
        <v>-989</v>
      </c>
      <c r="G25" s="1">
        <f t="shared" si="21"/>
        <v>-2713</v>
      </c>
      <c r="H25" s="1">
        <f t="shared" si="21"/>
        <v>-5282</v>
      </c>
      <c r="I25" s="1">
        <f t="shared" si="21"/>
        <v>-8557</v>
      </c>
      <c r="J25" s="1">
        <f t="shared" si="21"/>
        <v>-12544</v>
      </c>
      <c r="K25" s="1">
        <f t="shared" si="21"/>
        <v>-17332</v>
      </c>
      <c r="L25" s="1">
        <f t="shared" si="21"/>
        <v>-23164</v>
      </c>
      <c r="M25" s="1">
        <f t="shared" si="21"/>
        <v>-30071</v>
      </c>
      <c r="N25" s="1">
        <f t="shared" si="21"/>
        <v>-38165</v>
      </c>
      <c r="O25" s="1">
        <f t="shared" si="21"/>
        <v>-48121</v>
      </c>
      <c r="P25" s="1">
        <f t="shared" si="21"/>
        <v>-60540</v>
      </c>
      <c r="Q25" s="1"/>
      <c r="R25" s="1"/>
      <c r="S25" s="1"/>
      <c r="T25" s="23">
        <f t="shared" si="8"/>
        <v>15</v>
      </c>
      <c r="U25" t="s">
        <v>18</v>
      </c>
      <c r="W25" s="1"/>
      <c r="X25" s="1">
        <f t="shared" ref="X25:AI25" si="22">+X23</f>
        <v>-75040</v>
      </c>
      <c r="Y25" s="1">
        <f t="shared" si="22"/>
        <v>-89540</v>
      </c>
      <c r="Z25" s="1">
        <f t="shared" si="22"/>
        <v>-104040</v>
      </c>
      <c r="AA25" s="1">
        <f t="shared" si="22"/>
        <v>-118540</v>
      </c>
      <c r="AB25" s="1">
        <f t="shared" si="22"/>
        <v>-133040</v>
      </c>
      <c r="AC25" s="1">
        <f t="shared" si="22"/>
        <v>-147540</v>
      </c>
      <c r="AD25" s="1">
        <f t="shared" si="22"/>
        <v>-162040</v>
      </c>
      <c r="AE25" s="1">
        <f t="shared" si="22"/>
        <v>-176540</v>
      </c>
      <c r="AF25" s="1">
        <f t="shared" si="22"/>
        <v>-191040</v>
      </c>
      <c r="AG25" s="1">
        <f t="shared" si="22"/>
        <v>-205540</v>
      </c>
      <c r="AH25" s="1">
        <f t="shared" si="22"/>
        <v>-220040</v>
      </c>
      <c r="AI25" s="1">
        <f t="shared" si="22"/>
        <v>-234540</v>
      </c>
      <c r="AK25" s="6">
        <f>ROUND((+X25+Y25+Z25+AA25+AB25+AC25+AD25+AE25+AF25+AG25+AH25+AI25+P25)/13,0)</f>
        <v>-147540</v>
      </c>
    </row>
    <row r="26" spans="1:37" x14ac:dyDescent="0.25">
      <c r="A26" s="23">
        <f t="shared" si="6"/>
        <v>16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3">
        <f t="shared" si="8"/>
        <v>16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7" x14ac:dyDescent="0.25">
      <c r="A27" s="23">
        <f t="shared" si="6"/>
        <v>17</v>
      </c>
      <c r="B27" t="s">
        <v>20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3">
        <f t="shared" si="8"/>
        <v>17</v>
      </c>
      <c r="U27" t="s">
        <v>20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7" x14ac:dyDescent="0.25">
      <c r="A28" s="23">
        <f t="shared" si="6"/>
        <v>18</v>
      </c>
      <c r="C28" t="s">
        <v>12</v>
      </c>
      <c r="D28" s="1">
        <v>0</v>
      </c>
      <c r="E28" s="1">
        <f>+D30</f>
        <v>0</v>
      </c>
      <c r="F28" s="1">
        <f t="shared" ref="F28:P28" si="23">+E30</f>
        <v>-79590.468812499996</v>
      </c>
      <c r="G28" s="1">
        <f t="shared" si="23"/>
        <v>-159025.00012499999</v>
      </c>
      <c r="H28" s="1">
        <f t="shared" si="23"/>
        <v>-238230.73993749998</v>
      </c>
      <c r="I28" s="1">
        <f t="shared" si="23"/>
        <v>-317225.65224999998</v>
      </c>
      <c r="J28" s="1">
        <f t="shared" si="23"/>
        <v>-396044.41756249999</v>
      </c>
      <c r="K28" s="1">
        <f t="shared" si="23"/>
        <v>-474685.53887499997</v>
      </c>
      <c r="L28" s="1">
        <f t="shared" si="23"/>
        <v>-553126.81068749994</v>
      </c>
      <c r="M28" s="1">
        <f t="shared" si="23"/>
        <v>-631307.6044999999</v>
      </c>
      <c r="N28" s="1">
        <f t="shared" si="23"/>
        <v>-709220.18581249984</v>
      </c>
      <c r="O28" s="1">
        <f t="shared" si="23"/>
        <v>-786836.61062499986</v>
      </c>
      <c r="P28" s="1">
        <f t="shared" si="23"/>
        <v>-863988.46643749985</v>
      </c>
      <c r="Q28" s="1"/>
      <c r="R28" s="1"/>
      <c r="S28" s="1"/>
      <c r="T28" s="23">
        <f t="shared" si="8"/>
        <v>18</v>
      </c>
      <c r="V28" t="s">
        <v>12</v>
      </c>
      <c r="W28" s="1"/>
      <c r="X28" s="1">
        <f>+P30</f>
        <v>-940525.80374999985</v>
      </c>
      <c r="Y28" s="1">
        <f>+X30</f>
        <v>-946529.44611091656</v>
      </c>
      <c r="Z28" s="1">
        <f t="shared" ref="Z28:AI28" si="24">+Y30</f>
        <v>-952533.08847183327</v>
      </c>
      <c r="AA28" s="1">
        <f t="shared" si="24"/>
        <v>-958536.73083274998</v>
      </c>
      <c r="AB28" s="1">
        <f t="shared" si="24"/>
        <v>-964540.37319366669</v>
      </c>
      <c r="AC28" s="1">
        <f t="shared" si="24"/>
        <v>-970544.0155545834</v>
      </c>
      <c r="AD28" s="1">
        <f t="shared" si="24"/>
        <v>-976547.65791550011</v>
      </c>
      <c r="AE28" s="1">
        <f t="shared" si="24"/>
        <v>-982551.30027641682</v>
      </c>
      <c r="AF28" s="1">
        <f t="shared" si="24"/>
        <v>-988554.94263733353</v>
      </c>
      <c r="AG28" s="1">
        <f t="shared" si="24"/>
        <v>-994558.58499825024</v>
      </c>
      <c r="AH28" s="1">
        <f t="shared" si="24"/>
        <v>-1000562.227359167</v>
      </c>
      <c r="AI28" s="1">
        <f t="shared" si="24"/>
        <v>-1006565.8697200837</v>
      </c>
    </row>
    <row r="29" spans="1:37" x14ac:dyDescent="0.25">
      <c r="A29" s="23">
        <f t="shared" si="6"/>
        <v>19</v>
      </c>
      <c r="C29" t="s">
        <v>15</v>
      </c>
      <c r="D29" s="1"/>
      <c r="E29" s="1">
        <f t="shared" ref="E29:P29" si="25">E45*E46</f>
        <v>-79590.468812499996</v>
      </c>
      <c r="F29" s="1">
        <f t="shared" si="25"/>
        <v>-79434.531312499996</v>
      </c>
      <c r="G29" s="1">
        <f t="shared" si="25"/>
        <v>-79205.739812500004</v>
      </c>
      <c r="H29" s="1">
        <f t="shared" si="25"/>
        <v>-78994.912312500004</v>
      </c>
      <c r="I29" s="1">
        <f t="shared" si="25"/>
        <v>-78818.765312500007</v>
      </c>
      <c r="J29" s="1">
        <f t="shared" si="25"/>
        <v>-78641.121312500007</v>
      </c>
      <c r="K29" s="1">
        <f t="shared" si="25"/>
        <v>-78441.271812499996</v>
      </c>
      <c r="L29" s="1">
        <f t="shared" si="25"/>
        <v>-78180.793812499993</v>
      </c>
      <c r="M29" s="1">
        <f t="shared" si="25"/>
        <v>-77912.581312499999</v>
      </c>
      <c r="N29" s="1">
        <f t="shared" si="25"/>
        <v>-77616.424812500001</v>
      </c>
      <c r="O29" s="1">
        <f t="shared" si="25"/>
        <v>-77151.855812499998</v>
      </c>
      <c r="P29" s="1">
        <f t="shared" si="25"/>
        <v>-76537.337312500007</v>
      </c>
      <c r="Q29" s="1"/>
      <c r="R29" s="1"/>
      <c r="S29" s="1"/>
      <c r="T29" s="23">
        <f t="shared" si="8"/>
        <v>19</v>
      </c>
      <c r="V29" t="s">
        <v>15</v>
      </c>
      <c r="W29" s="1"/>
      <c r="X29" s="1">
        <f t="shared" ref="X29:AI29" si="26">X45*X46</f>
        <v>-6003.6423609166668</v>
      </c>
      <c r="Y29" s="1">
        <f t="shared" si="26"/>
        <v>-6003.6423609166668</v>
      </c>
      <c r="Z29" s="1">
        <f t="shared" si="26"/>
        <v>-6003.6423609166668</v>
      </c>
      <c r="AA29" s="1">
        <f t="shared" si="26"/>
        <v>-6003.6423609166668</v>
      </c>
      <c r="AB29" s="1">
        <f t="shared" si="26"/>
        <v>-6003.6423609166668</v>
      </c>
      <c r="AC29" s="1">
        <f t="shared" si="26"/>
        <v>-6003.6423609166668</v>
      </c>
      <c r="AD29" s="1">
        <f t="shared" si="26"/>
        <v>-6003.6423609166668</v>
      </c>
      <c r="AE29" s="1">
        <f t="shared" si="26"/>
        <v>-6003.6423609166668</v>
      </c>
      <c r="AF29" s="1">
        <f t="shared" si="26"/>
        <v>-6003.6423609166668</v>
      </c>
      <c r="AG29" s="1">
        <f t="shared" si="26"/>
        <v>-6003.6423609166668</v>
      </c>
      <c r="AH29" s="1">
        <f t="shared" si="26"/>
        <v>-6003.6423609166668</v>
      </c>
      <c r="AI29" s="1">
        <f t="shared" si="26"/>
        <v>-6003.6423609166668</v>
      </c>
    </row>
    <row r="30" spans="1:37" x14ac:dyDescent="0.25">
      <c r="A30" s="23">
        <f t="shared" si="6"/>
        <v>20</v>
      </c>
      <c r="C30" t="s">
        <v>16</v>
      </c>
      <c r="D30" s="2">
        <f t="shared" ref="D30:X30" si="27">SUM(D28:D29)</f>
        <v>0</v>
      </c>
      <c r="E30" s="2">
        <f t="shared" si="27"/>
        <v>-79590.468812499996</v>
      </c>
      <c r="F30" s="2">
        <f t="shared" si="27"/>
        <v>-159025.00012499999</v>
      </c>
      <c r="G30" s="2">
        <f t="shared" si="27"/>
        <v>-238230.73993749998</v>
      </c>
      <c r="H30" s="2">
        <f t="shared" si="27"/>
        <v>-317225.65224999998</v>
      </c>
      <c r="I30" s="2">
        <f t="shared" si="27"/>
        <v>-396044.41756249999</v>
      </c>
      <c r="J30" s="2">
        <f t="shared" si="27"/>
        <v>-474685.53887499997</v>
      </c>
      <c r="K30" s="2">
        <f t="shared" si="27"/>
        <v>-553126.81068749994</v>
      </c>
      <c r="L30" s="2">
        <f t="shared" si="27"/>
        <v>-631307.6044999999</v>
      </c>
      <c r="M30" s="2">
        <f t="shared" si="27"/>
        <v>-709220.18581249984</v>
      </c>
      <c r="N30" s="2">
        <f t="shared" si="27"/>
        <v>-786836.61062499986</v>
      </c>
      <c r="O30" s="2">
        <f t="shared" si="27"/>
        <v>-863988.46643749985</v>
      </c>
      <c r="P30" s="16">
        <f t="shared" si="27"/>
        <v>-940525.80374999985</v>
      </c>
      <c r="Q30" s="6"/>
      <c r="R30" s="6"/>
      <c r="S30" s="6"/>
      <c r="T30" s="23">
        <f t="shared" si="8"/>
        <v>20</v>
      </c>
      <c r="V30" t="s">
        <v>16</v>
      </c>
      <c r="W30" s="6"/>
      <c r="X30" s="16">
        <f t="shared" si="27"/>
        <v>-946529.44611091656</v>
      </c>
      <c r="Y30" s="16">
        <f t="shared" ref="Y30:AI30" si="28">SUM(Y28:Y29)</f>
        <v>-952533.08847183327</v>
      </c>
      <c r="Z30" s="16">
        <f t="shared" si="28"/>
        <v>-958536.73083274998</v>
      </c>
      <c r="AA30" s="16">
        <f t="shared" si="28"/>
        <v>-964540.37319366669</v>
      </c>
      <c r="AB30" s="16">
        <f t="shared" si="28"/>
        <v>-970544.0155545834</v>
      </c>
      <c r="AC30" s="16">
        <f t="shared" si="28"/>
        <v>-976547.65791550011</v>
      </c>
      <c r="AD30" s="16">
        <f t="shared" si="28"/>
        <v>-982551.30027641682</v>
      </c>
      <c r="AE30" s="16">
        <f t="shared" si="28"/>
        <v>-988554.94263733353</v>
      </c>
      <c r="AF30" s="16">
        <f t="shared" si="28"/>
        <v>-994558.58499825024</v>
      </c>
      <c r="AG30" s="16">
        <f t="shared" si="28"/>
        <v>-1000562.227359167</v>
      </c>
      <c r="AH30" s="16">
        <f t="shared" si="28"/>
        <v>-1006565.8697200837</v>
      </c>
      <c r="AI30" s="16">
        <f t="shared" si="28"/>
        <v>-1012569.5120810004</v>
      </c>
      <c r="AK30" s="6">
        <f>ROUND((+X30+Y30+Z30+AA30+AB30+AC30+AD30+AE30+AF30+AG30+AH30+AI30+P30)/13,0)</f>
        <v>-976548</v>
      </c>
    </row>
    <row r="31" spans="1:37" x14ac:dyDescent="0.25">
      <c r="A31" s="23">
        <f t="shared" si="6"/>
        <v>21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6"/>
      <c r="Q31" s="6"/>
      <c r="R31" s="6"/>
      <c r="S31" s="6"/>
      <c r="T31" s="23">
        <f t="shared" si="8"/>
        <v>21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K31" s="6"/>
    </row>
    <row r="32" spans="1:37" x14ac:dyDescent="0.25">
      <c r="A32" s="23">
        <f t="shared" si="6"/>
        <v>22</v>
      </c>
      <c r="C32" t="s">
        <v>25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6"/>
      <c r="Q32" s="6"/>
      <c r="R32" s="6"/>
      <c r="S32" s="6"/>
      <c r="T32" s="23">
        <f t="shared" si="8"/>
        <v>22</v>
      </c>
      <c r="V32" t="s">
        <v>25</v>
      </c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K32" s="47">
        <f>SUM(AK17:AK31)</f>
        <v>8875912</v>
      </c>
    </row>
    <row r="33" spans="1:38" x14ac:dyDescent="0.25">
      <c r="A33" s="23">
        <f t="shared" si="6"/>
        <v>23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3">
        <f t="shared" si="8"/>
        <v>23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8" x14ac:dyDescent="0.25">
      <c r="A34" s="23">
        <f t="shared" si="6"/>
        <v>24</v>
      </c>
      <c r="B34" t="s">
        <v>53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3">
        <f t="shared" si="8"/>
        <v>24</v>
      </c>
      <c r="U34" t="s">
        <v>53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K34" s="17" t="s">
        <v>26</v>
      </c>
    </row>
    <row r="35" spans="1:38" x14ac:dyDescent="0.25">
      <c r="A35" s="23">
        <f t="shared" si="6"/>
        <v>25</v>
      </c>
      <c r="B35" t="s">
        <v>46</v>
      </c>
      <c r="C35" s="4">
        <v>1.6500000000000001E-2</v>
      </c>
      <c r="D35" s="1">
        <f t="shared" ref="D35:P35" si="29">ROUND((D13+D15)/2*$C$35/12,0)</f>
        <v>0</v>
      </c>
      <c r="E35" s="1">
        <f t="shared" si="29"/>
        <v>182</v>
      </c>
      <c r="F35" s="1">
        <f t="shared" si="29"/>
        <v>807</v>
      </c>
      <c r="G35" s="1">
        <f t="shared" si="29"/>
        <v>1724</v>
      </c>
      <c r="H35" s="1">
        <f t="shared" si="29"/>
        <v>2569</v>
      </c>
      <c r="I35" s="1">
        <f t="shared" si="29"/>
        <v>3275</v>
      </c>
      <c r="J35" s="1">
        <f t="shared" si="29"/>
        <v>3987</v>
      </c>
      <c r="K35" s="1">
        <f t="shared" si="29"/>
        <v>4788</v>
      </c>
      <c r="L35" s="1">
        <f t="shared" si="29"/>
        <v>5832</v>
      </c>
      <c r="M35" s="1">
        <f t="shared" si="29"/>
        <v>6907</v>
      </c>
      <c r="N35" s="1">
        <f t="shared" si="29"/>
        <v>8094</v>
      </c>
      <c r="O35" s="1">
        <f t="shared" si="29"/>
        <v>9956</v>
      </c>
      <c r="P35" s="1">
        <f t="shared" si="29"/>
        <v>12419</v>
      </c>
      <c r="Q35" s="1"/>
      <c r="R35" s="1"/>
      <c r="S35" s="1"/>
      <c r="T35" s="23">
        <f t="shared" si="8"/>
        <v>25</v>
      </c>
      <c r="U35" t="s">
        <v>46</v>
      </c>
      <c r="V35" s="4"/>
      <c r="W35" s="4">
        <v>1.7399999999999999E-2</v>
      </c>
      <c r="X35" s="1">
        <f>ROUND((X13+X15)/2*$W$35/12,0)</f>
        <v>14500</v>
      </c>
      <c r="Y35" s="1">
        <f>ROUND((Y13+Y15)/2*$W$35/12,0)</f>
        <v>14500</v>
      </c>
      <c r="Z35" s="1">
        <f t="shared" ref="Z35:AI35" si="30">ROUND((Z13+Z15)/2*$W$35/12,0)</f>
        <v>14500</v>
      </c>
      <c r="AA35" s="1">
        <f t="shared" si="30"/>
        <v>14500</v>
      </c>
      <c r="AB35" s="1">
        <f t="shared" si="30"/>
        <v>14500</v>
      </c>
      <c r="AC35" s="1">
        <f t="shared" si="30"/>
        <v>14500</v>
      </c>
      <c r="AD35" s="1">
        <f t="shared" si="30"/>
        <v>14500</v>
      </c>
      <c r="AE35" s="1">
        <f t="shared" si="30"/>
        <v>14500</v>
      </c>
      <c r="AF35" s="1">
        <f t="shared" si="30"/>
        <v>14500</v>
      </c>
      <c r="AG35" s="1">
        <f t="shared" si="30"/>
        <v>14500</v>
      </c>
      <c r="AH35" s="1">
        <f t="shared" si="30"/>
        <v>14500</v>
      </c>
      <c r="AI35" s="1">
        <f t="shared" si="30"/>
        <v>14500</v>
      </c>
    </row>
    <row r="36" spans="1:38" ht="15.75" thickBot="1" x14ac:dyDescent="0.3">
      <c r="A36" s="23">
        <f t="shared" si="6"/>
        <v>26</v>
      </c>
      <c r="B36" t="s">
        <v>19</v>
      </c>
      <c r="D36" s="5">
        <f t="shared" ref="D36:P36" si="31">SUM(D35:D35)</f>
        <v>0</v>
      </c>
      <c r="E36" s="5">
        <f t="shared" si="31"/>
        <v>182</v>
      </c>
      <c r="F36" s="5">
        <f t="shared" si="31"/>
        <v>807</v>
      </c>
      <c r="G36" s="5">
        <f t="shared" si="31"/>
        <v>1724</v>
      </c>
      <c r="H36" s="5">
        <f t="shared" si="31"/>
        <v>2569</v>
      </c>
      <c r="I36" s="5">
        <f t="shared" si="31"/>
        <v>3275</v>
      </c>
      <c r="J36" s="5">
        <f t="shared" si="31"/>
        <v>3987</v>
      </c>
      <c r="K36" s="5">
        <f t="shared" si="31"/>
        <v>4788</v>
      </c>
      <c r="L36" s="5">
        <f t="shared" si="31"/>
        <v>5832</v>
      </c>
      <c r="M36" s="5">
        <f t="shared" si="31"/>
        <v>6907</v>
      </c>
      <c r="N36" s="5">
        <f t="shared" si="31"/>
        <v>8094</v>
      </c>
      <c r="O36" s="5">
        <f t="shared" si="31"/>
        <v>9956</v>
      </c>
      <c r="P36" s="5">
        <f t="shared" si="31"/>
        <v>12419</v>
      </c>
      <c r="Q36" s="18"/>
      <c r="R36" s="18"/>
      <c r="S36" s="18"/>
      <c r="T36" s="23">
        <f t="shared" si="8"/>
        <v>26</v>
      </c>
      <c r="U36" t="s">
        <v>19</v>
      </c>
      <c r="W36" s="18"/>
      <c r="X36" s="5">
        <f t="shared" ref="X36:AI36" si="32">SUM(X35:X35)</f>
        <v>14500</v>
      </c>
      <c r="Y36" s="5">
        <f t="shared" si="32"/>
        <v>14500</v>
      </c>
      <c r="Z36" s="5">
        <f t="shared" si="32"/>
        <v>14500</v>
      </c>
      <c r="AA36" s="5">
        <f t="shared" si="32"/>
        <v>14500</v>
      </c>
      <c r="AB36" s="5">
        <f t="shared" si="32"/>
        <v>14500</v>
      </c>
      <c r="AC36" s="5">
        <f t="shared" si="32"/>
        <v>14500</v>
      </c>
      <c r="AD36" s="5">
        <f t="shared" si="32"/>
        <v>14500</v>
      </c>
      <c r="AE36" s="5">
        <f t="shared" si="32"/>
        <v>14500</v>
      </c>
      <c r="AF36" s="5">
        <f t="shared" si="32"/>
        <v>14500</v>
      </c>
      <c r="AG36" s="5">
        <f t="shared" si="32"/>
        <v>14500</v>
      </c>
      <c r="AH36" s="5">
        <f t="shared" si="32"/>
        <v>14500</v>
      </c>
      <c r="AI36" s="5">
        <f t="shared" si="32"/>
        <v>14500</v>
      </c>
      <c r="AK36" s="48">
        <f>SUM(X36:AI36)</f>
        <v>174000</v>
      </c>
    </row>
    <row r="37" spans="1:38" ht="15.75" thickTop="1" x14ac:dyDescent="0.25">
      <c r="A37" s="23">
        <f t="shared" si="6"/>
        <v>27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3">
        <f t="shared" si="8"/>
        <v>27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8" x14ac:dyDescent="0.25">
      <c r="A38" s="23">
        <f t="shared" si="6"/>
        <v>28</v>
      </c>
      <c r="B38" t="s">
        <v>54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3">
        <f t="shared" si="8"/>
        <v>28</v>
      </c>
      <c r="U38" t="s">
        <v>54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8" x14ac:dyDescent="0.25">
      <c r="A39" s="23">
        <f t="shared" si="6"/>
        <v>29</v>
      </c>
      <c r="B39" t="s">
        <v>33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3">
        <f t="shared" si="8"/>
        <v>29</v>
      </c>
      <c r="U39" t="s">
        <v>33</v>
      </c>
      <c r="W39" s="24">
        <v>1.418E-2</v>
      </c>
      <c r="X39" s="1">
        <f>ROUND(W39*P17/12,0)</f>
        <v>11817</v>
      </c>
      <c r="Y39" s="1">
        <f>+X39</f>
        <v>11817</v>
      </c>
      <c r="Z39" s="1">
        <f t="shared" ref="Z39:AI39" si="33">+Y39</f>
        <v>11817</v>
      </c>
      <c r="AA39" s="1">
        <f t="shared" si="33"/>
        <v>11817</v>
      </c>
      <c r="AB39" s="1">
        <f t="shared" si="33"/>
        <v>11817</v>
      </c>
      <c r="AC39" s="1">
        <f t="shared" si="33"/>
        <v>11817</v>
      </c>
      <c r="AD39" s="1">
        <f t="shared" si="33"/>
        <v>11817</v>
      </c>
      <c r="AE39" s="1">
        <f t="shared" si="33"/>
        <v>11817</v>
      </c>
      <c r="AF39" s="1">
        <f t="shared" si="33"/>
        <v>11817</v>
      </c>
      <c r="AG39" s="1">
        <f t="shared" si="33"/>
        <v>11817</v>
      </c>
      <c r="AH39" s="1">
        <f t="shared" si="33"/>
        <v>11817</v>
      </c>
      <c r="AI39" s="1">
        <f t="shared" si="33"/>
        <v>11817</v>
      </c>
    </row>
    <row r="40" spans="1:38" ht="15.75" thickBot="1" x14ac:dyDescent="0.3">
      <c r="A40" s="23">
        <f t="shared" si="6"/>
        <v>30</v>
      </c>
      <c r="B40" t="s">
        <v>32</v>
      </c>
      <c r="D40" s="5">
        <f t="shared" ref="D40:P40" si="34">SUM(D39:D39)</f>
        <v>0</v>
      </c>
      <c r="E40" s="5">
        <f t="shared" si="34"/>
        <v>0</v>
      </c>
      <c r="F40" s="5">
        <f t="shared" si="34"/>
        <v>0</v>
      </c>
      <c r="G40" s="5">
        <f t="shared" si="34"/>
        <v>0</v>
      </c>
      <c r="H40" s="5">
        <f t="shared" si="34"/>
        <v>0</v>
      </c>
      <c r="I40" s="5">
        <f t="shared" si="34"/>
        <v>0</v>
      </c>
      <c r="J40" s="5">
        <f t="shared" si="34"/>
        <v>0</v>
      </c>
      <c r="K40" s="5">
        <f t="shared" si="34"/>
        <v>0</v>
      </c>
      <c r="L40" s="5">
        <f t="shared" si="34"/>
        <v>0</v>
      </c>
      <c r="M40" s="5">
        <f t="shared" si="34"/>
        <v>0</v>
      </c>
      <c r="N40" s="5">
        <f t="shared" si="34"/>
        <v>0</v>
      </c>
      <c r="O40" s="5">
        <f t="shared" si="34"/>
        <v>0</v>
      </c>
      <c r="P40" s="5">
        <f t="shared" si="34"/>
        <v>0</v>
      </c>
      <c r="Q40" s="18"/>
      <c r="R40" s="18"/>
      <c r="S40" s="1"/>
      <c r="T40" s="23">
        <f t="shared" si="8"/>
        <v>30</v>
      </c>
      <c r="U40" t="s">
        <v>32</v>
      </c>
      <c r="W40" s="1"/>
      <c r="X40" s="5">
        <f>SUM(X39:X39)</f>
        <v>11817</v>
      </c>
      <c r="Y40" s="5">
        <f t="shared" ref="Y40:AI40" si="35">SUM(Y39:Y39)</f>
        <v>11817</v>
      </c>
      <c r="Z40" s="5">
        <f t="shared" si="35"/>
        <v>11817</v>
      </c>
      <c r="AA40" s="5">
        <f t="shared" si="35"/>
        <v>11817</v>
      </c>
      <c r="AB40" s="5">
        <f t="shared" si="35"/>
        <v>11817</v>
      </c>
      <c r="AC40" s="5">
        <f t="shared" si="35"/>
        <v>11817</v>
      </c>
      <c r="AD40" s="5">
        <f t="shared" si="35"/>
        <v>11817</v>
      </c>
      <c r="AE40" s="5">
        <f t="shared" si="35"/>
        <v>11817</v>
      </c>
      <c r="AF40" s="5">
        <f t="shared" si="35"/>
        <v>11817</v>
      </c>
      <c r="AG40" s="5">
        <f t="shared" si="35"/>
        <v>11817</v>
      </c>
      <c r="AH40" s="5">
        <f t="shared" si="35"/>
        <v>11817</v>
      </c>
      <c r="AI40" s="5">
        <f t="shared" si="35"/>
        <v>11817</v>
      </c>
      <c r="AK40" s="48">
        <f>SUM(X40:AI40)</f>
        <v>141804</v>
      </c>
    </row>
    <row r="41" spans="1:38" ht="15.75" thickTop="1" x14ac:dyDescent="0.25">
      <c r="A41" s="23">
        <f t="shared" si="6"/>
        <v>31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3">
        <f t="shared" si="8"/>
        <v>31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8" x14ac:dyDescent="0.25">
      <c r="A42" s="23">
        <f t="shared" si="6"/>
        <v>32</v>
      </c>
      <c r="B42" t="s">
        <v>51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3">
        <f t="shared" si="8"/>
        <v>32</v>
      </c>
      <c r="U42" t="s">
        <v>51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8" x14ac:dyDescent="0.25">
      <c r="A43" s="23">
        <f t="shared" si="6"/>
        <v>33</v>
      </c>
      <c r="B43" t="s">
        <v>58</v>
      </c>
      <c r="D43" s="1"/>
      <c r="E43" s="1">
        <f>(($P$15-($P$15*0.35898))*'MACRS HY MQ'!$H$14/12)</f>
        <v>20031.875</v>
      </c>
      <c r="F43" s="1">
        <f>(($P$15-($P$15*0.35898))*'MACRS HY MQ'!$H$14/12)</f>
        <v>20031.875</v>
      </c>
      <c r="G43" s="1">
        <f>(($P$15-($P$15*0.35898))*'MACRS HY MQ'!$H$14/12)</f>
        <v>20031.875</v>
      </c>
      <c r="H43" s="1">
        <f>(($P$15-($P$15*0.35898))*'MACRS HY MQ'!$H$14/12)</f>
        <v>20031.875</v>
      </c>
      <c r="I43" s="1">
        <f>(($P$15-($P$15*0.35898))*'MACRS HY MQ'!$H$14/12)</f>
        <v>20031.875</v>
      </c>
      <c r="J43" s="1">
        <f>(($P$15-($P$15*0.35898))*'MACRS HY MQ'!$H$14/12)</f>
        <v>20031.875</v>
      </c>
      <c r="K43" s="1">
        <f>(($P$15-($P$15*0.35898))*'MACRS HY MQ'!$H$14/12)</f>
        <v>20031.875</v>
      </c>
      <c r="L43" s="1">
        <f>(($P$15-($P$15*0.35898))*'MACRS HY MQ'!$H$14/12)</f>
        <v>20031.875</v>
      </c>
      <c r="M43" s="1">
        <f>(($P$15-($P$15*0.35898))*'MACRS HY MQ'!$H$14/12)</f>
        <v>20031.875</v>
      </c>
      <c r="N43" s="1">
        <f>(($P$15-($P$15*0.35898))*'MACRS HY MQ'!$H$14/12)</f>
        <v>20031.875</v>
      </c>
      <c r="O43" s="1">
        <f>(($P$15-($P$15*0.35898))*'MACRS HY MQ'!$H$14/12)</f>
        <v>20031.875</v>
      </c>
      <c r="P43" s="1">
        <f>(($P$15-($P$15*0.35898))*'MACRS HY MQ'!$H$14/12)</f>
        <v>20031.875</v>
      </c>
      <c r="Q43" s="1"/>
      <c r="R43" s="1"/>
      <c r="S43" s="14"/>
      <c r="T43" s="23">
        <f t="shared" si="8"/>
        <v>33</v>
      </c>
      <c r="U43" t="s">
        <v>59</v>
      </c>
      <c r="W43" s="14"/>
      <c r="X43" s="1">
        <f>(($P$15-($P$17*0.35898))*'MACRS HY MQ'!$H$15/12)</f>
        <v>38562.694833333335</v>
      </c>
      <c r="Y43" s="1">
        <f>(($P$15-($P$17*0.35898))*'MACRS HY MQ'!$H$15/12)</f>
        <v>38562.694833333335</v>
      </c>
      <c r="Z43" s="1">
        <f>(($P$15-($P$17*0.35898))*'MACRS HY MQ'!$H$15/12)</f>
        <v>38562.694833333335</v>
      </c>
      <c r="AA43" s="1">
        <f>(($P$15-($P$17*0.35898))*'MACRS HY MQ'!$H$15/12)</f>
        <v>38562.694833333335</v>
      </c>
      <c r="AB43" s="1">
        <f>(($P$15-($P$17*0.35898))*'MACRS HY MQ'!$H$15/12)</f>
        <v>38562.694833333335</v>
      </c>
      <c r="AC43" s="1">
        <f>(($P$15-($P$17*0.35898))*'MACRS HY MQ'!$H$15/12)</f>
        <v>38562.694833333335</v>
      </c>
      <c r="AD43" s="1">
        <f>(($P$15-($P$17*0.35898))*'MACRS HY MQ'!$H$15/12)</f>
        <v>38562.694833333335</v>
      </c>
      <c r="AE43" s="1">
        <f>(($P$15-($P$17*0.35898))*'MACRS HY MQ'!$H$15/12)</f>
        <v>38562.694833333335</v>
      </c>
      <c r="AF43" s="1">
        <f>(($P$15-($P$17*0.35898))*'MACRS HY MQ'!$H$15/12)</f>
        <v>38562.694833333335</v>
      </c>
      <c r="AG43" s="1">
        <f>(($P$15-($P$17*0.35898))*'MACRS HY MQ'!$H$15/12)</f>
        <v>38562.694833333335</v>
      </c>
      <c r="AH43" s="1">
        <f>(($P$15-($P$17*0.35898))*'MACRS HY MQ'!$H$15/12)</f>
        <v>38562.694833333335</v>
      </c>
      <c r="AI43" s="1">
        <f>(($P$15-($P$17*0.35898))*'MACRS HY MQ'!$H$15/12)</f>
        <v>38562.694833333335</v>
      </c>
      <c r="AK43" s="15"/>
      <c r="AL43" s="15"/>
    </row>
    <row r="44" spans="1:38" x14ac:dyDescent="0.25">
      <c r="A44" s="23">
        <f t="shared" si="6"/>
        <v>34</v>
      </c>
      <c r="B44" t="s">
        <v>61</v>
      </c>
      <c r="D44" s="1"/>
      <c r="E44" s="1">
        <f>$P$15*0.35898/12</f>
        <v>299150</v>
      </c>
      <c r="F44" s="1">
        <f t="shared" ref="F44:P44" si="36">$P$15*0.35898/12</f>
        <v>299150</v>
      </c>
      <c r="G44" s="1">
        <f t="shared" si="36"/>
        <v>299150</v>
      </c>
      <c r="H44" s="1">
        <f t="shared" si="36"/>
        <v>299150</v>
      </c>
      <c r="I44" s="1">
        <f t="shared" si="36"/>
        <v>299150</v>
      </c>
      <c r="J44" s="1">
        <f t="shared" si="36"/>
        <v>299150</v>
      </c>
      <c r="K44" s="1">
        <f t="shared" si="36"/>
        <v>299150</v>
      </c>
      <c r="L44" s="1">
        <f t="shared" si="36"/>
        <v>299150</v>
      </c>
      <c r="M44" s="1">
        <f t="shared" si="36"/>
        <v>299150</v>
      </c>
      <c r="N44" s="1">
        <f t="shared" si="36"/>
        <v>299150</v>
      </c>
      <c r="O44" s="1">
        <f t="shared" si="36"/>
        <v>299150</v>
      </c>
      <c r="P44" s="1">
        <f t="shared" si="36"/>
        <v>299150</v>
      </c>
      <c r="Q44" s="1"/>
      <c r="R44" s="1"/>
      <c r="S44" s="14"/>
      <c r="T44" s="23">
        <f t="shared" si="8"/>
        <v>34</v>
      </c>
      <c r="U44" t="s">
        <v>62</v>
      </c>
      <c r="W44" s="14"/>
      <c r="X44" s="1">
        <v>0</v>
      </c>
      <c r="Y44" s="1">
        <f>+X44</f>
        <v>0</v>
      </c>
      <c r="Z44" s="1">
        <f t="shared" ref="Z44:AI44" si="37">+Y44</f>
        <v>0</v>
      </c>
      <c r="AA44" s="1">
        <f t="shared" si="37"/>
        <v>0</v>
      </c>
      <c r="AB44" s="1">
        <f t="shared" si="37"/>
        <v>0</v>
      </c>
      <c r="AC44" s="1">
        <f t="shared" si="37"/>
        <v>0</v>
      </c>
      <c r="AD44" s="1">
        <f t="shared" si="37"/>
        <v>0</v>
      </c>
      <c r="AE44" s="1">
        <f t="shared" si="37"/>
        <v>0</v>
      </c>
      <c r="AF44" s="1">
        <f t="shared" si="37"/>
        <v>0</v>
      </c>
      <c r="AG44" s="1">
        <f t="shared" si="37"/>
        <v>0</v>
      </c>
      <c r="AH44" s="1">
        <f t="shared" si="37"/>
        <v>0</v>
      </c>
      <c r="AI44" s="1">
        <f t="shared" si="37"/>
        <v>0</v>
      </c>
      <c r="AK44" s="15"/>
      <c r="AL44" s="15"/>
    </row>
    <row r="45" spans="1:38" x14ac:dyDescent="0.25">
      <c r="A45" s="23">
        <f t="shared" si="6"/>
        <v>35</v>
      </c>
      <c r="B45" t="s">
        <v>63</v>
      </c>
      <c r="D45" s="1"/>
      <c r="E45" s="1">
        <f>E36-E43-E44</f>
        <v>-318999.875</v>
      </c>
      <c r="F45" s="1">
        <f t="shared" ref="F45:P45" si="38">F36-F43-F44</f>
        <v>-318374.875</v>
      </c>
      <c r="G45" s="1">
        <f t="shared" si="38"/>
        <v>-317457.875</v>
      </c>
      <c r="H45" s="1">
        <f t="shared" si="38"/>
        <v>-316612.875</v>
      </c>
      <c r="I45" s="1">
        <f t="shared" si="38"/>
        <v>-315906.875</v>
      </c>
      <c r="J45" s="1">
        <f t="shared" si="38"/>
        <v>-315194.875</v>
      </c>
      <c r="K45" s="1">
        <f t="shared" si="38"/>
        <v>-314393.875</v>
      </c>
      <c r="L45" s="1">
        <f t="shared" si="38"/>
        <v>-313349.875</v>
      </c>
      <c r="M45" s="1">
        <f t="shared" si="38"/>
        <v>-312274.875</v>
      </c>
      <c r="N45" s="1">
        <f t="shared" si="38"/>
        <v>-311087.875</v>
      </c>
      <c r="O45" s="1">
        <f t="shared" si="38"/>
        <v>-309225.875</v>
      </c>
      <c r="P45" s="1">
        <f t="shared" si="38"/>
        <v>-306762.875</v>
      </c>
      <c r="Q45" s="1"/>
      <c r="R45" s="1"/>
      <c r="S45" s="1"/>
      <c r="T45" s="23">
        <f t="shared" si="8"/>
        <v>35</v>
      </c>
      <c r="U45" t="s">
        <v>63</v>
      </c>
      <c r="W45" s="1"/>
      <c r="X45" s="1">
        <f>X36-X43-X44</f>
        <v>-24062.694833333335</v>
      </c>
      <c r="Y45" s="1">
        <f t="shared" ref="Y45:AI45" si="39">Y36-Y43-Y44</f>
        <v>-24062.694833333335</v>
      </c>
      <c r="Z45" s="1">
        <f t="shared" si="39"/>
        <v>-24062.694833333335</v>
      </c>
      <c r="AA45" s="1">
        <f t="shared" si="39"/>
        <v>-24062.694833333335</v>
      </c>
      <c r="AB45" s="1">
        <f t="shared" si="39"/>
        <v>-24062.694833333335</v>
      </c>
      <c r="AC45" s="1">
        <f t="shared" si="39"/>
        <v>-24062.694833333335</v>
      </c>
      <c r="AD45" s="1">
        <f t="shared" si="39"/>
        <v>-24062.694833333335</v>
      </c>
      <c r="AE45" s="1">
        <f t="shared" si="39"/>
        <v>-24062.694833333335</v>
      </c>
      <c r="AF45" s="1">
        <f t="shared" si="39"/>
        <v>-24062.694833333335</v>
      </c>
      <c r="AG45" s="1">
        <f t="shared" si="39"/>
        <v>-24062.694833333335</v>
      </c>
      <c r="AH45" s="1">
        <f t="shared" si="39"/>
        <v>-24062.694833333335</v>
      </c>
      <c r="AI45" s="1">
        <f t="shared" si="39"/>
        <v>-24062.694833333335</v>
      </c>
      <c r="AK45" s="15"/>
    </row>
    <row r="46" spans="1:38" x14ac:dyDescent="0.25">
      <c r="A46" s="23">
        <f t="shared" si="6"/>
        <v>36</v>
      </c>
      <c r="B46" t="s">
        <v>50</v>
      </c>
      <c r="D46" s="4"/>
      <c r="E46" s="49">
        <f t="shared" ref="E46:AI46" si="40">21%+(-5%*21%)+5%</f>
        <v>0.2495</v>
      </c>
      <c r="F46" s="49">
        <f t="shared" si="40"/>
        <v>0.2495</v>
      </c>
      <c r="G46" s="49">
        <f t="shared" si="40"/>
        <v>0.2495</v>
      </c>
      <c r="H46" s="49">
        <f t="shared" si="40"/>
        <v>0.2495</v>
      </c>
      <c r="I46" s="49">
        <f t="shared" si="40"/>
        <v>0.2495</v>
      </c>
      <c r="J46" s="49">
        <f t="shared" si="40"/>
        <v>0.2495</v>
      </c>
      <c r="K46" s="49">
        <f t="shared" si="40"/>
        <v>0.2495</v>
      </c>
      <c r="L46" s="49">
        <f t="shared" si="40"/>
        <v>0.2495</v>
      </c>
      <c r="M46" s="49">
        <f t="shared" si="40"/>
        <v>0.2495</v>
      </c>
      <c r="N46" s="49">
        <f t="shared" si="40"/>
        <v>0.2495</v>
      </c>
      <c r="O46" s="49">
        <f t="shared" si="40"/>
        <v>0.2495</v>
      </c>
      <c r="P46" s="49">
        <f t="shared" si="40"/>
        <v>0.2495</v>
      </c>
      <c r="Q46" s="37"/>
      <c r="R46" s="37"/>
      <c r="S46" s="4"/>
      <c r="T46" s="23">
        <f t="shared" si="8"/>
        <v>36</v>
      </c>
      <c r="U46" t="s">
        <v>50</v>
      </c>
      <c r="W46" s="4"/>
      <c r="X46" s="49">
        <f t="shared" si="40"/>
        <v>0.2495</v>
      </c>
      <c r="Y46" s="49">
        <f t="shared" si="40"/>
        <v>0.2495</v>
      </c>
      <c r="Z46" s="49">
        <f t="shared" si="40"/>
        <v>0.2495</v>
      </c>
      <c r="AA46" s="49">
        <f t="shared" si="40"/>
        <v>0.2495</v>
      </c>
      <c r="AB46" s="49">
        <f t="shared" si="40"/>
        <v>0.2495</v>
      </c>
      <c r="AC46" s="49">
        <f t="shared" si="40"/>
        <v>0.2495</v>
      </c>
      <c r="AD46" s="49">
        <f t="shared" si="40"/>
        <v>0.2495</v>
      </c>
      <c r="AE46" s="49">
        <f t="shared" si="40"/>
        <v>0.2495</v>
      </c>
      <c r="AF46" s="49">
        <f t="shared" si="40"/>
        <v>0.2495</v>
      </c>
      <c r="AG46" s="49">
        <f t="shared" si="40"/>
        <v>0.2495</v>
      </c>
      <c r="AH46" s="49">
        <f t="shared" si="40"/>
        <v>0.2495</v>
      </c>
      <c r="AI46" s="49">
        <f t="shared" si="40"/>
        <v>0.2495</v>
      </c>
      <c r="AK46" s="4"/>
    </row>
    <row r="47" spans="1:38" x14ac:dyDescent="0.25">
      <c r="A47" s="23">
        <f t="shared" si="6"/>
        <v>37</v>
      </c>
      <c r="B47" t="s">
        <v>52</v>
      </c>
      <c r="D47" s="1"/>
      <c r="E47" s="1">
        <f>+E45*E46</f>
        <v>-79590.468812499996</v>
      </c>
      <c r="F47" s="1">
        <f t="shared" ref="F47:P47" si="41">+F45*F46</f>
        <v>-79434.531312499996</v>
      </c>
      <c r="G47" s="1">
        <f t="shared" si="41"/>
        <v>-79205.739812500004</v>
      </c>
      <c r="H47" s="1">
        <f t="shared" si="41"/>
        <v>-78994.912312500004</v>
      </c>
      <c r="I47" s="1">
        <f t="shared" si="41"/>
        <v>-78818.765312500007</v>
      </c>
      <c r="J47" s="1">
        <f t="shared" si="41"/>
        <v>-78641.121312500007</v>
      </c>
      <c r="K47" s="1">
        <f t="shared" si="41"/>
        <v>-78441.271812499996</v>
      </c>
      <c r="L47" s="1">
        <f t="shared" si="41"/>
        <v>-78180.793812499993</v>
      </c>
      <c r="M47" s="1">
        <f t="shared" si="41"/>
        <v>-77912.581312499999</v>
      </c>
      <c r="N47" s="1">
        <f t="shared" si="41"/>
        <v>-77616.424812500001</v>
      </c>
      <c r="O47" s="1">
        <f t="shared" si="41"/>
        <v>-77151.855812499998</v>
      </c>
      <c r="P47" s="1">
        <f t="shared" si="41"/>
        <v>-76537.337312500007</v>
      </c>
      <c r="Q47" s="1"/>
      <c r="R47" s="1"/>
      <c r="S47" s="1"/>
      <c r="T47" s="23">
        <f t="shared" si="8"/>
        <v>37</v>
      </c>
      <c r="U47" t="s">
        <v>52</v>
      </c>
      <c r="W47" s="1"/>
      <c r="X47" s="1">
        <f t="shared" ref="X47" si="42">+X45*X46</f>
        <v>-6003.6423609166668</v>
      </c>
      <c r="Y47" s="1">
        <f t="shared" ref="Y47" si="43">+Y45*Y46</f>
        <v>-6003.6423609166668</v>
      </c>
      <c r="Z47" s="1">
        <f t="shared" ref="Z47" si="44">+Z45*Z46</f>
        <v>-6003.6423609166668</v>
      </c>
      <c r="AA47" s="1">
        <f t="shared" ref="AA47" si="45">+AA45*AA46</f>
        <v>-6003.6423609166668</v>
      </c>
      <c r="AB47" s="1">
        <f t="shared" ref="AB47" si="46">+AB45*AB46</f>
        <v>-6003.6423609166668</v>
      </c>
      <c r="AC47" s="1">
        <f t="shared" ref="AC47" si="47">+AC45*AC46</f>
        <v>-6003.6423609166668</v>
      </c>
      <c r="AD47" s="1">
        <f t="shared" ref="AD47" si="48">+AD45*AD46</f>
        <v>-6003.6423609166668</v>
      </c>
      <c r="AE47" s="1">
        <f t="shared" ref="AE47" si="49">+AE45*AE46</f>
        <v>-6003.6423609166668</v>
      </c>
      <c r="AF47" s="1">
        <f t="shared" ref="AF47" si="50">+AF45*AF46</f>
        <v>-6003.6423609166668</v>
      </c>
      <c r="AG47" s="1">
        <f t="shared" ref="AG47" si="51">+AG45*AG46</f>
        <v>-6003.6423609166668</v>
      </c>
      <c r="AH47" s="1">
        <f t="shared" ref="AH47" si="52">+AH45*AH46</f>
        <v>-6003.6423609166668</v>
      </c>
      <c r="AI47" s="1">
        <f t="shared" ref="AI47" si="53">+AI45*AI46</f>
        <v>-6003.6423609166668</v>
      </c>
      <c r="AK47" s="4"/>
    </row>
    <row r="48" spans="1:38" x14ac:dyDescent="0.25">
      <c r="A48" s="23">
        <f t="shared" si="6"/>
        <v>38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3">
        <f t="shared" si="8"/>
        <v>38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K48" s="4"/>
    </row>
    <row r="49" spans="4:34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4:34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4:34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4:34" x14ac:dyDescent="0.2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4:34" x14ac:dyDescent="0.2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4:34" x14ac:dyDescent="0.2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4:34" x14ac:dyDescent="0.2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4:34" x14ac:dyDescent="0.2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4:34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4:34" x14ac:dyDescent="0.2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4:34" x14ac:dyDescent="0.2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4:34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4:34" x14ac:dyDescent="0.2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4:34" x14ac:dyDescent="0.2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4:34" x14ac:dyDescent="0.2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4:34" x14ac:dyDescent="0.2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4:34" x14ac:dyDescent="0.2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4:34" x14ac:dyDescent="0.2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4:34" x14ac:dyDescent="0.2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4:34" x14ac:dyDescent="0.2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4:34" x14ac:dyDescent="0.2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4:34" x14ac:dyDescent="0.2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4:34" x14ac:dyDescent="0.2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4:34" x14ac:dyDescent="0.2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4:34" x14ac:dyDescent="0.2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4:34" x14ac:dyDescent="0.2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4:34" x14ac:dyDescent="0.2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4:34" x14ac:dyDescent="0.2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4:34" x14ac:dyDescent="0.2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4:34" x14ac:dyDescent="0.2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4:34" x14ac:dyDescent="0.2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4:34" x14ac:dyDescent="0.2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4:34" x14ac:dyDescent="0.2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4:34" x14ac:dyDescent="0.2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4:34" x14ac:dyDescent="0.2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4:34" x14ac:dyDescent="0.2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4:34" x14ac:dyDescent="0.2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4:34" x14ac:dyDescent="0.2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4:34" x14ac:dyDescent="0.2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4:34" x14ac:dyDescent="0.2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4:34" x14ac:dyDescent="0.2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4:34" x14ac:dyDescent="0.2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4:34" x14ac:dyDescent="0.2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4:34" x14ac:dyDescent="0.2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4:34" x14ac:dyDescent="0.2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4:34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4:34" x14ac:dyDescent="0.2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4:34" x14ac:dyDescent="0.2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4:34" x14ac:dyDescent="0.2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4:34" x14ac:dyDescent="0.2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4:34" x14ac:dyDescent="0.2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4:34" x14ac:dyDescent="0.2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4:34" x14ac:dyDescent="0.2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4:34" x14ac:dyDescent="0.2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4:34" x14ac:dyDescent="0.2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4:34" x14ac:dyDescent="0.2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4:34" x14ac:dyDescent="0.2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4:34" x14ac:dyDescent="0.2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4:34" x14ac:dyDescent="0.2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4:34" x14ac:dyDescent="0.2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4:34" x14ac:dyDescent="0.2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4:34" x14ac:dyDescent="0.2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4:34" x14ac:dyDescent="0.2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4:34" x14ac:dyDescent="0.2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4:34" x14ac:dyDescent="0.2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4:34" x14ac:dyDescent="0.2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4:34" x14ac:dyDescent="0.2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4:34" x14ac:dyDescent="0.2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4:34" x14ac:dyDescent="0.2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4:34" x14ac:dyDescent="0.2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4:34" x14ac:dyDescent="0.2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4:34" x14ac:dyDescent="0.2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4:34" x14ac:dyDescent="0.2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4:34" x14ac:dyDescent="0.2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4:34" x14ac:dyDescent="0.2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4:34" x14ac:dyDescent="0.2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4:34" x14ac:dyDescent="0.2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4:34" x14ac:dyDescent="0.2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4:34" x14ac:dyDescent="0.2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4:34" x14ac:dyDescent="0.2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4:34" x14ac:dyDescent="0.2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4:34" x14ac:dyDescent="0.2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4:34" x14ac:dyDescent="0.2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4:34" x14ac:dyDescent="0.2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4:34" x14ac:dyDescent="0.2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4:34" x14ac:dyDescent="0.2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4:34" x14ac:dyDescent="0.2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4:34" x14ac:dyDescent="0.2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4:34" x14ac:dyDescent="0.2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4:34" x14ac:dyDescent="0.2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4:34" x14ac:dyDescent="0.2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4:34" x14ac:dyDescent="0.2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4:34" x14ac:dyDescent="0.2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4:34" x14ac:dyDescent="0.2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4:34" x14ac:dyDescent="0.2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4:34" x14ac:dyDescent="0.2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4:34" x14ac:dyDescent="0.2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4:34" x14ac:dyDescent="0.2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4:34" x14ac:dyDescent="0.2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4:34" x14ac:dyDescent="0.2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4:34" x14ac:dyDescent="0.2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4:34" x14ac:dyDescent="0.2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4:34" x14ac:dyDescent="0.2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4:34" x14ac:dyDescent="0.2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4:34" x14ac:dyDescent="0.2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4:34" x14ac:dyDescent="0.2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4:34" x14ac:dyDescent="0.2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4:34" x14ac:dyDescent="0.2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4:34" x14ac:dyDescent="0.2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4:34" x14ac:dyDescent="0.2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4:34" x14ac:dyDescent="0.2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4:34" x14ac:dyDescent="0.2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4:34" x14ac:dyDescent="0.2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4:34" x14ac:dyDescent="0.2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4:34" x14ac:dyDescent="0.2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4:34" x14ac:dyDescent="0.2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4:34" x14ac:dyDescent="0.2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4:34" x14ac:dyDescent="0.2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4:34" x14ac:dyDescent="0.2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4:34" x14ac:dyDescent="0.2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4:34" x14ac:dyDescent="0.2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4:34" x14ac:dyDescent="0.2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4:34" x14ac:dyDescent="0.2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4:34" x14ac:dyDescent="0.2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4:34" x14ac:dyDescent="0.2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4:34" x14ac:dyDescent="0.2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</sheetData>
  <pageMargins left="0.7" right="0.7" top="0.75" bottom="0.75" header="0.3" footer="0.3"/>
  <pageSetup scale="5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74"/>
  <sheetViews>
    <sheetView topLeftCell="A2" workbookViewId="0">
      <selection activeCell="O15" sqref="O15"/>
    </sheetView>
  </sheetViews>
  <sheetFormatPr defaultRowHeight="15" x14ac:dyDescent="0.25"/>
  <cols>
    <col min="1" max="1" width="8.7109375" style="23"/>
    <col min="2" max="2" width="10.42578125" customWidth="1"/>
    <col min="3" max="3" width="29.5703125" customWidth="1"/>
    <col min="4" max="4" width="8.85546875" bestFit="1" customWidth="1"/>
    <col min="5" max="5" width="10.140625" bestFit="1" customWidth="1"/>
    <col min="6" max="7" width="10" bestFit="1" customWidth="1"/>
    <col min="8" max="8" width="11.28515625" customWidth="1"/>
    <col min="9" max="14" width="10" bestFit="1" customWidth="1"/>
    <col min="15" max="15" width="12.5703125" bestFit="1" customWidth="1"/>
    <col min="16" max="16" width="10" bestFit="1" customWidth="1"/>
    <col min="17" max="17" width="4.42578125" customWidth="1"/>
    <col min="18" max="18" width="16.42578125" bestFit="1" customWidth="1"/>
  </cols>
  <sheetData>
    <row r="1" spans="1:18" x14ac:dyDescent="0.25">
      <c r="R1" s="22" t="s">
        <v>29</v>
      </c>
    </row>
    <row r="2" spans="1:18" x14ac:dyDescent="0.25">
      <c r="R2" s="22" t="s">
        <v>55</v>
      </c>
    </row>
    <row r="3" spans="1:18" x14ac:dyDescent="0.25">
      <c r="R3" s="22" t="s">
        <v>56</v>
      </c>
    </row>
    <row r="4" spans="1:18" x14ac:dyDescent="0.25">
      <c r="R4" s="22" t="s">
        <v>87</v>
      </c>
    </row>
    <row r="5" spans="1:18" x14ac:dyDescent="0.25">
      <c r="R5" s="22"/>
    </row>
    <row r="6" spans="1:18" x14ac:dyDescent="0.25">
      <c r="I6" s="23" t="s">
        <v>41</v>
      </c>
      <c r="R6" s="22"/>
    </row>
    <row r="7" spans="1:18" x14ac:dyDescent="0.25">
      <c r="I7" s="23" t="s">
        <v>57</v>
      </c>
      <c r="R7" s="22"/>
    </row>
    <row r="8" spans="1:18" x14ac:dyDescent="0.25">
      <c r="H8" s="21"/>
    </row>
    <row r="9" spans="1:18" x14ac:dyDescent="0.25">
      <c r="D9" s="17">
        <v>2021</v>
      </c>
      <c r="E9" s="17">
        <v>2022</v>
      </c>
      <c r="F9" s="17">
        <v>2022</v>
      </c>
      <c r="G9" s="17">
        <v>2022</v>
      </c>
      <c r="H9" s="17">
        <v>2022</v>
      </c>
      <c r="I9" s="17">
        <v>2022</v>
      </c>
      <c r="J9" s="17">
        <v>2022</v>
      </c>
      <c r="K9" s="17">
        <v>2022</v>
      </c>
      <c r="L9" s="17">
        <v>2022</v>
      </c>
      <c r="M9" s="17">
        <v>2022</v>
      </c>
      <c r="N9" s="17">
        <v>2022</v>
      </c>
      <c r="O9" s="17">
        <v>2022</v>
      </c>
      <c r="P9" s="17">
        <v>2022</v>
      </c>
    </row>
    <row r="10" spans="1:18" x14ac:dyDescent="0.25">
      <c r="A10" s="23" t="s">
        <v>30</v>
      </c>
      <c r="D10" s="17" t="s">
        <v>0</v>
      </c>
      <c r="E10" s="17" t="s">
        <v>1</v>
      </c>
      <c r="F10" s="17" t="s">
        <v>2</v>
      </c>
      <c r="G10" s="17" t="s">
        <v>3</v>
      </c>
      <c r="H10" s="17" t="s">
        <v>4</v>
      </c>
      <c r="I10" s="17" t="s">
        <v>5</v>
      </c>
      <c r="J10" s="17" t="s">
        <v>6</v>
      </c>
      <c r="K10" s="17" t="s">
        <v>7</v>
      </c>
      <c r="L10" s="17" t="s">
        <v>8</v>
      </c>
      <c r="M10" s="17" t="s">
        <v>9</v>
      </c>
      <c r="N10" s="17" t="s">
        <v>10</v>
      </c>
      <c r="O10" s="17" t="s">
        <v>11</v>
      </c>
      <c r="P10" s="17" t="s">
        <v>0</v>
      </c>
      <c r="R10" t="s">
        <v>24</v>
      </c>
    </row>
    <row r="11" spans="1:18" x14ac:dyDescent="0.25">
      <c r="A11" s="23">
        <v>1</v>
      </c>
      <c r="B11" t="s">
        <v>44</v>
      </c>
      <c r="E11" s="4">
        <v>2.6442217425432919E-2</v>
      </c>
      <c r="F11" s="4">
        <v>6.4473661778878213E-2</v>
      </c>
      <c r="G11" s="4">
        <v>6.8931470832011441E-2</v>
      </c>
      <c r="H11" s="4">
        <v>5.3983263705002969E-2</v>
      </c>
      <c r="I11" s="4">
        <v>4.867181133262001E-2</v>
      </c>
      <c r="J11" s="4">
        <v>5.4857648642549731E-2</v>
      </c>
      <c r="K11" s="4">
        <v>6.1784882899805001E-2</v>
      </c>
      <c r="L11" s="4">
        <v>9.0004543312225987E-2</v>
      </c>
      <c r="M11" s="4">
        <v>6.6346361338005408E-2</v>
      </c>
      <c r="N11" s="4">
        <v>0.10630150648036059</v>
      </c>
      <c r="O11" s="4">
        <v>0.16460495165441408</v>
      </c>
      <c r="P11" s="4">
        <v>0.19359768059869364</v>
      </c>
    </row>
    <row r="12" spans="1:18" x14ac:dyDescent="0.25">
      <c r="A12" s="23">
        <f>+A11+1</f>
        <v>2</v>
      </c>
    </row>
    <row r="13" spans="1:18" x14ac:dyDescent="0.25">
      <c r="A13" s="23">
        <f t="shared" ref="A13:A47" si="0">+A12+1</f>
        <v>3</v>
      </c>
      <c r="B13" t="s">
        <v>46</v>
      </c>
      <c r="C13" t="s">
        <v>12</v>
      </c>
      <c r="D13" s="1">
        <v>0</v>
      </c>
      <c r="E13" s="1">
        <f>+D15</f>
        <v>0</v>
      </c>
      <c r="F13" s="1">
        <f t="shared" ref="F13:P13" si="1">+E15</f>
        <v>185096</v>
      </c>
      <c r="G13" s="1">
        <f t="shared" si="1"/>
        <v>636412</v>
      </c>
      <c r="H13" s="1">
        <f t="shared" si="1"/>
        <v>1118932</v>
      </c>
      <c r="I13" s="1">
        <f t="shared" si="1"/>
        <v>1496815</v>
      </c>
      <c r="J13" s="1">
        <f t="shared" si="1"/>
        <v>1837518</v>
      </c>
      <c r="K13" s="1">
        <f t="shared" si="1"/>
        <v>2221522</v>
      </c>
      <c r="L13" s="1">
        <f t="shared" si="1"/>
        <v>2654016</v>
      </c>
      <c r="M13" s="1">
        <f t="shared" si="1"/>
        <v>3284048</v>
      </c>
      <c r="N13" s="1">
        <f t="shared" si="1"/>
        <v>3748473</v>
      </c>
      <c r="O13" s="1">
        <f t="shared" si="1"/>
        <v>4492584</v>
      </c>
      <c r="P13" s="1">
        <f t="shared" si="1"/>
        <v>5644816</v>
      </c>
    </row>
    <row r="14" spans="1:18" x14ac:dyDescent="0.25">
      <c r="A14" s="23">
        <f t="shared" si="0"/>
        <v>4</v>
      </c>
      <c r="C14" t="s">
        <v>21</v>
      </c>
      <c r="D14" s="1">
        <v>0</v>
      </c>
      <c r="E14" s="1">
        <f>ROUND(E11*7000000,0)</f>
        <v>185096</v>
      </c>
      <c r="F14" s="1">
        <f t="shared" ref="F14:P14" si="2">ROUND(F11*7000000,0)</f>
        <v>451316</v>
      </c>
      <c r="G14" s="1">
        <f t="shared" si="2"/>
        <v>482520</v>
      </c>
      <c r="H14" s="1">
        <f t="shared" si="2"/>
        <v>377883</v>
      </c>
      <c r="I14" s="1">
        <f t="shared" si="2"/>
        <v>340703</v>
      </c>
      <c r="J14" s="1">
        <f t="shared" si="2"/>
        <v>384004</v>
      </c>
      <c r="K14" s="1">
        <f t="shared" si="2"/>
        <v>432494</v>
      </c>
      <c r="L14" s="1">
        <f t="shared" si="2"/>
        <v>630032</v>
      </c>
      <c r="M14" s="1">
        <f t="shared" si="2"/>
        <v>464425</v>
      </c>
      <c r="N14" s="1">
        <f t="shared" si="2"/>
        <v>744111</v>
      </c>
      <c r="O14" s="1">
        <f>ROUND(O11*7000000,0)-3</f>
        <v>1152232</v>
      </c>
      <c r="P14" s="1">
        <f t="shared" si="2"/>
        <v>1355184</v>
      </c>
    </row>
    <row r="15" spans="1:18" x14ac:dyDescent="0.25">
      <c r="A15" s="23">
        <f t="shared" si="0"/>
        <v>5</v>
      </c>
      <c r="C15" t="s">
        <v>13</v>
      </c>
      <c r="D15" s="2">
        <f t="shared" ref="D15:P15" si="3">SUM(D13:D14)</f>
        <v>0</v>
      </c>
      <c r="E15" s="2">
        <f t="shared" si="3"/>
        <v>185096</v>
      </c>
      <c r="F15" s="2">
        <f t="shared" si="3"/>
        <v>636412</v>
      </c>
      <c r="G15" s="2">
        <f t="shared" si="3"/>
        <v>1118932</v>
      </c>
      <c r="H15" s="2">
        <f t="shared" si="3"/>
        <v>1496815</v>
      </c>
      <c r="I15" s="2">
        <f t="shared" si="3"/>
        <v>1837518</v>
      </c>
      <c r="J15" s="2">
        <f t="shared" si="3"/>
        <v>2221522</v>
      </c>
      <c r="K15" s="2">
        <f t="shared" si="3"/>
        <v>2654016</v>
      </c>
      <c r="L15" s="2">
        <f t="shared" si="3"/>
        <v>3284048</v>
      </c>
      <c r="M15" s="2">
        <f t="shared" si="3"/>
        <v>3748473</v>
      </c>
      <c r="N15" s="2">
        <f t="shared" si="3"/>
        <v>4492584</v>
      </c>
      <c r="O15" s="2">
        <f t="shared" si="3"/>
        <v>5644816</v>
      </c>
      <c r="P15" s="2">
        <f t="shared" si="3"/>
        <v>7000000</v>
      </c>
    </row>
    <row r="16" spans="1:18" x14ac:dyDescent="0.25">
      <c r="A16" s="23">
        <f t="shared" si="0"/>
        <v>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8" x14ac:dyDescent="0.25">
      <c r="A17" s="23">
        <f t="shared" si="0"/>
        <v>7</v>
      </c>
      <c r="B17" t="s">
        <v>14</v>
      </c>
      <c r="D17" s="2">
        <f>+D15</f>
        <v>0</v>
      </c>
      <c r="E17" s="2">
        <f t="shared" ref="E17:P17" si="4">+E15</f>
        <v>185096</v>
      </c>
      <c r="F17" s="2">
        <f t="shared" si="4"/>
        <v>636412</v>
      </c>
      <c r="G17" s="2">
        <f t="shared" si="4"/>
        <v>1118932</v>
      </c>
      <c r="H17" s="2">
        <f t="shared" si="4"/>
        <v>1496815</v>
      </c>
      <c r="I17" s="2">
        <f t="shared" si="4"/>
        <v>1837518</v>
      </c>
      <c r="J17" s="2">
        <f t="shared" si="4"/>
        <v>2221522</v>
      </c>
      <c r="K17" s="2">
        <f t="shared" si="4"/>
        <v>2654016</v>
      </c>
      <c r="L17" s="2">
        <f t="shared" si="4"/>
        <v>3284048</v>
      </c>
      <c r="M17" s="2">
        <f t="shared" si="4"/>
        <v>3748473</v>
      </c>
      <c r="N17" s="2">
        <f t="shared" si="4"/>
        <v>4492584</v>
      </c>
      <c r="O17" s="2">
        <f t="shared" si="4"/>
        <v>5644816</v>
      </c>
      <c r="P17" s="2">
        <f t="shared" si="4"/>
        <v>7000000</v>
      </c>
      <c r="R17" s="6">
        <f>ROUND((+D17+E17+F17+G17+H17+I17+J17+K17+L17+M17+N17+O17+P17)/13,0)</f>
        <v>2640018</v>
      </c>
    </row>
    <row r="18" spans="1:18" x14ac:dyDescent="0.25">
      <c r="A18" s="23">
        <f t="shared" si="0"/>
        <v>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8" x14ac:dyDescent="0.25">
      <c r="A19" s="23">
        <f t="shared" si="0"/>
        <v>9</v>
      </c>
      <c r="B19" t="s">
        <v>17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8" x14ac:dyDescent="0.25">
      <c r="A20" s="23">
        <f t="shared" si="0"/>
        <v>10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8" x14ac:dyDescent="0.25">
      <c r="A21" s="23">
        <f t="shared" si="0"/>
        <v>11</v>
      </c>
      <c r="B21">
        <v>37600</v>
      </c>
      <c r="C21" t="s">
        <v>12</v>
      </c>
      <c r="D21" s="1">
        <v>0</v>
      </c>
      <c r="E21" s="1">
        <f>+D23</f>
        <v>0</v>
      </c>
      <c r="F21" s="1">
        <f t="shared" ref="F21:P21" si="5">+E23</f>
        <v>-134</v>
      </c>
      <c r="G21" s="1">
        <f t="shared" si="5"/>
        <v>-730</v>
      </c>
      <c r="H21" s="1">
        <f t="shared" si="5"/>
        <v>-2003</v>
      </c>
      <c r="I21" s="1">
        <f t="shared" si="5"/>
        <v>-3899</v>
      </c>
      <c r="J21" s="1">
        <f t="shared" si="5"/>
        <v>-6316</v>
      </c>
      <c r="K21" s="1">
        <f t="shared" si="5"/>
        <v>-9259</v>
      </c>
      <c r="L21" s="1">
        <f t="shared" si="5"/>
        <v>-12794</v>
      </c>
      <c r="M21" s="1">
        <f t="shared" si="5"/>
        <v>-17099</v>
      </c>
      <c r="N21" s="1">
        <f t="shared" si="5"/>
        <v>-22198</v>
      </c>
      <c r="O21" s="1">
        <f t="shared" si="5"/>
        <v>-28173</v>
      </c>
      <c r="P21" s="1">
        <f t="shared" si="5"/>
        <v>-35523</v>
      </c>
    </row>
    <row r="22" spans="1:18" x14ac:dyDescent="0.25">
      <c r="A22" s="23">
        <f t="shared" si="0"/>
        <v>12</v>
      </c>
      <c r="C22" t="s">
        <v>15</v>
      </c>
      <c r="D22" s="1">
        <f t="shared" ref="D22:N22" si="6">-D35</f>
        <v>0</v>
      </c>
      <c r="E22" s="1">
        <f t="shared" si="6"/>
        <v>-134</v>
      </c>
      <c r="F22" s="1">
        <f t="shared" si="6"/>
        <v>-596</v>
      </c>
      <c r="G22" s="1">
        <f t="shared" si="6"/>
        <v>-1273</v>
      </c>
      <c r="H22" s="1">
        <f t="shared" si="6"/>
        <v>-1896</v>
      </c>
      <c r="I22" s="1">
        <f t="shared" si="6"/>
        <v>-2417</v>
      </c>
      <c r="J22" s="1">
        <f t="shared" si="6"/>
        <v>-2943</v>
      </c>
      <c r="K22" s="1">
        <f t="shared" si="6"/>
        <v>-3535</v>
      </c>
      <c r="L22" s="1">
        <f t="shared" si="6"/>
        <v>-4305</v>
      </c>
      <c r="M22" s="1">
        <f t="shared" si="6"/>
        <v>-5099</v>
      </c>
      <c r="N22" s="1">
        <f t="shared" si="6"/>
        <v>-5975</v>
      </c>
      <c r="O22" s="1">
        <f>-O35</f>
        <v>-7350</v>
      </c>
      <c r="P22" s="1">
        <f>-P35</f>
        <v>-9167</v>
      </c>
    </row>
    <row r="23" spans="1:18" x14ac:dyDescent="0.25">
      <c r="A23" s="23">
        <f t="shared" si="0"/>
        <v>13</v>
      </c>
      <c r="C23" t="s">
        <v>16</v>
      </c>
      <c r="D23" s="1">
        <f t="shared" ref="D23:P23" si="7">SUM(D21:D22)</f>
        <v>0</v>
      </c>
      <c r="E23" s="1">
        <f t="shared" si="7"/>
        <v>-134</v>
      </c>
      <c r="F23" s="1">
        <f t="shared" si="7"/>
        <v>-730</v>
      </c>
      <c r="G23" s="1">
        <f t="shared" si="7"/>
        <v>-2003</v>
      </c>
      <c r="H23" s="1">
        <f t="shared" si="7"/>
        <v>-3899</v>
      </c>
      <c r="I23" s="1">
        <f t="shared" si="7"/>
        <v>-6316</v>
      </c>
      <c r="J23" s="1">
        <f t="shared" si="7"/>
        <v>-9259</v>
      </c>
      <c r="K23" s="1">
        <f t="shared" si="7"/>
        <v>-12794</v>
      </c>
      <c r="L23" s="1">
        <f t="shared" si="7"/>
        <v>-17099</v>
      </c>
      <c r="M23" s="1">
        <f t="shared" si="7"/>
        <v>-22198</v>
      </c>
      <c r="N23" s="1">
        <f t="shared" si="7"/>
        <v>-28173</v>
      </c>
      <c r="O23" s="1">
        <f t="shared" si="7"/>
        <v>-35523</v>
      </c>
      <c r="P23" s="1">
        <f t="shared" si="7"/>
        <v>-44690</v>
      </c>
    </row>
    <row r="24" spans="1:18" x14ac:dyDescent="0.25">
      <c r="A24" s="23">
        <f t="shared" si="0"/>
        <v>14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8" x14ac:dyDescent="0.25">
      <c r="A25" s="23">
        <f t="shared" si="0"/>
        <v>15</v>
      </c>
      <c r="B25" t="s">
        <v>18</v>
      </c>
      <c r="D25" s="1">
        <f>+D23</f>
        <v>0</v>
      </c>
      <c r="E25" s="1">
        <f t="shared" ref="E25:P25" si="8">+E23</f>
        <v>-134</v>
      </c>
      <c r="F25" s="1">
        <f t="shared" si="8"/>
        <v>-730</v>
      </c>
      <c r="G25" s="1">
        <f t="shared" si="8"/>
        <v>-2003</v>
      </c>
      <c r="H25" s="1">
        <f t="shared" si="8"/>
        <v>-3899</v>
      </c>
      <c r="I25" s="1">
        <f t="shared" si="8"/>
        <v>-6316</v>
      </c>
      <c r="J25" s="1">
        <f t="shared" si="8"/>
        <v>-9259</v>
      </c>
      <c r="K25" s="1">
        <f t="shared" si="8"/>
        <v>-12794</v>
      </c>
      <c r="L25" s="1">
        <f t="shared" si="8"/>
        <v>-17099</v>
      </c>
      <c r="M25" s="1">
        <f t="shared" si="8"/>
        <v>-22198</v>
      </c>
      <c r="N25" s="1">
        <f t="shared" si="8"/>
        <v>-28173</v>
      </c>
      <c r="O25" s="1">
        <f t="shared" si="8"/>
        <v>-35523</v>
      </c>
      <c r="P25" s="1">
        <f t="shared" si="8"/>
        <v>-44690</v>
      </c>
      <c r="R25" s="6">
        <f>ROUND((+D25+E25+F25+G25+H25+I25+J25+K25+L25+M25+N25+O25+P25)/13,0)</f>
        <v>-14063</v>
      </c>
    </row>
    <row r="26" spans="1:18" x14ac:dyDescent="0.25">
      <c r="A26" s="23">
        <f t="shared" si="0"/>
        <v>16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8" x14ac:dyDescent="0.25">
      <c r="A27" s="23">
        <f t="shared" si="0"/>
        <v>17</v>
      </c>
      <c r="B27" t="s">
        <v>20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8" x14ac:dyDescent="0.25">
      <c r="A28" s="23">
        <f t="shared" si="0"/>
        <v>18</v>
      </c>
      <c r="C28" t="s">
        <v>12</v>
      </c>
      <c r="D28" s="1">
        <v>0</v>
      </c>
      <c r="E28" s="1">
        <f>+D30</f>
        <v>0</v>
      </c>
      <c r="F28" s="1">
        <f t="shared" ref="F28:P28" si="9">+E30</f>
        <v>-55711.681468750001</v>
      </c>
      <c r="G28" s="1">
        <f t="shared" si="9"/>
        <v>-111308.0939375</v>
      </c>
      <c r="H28" s="1">
        <f t="shared" si="9"/>
        <v>-166735.59490625001</v>
      </c>
      <c r="I28" s="1">
        <f t="shared" si="9"/>
        <v>-222007.65737500001</v>
      </c>
      <c r="J28" s="1">
        <f t="shared" si="9"/>
        <v>-277149.73034374998</v>
      </c>
      <c r="K28" s="1">
        <f t="shared" si="9"/>
        <v>-332160.56631249998</v>
      </c>
      <c r="L28" s="1">
        <f t="shared" si="9"/>
        <v>-387023.69828124996</v>
      </c>
      <c r="M28" s="1">
        <f t="shared" si="9"/>
        <v>-441694.71524999995</v>
      </c>
      <c r="N28" s="1">
        <f t="shared" si="9"/>
        <v>-496167.62921874993</v>
      </c>
      <c r="O28" s="1">
        <f t="shared" si="9"/>
        <v>-550421.98118749994</v>
      </c>
      <c r="P28" s="1">
        <f t="shared" si="9"/>
        <v>-604333.27065624995</v>
      </c>
    </row>
    <row r="29" spans="1:18" x14ac:dyDescent="0.25">
      <c r="A29" s="23">
        <f t="shared" si="0"/>
        <v>19</v>
      </c>
      <c r="C29" t="s">
        <v>15</v>
      </c>
      <c r="D29" s="1"/>
      <c r="E29" s="1">
        <f t="shared" ref="E29:P29" si="10">E45*E46</f>
        <v>-55711.681468750001</v>
      </c>
      <c r="F29" s="1">
        <f t="shared" si="10"/>
        <v>-55596.412468750001</v>
      </c>
      <c r="G29" s="1">
        <f t="shared" si="10"/>
        <v>-55427.500968749999</v>
      </c>
      <c r="H29" s="1">
        <f t="shared" si="10"/>
        <v>-55272.062468750002</v>
      </c>
      <c r="I29" s="1">
        <f t="shared" si="10"/>
        <v>-55142.072968749999</v>
      </c>
      <c r="J29" s="1">
        <f t="shared" si="10"/>
        <v>-55010.835968749998</v>
      </c>
      <c r="K29" s="1">
        <f t="shared" si="10"/>
        <v>-54863.13196875</v>
      </c>
      <c r="L29" s="1">
        <f t="shared" si="10"/>
        <v>-54671.016968750002</v>
      </c>
      <c r="M29" s="1">
        <f t="shared" si="10"/>
        <v>-54472.913968749999</v>
      </c>
      <c r="N29" s="1">
        <f t="shared" si="10"/>
        <v>-54254.351968750001</v>
      </c>
      <c r="O29" s="1">
        <f t="shared" si="10"/>
        <v>-53911.289468750001</v>
      </c>
      <c r="P29" s="1">
        <f t="shared" si="10"/>
        <v>-53457.947968749999</v>
      </c>
    </row>
    <row r="30" spans="1:18" x14ac:dyDescent="0.25">
      <c r="A30" s="23">
        <f t="shared" si="0"/>
        <v>20</v>
      </c>
      <c r="C30" t="s">
        <v>16</v>
      </c>
      <c r="D30" s="2">
        <f t="shared" ref="D30:P30" si="11">SUM(D28:D29)</f>
        <v>0</v>
      </c>
      <c r="E30" s="2">
        <f t="shared" si="11"/>
        <v>-55711.681468750001</v>
      </c>
      <c r="F30" s="2">
        <f t="shared" si="11"/>
        <v>-111308.0939375</v>
      </c>
      <c r="G30" s="2">
        <f t="shared" si="11"/>
        <v>-166735.59490625001</v>
      </c>
      <c r="H30" s="2">
        <f t="shared" si="11"/>
        <v>-222007.65737500001</v>
      </c>
      <c r="I30" s="2">
        <f t="shared" si="11"/>
        <v>-277149.73034374998</v>
      </c>
      <c r="J30" s="2">
        <f t="shared" si="11"/>
        <v>-332160.56631249998</v>
      </c>
      <c r="K30" s="2">
        <f t="shared" si="11"/>
        <v>-387023.69828124996</v>
      </c>
      <c r="L30" s="2">
        <f t="shared" si="11"/>
        <v>-441694.71524999995</v>
      </c>
      <c r="M30" s="2">
        <f t="shared" si="11"/>
        <v>-496167.62921874993</v>
      </c>
      <c r="N30" s="2">
        <f t="shared" si="11"/>
        <v>-550421.98118749994</v>
      </c>
      <c r="O30" s="2">
        <f t="shared" si="11"/>
        <v>-604333.27065624995</v>
      </c>
      <c r="P30" s="16">
        <f t="shared" si="11"/>
        <v>-657791.21862499998</v>
      </c>
      <c r="R30" s="6">
        <f>ROUND((+D30+E30+F30+G30+H30+I30+J30+K30+L30+M30+N30+O30+P30)/13,0)</f>
        <v>-330962</v>
      </c>
    </row>
    <row r="31" spans="1:18" x14ac:dyDescent="0.25">
      <c r="A31" s="23">
        <f t="shared" si="0"/>
        <v>21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6"/>
      <c r="R31" s="6"/>
    </row>
    <row r="32" spans="1:18" x14ac:dyDescent="0.25">
      <c r="A32" s="23">
        <f t="shared" si="0"/>
        <v>22</v>
      </c>
      <c r="C32" t="s">
        <v>25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6"/>
      <c r="R32" s="20">
        <f>SUM(R17:R31)</f>
        <v>2294993</v>
      </c>
    </row>
    <row r="33" spans="1:18" x14ac:dyDescent="0.25">
      <c r="A33" s="23">
        <f t="shared" si="0"/>
        <v>23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8" x14ac:dyDescent="0.25">
      <c r="A34" s="23">
        <f t="shared" si="0"/>
        <v>24</v>
      </c>
      <c r="B34" t="s">
        <v>53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8" x14ac:dyDescent="0.25">
      <c r="A35" s="23">
        <f t="shared" si="0"/>
        <v>25</v>
      </c>
      <c r="B35" t="s">
        <v>46</v>
      </c>
      <c r="C35" s="4">
        <v>1.7399999999999999E-2</v>
      </c>
      <c r="D35" s="1">
        <f t="shared" ref="D35:P35" si="12">ROUND((D13+D15)/2*$C$35/12,0)</f>
        <v>0</v>
      </c>
      <c r="E35" s="1">
        <f t="shared" si="12"/>
        <v>134</v>
      </c>
      <c r="F35" s="1">
        <f t="shared" si="12"/>
        <v>596</v>
      </c>
      <c r="G35" s="1">
        <f t="shared" si="12"/>
        <v>1273</v>
      </c>
      <c r="H35" s="1">
        <f t="shared" si="12"/>
        <v>1896</v>
      </c>
      <c r="I35" s="1">
        <f t="shared" si="12"/>
        <v>2417</v>
      </c>
      <c r="J35" s="1">
        <f t="shared" si="12"/>
        <v>2943</v>
      </c>
      <c r="K35" s="1">
        <f t="shared" si="12"/>
        <v>3535</v>
      </c>
      <c r="L35" s="1">
        <f t="shared" si="12"/>
        <v>4305</v>
      </c>
      <c r="M35" s="1">
        <f t="shared" si="12"/>
        <v>5099</v>
      </c>
      <c r="N35" s="1">
        <f t="shared" si="12"/>
        <v>5975</v>
      </c>
      <c r="O35" s="1">
        <f t="shared" si="12"/>
        <v>7350</v>
      </c>
      <c r="P35" s="1">
        <f t="shared" si="12"/>
        <v>9167</v>
      </c>
    </row>
    <row r="36" spans="1:18" ht="15.75" thickBot="1" x14ac:dyDescent="0.3">
      <c r="A36" s="23">
        <f t="shared" si="0"/>
        <v>26</v>
      </c>
      <c r="B36" t="s">
        <v>19</v>
      </c>
      <c r="D36" s="5">
        <f t="shared" ref="D36:P36" si="13">SUM(D35:D35)</f>
        <v>0</v>
      </c>
      <c r="E36" s="5">
        <f t="shared" si="13"/>
        <v>134</v>
      </c>
      <c r="F36" s="5">
        <f t="shared" si="13"/>
        <v>596</v>
      </c>
      <c r="G36" s="5">
        <f t="shared" si="13"/>
        <v>1273</v>
      </c>
      <c r="H36" s="5">
        <f t="shared" si="13"/>
        <v>1896</v>
      </c>
      <c r="I36" s="5">
        <f t="shared" si="13"/>
        <v>2417</v>
      </c>
      <c r="J36" s="5">
        <f t="shared" si="13"/>
        <v>2943</v>
      </c>
      <c r="K36" s="5">
        <f t="shared" si="13"/>
        <v>3535</v>
      </c>
      <c r="L36" s="5">
        <f t="shared" si="13"/>
        <v>4305</v>
      </c>
      <c r="M36" s="5">
        <f t="shared" si="13"/>
        <v>5099</v>
      </c>
      <c r="N36" s="5">
        <f t="shared" si="13"/>
        <v>5975</v>
      </c>
      <c r="O36" s="5">
        <f t="shared" si="13"/>
        <v>7350</v>
      </c>
      <c r="P36" s="5">
        <f t="shared" si="13"/>
        <v>9167</v>
      </c>
      <c r="R36" s="19">
        <f>SUM(D36:P36)</f>
        <v>44690</v>
      </c>
    </row>
    <row r="37" spans="1:18" ht="15.75" thickTop="1" x14ac:dyDescent="0.25">
      <c r="A37" s="23">
        <f t="shared" si="0"/>
        <v>27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23">
        <f t="shared" si="0"/>
        <v>28</v>
      </c>
      <c r="B38" t="s">
        <v>54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23">
        <f t="shared" si="0"/>
        <v>29</v>
      </c>
      <c r="B39" t="s">
        <v>33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75" thickBot="1" x14ac:dyDescent="0.3">
      <c r="A40" s="23">
        <f t="shared" si="0"/>
        <v>30</v>
      </c>
      <c r="B40" t="s">
        <v>32</v>
      </c>
      <c r="D40" s="5">
        <f t="shared" ref="D40:P40" si="14">SUM(D39:D39)</f>
        <v>0</v>
      </c>
      <c r="E40" s="5">
        <f t="shared" si="14"/>
        <v>0</v>
      </c>
      <c r="F40" s="5">
        <f t="shared" si="14"/>
        <v>0</v>
      </c>
      <c r="G40" s="5">
        <f t="shared" si="14"/>
        <v>0</v>
      </c>
      <c r="H40" s="5">
        <f t="shared" si="14"/>
        <v>0</v>
      </c>
      <c r="I40" s="5">
        <f t="shared" si="14"/>
        <v>0</v>
      </c>
      <c r="J40" s="5">
        <f t="shared" si="14"/>
        <v>0</v>
      </c>
      <c r="K40" s="5">
        <f t="shared" si="14"/>
        <v>0</v>
      </c>
      <c r="L40" s="5">
        <f t="shared" si="14"/>
        <v>0</v>
      </c>
      <c r="M40" s="5">
        <f t="shared" si="14"/>
        <v>0</v>
      </c>
      <c r="N40" s="5">
        <f t="shared" si="14"/>
        <v>0</v>
      </c>
      <c r="O40" s="5">
        <f t="shared" si="14"/>
        <v>0</v>
      </c>
      <c r="P40" s="5">
        <f t="shared" si="14"/>
        <v>0</v>
      </c>
      <c r="Q40" s="18"/>
      <c r="R40" s="19">
        <f>SUM(D40:P40)</f>
        <v>0</v>
      </c>
    </row>
    <row r="41" spans="1:18" ht="15.75" thickTop="1" x14ac:dyDescent="0.25">
      <c r="A41" s="23">
        <f t="shared" si="0"/>
        <v>31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23">
        <f t="shared" si="0"/>
        <v>32</v>
      </c>
      <c r="B42" t="s">
        <v>51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R42" s="36"/>
    </row>
    <row r="43" spans="1:18" x14ac:dyDescent="0.25">
      <c r="A43" s="23">
        <f t="shared" si="0"/>
        <v>33</v>
      </c>
      <c r="B43" t="s">
        <v>58</v>
      </c>
      <c r="D43" s="1"/>
      <c r="E43" s="1">
        <f>(($P$15-($P$15*0.35898))*'MACRS HY MQ'!$H$14/12)</f>
        <v>14022.3125</v>
      </c>
      <c r="F43" s="1">
        <f>(($P$15-($P$15*0.35898))*'MACRS HY MQ'!$H$14/12)</f>
        <v>14022.3125</v>
      </c>
      <c r="G43" s="1">
        <f>(($P$15-($P$15*0.35898))*'MACRS HY MQ'!$H$14/12)</f>
        <v>14022.3125</v>
      </c>
      <c r="H43" s="1">
        <f>(($P$15-($P$15*0.35898))*'MACRS HY MQ'!$H$14/12)</f>
        <v>14022.3125</v>
      </c>
      <c r="I43" s="1">
        <f>(($P$15-($P$15*0.35898))*'MACRS HY MQ'!$H$14/12)</f>
        <v>14022.3125</v>
      </c>
      <c r="J43" s="1">
        <f>(($P$15-($P$15*0.35898))*'MACRS HY MQ'!$H$14/12)</f>
        <v>14022.3125</v>
      </c>
      <c r="K43" s="1">
        <f>(($P$15-($P$15*0.35898))*'MACRS HY MQ'!$H$14/12)</f>
        <v>14022.3125</v>
      </c>
      <c r="L43" s="1">
        <f>(($P$15-($P$15*0.35898))*'MACRS HY MQ'!$H$14/12)</f>
        <v>14022.3125</v>
      </c>
      <c r="M43" s="1">
        <f>(($P$15-($P$15*0.35898))*'MACRS HY MQ'!$H$14/12)</f>
        <v>14022.3125</v>
      </c>
      <c r="N43" s="1">
        <f>(($P$15-($P$15*0.35898))*'MACRS HY MQ'!$H$14/12)</f>
        <v>14022.3125</v>
      </c>
      <c r="O43" s="1">
        <f>(($P$15-($P$15*0.35898))*'MACRS HY MQ'!$H$14/12)</f>
        <v>14022.3125</v>
      </c>
      <c r="P43" s="1">
        <f>(($P$15-($P$15*0.35898))*'MACRS HY MQ'!$H$14/12)</f>
        <v>14022.3125</v>
      </c>
    </row>
    <row r="44" spans="1:18" x14ac:dyDescent="0.25">
      <c r="A44" s="23">
        <f t="shared" si="0"/>
        <v>34</v>
      </c>
      <c r="B44" t="s">
        <v>61</v>
      </c>
      <c r="D44" s="1"/>
      <c r="E44" s="1">
        <f>$P$15*0.35898/12</f>
        <v>209405</v>
      </c>
      <c r="F44" s="1">
        <f t="shared" ref="F44:P44" si="15">$P$15*0.35898/12</f>
        <v>209405</v>
      </c>
      <c r="G44" s="1">
        <f t="shared" si="15"/>
        <v>209405</v>
      </c>
      <c r="H44" s="1">
        <f t="shared" si="15"/>
        <v>209405</v>
      </c>
      <c r="I44" s="1">
        <f t="shared" si="15"/>
        <v>209405</v>
      </c>
      <c r="J44" s="1">
        <f t="shared" si="15"/>
        <v>209405</v>
      </c>
      <c r="K44" s="1">
        <f t="shared" si="15"/>
        <v>209405</v>
      </c>
      <c r="L44" s="1">
        <f t="shared" si="15"/>
        <v>209405</v>
      </c>
      <c r="M44" s="1">
        <f t="shared" si="15"/>
        <v>209405</v>
      </c>
      <c r="N44" s="1">
        <f t="shared" si="15"/>
        <v>209405</v>
      </c>
      <c r="O44" s="1">
        <f t="shared" si="15"/>
        <v>209405</v>
      </c>
      <c r="P44" s="1">
        <f t="shared" si="15"/>
        <v>209405</v>
      </c>
    </row>
    <row r="45" spans="1:18" x14ac:dyDescent="0.25">
      <c r="A45" s="23">
        <f t="shared" si="0"/>
        <v>35</v>
      </c>
      <c r="B45" t="s">
        <v>63</v>
      </c>
      <c r="D45" s="1"/>
      <c r="E45" s="1">
        <f>E36-E43-E44</f>
        <v>-223293.3125</v>
      </c>
      <c r="F45" s="1">
        <f t="shared" ref="F45:P45" si="16">F36-F43-F44</f>
        <v>-222831.3125</v>
      </c>
      <c r="G45" s="1">
        <f t="shared" si="16"/>
        <v>-222154.3125</v>
      </c>
      <c r="H45" s="1">
        <f t="shared" si="16"/>
        <v>-221531.3125</v>
      </c>
      <c r="I45" s="1">
        <f t="shared" si="16"/>
        <v>-221010.3125</v>
      </c>
      <c r="J45" s="1">
        <f t="shared" si="16"/>
        <v>-220484.3125</v>
      </c>
      <c r="K45" s="1">
        <f t="shared" si="16"/>
        <v>-219892.3125</v>
      </c>
      <c r="L45" s="1">
        <f t="shared" si="16"/>
        <v>-219122.3125</v>
      </c>
      <c r="M45" s="1">
        <f t="shared" si="16"/>
        <v>-218328.3125</v>
      </c>
      <c r="N45" s="1">
        <f t="shared" si="16"/>
        <v>-217452.3125</v>
      </c>
      <c r="O45" s="1">
        <f t="shared" si="16"/>
        <v>-216077.3125</v>
      </c>
      <c r="P45" s="1">
        <f t="shared" si="16"/>
        <v>-214260.3125</v>
      </c>
    </row>
    <row r="46" spans="1:18" x14ac:dyDescent="0.25">
      <c r="A46" s="23">
        <f t="shared" si="0"/>
        <v>36</v>
      </c>
      <c r="B46" t="s">
        <v>50</v>
      </c>
      <c r="D46" s="4"/>
      <c r="E46" s="49">
        <f t="shared" ref="E46:P46" si="17">21%+(-5%*21%)+5%</f>
        <v>0.2495</v>
      </c>
      <c r="F46" s="49">
        <f t="shared" si="17"/>
        <v>0.2495</v>
      </c>
      <c r="G46" s="49">
        <f t="shared" si="17"/>
        <v>0.2495</v>
      </c>
      <c r="H46" s="49">
        <f t="shared" si="17"/>
        <v>0.2495</v>
      </c>
      <c r="I46" s="49">
        <f t="shared" si="17"/>
        <v>0.2495</v>
      </c>
      <c r="J46" s="49">
        <f t="shared" si="17"/>
        <v>0.2495</v>
      </c>
      <c r="K46" s="49">
        <f t="shared" si="17"/>
        <v>0.2495</v>
      </c>
      <c r="L46" s="49">
        <f t="shared" si="17"/>
        <v>0.2495</v>
      </c>
      <c r="M46" s="49">
        <f t="shared" si="17"/>
        <v>0.2495</v>
      </c>
      <c r="N46" s="49">
        <f t="shared" si="17"/>
        <v>0.2495</v>
      </c>
      <c r="O46" s="49">
        <f t="shared" si="17"/>
        <v>0.2495</v>
      </c>
      <c r="P46" s="49">
        <f t="shared" si="17"/>
        <v>0.2495</v>
      </c>
    </row>
    <row r="47" spans="1:18" x14ac:dyDescent="0.25">
      <c r="A47" s="23">
        <f t="shared" si="0"/>
        <v>37</v>
      </c>
      <c r="B47" t="s">
        <v>52</v>
      </c>
      <c r="D47" s="1"/>
      <c r="E47" s="1">
        <f>+E45*E46</f>
        <v>-55711.681468750001</v>
      </c>
      <c r="F47" s="1">
        <f t="shared" ref="F47:P47" si="18">+F45*F46</f>
        <v>-55596.412468750001</v>
      </c>
      <c r="G47" s="1">
        <f t="shared" si="18"/>
        <v>-55427.500968749999</v>
      </c>
      <c r="H47" s="1">
        <f t="shared" si="18"/>
        <v>-55272.062468750002</v>
      </c>
      <c r="I47" s="1">
        <f t="shared" si="18"/>
        <v>-55142.072968749999</v>
      </c>
      <c r="J47" s="1">
        <f t="shared" si="18"/>
        <v>-55010.835968749998</v>
      </c>
      <c r="K47" s="1">
        <f t="shared" si="18"/>
        <v>-54863.13196875</v>
      </c>
      <c r="L47" s="1">
        <f t="shared" si="18"/>
        <v>-54671.016968750002</v>
      </c>
      <c r="M47" s="1">
        <f t="shared" si="18"/>
        <v>-54472.913968749999</v>
      </c>
      <c r="N47" s="1">
        <f t="shared" si="18"/>
        <v>-54254.351968750001</v>
      </c>
      <c r="O47" s="1">
        <f t="shared" si="18"/>
        <v>-53911.289468750001</v>
      </c>
      <c r="P47" s="1">
        <f t="shared" si="18"/>
        <v>-53457.947968749999</v>
      </c>
    </row>
    <row r="48" spans="1:18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4:16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4:16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4:16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4:16" x14ac:dyDescent="0.2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4:16" x14ac:dyDescent="0.2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4:16" x14ac:dyDescent="0.2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4:16" x14ac:dyDescent="0.2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4:16" x14ac:dyDescent="0.2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4:16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4:16" x14ac:dyDescent="0.2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4:16" x14ac:dyDescent="0.2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4:16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4:16" x14ac:dyDescent="0.2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4:16" x14ac:dyDescent="0.2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4:16" x14ac:dyDescent="0.2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4:16" x14ac:dyDescent="0.2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4:16" x14ac:dyDescent="0.2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4:16" x14ac:dyDescent="0.2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4:16" x14ac:dyDescent="0.2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4:16" x14ac:dyDescent="0.2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4:16" x14ac:dyDescent="0.2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4:16" x14ac:dyDescent="0.2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4:16" x14ac:dyDescent="0.2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4:16" x14ac:dyDescent="0.2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4:16" x14ac:dyDescent="0.2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4:16" x14ac:dyDescent="0.2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4:16" x14ac:dyDescent="0.2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4:16" x14ac:dyDescent="0.2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4:16" x14ac:dyDescent="0.2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4:16" x14ac:dyDescent="0.2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4:16" x14ac:dyDescent="0.2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4:16" x14ac:dyDescent="0.2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4:16" x14ac:dyDescent="0.2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4:16" x14ac:dyDescent="0.2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4:16" x14ac:dyDescent="0.2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4:16" x14ac:dyDescent="0.2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4:16" x14ac:dyDescent="0.2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4:16" x14ac:dyDescent="0.2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4:16" x14ac:dyDescent="0.2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4:16" x14ac:dyDescent="0.2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4:16" x14ac:dyDescent="0.2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4:16" x14ac:dyDescent="0.2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4:16" x14ac:dyDescent="0.2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4:16" x14ac:dyDescent="0.2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4:16" x14ac:dyDescent="0.2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4:16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4:16" x14ac:dyDescent="0.2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4:16" x14ac:dyDescent="0.2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4:16" x14ac:dyDescent="0.2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4:16" x14ac:dyDescent="0.2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4:16" x14ac:dyDescent="0.2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4:16" x14ac:dyDescent="0.2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4:16" x14ac:dyDescent="0.2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4:16" x14ac:dyDescent="0.2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4:16" x14ac:dyDescent="0.2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4:16" x14ac:dyDescent="0.2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4:16" x14ac:dyDescent="0.2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4:16" x14ac:dyDescent="0.2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4:16" x14ac:dyDescent="0.2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4:16" x14ac:dyDescent="0.2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4:16" x14ac:dyDescent="0.2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4:16" x14ac:dyDescent="0.2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4:16" x14ac:dyDescent="0.2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4:16" x14ac:dyDescent="0.2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4:16" x14ac:dyDescent="0.2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4:16" x14ac:dyDescent="0.2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4:16" x14ac:dyDescent="0.2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4:16" x14ac:dyDescent="0.2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4:16" x14ac:dyDescent="0.2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4:16" x14ac:dyDescent="0.2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4:16" x14ac:dyDescent="0.2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4:16" x14ac:dyDescent="0.2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4:16" x14ac:dyDescent="0.2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4:16" x14ac:dyDescent="0.2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4:16" x14ac:dyDescent="0.2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4:16" x14ac:dyDescent="0.2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4:16" x14ac:dyDescent="0.2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4:16" x14ac:dyDescent="0.2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4:16" x14ac:dyDescent="0.2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4:16" x14ac:dyDescent="0.2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4:16" x14ac:dyDescent="0.2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4:16" x14ac:dyDescent="0.2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4:16" x14ac:dyDescent="0.2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4:16" x14ac:dyDescent="0.2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4:16" x14ac:dyDescent="0.2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4:16" x14ac:dyDescent="0.2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4:16" x14ac:dyDescent="0.2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4:16" x14ac:dyDescent="0.2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4:16" x14ac:dyDescent="0.2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4:16" x14ac:dyDescent="0.2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4:16" x14ac:dyDescent="0.2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4:16" x14ac:dyDescent="0.2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4:16" x14ac:dyDescent="0.2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4:16" x14ac:dyDescent="0.2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4:16" x14ac:dyDescent="0.2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4:16" x14ac:dyDescent="0.2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4:16" x14ac:dyDescent="0.2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4:16" x14ac:dyDescent="0.2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4:16" x14ac:dyDescent="0.2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4:16" x14ac:dyDescent="0.2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4:16" x14ac:dyDescent="0.2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4:16" x14ac:dyDescent="0.2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4:16" x14ac:dyDescent="0.2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4:16" x14ac:dyDescent="0.2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4:16" x14ac:dyDescent="0.2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4:16" x14ac:dyDescent="0.2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4:16" x14ac:dyDescent="0.2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4:16" x14ac:dyDescent="0.2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4:16" x14ac:dyDescent="0.2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4:16" x14ac:dyDescent="0.2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4:16" x14ac:dyDescent="0.2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4:16" x14ac:dyDescent="0.2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4:16" x14ac:dyDescent="0.2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4:16" x14ac:dyDescent="0.2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4:16" x14ac:dyDescent="0.2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4:16" x14ac:dyDescent="0.2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4:16" x14ac:dyDescent="0.2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4:16" x14ac:dyDescent="0.2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4:16" x14ac:dyDescent="0.2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4:16" x14ac:dyDescent="0.2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4:16" x14ac:dyDescent="0.2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4:16" x14ac:dyDescent="0.2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4:16" x14ac:dyDescent="0.2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4:16" x14ac:dyDescent="0.2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4:16" x14ac:dyDescent="0.2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4:16" x14ac:dyDescent="0.2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</sheetData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G1:I37"/>
  <sheetViews>
    <sheetView workbookViewId="0">
      <selection activeCell="C42" sqref="C42"/>
    </sheetView>
  </sheetViews>
  <sheetFormatPr defaultRowHeight="15" x14ac:dyDescent="0.25"/>
  <sheetData>
    <row r="1" spans="7:9" x14ac:dyDescent="0.25">
      <c r="G1" s="8"/>
      <c r="H1" s="8"/>
      <c r="I1" s="22" t="s">
        <v>29</v>
      </c>
    </row>
    <row r="2" spans="7:9" x14ac:dyDescent="0.25">
      <c r="G2" s="8"/>
      <c r="H2" s="8"/>
      <c r="I2" s="22" t="s">
        <v>55</v>
      </c>
    </row>
    <row r="3" spans="7:9" x14ac:dyDescent="0.25">
      <c r="G3" s="8"/>
      <c r="H3" s="8"/>
      <c r="I3" s="22" t="s">
        <v>56</v>
      </c>
    </row>
    <row r="4" spans="7:9" x14ac:dyDescent="0.25">
      <c r="G4" s="8"/>
      <c r="H4" s="8"/>
      <c r="I4" s="22" t="s">
        <v>86</v>
      </c>
    </row>
    <row r="5" spans="7:9" x14ac:dyDescent="0.25">
      <c r="G5" s="8"/>
      <c r="H5" s="8"/>
    </row>
    <row r="6" spans="7:9" x14ac:dyDescent="0.25">
      <c r="G6" s="8"/>
      <c r="H6" s="8"/>
    </row>
    <row r="7" spans="7:9" x14ac:dyDescent="0.25">
      <c r="G7" s="23" t="s">
        <v>41</v>
      </c>
      <c r="H7" s="8"/>
    </row>
    <row r="8" spans="7:9" x14ac:dyDescent="0.25">
      <c r="G8" s="50" t="s">
        <v>60</v>
      </c>
      <c r="H8" s="8"/>
    </row>
    <row r="9" spans="7:9" x14ac:dyDescent="0.25">
      <c r="G9" s="8"/>
      <c r="H9" s="8"/>
    </row>
    <row r="10" spans="7:9" x14ac:dyDescent="0.25">
      <c r="G10" s="8"/>
      <c r="H10" s="8"/>
    </row>
    <row r="11" spans="7:9" x14ac:dyDescent="0.25">
      <c r="G11" s="9"/>
      <c r="H11" s="9"/>
    </row>
    <row r="12" spans="7:9" x14ac:dyDescent="0.25">
      <c r="G12" s="53" t="s">
        <v>22</v>
      </c>
      <c r="H12" s="27"/>
    </row>
    <row r="13" spans="7:9" x14ac:dyDescent="0.25">
      <c r="G13" s="53"/>
      <c r="H13" s="10" t="s">
        <v>23</v>
      </c>
    </row>
    <row r="14" spans="7:9" x14ac:dyDescent="0.25">
      <c r="G14" s="11">
        <v>1</v>
      </c>
      <c r="H14" s="12">
        <v>3.7499999999999999E-2</v>
      </c>
    </row>
    <row r="15" spans="7:9" x14ac:dyDescent="0.25">
      <c r="G15" s="11">
        <f>G14+1</f>
        <v>2</v>
      </c>
      <c r="H15" s="12">
        <v>7.2190000000000004E-2</v>
      </c>
    </row>
    <row r="16" spans="7:9" x14ac:dyDescent="0.25">
      <c r="G16" s="11">
        <f t="shared" ref="G16:G36" si="0">G15+1</f>
        <v>3</v>
      </c>
      <c r="H16" s="12">
        <v>6.6769999999999996E-2</v>
      </c>
    </row>
    <row r="17" spans="7:8" x14ac:dyDescent="0.25">
      <c r="G17" s="11">
        <f t="shared" si="0"/>
        <v>4</v>
      </c>
      <c r="H17" s="12">
        <v>6.1769999999999999E-2</v>
      </c>
    </row>
    <row r="18" spans="7:8" x14ac:dyDescent="0.25">
      <c r="G18" s="11">
        <f t="shared" si="0"/>
        <v>5</v>
      </c>
      <c r="H18" s="12">
        <v>5.713E-2</v>
      </c>
    </row>
    <row r="19" spans="7:8" x14ac:dyDescent="0.25">
      <c r="G19" s="11">
        <f t="shared" si="0"/>
        <v>6</v>
      </c>
      <c r="H19" s="12">
        <v>5.2850000000000001E-2</v>
      </c>
    </row>
    <row r="20" spans="7:8" x14ac:dyDescent="0.25">
      <c r="G20" s="11">
        <f t="shared" si="0"/>
        <v>7</v>
      </c>
      <c r="H20" s="12">
        <v>4.888E-2</v>
      </c>
    </row>
    <row r="21" spans="7:8" x14ac:dyDescent="0.25">
      <c r="G21" s="11">
        <f t="shared" si="0"/>
        <v>8</v>
      </c>
      <c r="H21" s="12">
        <v>4.5220000000000003E-2</v>
      </c>
    </row>
    <row r="22" spans="7:8" x14ac:dyDescent="0.25">
      <c r="G22" s="11">
        <f t="shared" si="0"/>
        <v>9</v>
      </c>
      <c r="H22" s="12">
        <v>4.462E-2</v>
      </c>
    </row>
    <row r="23" spans="7:8" x14ac:dyDescent="0.25">
      <c r="G23" s="11">
        <f t="shared" si="0"/>
        <v>10</v>
      </c>
      <c r="H23" s="12">
        <v>4.4609999999999997E-2</v>
      </c>
    </row>
    <row r="24" spans="7:8" x14ac:dyDescent="0.25">
      <c r="G24" s="11">
        <f t="shared" si="0"/>
        <v>11</v>
      </c>
      <c r="H24" s="12">
        <v>4.462E-2</v>
      </c>
    </row>
    <row r="25" spans="7:8" x14ac:dyDescent="0.25">
      <c r="G25" s="11">
        <f t="shared" si="0"/>
        <v>12</v>
      </c>
      <c r="H25" s="12">
        <v>4.4609999999999997E-2</v>
      </c>
    </row>
    <row r="26" spans="7:8" x14ac:dyDescent="0.25">
      <c r="G26" s="11">
        <f t="shared" si="0"/>
        <v>13</v>
      </c>
      <c r="H26" s="12">
        <v>4.462E-2</v>
      </c>
    </row>
    <row r="27" spans="7:8" x14ac:dyDescent="0.25">
      <c r="G27" s="11">
        <f t="shared" si="0"/>
        <v>14</v>
      </c>
      <c r="H27" s="12">
        <v>4.4609999999999997E-2</v>
      </c>
    </row>
    <row r="28" spans="7:8" x14ac:dyDescent="0.25">
      <c r="G28" s="11">
        <f t="shared" si="0"/>
        <v>15</v>
      </c>
      <c r="H28" s="12">
        <v>4.462E-2</v>
      </c>
    </row>
    <row r="29" spans="7:8" x14ac:dyDescent="0.25">
      <c r="G29" s="11">
        <f t="shared" si="0"/>
        <v>16</v>
      </c>
      <c r="H29" s="12">
        <v>4.4609999999999997E-2</v>
      </c>
    </row>
    <row r="30" spans="7:8" x14ac:dyDescent="0.25">
      <c r="G30" s="11">
        <f t="shared" si="0"/>
        <v>17</v>
      </c>
      <c r="H30" s="12">
        <v>4.462E-2</v>
      </c>
    </row>
    <row r="31" spans="7:8" x14ac:dyDescent="0.25">
      <c r="G31" s="11">
        <f t="shared" si="0"/>
        <v>18</v>
      </c>
      <c r="H31" s="12">
        <v>4.4609999999999997E-2</v>
      </c>
    </row>
    <row r="32" spans="7:8" x14ac:dyDescent="0.25">
      <c r="G32" s="11">
        <f t="shared" si="0"/>
        <v>19</v>
      </c>
      <c r="H32" s="12">
        <v>4.462E-2</v>
      </c>
    </row>
    <row r="33" spans="7:8" x14ac:dyDescent="0.25">
      <c r="G33" s="11">
        <f t="shared" si="0"/>
        <v>20</v>
      </c>
      <c r="H33" s="12">
        <v>4.4609999999999997E-2</v>
      </c>
    </row>
    <row r="34" spans="7:8" x14ac:dyDescent="0.25">
      <c r="G34" s="11">
        <f t="shared" si="0"/>
        <v>21</v>
      </c>
      <c r="H34" s="12">
        <v>2.231E-2</v>
      </c>
    </row>
    <row r="35" spans="7:8" x14ac:dyDescent="0.25">
      <c r="G35" s="11">
        <f t="shared" si="0"/>
        <v>22</v>
      </c>
      <c r="H35" s="13"/>
    </row>
    <row r="36" spans="7:8" ht="15.75" thickBot="1" x14ac:dyDescent="0.3">
      <c r="G36" s="11">
        <f t="shared" si="0"/>
        <v>23</v>
      </c>
      <c r="H36" s="25">
        <f t="shared" ref="H36" si="1">SUM(H14:H35)</f>
        <v>1.0000000000000002</v>
      </c>
    </row>
    <row r="37" spans="7:8" ht="15.75" thickTop="1" x14ac:dyDescent="0.25"/>
  </sheetData>
  <mergeCells count="1">
    <mergeCell ref="G12:G13"/>
  </mergeCells>
  <pageMargins left="0.7" right="0.7" top="0.75" bottom="0.75" header="0.3" footer="0.3"/>
  <pageSetup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9"/>
  <sheetViews>
    <sheetView tabSelected="1" workbookViewId="0">
      <selection activeCell="I31" sqref="I31"/>
    </sheetView>
  </sheetViews>
  <sheetFormatPr defaultRowHeight="15" x14ac:dyDescent="0.25"/>
  <cols>
    <col min="2" max="2" width="20.5703125" customWidth="1"/>
    <col min="3" max="3" width="9.140625" customWidth="1"/>
    <col min="4" max="4" width="7.85546875" bestFit="1" customWidth="1"/>
    <col min="5" max="5" width="10.5703125" bestFit="1" customWidth="1"/>
    <col min="6" max="6" width="11.7109375" bestFit="1" customWidth="1"/>
    <col min="7" max="7" width="10.42578125" bestFit="1" customWidth="1"/>
  </cols>
  <sheetData>
    <row r="1" spans="2:8" x14ac:dyDescent="0.25">
      <c r="H1" s="22" t="s">
        <v>29</v>
      </c>
    </row>
    <row r="2" spans="2:8" x14ac:dyDescent="0.25">
      <c r="H2" s="22" t="s">
        <v>55</v>
      </c>
    </row>
    <row r="3" spans="2:8" x14ac:dyDescent="0.25">
      <c r="H3" s="22" t="s">
        <v>56</v>
      </c>
    </row>
    <row r="4" spans="2:8" x14ac:dyDescent="0.25">
      <c r="H4" s="22" t="s">
        <v>85</v>
      </c>
    </row>
    <row r="6" spans="2:8" x14ac:dyDescent="0.25">
      <c r="E6" s="17" t="s">
        <v>41</v>
      </c>
    </row>
    <row r="7" spans="2:8" x14ac:dyDescent="0.25">
      <c r="E7" s="17" t="s">
        <v>84</v>
      </c>
    </row>
    <row r="11" spans="2:8" x14ac:dyDescent="0.25">
      <c r="D11" s="52" t="s">
        <v>71</v>
      </c>
      <c r="E11" s="52" t="s">
        <v>72</v>
      </c>
      <c r="F11" s="52" t="s">
        <v>73</v>
      </c>
      <c r="G11" s="52" t="s">
        <v>74</v>
      </c>
    </row>
    <row r="12" spans="2:8" x14ac:dyDescent="0.25">
      <c r="D12" s="44" t="s">
        <v>75</v>
      </c>
      <c r="E12" s="44" t="s">
        <v>82</v>
      </c>
      <c r="F12" s="44" t="s">
        <v>76</v>
      </c>
      <c r="G12" s="44" t="s">
        <v>77</v>
      </c>
    </row>
    <row r="14" spans="2:8" x14ac:dyDescent="0.25">
      <c r="B14" t="s">
        <v>81</v>
      </c>
    </row>
    <row r="15" spans="2:8" x14ac:dyDescent="0.25">
      <c r="B15" t="s">
        <v>78</v>
      </c>
      <c r="D15" s="4">
        <v>3.1099999999999999E-2</v>
      </c>
      <c r="E15" s="4">
        <v>1.2999999999999999E-2</v>
      </c>
      <c r="F15" s="4">
        <v>4.0000000000000002E-4</v>
      </c>
      <c r="G15" s="4">
        <v>4.0252800000000009E-4</v>
      </c>
    </row>
    <row r="16" spans="2:8" x14ac:dyDescent="0.25">
      <c r="B16" t="s">
        <v>79</v>
      </c>
      <c r="D16" s="4">
        <v>0.4425</v>
      </c>
      <c r="E16" s="4">
        <v>4.3700000000000003E-2</v>
      </c>
      <c r="F16" s="4">
        <v>1.9300000000000001E-2</v>
      </c>
      <c r="G16" s="4">
        <v>1.9421976000000004E-2</v>
      </c>
    </row>
    <row r="17" spans="2:7" x14ac:dyDescent="0.25">
      <c r="B17" t="s">
        <v>80</v>
      </c>
      <c r="D17" s="49">
        <v>0.52639999999999998</v>
      </c>
      <c r="E17" s="49">
        <v>0.10299999999999999</v>
      </c>
      <c r="F17" s="49">
        <v>5.4199999999999998E-2</v>
      </c>
      <c r="G17" s="49">
        <v>7.2674937199999998E-2</v>
      </c>
    </row>
    <row r="18" spans="2:7" ht="15.75" thickBot="1" x14ac:dyDescent="0.3">
      <c r="B18" t="s">
        <v>83</v>
      </c>
      <c r="D18" s="51">
        <v>1</v>
      </c>
      <c r="F18" s="51">
        <v>7.3899999999999993E-2</v>
      </c>
      <c r="G18" s="51">
        <v>9.2499441200000004E-2</v>
      </c>
    </row>
    <row r="19" spans="2:7" ht="15.75" thickTop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2021 Cap Investment </vt:lpstr>
      <vt:lpstr>2022 Cap Investment</vt:lpstr>
      <vt:lpstr>MACRS HY MQ</vt:lpstr>
      <vt:lpstr>Rebuttal Return</vt:lpstr>
      <vt:lpstr>'2021 Cap Investment '!Print_Area</vt:lpstr>
      <vt:lpstr>'2022 Cap Investment'!Print_Area</vt:lpstr>
      <vt:lpstr>'MACRS HY MQ'!Print_Area</vt:lpstr>
      <vt:lpstr>'Rebuttal Return'!Print_Area</vt:lpstr>
      <vt:lpstr>Summary!Print_Area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Gore \ Jeffery</dc:creator>
  <cp:lastModifiedBy>Ryan \ John</cp:lastModifiedBy>
  <cp:lastPrinted>2021-11-16T16:41:27Z</cp:lastPrinted>
  <dcterms:created xsi:type="dcterms:W3CDTF">2021-08-22T17:46:40Z</dcterms:created>
  <dcterms:modified xsi:type="dcterms:W3CDTF">2021-11-19T13:09:47Z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