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Testimony\Rebuttal Testimony\FINAL\"/>
    </mc:Choice>
  </mc:AlternateContent>
  <xr:revisionPtr revIDLastSave="0" documentId="8_{22ED34D0-A834-4A5C-AA70-E00316AF7033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WACC-FairRateReturn" sheetId="8" r:id="rId1"/>
    <sheet name="RateSettCapStruc" sheetId="4" r:id="rId2"/>
    <sheet name="Embed. Cost of Debt" sheetId="7" r:id="rId3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7" l="1"/>
  <c r="G63" i="7"/>
  <c r="A52" i="7" l="1"/>
  <c r="I27" i="7"/>
  <c r="I12" i="7"/>
  <c r="I33" i="7" l="1"/>
  <c r="G17" i="4" l="1"/>
  <c r="C17" i="4"/>
  <c r="G60" i="7" l="1"/>
  <c r="G59" i="7"/>
  <c r="G58" i="7"/>
  <c r="G57" i="7"/>
  <c r="G56" i="7"/>
  <c r="G55" i="7"/>
  <c r="G54" i="7"/>
  <c r="G53" i="7"/>
  <c r="G52" i="7"/>
  <c r="E60" i="7"/>
  <c r="E59" i="7"/>
  <c r="E58" i="7"/>
  <c r="E57" i="7"/>
  <c r="E56" i="7"/>
  <c r="E55" i="7"/>
  <c r="E54" i="7"/>
  <c r="E53" i="7"/>
  <c r="E52" i="7"/>
  <c r="C60" i="7"/>
  <c r="C59" i="7"/>
  <c r="C58" i="7"/>
  <c r="C57" i="7"/>
  <c r="C56" i="7"/>
  <c r="C55" i="7"/>
  <c r="C54" i="7"/>
  <c r="C53" i="7"/>
  <c r="C52" i="7"/>
  <c r="A53" i="7"/>
  <c r="A54" i="7"/>
  <c r="A55" i="7"/>
  <c r="A56" i="7"/>
  <c r="A57" i="7"/>
  <c r="A58" i="7"/>
  <c r="A59" i="7"/>
  <c r="A60" i="7"/>
  <c r="G34" i="7"/>
  <c r="E34" i="7"/>
  <c r="C34" i="7"/>
  <c r="A34" i="7"/>
  <c r="G23" i="7"/>
  <c r="E64" i="7"/>
  <c r="I64" i="7" s="1"/>
  <c r="C64" i="7"/>
  <c r="A64" i="7"/>
  <c r="E63" i="7"/>
  <c r="I63" i="7" s="1"/>
  <c r="C63" i="7"/>
  <c r="A63" i="7"/>
  <c r="G62" i="7"/>
  <c r="E62" i="7"/>
  <c r="C62" i="7"/>
  <c r="A62" i="7"/>
  <c r="G61" i="7"/>
  <c r="E61" i="7"/>
  <c r="C61" i="7"/>
  <c r="A61" i="7"/>
  <c r="I36" i="7"/>
  <c r="I35" i="7"/>
  <c r="I21" i="7"/>
  <c r="I61" i="7" l="1"/>
  <c r="G29" i="7"/>
  <c r="C16" i="4"/>
  <c r="I53" i="7"/>
  <c r="I54" i="7"/>
  <c r="I55" i="7"/>
  <c r="I56" i="7"/>
  <c r="I62" i="7"/>
  <c r="I57" i="7"/>
  <c r="I58" i="7"/>
  <c r="I59" i="7"/>
  <c r="I60" i="7"/>
  <c r="I52" i="7"/>
  <c r="G67" i="7"/>
  <c r="O16" i="4" s="1"/>
  <c r="C18" i="4"/>
  <c r="G16" i="4"/>
  <c r="G18" i="4" s="1"/>
  <c r="G38" i="7"/>
  <c r="K16" i="4" s="1"/>
  <c r="I34" i="7"/>
  <c r="I67" i="7" l="1"/>
  <c r="I69" i="7" s="1"/>
  <c r="E19" i="8" l="1"/>
  <c r="C26" i="4" l="1"/>
  <c r="I13" i="7" l="1"/>
  <c r="I14" i="7"/>
  <c r="I15" i="7"/>
  <c r="I16" i="7"/>
  <c r="I17" i="7"/>
  <c r="I18" i="7"/>
  <c r="I19" i="7"/>
  <c r="I20" i="7"/>
  <c r="I23" i="7" l="1"/>
  <c r="O26" i="4"/>
  <c r="O18" i="4"/>
  <c r="K26" i="4"/>
  <c r="K18" i="4"/>
  <c r="G26" i="4"/>
  <c r="I29" i="7" l="1"/>
  <c r="I38" i="7" s="1"/>
  <c r="I40" i="7" s="1"/>
  <c r="I25" i="7"/>
  <c r="O28" i="4"/>
  <c r="O32" i="4" s="1"/>
  <c r="K28" i="4"/>
  <c r="K32" i="4" s="1"/>
  <c r="G28" i="4"/>
  <c r="G32" i="4" s="1"/>
  <c r="I30" i="4" s="1"/>
  <c r="C28" i="4"/>
  <c r="C32" i="4" s="1"/>
  <c r="E30" i="4" s="1"/>
  <c r="Q30" i="4" l="1"/>
  <c r="C20" i="8" s="1"/>
  <c r="G20" i="8" s="1"/>
  <c r="Q16" i="4"/>
  <c r="Q26" i="4"/>
  <c r="C23" i="8" s="1"/>
  <c r="G23" i="8" s="1"/>
  <c r="M30" i="4"/>
  <c r="M17" i="4"/>
  <c r="I31" i="7"/>
  <c r="M26" i="4"/>
  <c r="I26" i="4"/>
  <c r="M16" i="4"/>
  <c r="I17" i="4"/>
  <c r="I16" i="4"/>
  <c r="Q17" i="4"/>
  <c r="E16" i="4"/>
  <c r="E17" i="4"/>
  <c r="E26" i="4"/>
  <c r="M18" i="4" l="1"/>
  <c r="M28" i="4"/>
  <c r="M32" i="4" s="1"/>
  <c r="I18" i="4"/>
  <c r="I28" i="4" s="1"/>
  <c r="I32" i="4" s="1"/>
  <c r="Q18" i="4"/>
  <c r="C19" i="8" s="1"/>
  <c r="G19" i="8" s="1"/>
  <c r="E18" i="4"/>
  <c r="E28" i="4" s="1"/>
  <c r="C26" i="8" l="1"/>
  <c r="Q28" i="4"/>
  <c r="Q32" i="4" s="1"/>
  <c r="E32" i="4" l="1"/>
  <c r="G26" i="8"/>
</calcChain>
</file>

<file path=xl/sharedStrings.xml><?xml version="1.0" encoding="utf-8"?>
<sst xmlns="http://schemas.openxmlformats.org/spreadsheetml/2006/main" count="110" uniqueCount="68">
  <si>
    <t>Long-Term Debt</t>
  </si>
  <si>
    <t>Common Equity</t>
  </si>
  <si>
    <t xml:space="preserve">   Common Stock Issued</t>
  </si>
  <si>
    <t>Total Common Equity</t>
  </si>
  <si>
    <t>Ratesetting Capital Structure and Related Ratios</t>
  </si>
  <si>
    <t>Ratios</t>
  </si>
  <si>
    <t>Maturity</t>
  </si>
  <si>
    <t>Date</t>
  </si>
  <si>
    <t>Interest</t>
  </si>
  <si>
    <t>Rate</t>
  </si>
  <si>
    <t xml:space="preserve">Principal </t>
  </si>
  <si>
    <t>Value</t>
  </si>
  <si>
    <t>Expense</t>
  </si>
  <si>
    <t>Total Long-Term Debt</t>
  </si>
  <si>
    <t>Annual</t>
  </si>
  <si>
    <t>Cap. Struct.</t>
  </si>
  <si>
    <t>Weighted Average Cost of Capital and Fair Rate of Return</t>
  </si>
  <si>
    <t>Cost Rate</t>
  </si>
  <si>
    <t>Weighted</t>
  </si>
  <si>
    <t>Form of Capitalization</t>
  </si>
  <si>
    <t>Total Capitalization</t>
  </si>
  <si>
    <t xml:space="preserve"> Interest</t>
  </si>
  <si>
    <t>Embedded Cost of Long-Term Debt</t>
  </si>
  <si>
    <t>Debt Instrument</t>
  </si>
  <si>
    <t xml:space="preserve">   Long-Term Debt</t>
  </si>
  <si>
    <t xml:space="preserve">   Current Maturities - LT Debt</t>
  </si>
  <si>
    <t xml:space="preserve">   Additional Paid-In Capital</t>
  </si>
  <si>
    <t xml:space="preserve">   OCI</t>
  </si>
  <si>
    <t xml:space="preserve">   Retained Earnings</t>
  </si>
  <si>
    <t>Capital</t>
  </si>
  <si>
    <t>Structure</t>
  </si>
  <si>
    <t>Short-Term Debt</t>
  </si>
  <si>
    <t>Source:  Company provided information.</t>
  </si>
  <si>
    <t>Columbia Gas of Kentucky, Inc.</t>
  </si>
  <si>
    <t xml:space="preserve">(1)  13-month average short-term debt balance. </t>
  </si>
  <si>
    <t>Outstanding</t>
  </si>
  <si>
    <t>Amount</t>
  </si>
  <si>
    <t>Thirteen Month Average</t>
  </si>
  <si>
    <t>Total Permanent Capital</t>
  </si>
  <si>
    <t>Short-Term Debt (1)</t>
  </si>
  <si>
    <t>3.8425% Notes, due September 30, 2046</t>
  </si>
  <si>
    <t>4.6436% Notes, due December 31, 2048</t>
  </si>
  <si>
    <t>3.7485% Notes, due December 31, 2049</t>
  </si>
  <si>
    <t>Projected at December 31, 2022</t>
  </si>
  <si>
    <t>December 31, 2022</t>
  </si>
  <si>
    <t>Thirteen Month Average through December 31, 2022</t>
  </si>
  <si>
    <t>Long-Term Debt at December 31, 2022</t>
  </si>
  <si>
    <t>13-Month Average through December 31, 2022</t>
  </si>
  <si>
    <t>Actual at February 28, 2021</t>
  </si>
  <si>
    <t>Long-Term Debt at February 28, 2021</t>
  </si>
  <si>
    <t>Long-Term Debt at August 31, 2021</t>
  </si>
  <si>
    <t>4.4300% Notes, due December 16, 2044</t>
  </si>
  <si>
    <t>6.2000% Notes, due December 23, 2043</t>
  </si>
  <si>
    <t>5.7700% Notes, due January 7, 2043</t>
  </si>
  <si>
    <t>6.0200% Notes, due December 16, 2030</t>
  </si>
  <si>
    <t>5.9200% Notes, due January 5, 2026</t>
  </si>
  <si>
    <t>6.0150% Notes, due November 1, 2021</t>
  </si>
  <si>
    <t>3.1742% Notes, due June 30, 2050</t>
  </si>
  <si>
    <t>Page 1 of 1</t>
  </si>
  <si>
    <t>3.2720% Notes, due June 30, 2051</t>
  </si>
  <si>
    <t>Actual at August 31, 2021</t>
  </si>
  <si>
    <t>Actual at February 28, 2021 and August 31, 2021 and Projected at December 31, 2022</t>
  </si>
  <si>
    <t>3.3000% Notes, due September 30, 2051</t>
  </si>
  <si>
    <t>3.3000% Notes, due March 31, 2052</t>
  </si>
  <si>
    <t>3.3000% Notes, due June 30, 2052</t>
  </si>
  <si>
    <t>Attachment Rebuttal VVR-2R</t>
  </si>
  <si>
    <t>Attachment Rebuttal VVR-5R</t>
  </si>
  <si>
    <t>Attachment Rebuttal VVR-6R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</si>
</sst>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000%"/>
    <numFmt numFmtId="168" formatCode="&quot;Estimated at &quot;[$-409]mmmm\ d\,\ yyyy;@"/>
    <numFmt numFmtId="169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sto MT"/>
      <family val="1"/>
    </font>
    <font>
      <sz val="11"/>
      <name val="Calisto MT"/>
      <family val="1"/>
    </font>
    <font>
      <b/>
      <sz val="11"/>
      <name val="Calisto MT"/>
      <family val="1"/>
    </font>
    <font>
      <sz val="9"/>
      <name val="Calisto MT"/>
      <family val="1"/>
    </font>
    <font>
      <b/>
      <sz val="12"/>
      <name val="Calisto MT"/>
      <family val="1"/>
    </font>
    <font>
      <b/>
      <sz val="8"/>
      <name val="Calisto MT"/>
      <family val="1"/>
    </font>
    <font>
      <u/>
      <sz val="11"/>
      <name val="Calisto MT"/>
      <family val="1"/>
    </font>
    <font>
      <sz val="12"/>
      <name val="Calisto MT"/>
      <family val="1"/>
    </font>
    <font>
      <sz val="13"/>
      <name val="Calisto MT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/>
    <xf numFmtId="0" fontId="6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1" applyNumberFormat="1" applyFont="1" applyBorder="1"/>
    <xf numFmtId="10" fontId="3" fillId="0" borderId="0" xfId="2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2" xfId="0" applyFont="1" applyFill="1" applyBorder="1"/>
    <xf numFmtId="164" fontId="3" fillId="0" borderId="1" xfId="0" applyNumberFormat="1" applyFont="1" applyFill="1" applyBorder="1"/>
    <xf numFmtId="10" fontId="3" fillId="0" borderId="1" xfId="2" applyNumberFormat="1" applyFont="1" applyFill="1" applyBorder="1" applyAlignment="1">
      <alignment horizontal="right"/>
    </xf>
    <xf numFmtId="0" fontId="4" fillId="0" borderId="0" xfId="0" applyFont="1" applyBorder="1"/>
    <xf numFmtId="164" fontId="3" fillId="0" borderId="0" xfId="0" applyNumberFormat="1" applyFont="1" applyBorder="1"/>
    <xf numFmtId="0" fontId="5" fillId="0" borderId="0" xfId="0" quotePrefix="1" applyFont="1" applyBorder="1"/>
    <xf numFmtId="164" fontId="5" fillId="0" borderId="0" xfId="1" applyNumberFormat="1" applyFont="1" applyBorder="1"/>
    <xf numFmtId="0" fontId="5" fillId="0" borderId="0" xfId="0" applyFont="1" applyBorder="1"/>
    <xf numFmtId="0" fontId="5" fillId="0" borderId="0" xfId="0" applyFont="1"/>
    <xf numFmtId="0" fontId="3" fillId="0" borderId="0" xfId="0" quotePrefix="1" applyFont="1" applyBorder="1"/>
    <xf numFmtId="0" fontId="3" fillId="0" borderId="0" xfId="0" quotePrefix="1" applyFont="1"/>
    <xf numFmtId="0" fontId="10" fillId="0" borderId="0" xfId="0" applyFont="1"/>
    <xf numFmtId="164" fontId="3" fillId="0" borderId="0" xfId="1" applyNumberFormat="1" applyFont="1" applyFill="1" applyBorder="1"/>
    <xf numFmtId="166" fontId="3" fillId="0" borderId="0" xfId="3" applyNumberFormat="1" applyFont="1" applyFill="1" applyBorder="1"/>
    <xf numFmtId="165" fontId="3" fillId="0" borderId="0" xfId="1" applyNumberFormat="1" applyFont="1" applyFill="1"/>
    <xf numFmtId="0" fontId="3" fillId="0" borderId="0" xfId="0" quotePrefix="1" applyFont="1" applyFill="1"/>
    <xf numFmtId="164" fontId="3" fillId="0" borderId="0" xfId="1" applyNumberFormat="1" applyFont="1" applyFill="1"/>
    <xf numFmtId="43" fontId="3" fillId="0" borderId="0" xfId="1" applyFont="1" applyFill="1" applyBorder="1" applyAlignment="1">
      <alignment horizontal="right"/>
    </xf>
    <xf numFmtId="44" fontId="3" fillId="0" borderId="0" xfId="1" applyNumberFormat="1" applyFont="1" applyFill="1"/>
    <xf numFmtId="166" fontId="3" fillId="0" borderId="1" xfId="1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10" fontId="3" fillId="0" borderId="0" xfId="2" applyNumberFormat="1" applyFont="1" applyFill="1" applyBorder="1"/>
    <xf numFmtId="0" fontId="2" fillId="0" borderId="0" xfId="0" applyFont="1"/>
    <xf numFmtId="5" fontId="2" fillId="0" borderId="0" xfId="0" applyNumberFormat="1" applyFont="1" applyAlignment="1">
      <alignment horizontal="center"/>
    </xf>
    <xf numFmtId="5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Border="1"/>
    <xf numFmtId="5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42" fontId="2" fillId="0" borderId="0" xfId="0" applyNumberFormat="1" applyFont="1" applyFill="1" applyBorder="1"/>
    <xf numFmtId="0" fontId="11" fillId="0" borderId="0" xfId="0" applyFont="1"/>
    <xf numFmtId="5" fontId="11" fillId="0" borderId="0" xfId="0" applyNumberFormat="1" applyFont="1" applyAlignment="1">
      <alignment horizontal="center"/>
    </xf>
    <xf numFmtId="5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/>
    <xf numFmtId="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64" fontId="2" fillId="0" borderId="0" xfId="0" applyNumberFormat="1" applyFont="1"/>
    <xf numFmtId="164" fontId="12" fillId="0" borderId="0" xfId="0" applyNumberFormat="1" applyFont="1"/>
    <xf numFmtId="43" fontId="3" fillId="0" borderId="0" xfId="0" applyNumberFormat="1" applyFont="1"/>
    <xf numFmtId="0" fontId="3" fillId="0" borderId="0" xfId="0" quotePrefix="1" applyFont="1" applyFill="1" applyBorder="1"/>
    <xf numFmtId="166" fontId="3" fillId="0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3" fillId="0" borderId="1" xfId="3" applyNumberFormat="1" applyFont="1" applyFill="1" applyBorder="1"/>
    <xf numFmtId="10" fontId="3" fillId="0" borderId="0" xfId="2" applyNumberFormat="1" applyFont="1" applyFill="1" applyAlignment="1">
      <alignment horizontal="right"/>
    </xf>
    <xf numFmtId="166" fontId="3" fillId="0" borderId="0" xfId="3" applyNumberFormat="1" applyFont="1" applyFill="1"/>
    <xf numFmtId="10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44" fontId="3" fillId="0" borderId="0" xfId="1" applyNumberFormat="1" applyFont="1" applyFill="1" applyBorder="1"/>
    <xf numFmtId="0" fontId="5" fillId="0" borderId="0" xfId="0" quotePrefix="1" applyFont="1" applyFill="1" applyBorder="1"/>
    <xf numFmtId="164" fontId="5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/>
    <xf numFmtId="0" fontId="4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3" applyNumberFormat="1" applyFont="1" applyFill="1" applyBorder="1"/>
    <xf numFmtId="166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7" fontId="3" fillId="0" borderId="0" xfId="2" applyNumberFormat="1" applyFont="1" applyFill="1" applyBorder="1" applyAlignment="1">
      <alignment horizontal="right"/>
    </xf>
    <xf numFmtId="0" fontId="3" fillId="0" borderId="1" xfId="0" quotePrefix="1" applyFont="1" applyFill="1" applyBorder="1"/>
    <xf numFmtId="166" fontId="3" fillId="0" borderId="1" xfId="3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4" fontId="3" fillId="0" borderId="0" xfId="0" quotePrefix="1" applyNumberFormat="1" applyFont="1" applyFill="1" applyBorder="1"/>
    <xf numFmtId="0" fontId="3" fillId="0" borderId="3" xfId="0" applyFont="1" applyFill="1" applyBorder="1"/>
    <xf numFmtId="10" fontId="3" fillId="0" borderId="4" xfId="2" applyNumberFormat="1" applyFont="1" applyFill="1" applyBorder="1"/>
    <xf numFmtId="169" fontId="3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4" fontId="3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right"/>
    </xf>
    <xf numFmtId="10" fontId="3" fillId="0" borderId="2" xfId="2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64" fontId="3" fillId="0" borderId="2" xfId="1" applyNumberFormat="1" applyFont="1" applyFill="1" applyBorder="1"/>
    <xf numFmtId="164" fontId="5" fillId="0" borderId="2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5" fontId="3" fillId="0" borderId="0" xfId="0" quotePrefix="1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168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1" builtinId="3"/>
    <cellStyle name="Comma 6" xfId="5" xr:uid="{00000000-0005-0000-0000-000001000000}"/>
    <cellStyle name="Currency" xfId="3" builtinId="4"/>
    <cellStyle name="Normal" xfId="0" builtinId="0"/>
    <cellStyle name="Normal 8" xfId="4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6"/>
  <sheetViews>
    <sheetView tabSelected="1" workbookViewId="0">
      <selection activeCell="G1" sqref="G1"/>
    </sheetView>
  </sheetViews>
  <sheetFormatPr defaultColWidth="9.140625" defaultRowHeight="14.25" x14ac:dyDescent="0.2"/>
  <cols>
    <col min="1" max="1" width="23" style="3" customWidth="1"/>
    <col min="2" max="2" width="3.140625" style="3" customWidth="1"/>
    <col min="3" max="3" width="13.28515625" style="3" customWidth="1"/>
    <col min="4" max="4" width="2.7109375" style="3" customWidth="1"/>
    <col min="5" max="5" width="13.7109375" style="3" customWidth="1"/>
    <col min="6" max="6" width="2.7109375" style="3" customWidth="1"/>
    <col min="7" max="7" width="14.28515625" style="3" customWidth="1"/>
    <col min="8" max="8" width="13.7109375" style="3" customWidth="1"/>
    <col min="9" max="9" width="12.28515625" style="3" customWidth="1"/>
    <col min="10" max="16384" width="9.140625" style="3"/>
  </cols>
  <sheetData>
    <row r="1" spans="1:10" x14ac:dyDescent="0.2">
      <c r="G1" s="82" t="s">
        <v>65</v>
      </c>
    </row>
    <row r="2" spans="1:10" x14ac:dyDescent="0.2">
      <c r="G2" s="82" t="s">
        <v>58</v>
      </c>
    </row>
    <row r="3" spans="1:10" x14ac:dyDescent="0.2">
      <c r="G3" s="82"/>
    </row>
    <row r="4" spans="1:10" x14ac:dyDescent="0.2">
      <c r="G4" s="82"/>
    </row>
    <row r="5" spans="1:10" x14ac:dyDescent="0.2">
      <c r="I5" s="82"/>
    </row>
    <row r="6" spans="1:10" x14ac:dyDescent="0.2">
      <c r="A6" s="116" t="s">
        <v>33</v>
      </c>
      <c r="B6" s="116"/>
      <c r="C6" s="116"/>
      <c r="D6" s="116"/>
      <c r="E6" s="116"/>
      <c r="F6" s="116"/>
      <c r="G6" s="116"/>
      <c r="H6" s="80"/>
    </row>
    <row r="7" spans="1:10" x14ac:dyDescent="0.2">
      <c r="H7" s="80"/>
    </row>
    <row r="8" spans="1:10" x14ac:dyDescent="0.2">
      <c r="A8" s="116" t="s">
        <v>16</v>
      </c>
      <c r="B8" s="116"/>
      <c r="C8" s="116"/>
      <c r="D8" s="116"/>
      <c r="E8" s="116"/>
      <c r="F8" s="116"/>
      <c r="G8" s="116"/>
      <c r="H8" s="80"/>
      <c r="I8" s="80"/>
    </row>
    <row r="9" spans="1:10" x14ac:dyDescent="0.2">
      <c r="A9" s="117" t="s">
        <v>47</v>
      </c>
      <c r="B9" s="117"/>
      <c r="C9" s="117"/>
      <c r="D9" s="117"/>
      <c r="E9" s="117"/>
      <c r="F9" s="117"/>
      <c r="G9" s="117"/>
      <c r="H9" s="80"/>
      <c r="I9" s="80"/>
    </row>
    <row r="10" spans="1:10" ht="15.75" x14ac:dyDescent="0.25">
      <c r="A10" s="10"/>
      <c r="B10" s="10"/>
      <c r="C10" s="10"/>
      <c r="D10" s="10"/>
      <c r="E10" s="10"/>
      <c r="F10" s="10"/>
      <c r="G10" s="10"/>
    </row>
    <row r="11" spans="1:10" ht="15.75" x14ac:dyDescent="0.25">
      <c r="B11" s="10"/>
      <c r="C11" s="10"/>
      <c r="D11" s="10"/>
      <c r="E11" s="10"/>
      <c r="F11" s="10"/>
      <c r="G11" s="10"/>
    </row>
    <row r="12" spans="1:10" ht="15.75" x14ac:dyDescent="0.25">
      <c r="B12" s="10"/>
      <c r="C12" s="10"/>
      <c r="D12" s="10"/>
      <c r="E12" s="10"/>
      <c r="F12" s="10"/>
      <c r="G12" s="10"/>
    </row>
    <row r="13" spans="1:10" ht="15.75" x14ac:dyDescent="0.25">
      <c r="A13" s="83"/>
      <c r="B13" s="10"/>
      <c r="C13" s="10"/>
      <c r="D13" s="10"/>
      <c r="E13" s="10"/>
      <c r="F13" s="10"/>
      <c r="G13" s="10"/>
      <c r="I13" s="18"/>
      <c r="J13" s="18"/>
    </row>
    <row r="14" spans="1:10" ht="15.75" x14ac:dyDescent="0.25">
      <c r="A14" s="10"/>
      <c r="B14" s="10"/>
      <c r="C14" s="80"/>
      <c r="D14" s="10"/>
      <c r="E14" s="10"/>
      <c r="F14" s="10"/>
      <c r="G14" s="10"/>
      <c r="I14" s="18"/>
      <c r="J14" s="18"/>
    </row>
    <row r="15" spans="1:10" ht="15.75" x14ac:dyDescent="0.25">
      <c r="A15" s="84"/>
      <c r="B15" s="10"/>
      <c r="C15" s="107" t="s">
        <v>15</v>
      </c>
      <c r="D15" s="10"/>
      <c r="E15" s="107"/>
      <c r="F15" s="10"/>
      <c r="G15" s="107" t="s">
        <v>18</v>
      </c>
      <c r="H15" s="19"/>
      <c r="I15" s="18"/>
      <c r="J15" s="18"/>
    </row>
    <row r="16" spans="1:10" x14ac:dyDescent="0.2">
      <c r="A16" s="23" t="s">
        <v>19</v>
      </c>
      <c r="B16" s="23"/>
      <c r="C16" s="16" t="s">
        <v>5</v>
      </c>
      <c r="D16" s="85"/>
      <c r="E16" s="16" t="s">
        <v>17</v>
      </c>
      <c r="F16" s="16"/>
      <c r="G16" s="16" t="s">
        <v>17</v>
      </c>
      <c r="H16" s="19"/>
      <c r="I16" s="18"/>
      <c r="J16" s="18"/>
    </row>
    <row r="17" spans="1:13" x14ac:dyDescent="0.2">
      <c r="A17" s="19"/>
      <c r="B17" s="19"/>
      <c r="C17" s="18"/>
      <c r="D17" s="69"/>
      <c r="E17" s="18"/>
      <c r="F17" s="18"/>
      <c r="G17" s="18"/>
      <c r="H17" s="19"/>
      <c r="I17" s="18"/>
      <c r="J17" s="18"/>
    </row>
    <row r="18" spans="1:13" x14ac:dyDescent="0.2">
      <c r="A18" s="19"/>
      <c r="B18" s="19"/>
      <c r="C18" s="18"/>
      <c r="D18" s="69"/>
      <c r="E18" s="18"/>
      <c r="F18" s="19"/>
      <c r="G18" s="18"/>
      <c r="H18" s="19"/>
      <c r="I18" s="18"/>
      <c r="J18" s="18"/>
    </row>
    <row r="19" spans="1:13" x14ac:dyDescent="0.2">
      <c r="A19" s="19" t="s">
        <v>0</v>
      </c>
      <c r="B19" s="19"/>
      <c r="C19" s="21">
        <f>RateSettCapStruc!Q18</f>
        <v>0.4425</v>
      </c>
      <c r="D19" s="35"/>
      <c r="E19" s="21">
        <f>'Embed. Cost of Debt'!I69</f>
        <v>4.3700000000000003E-2</v>
      </c>
      <c r="F19" s="22"/>
      <c r="G19" s="21">
        <f>ROUND(C19*E19,4)</f>
        <v>1.9300000000000001E-2</v>
      </c>
      <c r="H19" s="19"/>
      <c r="I19" s="18"/>
      <c r="J19" s="18"/>
    </row>
    <row r="20" spans="1:13" x14ac:dyDescent="0.2">
      <c r="A20" s="23" t="s">
        <v>31</v>
      </c>
      <c r="B20" s="23"/>
      <c r="C20" s="108">
        <f>RateSettCapStruc!Q30</f>
        <v>3.1099999999999999E-2</v>
      </c>
      <c r="D20" s="23"/>
      <c r="E20" s="108">
        <v>1.2999999999999999E-2</v>
      </c>
      <c r="F20" s="23"/>
      <c r="G20" s="109">
        <f>ROUND(C20*E20,4)</f>
        <v>4.0000000000000002E-4</v>
      </c>
      <c r="H20" s="19"/>
      <c r="I20" s="18"/>
      <c r="J20" s="18"/>
    </row>
    <row r="21" spans="1:13" x14ac:dyDescent="0.2">
      <c r="A21" s="19"/>
      <c r="B21" s="19"/>
      <c r="C21" s="21"/>
      <c r="D21" s="35"/>
      <c r="E21" s="21"/>
      <c r="F21" s="22"/>
      <c r="G21" s="21"/>
      <c r="H21" s="19"/>
      <c r="I21" s="18"/>
      <c r="J21" s="18"/>
    </row>
    <row r="22" spans="1:13" x14ac:dyDescent="0.2">
      <c r="A22" s="19"/>
      <c r="B22" s="19"/>
      <c r="C22" s="21"/>
      <c r="D22" s="35"/>
      <c r="E22" s="110"/>
      <c r="F22" s="22"/>
      <c r="G22" s="111"/>
      <c r="H22" s="19"/>
      <c r="I22" s="18"/>
      <c r="J22" s="18"/>
    </row>
    <row r="23" spans="1:13" x14ac:dyDescent="0.2">
      <c r="A23" s="23" t="s">
        <v>3</v>
      </c>
      <c r="B23" s="23"/>
      <c r="C23" s="109">
        <f>RateSettCapStruc!Q26</f>
        <v>0.52639999999999998</v>
      </c>
      <c r="D23" s="112"/>
      <c r="E23" s="109">
        <v>0.10299999999999999</v>
      </c>
      <c r="F23" s="113"/>
      <c r="G23" s="109">
        <f>ROUND(C23*E23,4)</f>
        <v>5.4199999999999998E-2</v>
      </c>
      <c r="H23" s="19"/>
      <c r="I23" s="18"/>
      <c r="J23" s="18"/>
      <c r="K23" s="19"/>
      <c r="L23" s="19"/>
      <c r="M23" s="19"/>
    </row>
    <row r="24" spans="1:13" x14ac:dyDescent="0.2">
      <c r="A24" s="19"/>
      <c r="B24" s="19"/>
      <c r="C24" s="21"/>
      <c r="D24" s="35"/>
      <c r="E24" s="21"/>
      <c r="F24" s="114"/>
      <c r="G24" s="21"/>
      <c r="H24" s="19"/>
      <c r="I24" s="18"/>
      <c r="J24" s="18"/>
      <c r="K24" s="19"/>
      <c r="L24" s="19"/>
      <c r="M24" s="19"/>
    </row>
    <row r="25" spans="1:13" x14ac:dyDescent="0.2">
      <c r="A25" s="19"/>
      <c r="B25" s="19"/>
      <c r="C25" s="21"/>
      <c r="D25" s="35"/>
      <c r="E25" s="110"/>
      <c r="F25" s="114"/>
      <c r="G25" s="111"/>
      <c r="H25" s="19"/>
      <c r="I25" s="18"/>
      <c r="J25" s="18"/>
      <c r="K25" s="19"/>
      <c r="L25" s="19"/>
      <c r="M25" s="19"/>
    </row>
    <row r="26" spans="1:13" x14ac:dyDescent="0.2">
      <c r="A26" s="43" t="s">
        <v>20</v>
      </c>
      <c r="B26" s="43"/>
      <c r="C26" s="25">
        <f>C19+C20+C23</f>
        <v>1</v>
      </c>
      <c r="D26" s="44"/>
      <c r="E26" s="115"/>
      <c r="F26" s="24"/>
      <c r="G26" s="25">
        <f>ROUND(G19+G20+G23,4)</f>
        <v>7.3899999999999993E-2</v>
      </c>
      <c r="H26" s="19"/>
      <c r="I26" s="106"/>
      <c r="J26" s="18"/>
      <c r="K26" s="19"/>
      <c r="L26" s="19"/>
      <c r="M26" s="19"/>
    </row>
    <row r="27" spans="1:13" x14ac:dyDescent="0.2">
      <c r="A27" s="74"/>
      <c r="B27" s="19"/>
      <c r="C27" s="75"/>
      <c r="D27" s="35"/>
      <c r="E27" s="86"/>
      <c r="F27" s="79"/>
      <c r="H27" s="19"/>
      <c r="I27" s="18"/>
      <c r="J27" s="18"/>
      <c r="K27" s="19"/>
      <c r="L27" s="19"/>
      <c r="M27" s="19"/>
    </row>
    <row r="28" spans="1:13" x14ac:dyDescent="0.2">
      <c r="B28" s="19"/>
      <c r="C28" s="35"/>
      <c r="D28" s="35"/>
      <c r="E28" s="22"/>
      <c r="F28" s="79"/>
      <c r="H28" s="19"/>
      <c r="I28" s="18"/>
      <c r="J28" s="18"/>
    </row>
    <row r="29" spans="1:13" x14ac:dyDescent="0.2">
      <c r="A29" s="76"/>
      <c r="B29" s="19"/>
      <c r="C29" s="35"/>
      <c r="D29" s="35"/>
      <c r="E29" s="22"/>
      <c r="F29" s="79"/>
      <c r="H29" s="19"/>
      <c r="I29" s="18"/>
      <c r="J29" s="18"/>
    </row>
    <row r="30" spans="1:13" x14ac:dyDescent="0.2">
      <c r="B30" s="76"/>
      <c r="C30" s="19"/>
      <c r="D30" s="77"/>
      <c r="E30" s="87"/>
      <c r="F30" s="87"/>
      <c r="G30" s="88"/>
      <c r="H30" s="88"/>
      <c r="I30" s="19"/>
      <c r="J30" s="19"/>
    </row>
    <row r="31" spans="1:13" x14ac:dyDescent="0.2">
      <c r="A31" s="51"/>
      <c r="B31" s="76"/>
      <c r="C31" s="19"/>
      <c r="D31" s="77"/>
      <c r="E31" s="87"/>
      <c r="F31" s="87"/>
      <c r="G31" s="89"/>
      <c r="H31" s="88"/>
      <c r="I31" s="19"/>
      <c r="J31" s="19"/>
    </row>
    <row r="32" spans="1:13" x14ac:dyDescent="0.2">
      <c r="A32" s="74"/>
      <c r="B32" s="76"/>
      <c r="C32" s="19"/>
      <c r="D32" s="77"/>
      <c r="E32" s="87"/>
      <c r="F32" s="87"/>
      <c r="G32" s="77"/>
      <c r="H32" s="88"/>
      <c r="I32" s="19"/>
      <c r="J32" s="19"/>
    </row>
    <row r="33" spans="1:10" x14ac:dyDescent="0.2">
      <c r="A33" s="19"/>
      <c r="B33" s="76"/>
      <c r="C33" s="19"/>
      <c r="D33" s="77"/>
      <c r="E33" s="87"/>
      <c r="F33" s="87"/>
      <c r="G33" s="77"/>
      <c r="H33" s="88"/>
      <c r="I33" s="19"/>
      <c r="J33" s="19"/>
    </row>
    <row r="34" spans="1:10" x14ac:dyDescent="0.2">
      <c r="B34" s="76"/>
      <c r="C34" s="19"/>
      <c r="D34" s="77"/>
      <c r="E34" s="87"/>
      <c r="F34" s="87"/>
      <c r="G34" s="77"/>
      <c r="H34" s="88"/>
      <c r="I34" s="19"/>
      <c r="J34" s="19"/>
    </row>
    <row r="35" spans="1:10" x14ac:dyDescent="0.2">
      <c r="A35" s="74"/>
      <c r="B35" s="76"/>
      <c r="C35" s="88"/>
      <c r="D35" s="77"/>
      <c r="E35" s="87"/>
      <c r="F35" s="87"/>
      <c r="G35" s="90"/>
      <c r="H35" s="88"/>
      <c r="I35" s="19"/>
      <c r="J35" s="19"/>
    </row>
    <row r="36" spans="1:10" x14ac:dyDescent="0.2">
      <c r="A36" s="19"/>
      <c r="B36" s="19"/>
      <c r="C36" s="35"/>
      <c r="D36" s="35"/>
      <c r="E36" s="22"/>
      <c r="F36" s="22"/>
      <c r="G36" s="19"/>
      <c r="H36" s="19"/>
      <c r="I36" s="19"/>
      <c r="J36" s="19"/>
    </row>
    <row r="37" spans="1:10" x14ac:dyDescent="0.2">
      <c r="B37" s="19"/>
      <c r="C37" s="35"/>
      <c r="D37" s="35"/>
      <c r="E37" s="22"/>
      <c r="F37" s="79"/>
    </row>
    <row r="38" spans="1:10" x14ac:dyDescent="0.2">
      <c r="B38" s="19"/>
      <c r="C38" s="35"/>
      <c r="D38" s="35"/>
      <c r="E38" s="22"/>
      <c r="F38" s="79"/>
    </row>
    <row r="39" spans="1:10" x14ac:dyDescent="0.2">
      <c r="B39" s="19"/>
      <c r="C39" s="35"/>
      <c r="D39" s="35"/>
      <c r="E39" s="22"/>
      <c r="F39" s="79"/>
    </row>
    <row r="40" spans="1:10" x14ac:dyDescent="0.2">
      <c r="A40" s="19"/>
      <c r="B40" s="19"/>
      <c r="C40" s="35"/>
      <c r="D40" s="35"/>
      <c r="E40" s="22"/>
      <c r="F40" s="79"/>
    </row>
    <row r="41" spans="1:10" x14ac:dyDescent="0.2">
      <c r="A41" s="19"/>
      <c r="B41" s="19"/>
      <c r="C41" s="35"/>
      <c r="D41" s="35"/>
      <c r="E41" s="22"/>
      <c r="F41" s="79"/>
    </row>
    <row r="42" spans="1:10" x14ac:dyDescent="0.2">
      <c r="A42" s="74"/>
      <c r="B42" s="19"/>
      <c r="C42" s="35"/>
      <c r="D42" s="35"/>
      <c r="E42" s="22"/>
      <c r="F42" s="79"/>
    </row>
    <row r="43" spans="1:10" x14ac:dyDescent="0.2">
      <c r="A43" s="67"/>
      <c r="B43" s="19"/>
      <c r="C43" s="35"/>
      <c r="D43" s="35"/>
      <c r="E43" s="22"/>
      <c r="F43" s="79"/>
    </row>
    <row r="44" spans="1:10" x14ac:dyDescent="0.2">
      <c r="B44" s="19"/>
      <c r="C44" s="35"/>
      <c r="D44" s="35"/>
      <c r="E44" s="22"/>
      <c r="F44" s="79"/>
    </row>
    <row r="45" spans="1:10" x14ac:dyDescent="0.2">
      <c r="A45" s="67"/>
      <c r="B45" s="19"/>
      <c r="C45" s="22"/>
      <c r="D45" s="22"/>
      <c r="E45" s="22"/>
      <c r="F45" s="79"/>
    </row>
    <row r="46" spans="1:10" x14ac:dyDescent="0.2">
      <c r="A46" s="67"/>
      <c r="B46" s="19"/>
      <c r="C46" s="22"/>
      <c r="D46" s="22"/>
      <c r="E46" s="22"/>
      <c r="F46" s="79"/>
    </row>
    <row r="47" spans="1:10" x14ac:dyDescent="0.2">
      <c r="A47" s="67"/>
      <c r="B47" s="19"/>
      <c r="C47" s="22"/>
      <c r="D47" s="22"/>
      <c r="E47" s="22"/>
      <c r="F47" s="79"/>
    </row>
    <row r="48" spans="1:10" x14ac:dyDescent="0.2">
      <c r="A48" s="67"/>
      <c r="B48" s="19"/>
      <c r="C48" s="19"/>
      <c r="D48" s="19"/>
      <c r="E48" s="19"/>
    </row>
    <row r="49" spans="1:5" x14ac:dyDescent="0.2">
      <c r="A49" s="67"/>
      <c r="B49" s="19"/>
      <c r="C49" s="19"/>
      <c r="D49" s="19"/>
      <c r="E49" s="19"/>
    </row>
    <row r="50" spans="1:5" x14ac:dyDescent="0.2">
      <c r="A50" s="67"/>
      <c r="B50" s="19"/>
      <c r="C50" s="19"/>
      <c r="D50" s="19"/>
      <c r="E50" s="19"/>
    </row>
    <row r="51" spans="1:5" x14ac:dyDescent="0.2">
      <c r="A51" s="19"/>
      <c r="B51" s="19"/>
      <c r="C51" s="19"/>
      <c r="D51" s="19"/>
      <c r="E51" s="19"/>
    </row>
    <row r="55" spans="1:5" x14ac:dyDescent="0.2">
      <c r="A55" s="38"/>
    </row>
    <row r="56" spans="1:5" x14ac:dyDescent="0.2">
      <c r="A56" s="38"/>
    </row>
  </sheetData>
  <mergeCells count="3">
    <mergeCell ref="A6:G6"/>
    <mergeCell ref="A8:G8"/>
    <mergeCell ref="A9:G9"/>
  </mergeCells>
  <pageMargins left="1.2" right="0.45" top="1.25" bottom="0.5" header="0.3" footer="0.3"/>
  <pageSetup orientation="portrait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64"/>
  <sheetViews>
    <sheetView zoomScaleNormal="100" zoomScaleSheetLayoutView="50" workbookViewId="0">
      <selection activeCell="Q2" sqref="Q2"/>
    </sheetView>
  </sheetViews>
  <sheetFormatPr defaultColWidth="9.140625" defaultRowHeight="14.25" x14ac:dyDescent="0.2"/>
  <cols>
    <col min="1" max="1" width="30" style="4" customWidth="1"/>
    <col min="2" max="2" width="4.42578125" style="4" customWidth="1"/>
    <col min="3" max="3" width="14.7109375" style="4" customWidth="1"/>
    <col min="4" max="4" width="3" style="4" customWidth="1"/>
    <col min="5" max="5" width="10.42578125" style="4" customWidth="1"/>
    <col min="6" max="6" width="4" style="4" customWidth="1"/>
    <col min="7" max="7" width="14.7109375" style="4" customWidth="1"/>
    <col min="8" max="8" width="3.140625" style="4" customWidth="1"/>
    <col min="9" max="9" width="10.140625" style="4" customWidth="1"/>
    <col min="10" max="10" width="4" style="4" customWidth="1"/>
    <col min="11" max="11" width="15.42578125" style="4" customWidth="1"/>
    <col min="12" max="12" width="3" style="4" customWidth="1"/>
    <col min="13" max="13" width="11.5703125" style="4" customWidth="1"/>
    <col min="14" max="14" width="3.7109375" style="4" customWidth="1"/>
    <col min="15" max="15" width="14.85546875" style="4" customWidth="1"/>
    <col min="16" max="16" width="3.5703125" style="4" customWidth="1"/>
    <col min="17" max="17" width="11.85546875" style="4" customWidth="1"/>
    <col min="18" max="16384" width="9.140625" style="4"/>
  </cols>
  <sheetData>
    <row r="1" spans="1:17" x14ac:dyDescent="0.2">
      <c r="Q1" s="5" t="s">
        <v>66</v>
      </c>
    </row>
    <row r="2" spans="1:17" x14ac:dyDescent="0.2">
      <c r="Q2" s="5" t="s">
        <v>58</v>
      </c>
    </row>
    <row r="4" spans="1:17" ht="15.75" x14ac:dyDescent="0.25">
      <c r="A4" s="118" t="s">
        <v>33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6.5" x14ac:dyDescent="0.25">
      <c r="A5" s="34"/>
    </row>
    <row r="6" spans="1:17" ht="15.75" x14ac:dyDescent="0.25">
      <c r="A6" s="118" t="s">
        <v>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15.75" x14ac:dyDescent="0.25">
      <c r="A7" s="121" t="s">
        <v>61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15.75" x14ac:dyDescent="0.25">
      <c r="A8" s="7"/>
      <c r="B8" s="7"/>
      <c r="C8" s="7"/>
      <c r="D8" s="7"/>
    </row>
    <row r="9" spans="1:17" ht="15.75" x14ac:dyDescent="0.25">
      <c r="B9" s="7"/>
      <c r="C9" s="7"/>
      <c r="D9" s="7"/>
      <c r="O9" s="116" t="s">
        <v>37</v>
      </c>
      <c r="P9" s="116"/>
      <c r="Q9" s="116"/>
    </row>
    <row r="10" spans="1:17" ht="15.75" x14ac:dyDescent="0.25">
      <c r="A10" s="8"/>
      <c r="B10" s="7"/>
      <c r="C10" s="122" t="s">
        <v>48</v>
      </c>
      <c r="D10" s="122"/>
      <c r="E10" s="122"/>
      <c r="G10" s="116" t="s">
        <v>60</v>
      </c>
      <c r="H10" s="116"/>
      <c r="I10" s="116"/>
      <c r="K10" s="116" t="s">
        <v>43</v>
      </c>
      <c r="L10" s="116"/>
      <c r="M10" s="116"/>
      <c r="O10" s="119" t="s">
        <v>44</v>
      </c>
      <c r="P10" s="120"/>
      <c r="Q10" s="120"/>
    </row>
    <row r="11" spans="1:17" ht="15.75" x14ac:dyDescent="0.25">
      <c r="A11" s="7"/>
      <c r="B11" s="7"/>
      <c r="D11" s="7"/>
      <c r="E11" s="6" t="s">
        <v>29</v>
      </c>
      <c r="H11" s="7"/>
      <c r="I11" s="81" t="s">
        <v>29</v>
      </c>
      <c r="L11" s="7"/>
      <c r="M11" s="81" t="s">
        <v>29</v>
      </c>
      <c r="P11" s="7"/>
      <c r="Q11" s="81" t="s">
        <v>29</v>
      </c>
    </row>
    <row r="12" spans="1:17" ht="15.75" x14ac:dyDescent="0.25">
      <c r="A12" s="9"/>
      <c r="B12" s="7"/>
      <c r="C12" s="12" t="s">
        <v>36</v>
      </c>
      <c r="D12" s="7"/>
      <c r="E12" s="6" t="s">
        <v>30</v>
      </c>
      <c r="G12" s="12" t="s">
        <v>36</v>
      </c>
      <c r="H12" s="7"/>
      <c r="I12" s="81" t="s">
        <v>30</v>
      </c>
      <c r="K12" s="12" t="s">
        <v>36</v>
      </c>
      <c r="L12" s="7"/>
      <c r="M12" s="81" t="s">
        <v>30</v>
      </c>
      <c r="O12" s="12" t="s">
        <v>36</v>
      </c>
      <c r="P12" s="7"/>
      <c r="Q12" s="81" t="s">
        <v>30</v>
      </c>
    </row>
    <row r="13" spans="1:17" x14ac:dyDescent="0.2">
      <c r="A13" s="13" t="s">
        <v>19</v>
      </c>
      <c r="B13" s="13"/>
      <c r="C13" s="14" t="s">
        <v>35</v>
      </c>
      <c r="D13" s="15"/>
      <c r="E13" s="14" t="s">
        <v>5</v>
      </c>
      <c r="G13" s="14" t="s">
        <v>35</v>
      </c>
      <c r="H13" s="15"/>
      <c r="I13" s="14" t="s">
        <v>5</v>
      </c>
      <c r="K13" s="14" t="s">
        <v>35</v>
      </c>
      <c r="L13" s="15"/>
      <c r="M13" s="14" t="s">
        <v>5</v>
      </c>
      <c r="O13" s="14" t="s">
        <v>35</v>
      </c>
      <c r="P13" s="15"/>
      <c r="Q13" s="14" t="s">
        <v>5</v>
      </c>
    </row>
    <row r="14" spans="1:17" x14ac:dyDescent="0.2">
      <c r="A14" s="11"/>
      <c r="B14" s="11"/>
      <c r="C14" s="12"/>
      <c r="D14" s="17"/>
      <c r="E14" s="12"/>
      <c r="G14" s="12"/>
      <c r="H14" s="17"/>
      <c r="I14" s="12"/>
      <c r="K14" s="12"/>
      <c r="L14" s="17"/>
      <c r="M14" s="12"/>
      <c r="O14" s="12"/>
      <c r="P14" s="17"/>
      <c r="Q14" s="12"/>
    </row>
    <row r="15" spans="1:17" x14ac:dyDescent="0.2">
      <c r="A15" s="11"/>
      <c r="B15" s="11"/>
      <c r="C15" s="12"/>
      <c r="D15" s="17"/>
      <c r="E15" s="12"/>
      <c r="G15" s="12"/>
      <c r="H15" s="17"/>
      <c r="I15" s="12"/>
      <c r="K15" s="12"/>
      <c r="L15" s="17"/>
      <c r="M15" s="12"/>
      <c r="O15" s="12"/>
      <c r="P15" s="17"/>
      <c r="Q15" s="12"/>
    </row>
    <row r="16" spans="1:17" x14ac:dyDescent="0.2">
      <c r="A16" s="67" t="s">
        <v>24</v>
      </c>
      <c r="B16" s="19"/>
      <c r="C16" s="68">
        <f>'Embed. Cost of Debt'!G23-'Embed. Cost of Debt'!G12</f>
        <v>138375000</v>
      </c>
      <c r="D16" s="69"/>
      <c r="E16" s="21">
        <f>ROUND(C16/C$32,5)</f>
        <v>0.37381999999999999</v>
      </c>
      <c r="F16" s="3"/>
      <c r="G16" s="68">
        <f>'Embed. Cost of Debt'!G29-'Embed. Cost of Debt'!G12</f>
        <v>160375000</v>
      </c>
      <c r="H16" s="69"/>
      <c r="I16" s="21">
        <f>ROUND(G16/G$32,5)</f>
        <v>0.39552999999999999</v>
      </c>
      <c r="K16" s="68">
        <f>'Embed. Cost of Debt'!G38</f>
        <v>206375000</v>
      </c>
      <c r="L16" s="69"/>
      <c r="M16" s="21">
        <f>ROUND(K16/K$32,5)</f>
        <v>0.44588</v>
      </c>
      <c r="O16" s="68">
        <f>'Embed. Cost of Debt'!G67</f>
        <v>197144230.76923075</v>
      </c>
      <c r="P16" s="69"/>
      <c r="Q16" s="21">
        <f>ROUND(O16/O$32,4)</f>
        <v>0.4425</v>
      </c>
    </row>
    <row r="17" spans="1:17" x14ac:dyDescent="0.2">
      <c r="A17" s="67" t="s">
        <v>25</v>
      </c>
      <c r="B17" s="19"/>
      <c r="C17" s="1">
        <f>'Embed. Cost of Debt'!G12</f>
        <v>16000000</v>
      </c>
      <c r="D17" s="69"/>
      <c r="E17" s="21">
        <f>ROUND(C17/C$32,5)</f>
        <v>4.3220000000000001E-2</v>
      </c>
      <c r="F17" s="3"/>
      <c r="G17" s="1">
        <f>'Embed. Cost of Debt'!G12</f>
        <v>16000000</v>
      </c>
      <c r="H17" s="69"/>
      <c r="I17" s="21">
        <f>ROUND(G17/G$32,5)</f>
        <v>3.9460000000000002E-2</v>
      </c>
      <c r="K17" s="1">
        <v>0</v>
      </c>
      <c r="L17" s="69"/>
      <c r="M17" s="40">
        <f>ROUND(K17/K$32,5)</f>
        <v>0</v>
      </c>
      <c r="O17" s="1">
        <v>0</v>
      </c>
      <c r="P17" s="69"/>
      <c r="Q17" s="40">
        <f>ROUND(O17/O$32,5)</f>
        <v>0</v>
      </c>
    </row>
    <row r="18" spans="1:17" x14ac:dyDescent="0.2">
      <c r="A18" s="43" t="s">
        <v>13</v>
      </c>
      <c r="B18" s="43"/>
      <c r="C18" s="70">
        <f>SUM(C16:C17)</f>
        <v>154375000</v>
      </c>
      <c r="D18" s="44"/>
      <c r="E18" s="25">
        <f>SUM(E16:E17)</f>
        <v>0.41703999999999997</v>
      </c>
      <c r="F18" s="43"/>
      <c r="G18" s="70">
        <f>SUM(G16:G17)</f>
        <v>176375000</v>
      </c>
      <c r="H18" s="44"/>
      <c r="I18" s="25">
        <f>SUM(I16:I17)</f>
        <v>0.43498999999999999</v>
      </c>
      <c r="J18" s="92"/>
      <c r="K18" s="70">
        <f>SUM(K16:K17)</f>
        <v>206375000</v>
      </c>
      <c r="L18" s="44"/>
      <c r="M18" s="25">
        <f>SUM(M16:M17)</f>
        <v>0.44588</v>
      </c>
      <c r="N18" s="92"/>
      <c r="O18" s="70">
        <f>SUM(O16:O17)</f>
        <v>197144230.76923075</v>
      </c>
      <c r="P18" s="44"/>
      <c r="Q18" s="25">
        <f>SUM(Q16:Q17)</f>
        <v>0.4425</v>
      </c>
    </row>
    <row r="19" spans="1:17" x14ac:dyDescent="0.2">
      <c r="A19" s="3"/>
      <c r="B19" s="19"/>
      <c r="C19" s="36"/>
      <c r="D19" s="35"/>
      <c r="E19" s="21"/>
      <c r="F19" s="3"/>
      <c r="G19" s="36"/>
      <c r="H19" s="35"/>
      <c r="I19" s="21"/>
      <c r="K19" s="36"/>
      <c r="L19" s="35"/>
      <c r="M19" s="21"/>
      <c r="O19" s="36"/>
      <c r="P19" s="35"/>
      <c r="Q19" s="21"/>
    </row>
    <row r="20" spans="1:17" x14ac:dyDescent="0.2">
      <c r="A20" s="3"/>
      <c r="B20" s="3"/>
      <c r="C20" s="37"/>
      <c r="D20" s="39"/>
      <c r="E20" s="71"/>
      <c r="F20" s="3"/>
      <c r="G20" s="37"/>
      <c r="H20" s="39"/>
      <c r="I20" s="71"/>
      <c r="K20" s="37"/>
      <c r="L20" s="39"/>
      <c r="M20" s="71"/>
      <c r="O20" s="37"/>
      <c r="P20" s="39"/>
      <c r="Q20" s="71"/>
    </row>
    <row r="21" spans="1:17" x14ac:dyDescent="0.2">
      <c r="A21" s="3" t="s">
        <v>1</v>
      </c>
      <c r="B21" s="3"/>
      <c r="C21" s="37"/>
      <c r="D21" s="39"/>
      <c r="E21" s="71"/>
      <c r="F21" s="3"/>
      <c r="G21" s="37"/>
      <c r="H21" s="39"/>
      <c r="I21" s="71"/>
      <c r="K21" s="37"/>
      <c r="L21" s="39"/>
      <c r="M21" s="71"/>
      <c r="O21" s="37"/>
      <c r="P21" s="39"/>
      <c r="Q21" s="71"/>
    </row>
    <row r="22" spans="1:17" x14ac:dyDescent="0.2">
      <c r="A22" s="38" t="s">
        <v>2</v>
      </c>
      <c r="B22" s="3"/>
      <c r="C22" s="72">
        <v>23806200</v>
      </c>
      <c r="D22" s="39"/>
      <c r="E22" s="40"/>
      <c r="F22" s="3"/>
      <c r="G22" s="72">
        <v>23806200</v>
      </c>
      <c r="H22" s="39"/>
      <c r="I22" s="40"/>
      <c r="J22" s="3"/>
      <c r="K22" s="72">
        <v>23806200</v>
      </c>
      <c r="L22" s="39"/>
      <c r="M22" s="40"/>
      <c r="N22" s="3"/>
      <c r="O22" s="72">
        <v>23806200</v>
      </c>
      <c r="P22" s="39"/>
      <c r="Q22" s="40"/>
    </row>
    <row r="23" spans="1:17" x14ac:dyDescent="0.2">
      <c r="A23" s="38" t="s">
        <v>26</v>
      </c>
      <c r="B23" s="3"/>
      <c r="C23" s="39">
        <v>15018523.640000001</v>
      </c>
      <c r="D23" s="39"/>
      <c r="E23" s="40"/>
      <c r="F23" s="3"/>
      <c r="G23" s="39">
        <v>26018523.640000001</v>
      </c>
      <c r="H23" s="39"/>
      <c r="I23" s="40"/>
      <c r="J23" s="3"/>
      <c r="K23" s="39">
        <v>45018523.640000001</v>
      </c>
      <c r="L23" s="39"/>
      <c r="M23" s="40"/>
      <c r="N23" s="3"/>
      <c r="O23" s="39">
        <v>43633908.255384609</v>
      </c>
      <c r="P23" s="39"/>
      <c r="Q23" s="40"/>
    </row>
    <row r="24" spans="1:17" x14ac:dyDescent="0.2">
      <c r="A24" s="38" t="s">
        <v>27</v>
      </c>
      <c r="B24" s="3"/>
      <c r="C24" s="39">
        <v>0</v>
      </c>
      <c r="D24" s="39"/>
      <c r="E24" s="40"/>
      <c r="F24" s="3"/>
      <c r="G24" s="39">
        <v>0</v>
      </c>
      <c r="H24" s="39"/>
      <c r="I24" s="40"/>
      <c r="J24" s="3"/>
      <c r="K24" s="39">
        <v>0</v>
      </c>
      <c r="L24" s="39"/>
      <c r="M24" s="40"/>
      <c r="N24" s="3"/>
      <c r="O24" s="39">
        <v>0</v>
      </c>
      <c r="P24" s="39"/>
      <c r="Q24" s="40"/>
    </row>
    <row r="25" spans="1:17" x14ac:dyDescent="0.2">
      <c r="A25" s="38" t="s">
        <v>28</v>
      </c>
      <c r="B25" s="3"/>
      <c r="C25" s="39">
        <v>157175841.69999999</v>
      </c>
      <c r="D25" s="39"/>
      <c r="E25" s="40"/>
      <c r="F25" s="3"/>
      <c r="G25" s="39">
        <v>156865495.81</v>
      </c>
      <c r="H25" s="39"/>
      <c r="I25" s="40"/>
      <c r="J25" s="3"/>
      <c r="K25" s="39">
        <v>173793926.14435846</v>
      </c>
      <c r="L25" s="39"/>
      <c r="M25" s="40"/>
      <c r="N25" s="3"/>
      <c r="O25" s="39">
        <v>167095029.16664016</v>
      </c>
      <c r="P25" s="39"/>
      <c r="Q25" s="40"/>
    </row>
    <row r="26" spans="1:17" x14ac:dyDescent="0.2">
      <c r="A26" s="43" t="s">
        <v>3</v>
      </c>
      <c r="B26" s="43"/>
      <c r="C26" s="70">
        <f>SUM(C22:C25)</f>
        <v>196000565.33999997</v>
      </c>
      <c r="D26" s="44"/>
      <c r="E26" s="25">
        <f>ROUND(C26/C$32,5)</f>
        <v>0.52949000000000002</v>
      </c>
      <c r="F26" s="43"/>
      <c r="G26" s="70">
        <f>SUM(G22:G25)</f>
        <v>206690219.44999999</v>
      </c>
      <c r="H26" s="44"/>
      <c r="I26" s="25">
        <f>ROUND(G26/G$32,5)</f>
        <v>0.50975000000000004</v>
      </c>
      <c r="J26" s="92"/>
      <c r="K26" s="70">
        <f>SUM(K22:K25)</f>
        <v>242618649.78435844</v>
      </c>
      <c r="L26" s="44"/>
      <c r="M26" s="25">
        <f>ROUND(K26/K$32,5)</f>
        <v>0.52417999999999998</v>
      </c>
      <c r="N26" s="92"/>
      <c r="O26" s="70">
        <f>SUM(O22:O25)</f>
        <v>234535137.42202479</v>
      </c>
      <c r="P26" s="44"/>
      <c r="Q26" s="25">
        <f>ROUND(O26/O$32,4)</f>
        <v>0.52639999999999998</v>
      </c>
    </row>
    <row r="27" spans="1:17" x14ac:dyDescent="0.2">
      <c r="A27" s="19"/>
      <c r="B27" s="19"/>
      <c r="C27" s="36"/>
      <c r="D27" s="35"/>
      <c r="E27" s="21"/>
      <c r="F27" s="19"/>
      <c r="G27" s="36"/>
      <c r="H27" s="35"/>
      <c r="I27" s="21"/>
      <c r="K27" s="36"/>
      <c r="L27" s="35"/>
      <c r="M27" s="21"/>
      <c r="O27" s="36"/>
      <c r="P27" s="35"/>
      <c r="Q27" s="21"/>
    </row>
    <row r="28" spans="1:17" ht="13.9" customHeight="1" x14ac:dyDescent="0.2">
      <c r="A28" s="43" t="s">
        <v>38</v>
      </c>
      <c r="B28" s="43"/>
      <c r="C28" s="70">
        <f>C18+C26</f>
        <v>350375565.33999997</v>
      </c>
      <c r="D28" s="44"/>
      <c r="E28" s="25">
        <f>E18+E26</f>
        <v>0.94652999999999998</v>
      </c>
      <c r="F28" s="43"/>
      <c r="G28" s="70">
        <f>G18+G26</f>
        <v>383065219.44999999</v>
      </c>
      <c r="H28" s="44"/>
      <c r="I28" s="25">
        <f>I18+I26</f>
        <v>0.94474000000000002</v>
      </c>
      <c r="J28" s="92"/>
      <c r="K28" s="70">
        <f>K18+K26</f>
        <v>448993649.78435844</v>
      </c>
      <c r="L28" s="44"/>
      <c r="M28" s="25">
        <f>M18+M26</f>
        <v>0.97005999999999992</v>
      </c>
      <c r="N28" s="92"/>
      <c r="O28" s="70">
        <f>O18+O26</f>
        <v>431679368.19125557</v>
      </c>
      <c r="P28" s="44"/>
      <c r="Q28" s="25">
        <f>Q18+Q26</f>
        <v>0.96889999999999998</v>
      </c>
    </row>
    <row r="29" spans="1:17" x14ac:dyDescent="0.2">
      <c r="A29" s="19"/>
      <c r="B29" s="19"/>
      <c r="C29" s="36"/>
      <c r="D29" s="35"/>
      <c r="E29" s="21"/>
      <c r="F29" s="19"/>
      <c r="G29" s="36"/>
      <c r="H29" s="35"/>
      <c r="I29" s="21"/>
      <c r="K29" s="36"/>
      <c r="L29" s="35"/>
      <c r="M29" s="21"/>
      <c r="O29" s="36"/>
      <c r="P29" s="35"/>
      <c r="Q29" s="21"/>
    </row>
    <row r="30" spans="1:17" x14ac:dyDescent="0.2">
      <c r="A30" s="67" t="s">
        <v>39</v>
      </c>
      <c r="B30" s="19"/>
      <c r="C30" s="36">
        <v>19792984.219999999</v>
      </c>
      <c r="D30" s="35"/>
      <c r="E30" s="21">
        <f>ROUND(C30/C$32,5)</f>
        <v>5.3469999999999997E-2</v>
      </c>
      <c r="F30" s="19"/>
      <c r="G30" s="36">
        <v>22405121.568461537</v>
      </c>
      <c r="H30" s="35"/>
      <c r="I30" s="21">
        <f>ROUND(G30/G$32,5)</f>
        <v>5.5259999999999997E-2</v>
      </c>
      <c r="K30" s="36">
        <v>13857836.824076844</v>
      </c>
      <c r="L30" s="35"/>
      <c r="M30" s="21">
        <f>ROUND(K30/K$32,5)</f>
        <v>2.9940000000000001E-2</v>
      </c>
      <c r="O30" s="36">
        <v>13857836.824076844</v>
      </c>
      <c r="P30" s="35"/>
      <c r="Q30" s="21">
        <f>ROUND(O30/O$32,4)</f>
        <v>3.1099999999999999E-2</v>
      </c>
    </row>
    <row r="31" spans="1:17" x14ac:dyDescent="0.2">
      <c r="A31" s="3"/>
      <c r="B31" s="3"/>
      <c r="C31" s="41"/>
      <c r="D31" s="39"/>
      <c r="E31" s="73"/>
      <c r="F31" s="19"/>
      <c r="G31" s="41"/>
      <c r="H31" s="39"/>
      <c r="I31" s="73"/>
      <c r="K31" s="41"/>
      <c r="L31" s="39"/>
      <c r="M31" s="73"/>
      <c r="O31" s="41"/>
      <c r="P31" s="39"/>
      <c r="Q31" s="73"/>
    </row>
    <row r="32" spans="1:17" x14ac:dyDescent="0.2">
      <c r="A32" s="43" t="s">
        <v>20</v>
      </c>
      <c r="B32" s="43"/>
      <c r="C32" s="42">
        <f>C28+C30</f>
        <v>370168549.55999994</v>
      </c>
      <c r="D32" s="44"/>
      <c r="E32" s="25">
        <f>E28+E30</f>
        <v>1</v>
      </c>
      <c r="F32" s="43"/>
      <c r="G32" s="42">
        <f>G28+G30</f>
        <v>405470341.01846153</v>
      </c>
      <c r="H32" s="44"/>
      <c r="I32" s="25">
        <f>I28+I30</f>
        <v>1</v>
      </c>
      <c r="J32" s="92"/>
      <c r="K32" s="42">
        <f>K28+K30</f>
        <v>462851486.60843527</v>
      </c>
      <c r="L32" s="44"/>
      <c r="M32" s="25">
        <f>M28+M30</f>
        <v>0.99999999999999989</v>
      </c>
      <c r="N32" s="92"/>
      <c r="O32" s="42">
        <f>O28+O30</f>
        <v>445537205.0153324</v>
      </c>
      <c r="P32" s="44"/>
      <c r="Q32" s="25">
        <f>Q28+Q30</f>
        <v>1</v>
      </c>
    </row>
    <row r="33" spans="1:9" x14ac:dyDescent="0.2">
      <c r="A33" s="74"/>
      <c r="B33" s="19"/>
      <c r="C33" s="75"/>
      <c r="D33" s="35"/>
      <c r="E33" s="3"/>
      <c r="F33" s="19"/>
      <c r="G33" s="75"/>
      <c r="H33" s="35"/>
      <c r="I33" s="3"/>
    </row>
    <row r="34" spans="1:9" x14ac:dyDescent="0.2">
      <c r="A34" s="3"/>
      <c r="B34" s="19"/>
      <c r="C34" s="35"/>
      <c r="D34" s="35"/>
      <c r="E34" s="3"/>
      <c r="F34" s="3"/>
      <c r="G34" s="3"/>
    </row>
    <row r="35" spans="1:9" x14ac:dyDescent="0.2">
      <c r="A35" s="76" t="s">
        <v>34</v>
      </c>
      <c r="B35" s="19"/>
      <c r="C35" s="35"/>
      <c r="D35" s="35"/>
      <c r="E35" s="3"/>
      <c r="F35" s="3"/>
      <c r="G35" s="3"/>
    </row>
    <row r="36" spans="1:9" x14ac:dyDescent="0.2">
      <c r="A36" s="76"/>
      <c r="B36" s="19"/>
      <c r="C36" s="35"/>
      <c r="D36" s="35"/>
      <c r="E36" s="3"/>
      <c r="F36" s="3"/>
      <c r="G36" s="3"/>
    </row>
    <row r="37" spans="1:9" x14ac:dyDescent="0.2">
      <c r="A37" s="76"/>
      <c r="B37" s="19"/>
      <c r="C37" s="35"/>
      <c r="D37" s="35"/>
      <c r="E37" s="3"/>
      <c r="F37" s="3"/>
      <c r="G37" s="3"/>
    </row>
    <row r="38" spans="1:9" x14ac:dyDescent="0.2">
      <c r="A38" s="51" t="s">
        <v>32</v>
      </c>
      <c r="B38" s="76"/>
      <c r="C38" s="19"/>
      <c r="D38" s="77"/>
      <c r="E38" s="19"/>
      <c r="F38" s="3"/>
      <c r="G38" s="3"/>
    </row>
    <row r="39" spans="1:9" x14ac:dyDescent="0.2">
      <c r="A39" s="3"/>
      <c r="B39" s="76"/>
      <c r="C39" s="19"/>
      <c r="D39" s="77"/>
      <c r="E39" s="19"/>
      <c r="F39" s="3"/>
      <c r="G39" s="3"/>
    </row>
    <row r="40" spans="1:9" x14ac:dyDescent="0.2">
      <c r="A40" s="26"/>
      <c r="B40" s="28"/>
      <c r="C40" s="11"/>
      <c r="D40" s="29"/>
      <c r="E40" s="11"/>
    </row>
    <row r="41" spans="1:9" x14ac:dyDescent="0.2">
      <c r="A41" s="11"/>
      <c r="B41" s="28"/>
      <c r="C41" s="11"/>
      <c r="D41" s="29"/>
      <c r="E41" s="11"/>
    </row>
    <row r="42" spans="1:9" x14ac:dyDescent="0.2">
      <c r="A42" s="11"/>
      <c r="B42" s="28"/>
      <c r="C42" s="11"/>
      <c r="D42" s="29"/>
      <c r="E42" s="11"/>
    </row>
    <row r="43" spans="1:9" x14ac:dyDescent="0.2">
      <c r="A43" s="26"/>
      <c r="B43" s="28"/>
      <c r="C43" s="30"/>
      <c r="D43" s="29"/>
      <c r="E43" s="11"/>
    </row>
    <row r="44" spans="1:9" x14ac:dyDescent="0.2">
      <c r="A44" s="11"/>
      <c r="B44" s="11"/>
      <c r="C44" s="20"/>
      <c r="D44" s="20"/>
    </row>
    <row r="45" spans="1:9" x14ac:dyDescent="0.2">
      <c r="B45" s="11"/>
      <c r="C45" s="20"/>
      <c r="D45" s="20"/>
    </row>
    <row r="46" spans="1:9" x14ac:dyDescent="0.2">
      <c r="B46" s="11"/>
      <c r="C46" s="20"/>
      <c r="D46" s="20"/>
    </row>
    <row r="47" spans="1:9" x14ac:dyDescent="0.2">
      <c r="B47" s="11"/>
      <c r="C47" s="20"/>
      <c r="D47" s="20"/>
    </row>
    <row r="48" spans="1:9" x14ac:dyDescent="0.2">
      <c r="A48" s="11"/>
      <c r="B48" s="11"/>
      <c r="C48" s="20"/>
      <c r="D48" s="20"/>
    </row>
    <row r="49" spans="1:4" x14ac:dyDescent="0.2">
      <c r="A49" s="11"/>
      <c r="B49" s="11"/>
      <c r="C49" s="20"/>
      <c r="D49" s="20"/>
    </row>
    <row r="50" spans="1:4" x14ac:dyDescent="0.2">
      <c r="A50" s="26"/>
      <c r="B50" s="11"/>
      <c r="C50" s="20"/>
      <c r="D50" s="20"/>
    </row>
    <row r="51" spans="1:4" x14ac:dyDescent="0.2">
      <c r="A51" s="32"/>
      <c r="B51" s="11"/>
      <c r="C51" s="20"/>
      <c r="D51" s="20"/>
    </row>
    <row r="52" spans="1:4" x14ac:dyDescent="0.2">
      <c r="B52" s="11"/>
      <c r="C52" s="20"/>
      <c r="D52" s="20"/>
    </row>
    <row r="53" spans="1:4" x14ac:dyDescent="0.2">
      <c r="A53" s="32"/>
      <c r="B53" s="11"/>
      <c r="C53" s="27"/>
      <c r="D53" s="27"/>
    </row>
    <row r="54" spans="1:4" x14ac:dyDescent="0.2">
      <c r="A54" s="32"/>
      <c r="B54" s="11"/>
      <c r="C54" s="27"/>
      <c r="D54" s="27"/>
    </row>
    <row r="55" spans="1:4" x14ac:dyDescent="0.2">
      <c r="A55" s="32"/>
      <c r="B55" s="11"/>
      <c r="C55" s="27"/>
      <c r="D55" s="27"/>
    </row>
    <row r="56" spans="1:4" x14ac:dyDescent="0.2">
      <c r="A56" s="32"/>
      <c r="B56" s="11"/>
      <c r="C56" s="11"/>
      <c r="D56" s="11"/>
    </row>
    <row r="57" spans="1:4" x14ac:dyDescent="0.2">
      <c r="A57" s="32"/>
      <c r="B57" s="11"/>
      <c r="C57" s="11"/>
      <c r="D57" s="11"/>
    </row>
    <row r="58" spans="1:4" x14ac:dyDescent="0.2">
      <c r="A58" s="32"/>
      <c r="B58" s="11"/>
      <c r="C58" s="11"/>
      <c r="D58" s="11"/>
    </row>
    <row r="59" spans="1:4" x14ac:dyDescent="0.2">
      <c r="A59" s="11"/>
      <c r="B59" s="11"/>
      <c r="C59" s="11"/>
      <c r="D59" s="11"/>
    </row>
    <row r="63" spans="1:4" x14ac:dyDescent="0.2">
      <c r="A63" s="33"/>
    </row>
    <row r="64" spans="1:4" x14ac:dyDescent="0.2">
      <c r="A64" s="33"/>
    </row>
  </sheetData>
  <mergeCells count="8">
    <mergeCell ref="A4:Q4"/>
    <mergeCell ref="K10:M10"/>
    <mergeCell ref="O10:Q10"/>
    <mergeCell ref="O9:Q9"/>
    <mergeCell ref="A6:Q6"/>
    <mergeCell ref="A7:Q7"/>
    <mergeCell ref="C10:E10"/>
    <mergeCell ref="G10:I10"/>
  </mergeCells>
  <pageMargins left="0.95" right="0.7" top="1" bottom="0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77"/>
  <sheetViews>
    <sheetView zoomScaleNormal="100" workbookViewId="0">
      <selection activeCell="I2" sqref="I2"/>
    </sheetView>
  </sheetViews>
  <sheetFormatPr defaultColWidth="9.140625" defaultRowHeight="14.25" x14ac:dyDescent="0.2"/>
  <cols>
    <col min="1" max="1" width="37.85546875" style="4" customWidth="1"/>
    <col min="2" max="2" width="2.7109375" style="4" customWidth="1"/>
    <col min="3" max="3" width="12.7109375" style="4" customWidth="1"/>
    <col min="4" max="4" width="5.140625" style="4" customWidth="1"/>
    <col min="5" max="5" width="10.140625" style="4" customWidth="1"/>
    <col min="6" max="6" width="5.42578125" style="4" customWidth="1"/>
    <col min="7" max="7" width="16" style="4" customWidth="1"/>
    <col min="8" max="8" width="5.140625" style="4" customWidth="1"/>
    <col min="9" max="9" width="14.5703125" style="4" customWidth="1"/>
    <col min="10" max="10" width="1.42578125" style="4" customWidth="1"/>
    <col min="11" max="11" width="13.85546875" style="4" bestFit="1" customWidth="1"/>
    <col min="12" max="16384" width="9.140625" style="4"/>
  </cols>
  <sheetData>
    <row r="1" spans="1:11" x14ac:dyDescent="0.2">
      <c r="I1" s="31" t="s">
        <v>67</v>
      </c>
    </row>
    <row r="2" spans="1:11" x14ac:dyDescent="0.2">
      <c r="A2" s="3"/>
      <c r="I2" s="5" t="s">
        <v>58</v>
      </c>
    </row>
    <row r="3" spans="1:11" x14ac:dyDescent="0.2">
      <c r="A3" s="116" t="s">
        <v>33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x14ac:dyDescent="0.2">
      <c r="A4" s="3"/>
      <c r="B4" s="3"/>
      <c r="C4" s="3" t="s">
        <v>22</v>
      </c>
      <c r="D4" s="3"/>
      <c r="E4" s="3"/>
      <c r="F4" s="3"/>
      <c r="G4" s="3"/>
      <c r="H4" s="3"/>
      <c r="I4" s="3"/>
      <c r="J4" s="3"/>
    </row>
    <row r="5" spans="1:11" x14ac:dyDescent="0.2">
      <c r="A5" s="116" t="s">
        <v>61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1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1" x14ac:dyDescent="0.2">
      <c r="A8" s="93"/>
      <c r="B8" s="94"/>
      <c r="C8" s="94"/>
      <c r="D8" s="94"/>
      <c r="E8" s="94"/>
      <c r="F8" s="94"/>
      <c r="G8" s="94"/>
      <c r="H8" s="3"/>
      <c r="I8" s="91" t="s">
        <v>14</v>
      </c>
      <c r="J8" s="19"/>
      <c r="K8" s="11"/>
    </row>
    <row r="9" spans="1:11" x14ac:dyDescent="0.2">
      <c r="A9" s="95"/>
      <c r="B9" s="94"/>
      <c r="C9" s="91" t="s">
        <v>6</v>
      </c>
      <c r="D9" s="94"/>
      <c r="E9" s="91" t="s">
        <v>8</v>
      </c>
      <c r="F9" s="94"/>
      <c r="G9" s="91" t="s">
        <v>10</v>
      </c>
      <c r="H9" s="3"/>
      <c r="I9" s="91" t="s">
        <v>21</v>
      </c>
      <c r="J9" s="19"/>
      <c r="K9" s="12"/>
    </row>
    <row r="10" spans="1:11" x14ac:dyDescent="0.2">
      <c r="A10" s="16" t="s">
        <v>23</v>
      </c>
      <c r="B10" s="85"/>
      <c r="C10" s="16" t="s">
        <v>7</v>
      </c>
      <c r="D10" s="85"/>
      <c r="E10" s="16" t="s">
        <v>9</v>
      </c>
      <c r="F10" s="85"/>
      <c r="G10" s="16" t="s">
        <v>11</v>
      </c>
      <c r="H10" s="23"/>
      <c r="I10" s="16" t="s">
        <v>12</v>
      </c>
      <c r="J10" s="76"/>
      <c r="K10" s="12"/>
    </row>
    <row r="11" spans="1:11" x14ac:dyDescent="0.2">
      <c r="A11" s="84"/>
      <c r="B11" s="94"/>
      <c r="C11" s="91"/>
      <c r="D11" s="94"/>
      <c r="E11" s="91"/>
      <c r="F11" s="94"/>
      <c r="G11" s="91"/>
      <c r="H11" s="3"/>
      <c r="I11" s="91"/>
      <c r="J11" s="19"/>
      <c r="K11" s="11"/>
    </row>
    <row r="12" spans="1:11" x14ac:dyDescent="0.2">
      <c r="A12" s="104" t="s">
        <v>56</v>
      </c>
      <c r="B12" s="19"/>
      <c r="C12" s="105">
        <v>44501</v>
      </c>
      <c r="D12" s="35"/>
      <c r="E12" s="96">
        <v>6.0150000000000002E-2</v>
      </c>
      <c r="F12" s="22"/>
      <c r="G12" s="2">
        <v>16000000</v>
      </c>
      <c r="H12" s="19"/>
      <c r="I12" s="2">
        <f>ROUND(G12*E12,5)</f>
        <v>962400</v>
      </c>
      <c r="J12" s="19"/>
      <c r="K12" s="2"/>
    </row>
    <row r="13" spans="1:11" x14ac:dyDescent="0.2">
      <c r="A13" s="104" t="s">
        <v>55</v>
      </c>
      <c r="B13" s="19"/>
      <c r="C13" s="105">
        <v>46027</v>
      </c>
      <c r="D13" s="35"/>
      <c r="E13" s="96">
        <v>5.9200000000000003E-2</v>
      </c>
      <c r="F13" s="22"/>
      <c r="G13" s="2">
        <v>12375000</v>
      </c>
      <c r="H13" s="19"/>
      <c r="I13" s="2">
        <f t="shared" ref="I13:I19" si="0">ROUND(G13*E13,5)</f>
        <v>732600</v>
      </c>
      <c r="J13" s="19"/>
      <c r="K13" s="2"/>
    </row>
    <row r="14" spans="1:11" x14ac:dyDescent="0.2">
      <c r="A14" s="104" t="s">
        <v>54</v>
      </c>
      <c r="B14" s="19"/>
      <c r="C14" s="105">
        <v>47833</v>
      </c>
      <c r="D14" s="35"/>
      <c r="E14" s="96">
        <v>6.0199999999999997E-2</v>
      </c>
      <c r="F14" s="22"/>
      <c r="G14" s="2">
        <v>10000000</v>
      </c>
      <c r="H14" s="19"/>
      <c r="I14" s="2">
        <f t="shared" si="0"/>
        <v>602000</v>
      </c>
      <c r="J14" s="19"/>
      <c r="K14" s="2"/>
    </row>
    <row r="15" spans="1:11" x14ac:dyDescent="0.2">
      <c r="A15" s="104" t="s">
        <v>53</v>
      </c>
      <c r="B15" s="19"/>
      <c r="C15" s="105">
        <v>52238</v>
      </c>
      <c r="D15" s="35"/>
      <c r="E15" s="96">
        <v>5.7700000000000001E-2</v>
      </c>
      <c r="F15" s="22"/>
      <c r="G15" s="2">
        <v>20000000</v>
      </c>
      <c r="H15" s="19"/>
      <c r="I15" s="2">
        <f t="shared" si="0"/>
        <v>1154000</v>
      </c>
      <c r="J15" s="19"/>
      <c r="K15" s="2"/>
    </row>
    <row r="16" spans="1:11" x14ac:dyDescent="0.2">
      <c r="A16" s="104" t="s">
        <v>52</v>
      </c>
      <c r="B16" s="19"/>
      <c r="C16" s="105">
        <v>52588</v>
      </c>
      <c r="D16" s="35"/>
      <c r="E16" s="96">
        <v>6.2E-2</v>
      </c>
      <c r="F16" s="22"/>
      <c r="G16" s="2">
        <v>20000000</v>
      </c>
      <c r="H16" s="19"/>
      <c r="I16" s="2">
        <f t="shared" si="0"/>
        <v>1240000</v>
      </c>
      <c r="J16" s="19"/>
      <c r="K16" s="2"/>
    </row>
    <row r="17" spans="1:11" x14ac:dyDescent="0.2">
      <c r="A17" s="104" t="s">
        <v>51</v>
      </c>
      <c r="B17" s="19"/>
      <c r="C17" s="105">
        <v>52947</v>
      </c>
      <c r="D17" s="35"/>
      <c r="E17" s="96">
        <v>4.4299999999999999E-2</v>
      </c>
      <c r="F17" s="22"/>
      <c r="G17" s="2">
        <v>5000000</v>
      </c>
      <c r="H17" s="19"/>
      <c r="I17" s="2">
        <f t="shared" si="0"/>
        <v>221500</v>
      </c>
      <c r="J17" s="19"/>
      <c r="K17" s="2"/>
    </row>
    <row r="18" spans="1:11" x14ac:dyDescent="0.2">
      <c r="A18" s="104" t="s">
        <v>40</v>
      </c>
      <c r="B18" s="19"/>
      <c r="C18" s="105">
        <v>53600</v>
      </c>
      <c r="D18" s="35"/>
      <c r="E18" s="96">
        <v>3.8425000000000001E-2</v>
      </c>
      <c r="F18" s="22"/>
      <c r="G18" s="2">
        <v>31000000</v>
      </c>
      <c r="H18" s="19"/>
      <c r="I18" s="2">
        <f t="shared" si="0"/>
        <v>1191175</v>
      </c>
      <c r="J18" s="19"/>
      <c r="K18" s="2"/>
    </row>
    <row r="19" spans="1:11" x14ac:dyDescent="0.2">
      <c r="A19" s="104" t="s">
        <v>41</v>
      </c>
      <c r="B19" s="19"/>
      <c r="C19" s="105">
        <v>54423</v>
      </c>
      <c r="D19" s="35"/>
      <c r="E19" s="96">
        <v>4.6435999999999998E-2</v>
      </c>
      <c r="F19" s="22"/>
      <c r="G19" s="2">
        <v>13000000</v>
      </c>
      <c r="H19" s="19"/>
      <c r="I19" s="2">
        <f t="shared" si="0"/>
        <v>603668</v>
      </c>
      <c r="J19" s="19"/>
      <c r="K19" s="2"/>
    </row>
    <row r="20" spans="1:11" x14ac:dyDescent="0.2">
      <c r="A20" s="104" t="s">
        <v>42</v>
      </c>
      <c r="B20" s="19"/>
      <c r="C20" s="105">
        <v>54788</v>
      </c>
      <c r="D20" s="35"/>
      <c r="E20" s="96">
        <v>3.7484999999999997E-2</v>
      </c>
      <c r="F20" s="22"/>
      <c r="G20" s="2">
        <v>15000000</v>
      </c>
      <c r="H20" s="19"/>
      <c r="I20" s="2">
        <f>ROUND(G20*E20,5)</f>
        <v>562275</v>
      </c>
      <c r="J20" s="19"/>
      <c r="K20" s="2"/>
    </row>
    <row r="21" spans="1:11" x14ac:dyDescent="0.2">
      <c r="A21" s="104" t="s">
        <v>57</v>
      </c>
      <c r="B21" s="19"/>
      <c r="C21" s="105">
        <v>54969</v>
      </c>
      <c r="D21" s="35"/>
      <c r="E21" s="96">
        <v>3.1741999999999999E-2</v>
      </c>
      <c r="F21" s="22"/>
      <c r="G21" s="2">
        <v>12000000</v>
      </c>
      <c r="H21" s="19"/>
      <c r="I21" s="2">
        <f>ROUND(G21*E21,5)</f>
        <v>380904</v>
      </c>
      <c r="J21" s="19"/>
      <c r="K21" s="2"/>
    </row>
    <row r="22" spans="1:11" x14ac:dyDescent="0.2">
      <c r="A22" s="19"/>
      <c r="B22" s="19"/>
      <c r="C22" s="103"/>
      <c r="D22" s="35"/>
      <c r="E22" s="96"/>
      <c r="F22" s="22"/>
      <c r="G22" s="2"/>
      <c r="H22" s="19"/>
      <c r="I22" s="2"/>
      <c r="J22" s="19"/>
      <c r="K22" s="2"/>
    </row>
    <row r="23" spans="1:11" x14ac:dyDescent="0.2">
      <c r="A23" s="97" t="s">
        <v>49</v>
      </c>
      <c r="B23" s="43"/>
      <c r="C23" s="44"/>
      <c r="D23" s="44"/>
      <c r="E23" s="24"/>
      <c r="F23" s="24"/>
      <c r="G23" s="98">
        <f>SUM(G12:G22)</f>
        <v>154375000</v>
      </c>
      <c r="H23" s="43"/>
      <c r="I23" s="99">
        <f>SUM(I12:I22)</f>
        <v>7650522</v>
      </c>
      <c r="J23" s="78"/>
      <c r="K23" s="78"/>
    </row>
    <row r="24" spans="1:11" x14ac:dyDescent="0.2">
      <c r="A24" s="19"/>
      <c r="B24" s="19"/>
      <c r="C24" s="35"/>
      <c r="D24" s="35"/>
      <c r="E24" s="22"/>
      <c r="F24" s="100"/>
      <c r="G24" s="22"/>
      <c r="H24" s="19"/>
      <c r="I24" s="45"/>
      <c r="J24" s="19"/>
      <c r="K24" s="19"/>
    </row>
    <row r="25" spans="1:11" x14ac:dyDescent="0.2">
      <c r="A25" s="3"/>
      <c r="B25" s="19"/>
      <c r="C25" s="35"/>
      <c r="D25" s="35"/>
      <c r="E25" s="101" t="s">
        <v>22</v>
      </c>
      <c r="F25" s="43"/>
      <c r="G25" s="43"/>
      <c r="H25" s="43"/>
      <c r="I25" s="102">
        <f>ROUND(I23/G23,5)</f>
        <v>4.956E-2</v>
      </c>
      <c r="J25" s="3"/>
      <c r="K25" s="3"/>
    </row>
    <row r="26" spans="1:11" x14ac:dyDescent="0.2">
      <c r="A26" s="3"/>
      <c r="B26" s="19"/>
      <c r="C26" s="35"/>
      <c r="D26" s="35"/>
      <c r="E26" s="19"/>
      <c r="F26" s="19"/>
      <c r="G26" s="19"/>
      <c r="H26" s="19"/>
      <c r="I26" s="45"/>
      <c r="J26" s="3"/>
      <c r="K26" s="3"/>
    </row>
    <row r="27" spans="1:11" x14ac:dyDescent="0.2">
      <c r="A27" s="104" t="s">
        <v>59</v>
      </c>
      <c r="B27" s="19"/>
      <c r="C27" s="105">
        <v>55334</v>
      </c>
      <c r="D27" s="35"/>
      <c r="E27" s="96">
        <v>3.2719999999999999E-2</v>
      </c>
      <c r="F27" s="22"/>
      <c r="G27" s="2">
        <v>22000000</v>
      </c>
      <c r="H27" s="19"/>
      <c r="I27" s="2">
        <f>ROUND(G27*E27,5)</f>
        <v>719840</v>
      </c>
      <c r="J27" s="19"/>
      <c r="K27" s="2"/>
    </row>
    <row r="28" spans="1:11" x14ac:dyDescent="0.2">
      <c r="A28" s="3"/>
      <c r="B28" s="19"/>
      <c r="C28" s="35"/>
      <c r="D28" s="35"/>
      <c r="E28" s="19"/>
      <c r="F28" s="19"/>
      <c r="G28" s="19"/>
      <c r="H28" s="19"/>
      <c r="I28" s="45"/>
      <c r="J28" s="3"/>
      <c r="K28" s="3"/>
    </row>
    <row r="29" spans="1:11" x14ac:dyDescent="0.2">
      <c r="A29" s="97" t="s">
        <v>50</v>
      </c>
      <c r="B29" s="43"/>
      <c r="C29" s="44"/>
      <c r="D29" s="44"/>
      <c r="E29" s="24"/>
      <c r="F29" s="24"/>
      <c r="G29" s="98">
        <f>G23+SUM(G27:G28)</f>
        <v>176375000</v>
      </c>
      <c r="H29" s="43"/>
      <c r="I29" s="98">
        <f>I23+SUM(I27:I28)</f>
        <v>8370362</v>
      </c>
      <c r="J29" s="78"/>
      <c r="K29" s="78"/>
    </row>
    <row r="30" spans="1:11" x14ac:dyDescent="0.2">
      <c r="A30" s="74"/>
      <c r="B30" s="19"/>
      <c r="C30" s="35"/>
      <c r="D30" s="35"/>
      <c r="E30" s="22"/>
      <c r="F30" s="79"/>
      <c r="G30" s="3"/>
      <c r="H30" s="3"/>
      <c r="I30" s="3"/>
      <c r="J30" s="3"/>
      <c r="K30" s="3"/>
    </row>
    <row r="31" spans="1:11" x14ac:dyDescent="0.2">
      <c r="A31" s="3"/>
      <c r="B31" s="19"/>
      <c r="C31" s="35"/>
      <c r="D31" s="35"/>
      <c r="E31" s="101" t="s">
        <v>22</v>
      </c>
      <c r="F31" s="43"/>
      <c r="G31" s="43"/>
      <c r="H31" s="43"/>
      <c r="I31" s="102">
        <f>ROUND(I29/G29,5)</f>
        <v>4.7460000000000002E-2</v>
      </c>
      <c r="J31" s="3"/>
      <c r="K31" s="3"/>
    </row>
    <row r="32" spans="1:11" x14ac:dyDescent="0.2">
      <c r="A32" s="74"/>
      <c r="B32" s="19"/>
      <c r="C32" s="35"/>
      <c r="D32" s="35"/>
      <c r="E32" s="22"/>
      <c r="F32" s="79"/>
      <c r="G32" s="3"/>
      <c r="H32" s="3"/>
      <c r="I32" s="3"/>
      <c r="J32" s="3"/>
      <c r="K32" s="3"/>
    </row>
    <row r="33" spans="1:11" x14ac:dyDescent="0.2">
      <c r="A33" s="104" t="s">
        <v>62</v>
      </c>
      <c r="B33" s="19"/>
      <c r="C33" s="105">
        <v>55426</v>
      </c>
      <c r="D33" s="35"/>
      <c r="E33" s="96">
        <v>3.2777000000000001E-2</v>
      </c>
      <c r="F33" s="22"/>
      <c r="G33" s="2">
        <v>22000000</v>
      </c>
      <c r="H33" s="19"/>
      <c r="I33" s="2">
        <f>ROUND(G33*E33,5)</f>
        <v>721094</v>
      </c>
      <c r="J33" s="19"/>
      <c r="K33" s="2"/>
    </row>
    <row r="34" spans="1:11" x14ac:dyDescent="0.2">
      <c r="A34" s="104" t="str">
        <f>A12</f>
        <v>6.0150% Notes, due November 1, 2021</v>
      </c>
      <c r="B34" s="19"/>
      <c r="C34" s="105">
        <f>C12</f>
        <v>44501</v>
      </c>
      <c r="D34" s="35"/>
      <c r="E34" s="96">
        <f>E12</f>
        <v>6.0150000000000002E-2</v>
      </c>
      <c r="F34" s="22"/>
      <c r="G34" s="2">
        <f>-G12</f>
        <v>-16000000</v>
      </c>
      <c r="H34" s="19"/>
      <c r="I34" s="2">
        <f>ROUND(G34*E34,5)</f>
        <v>-962400</v>
      </c>
      <c r="J34" s="19"/>
      <c r="K34" s="2"/>
    </row>
    <row r="35" spans="1:11" x14ac:dyDescent="0.2">
      <c r="A35" s="104" t="s">
        <v>63</v>
      </c>
      <c r="B35" s="19"/>
      <c r="C35" s="105">
        <v>55609</v>
      </c>
      <c r="D35" s="35"/>
      <c r="E35" s="96">
        <v>3.3000000000000002E-2</v>
      </c>
      <c r="F35" s="22"/>
      <c r="G35" s="2">
        <v>16000000</v>
      </c>
      <c r="H35" s="19"/>
      <c r="I35" s="2">
        <f>ROUND(G35*E35,5)</f>
        <v>528000</v>
      </c>
      <c r="J35" s="19"/>
      <c r="K35" s="2"/>
    </row>
    <row r="36" spans="1:11" x14ac:dyDescent="0.2">
      <c r="A36" s="104" t="s">
        <v>64</v>
      </c>
      <c r="B36" s="19"/>
      <c r="C36" s="105">
        <v>55700</v>
      </c>
      <c r="D36" s="35"/>
      <c r="E36" s="96">
        <v>3.3000000000000002E-2</v>
      </c>
      <c r="F36" s="22"/>
      <c r="G36" s="2">
        <v>8000000</v>
      </c>
      <c r="H36" s="19"/>
      <c r="I36" s="2">
        <f>ROUND(G36*E36,5)</f>
        <v>264000</v>
      </c>
      <c r="J36" s="19"/>
      <c r="K36" s="2"/>
    </row>
    <row r="37" spans="1:11" x14ac:dyDescent="0.2">
      <c r="A37" s="74"/>
      <c r="B37" s="19"/>
      <c r="C37" s="35"/>
      <c r="D37" s="35"/>
      <c r="E37" s="22"/>
      <c r="F37" s="79"/>
      <c r="G37" s="3"/>
      <c r="H37" s="3"/>
      <c r="I37" s="3"/>
      <c r="J37" s="3"/>
      <c r="K37" s="3"/>
    </row>
    <row r="38" spans="1:11" x14ac:dyDescent="0.2">
      <c r="A38" s="97" t="s">
        <v>46</v>
      </c>
      <c r="B38" s="43"/>
      <c r="C38" s="44"/>
      <c r="D38" s="44"/>
      <c r="E38" s="24"/>
      <c r="F38" s="24"/>
      <c r="G38" s="98">
        <f>G29+SUM(G33:G37)</f>
        <v>206375000</v>
      </c>
      <c r="H38" s="43"/>
      <c r="I38" s="98">
        <f>I29+SUM(I33:I37)</f>
        <v>8921056</v>
      </c>
      <c r="J38" s="3"/>
      <c r="K38" s="3"/>
    </row>
    <row r="39" spans="1:11" x14ac:dyDescent="0.2">
      <c r="A39" s="74"/>
      <c r="B39" s="19"/>
      <c r="C39" s="35"/>
      <c r="D39" s="35"/>
      <c r="E39" s="22"/>
      <c r="F39" s="79"/>
      <c r="G39" s="3"/>
      <c r="H39" s="3"/>
      <c r="I39" s="3"/>
      <c r="J39" s="3"/>
      <c r="K39" s="3"/>
    </row>
    <row r="40" spans="1:11" x14ac:dyDescent="0.2">
      <c r="A40" s="74"/>
      <c r="B40" s="19"/>
      <c r="C40" s="35"/>
      <c r="D40" s="35"/>
      <c r="E40" s="101" t="s">
        <v>22</v>
      </c>
      <c r="F40" s="43"/>
      <c r="G40" s="43"/>
      <c r="H40" s="43"/>
      <c r="I40" s="102">
        <f>ROUND(I38/G38,4)</f>
        <v>4.3200000000000002E-2</v>
      </c>
      <c r="J40" s="3"/>
      <c r="K40" s="3"/>
    </row>
    <row r="41" spans="1:11" x14ac:dyDescent="0.2">
      <c r="A41" s="74"/>
      <c r="B41" s="19"/>
      <c r="C41" s="35"/>
      <c r="D41" s="35"/>
      <c r="E41" s="22"/>
      <c r="F41" s="79"/>
      <c r="G41" s="3"/>
      <c r="H41" s="3"/>
      <c r="I41" s="3"/>
      <c r="J41" s="3"/>
      <c r="K41" s="3"/>
    </row>
    <row r="42" spans="1:11" x14ac:dyDescent="0.2">
      <c r="A42" s="74"/>
      <c r="B42" s="19"/>
      <c r="C42" s="35"/>
      <c r="D42" s="35"/>
      <c r="E42" s="22"/>
      <c r="F42" s="79"/>
      <c r="G42" s="3"/>
      <c r="H42" s="3"/>
      <c r="I42" s="3"/>
      <c r="J42" s="3"/>
      <c r="K42" s="3"/>
    </row>
    <row r="43" spans="1:11" x14ac:dyDescent="0.2">
      <c r="A43" s="116" t="s">
        <v>33</v>
      </c>
      <c r="B43" s="116"/>
      <c r="C43" s="116"/>
      <c r="D43" s="116"/>
      <c r="E43" s="116"/>
      <c r="F43" s="116"/>
      <c r="G43" s="116"/>
      <c r="H43" s="116"/>
      <c r="I43" s="116"/>
      <c r="J43" s="116"/>
      <c r="K43" s="5"/>
    </row>
    <row r="44" spans="1:11" x14ac:dyDescent="0.2">
      <c r="A44" s="3"/>
      <c r="B44" s="3"/>
      <c r="C44" s="3" t="s">
        <v>22</v>
      </c>
      <c r="D44" s="3"/>
      <c r="E44" s="3"/>
      <c r="F44" s="3"/>
      <c r="G44" s="3"/>
      <c r="H44" s="3"/>
      <c r="I44" s="3"/>
      <c r="J44" s="3"/>
      <c r="K44" s="5"/>
    </row>
    <row r="45" spans="1:11" x14ac:dyDescent="0.2">
      <c r="A45" s="116" t="s">
        <v>45</v>
      </c>
      <c r="B45" s="116"/>
      <c r="C45" s="116"/>
      <c r="D45" s="116"/>
      <c r="E45" s="116"/>
      <c r="F45" s="116"/>
      <c r="G45" s="116"/>
      <c r="H45" s="116"/>
      <c r="I45" s="116"/>
      <c r="J45" s="116"/>
    </row>
    <row r="46" spans="1:11" x14ac:dyDescent="0.2">
      <c r="A46" s="117"/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1" x14ac:dyDescent="0.2">
      <c r="A48" s="93"/>
      <c r="B48" s="94"/>
      <c r="C48" s="94"/>
      <c r="D48" s="94"/>
      <c r="E48" s="94"/>
      <c r="F48" s="94"/>
      <c r="G48" s="94"/>
      <c r="H48" s="3"/>
      <c r="I48" s="91" t="s">
        <v>14</v>
      </c>
      <c r="J48" s="19"/>
      <c r="K48" s="11"/>
    </row>
    <row r="49" spans="1:11" x14ac:dyDescent="0.2">
      <c r="A49" s="95"/>
      <c r="B49" s="94"/>
      <c r="C49" s="91" t="s">
        <v>6</v>
      </c>
      <c r="D49" s="94"/>
      <c r="E49" s="91" t="s">
        <v>8</v>
      </c>
      <c r="F49" s="94"/>
      <c r="G49" s="91" t="s">
        <v>10</v>
      </c>
      <c r="H49" s="3"/>
      <c r="I49" s="91" t="s">
        <v>21</v>
      </c>
      <c r="J49" s="19"/>
      <c r="K49" s="12"/>
    </row>
    <row r="50" spans="1:11" x14ac:dyDescent="0.2">
      <c r="A50" s="16" t="s">
        <v>23</v>
      </c>
      <c r="B50" s="85"/>
      <c r="C50" s="16" t="s">
        <v>7</v>
      </c>
      <c r="D50" s="85"/>
      <c r="E50" s="16" t="s">
        <v>9</v>
      </c>
      <c r="F50" s="85"/>
      <c r="G50" s="16" t="s">
        <v>11</v>
      </c>
      <c r="H50" s="23"/>
      <c r="I50" s="16" t="s">
        <v>12</v>
      </c>
      <c r="J50" s="76"/>
      <c r="K50" s="12"/>
    </row>
    <row r="51" spans="1:11" x14ac:dyDescent="0.2">
      <c r="A51" s="84"/>
      <c r="B51" s="94"/>
      <c r="C51" s="91"/>
      <c r="D51" s="94"/>
      <c r="E51" s="91"/>
      <c r="F51" s="94"/>
      <c r="G51" s="91"/>
      <c r="H51" s="3"/>
      <c r="I51" s="91"/>
      <c r="J51" s="19"/>
      <c r="K51" s="11"/>
    </row>
    <row r="52" spans="1:11" x14ac:dyDescent="0.2">
      <c r="A52" s="104" t="str">
        <f>A13</f>
        <v>5.9200% Notes, due January 5, 2026</v>
      </c>
      <c r="B52" s="19"/>
      <c r="C52" s="105">
        <f t="shared" ref="C52:C60" si="1">C13</f>
        <v>46027</v>
      </c>
      <c r="D52" s="35"/>
      <c r="E52" s="96">
        <f t="shared" ref="E52:E60" si="2">E13</f>
        <v>5.9200000000000003E-2</v>
      </c>
      <c r="F52" s="22"/>
      <c r="G52" s="2">
        <f t="shared" ref="G52:G60" si="3">G13</f>
        <v>12375000</v>
      </c>
      <c r="H52" s="19"/>
      <c r="I52" s="2">
        <f>ROUND(G52*E52,5)</f>
        <v>732600</v>
      </c>
      <c r="J52" s="19"/>
      <c r="K52" s="2"/>
    </row>
    <row r="53" spans="1:11" x14ac:dyDescent="0.2">
      <c r="A53" s="104" t="str">
        <f t="shared" ref="A53:A60" si="4">A14</f>
        <v>6.0200% Notes, due December 16, 2030</v>
      </c>
      <c r="B53" s="19"/>
      <c r="C53" s="105">
        <f t="shared" si="1"/>
        <v>47833</v>
      </c>
      <c r="D53" s="35"/>
      <c r="E53" s="96">
        <f t="shared" si="2"/>
        <v>6.0199999999999997E-2</v>
      </c>
      <c r="F53" s="22"/>
      <c r="G53" s="2">
        <f t="shared" si="3"/>
        <v>10000000</v>
      </c>
      <c r="H53" s="19"/>
      <c r="I53" s="2">
        <f t="shared" ref="I53:I64" si="5">ROUND(G53*E53,5)</f>
        <v>602000</v>
      </c>
      <c r="J53" s="19"/>
      <c r="K53" s="2"/>
    </row>
    <row r="54" spans="1:11" x14ac:dyDescent="0.2">
      <c r="A54" s="104" t="str">
        <f t="shared" si="4"/>
        <v>5.7700% Notes, due January 7, 2043</v>
      </c>
      <c r="B54" s="19"/>
      <c r="C54" s="105">
        <f t="shared" si="1"/>
        <v>52238</v>
      </c>
      <c r="D54" s="35"/>
      <c r="E54" s="96">
        <f t="shared" si="2"/>
        <v>5.7700000000000001E-2</v>
      </c>
      <c r="F54" s="22"/>
      <c r="G54" s="2">
        <f t="shared" si="3"/>
        <v>20000000</v>
      </c>
      <c r="H54" s="19"/>
      <c r="I54" s="2">
        <f t="shared" si="5"/>
        <v>1154000</v>
      </c>
      <c r="J54" s="19"/>
      <c r="K54" s="2"/>
    </row>
    <row r="55" spans="1:11" x14ac:dyDescent="0.2">
      <c r="A55" s="104" t="str">
        <f t="shared" si="4"/>
        <v>6.2000% Notes, due December 23, 2043</v>
      </c>
      <c r="B55" s="19"/>
      <c r="C55" s="105">
        <f t="shared" si="1"/>
        <v>52588</v>
      </c>
      <c r="D55" s="35"/>
      <c r="E55" s="96">
        <f t="shared" si="2"/>
        <v>6.2E-2</v>
      </c>
      <c r="F55" s="22"/>
      <c r="G55" s="2">
        <f t="shared" si="3"/>
        <v>20000000</v>
      </c>
      <c r="H55" s="19"/>
      <c r="I55" s="2">
        <f t="shared" si="5"/>
        <v>1240000</v>
      </c>
      <c r="J55" s="19"/>
      <c r="K55" s="2"/>
    </row>
    <row r="56" spans="1:11" x14ac:dyDescent="0.2">
      <c r="A56" s="104" t="str">
        <f t="shared" si="4"/>
        <v>4.4300% Notes, due December 16, 2044</v>
      </c>
      <c r="B56" s="19"/>
      <c r="C56" s="105">
        <f t="shared" si="1"/>
        <v>52947</v>
      </c>
      <c r="D56" s="35"/>
      <c r="E56" s="96">
        <f t="shared" si="2"/>
        <v>4.4299999999999999E-2</v>
      </c>
      <c r="F56" s="22"/>
      <c r="G56" s="2">
        <f t="shared" si="3"/>
        <v>5000000</v>
      </c>
      <c r="H56" s="19"/>
      <c r="I56" s="2">
        <f t="shared" si="5"/>
        <v>221500</v>
      </c>
      <c r="J56" s="19"/>
      <c r="K56" s="2"/>
    </row>
    <row r="57" spans="1:11" x14ac:dyDescent="0.2">
      <c r="A57" s="104" t="str">
        <f t="shared" si="4"/>
        <v>3.8425% Notes, due September 30, 2046</v>
      </c>
      <c r="B57" s="19"/>
      <c r="C57" s="105">
        <f t="shared" si="1"/>
        <v>53600</v>
      </c>
      <c r="D57" s="35"/>
      <c r="E57" s="96">
        <f t="shared" si="2"/>
        <v>3.8425000000000001E-2</v>
      </c>
      <c r="F57" s="22"/>
      <c r="G57" s="2">
        <f t="shared" si="3"/>
        <v>31000000</v>
      </c>
      <c r="H57" s="19"/>
      <c r="I57" s="2">
        <f t="shared" si="5"/>
        <v>1191175</v>
      </c>
      <c r="J57" s="19"/>
      <c r="K57" s="2"/>
    </row>
    <row r="58" spans="1:11" x14ac:dyDescent="0.2">
      <c r="A58" s="104" t="str">
        <f t="shared" si="4"/>
        <v>4.6436% Notes, due December 31, 2048</v>
      </c>
      <c r="B58" s="19"/>
      <c r="C58" s="105">
        <f t="shared" si="1"/>
        <v>54423</v>
      </c>
      <c r="D58" s="35"/>
      <c r="E58" s="96">
        <f t="shared" si="2"/>
        <v>4.6435999999999998E-2</v>
      </c>
      <c r="F58" s="22"/>
      <c r="G58" s="2">
        <f t="shared" si="3"/>
        <v>13000000</v>
      </c>
      <c r="H58" s="19"/>
      <c r="I58" s="2">
        <f t="shared" si="5"/>
        <v>603668</v>
      </c>
      <c r="J58" s="19"/>
      <c r="K58" s="2"/>
    </row>
    <row r="59" spans="1:11" x14ac:dyDescent="0.2">
      <c r="A59" s="104" t="str">
        <f t="shared" si="4"/>
        <v>3.7485% Notes, due December 31, 2049</v>
      </c>
      <c r="B59" s="19"/>
      <c r="C59" s="105">
        <f t="shared" si="1"/>
        <v>54788</v>
      </c>
      <c r="D59" s="35"/>
      <c r="E59" s="96">
        <f t="shared" si="2"/>
        <v>3.7484999999999997E-2</v>
      </c>
      <c r="F59" s="22"/>
      <c r="G59" s="2">
        <f t="shared" si="3"/>
        <v>15000000</v>
      </c>
      <c r="H59" s="19"/>
      <c r="I59" s="2">
        <f t="shared" si="5"/>
        <v>562275</v>
      </c>
      <c r="J59" s="19"/>
      <c r="K59" s="2"/>
    </row>
    <row r="60" spans="1:11" x14ac:dyDescent="0.2">
      <c r="A60" s="104" t="str">
        <f t="shared" si="4"/>
        <v>3.1742% Notes, due June 30, 2050</v>
      </c>
      <c r="B60" s="19"/>
      <c r="C60" s="105">
        <f t="shared" si="1"/>
        <v>54969</v>
      </c>
      <c r="D60" s="35"/>
      <c r="E60" s="96">
        <f t="shared" si="2"/>
        <v>3.1741999999999999E-2</v>
      </c>
      <c r="F60" s="22"/>
      <c r="G60" s="2">
        <f t="shared" si="3"/>
        <v>12000000</v>
      </c>
      <c r="H60" s="19"/>
      <c r="I60" s="2">
        <f t="shared" si="5"/>
        <v>380904</v>
      </c>
      <c r="J60" s="19"/>
      <c r="K60" s="2"/>
    </row>
    <row r="61" spans="1:11" x14ac:dyDescent="0.2">
      <c r="A61" s="104" t="str">
        <f>A27</f>
        <v>3.2720% Notes, due June 30, 2051</v>
      </c>
      <c r="B61" s="19"/>
      <c r="C61" s="105">
        <f>C27</f>
        <v>55334</v>
      </c>
      <c r="D61" s="35"/>
      <c r="E61" s="96">
        <f>E27</f>
        <v>3.2719999999999999E-2</v>
      </c>
      <c r="F61" s="22"/>
      <c r="G61" s="2">
        <f>G27</f>
        <v>22000000</v>
      </c>
      <c r="H61" s="19"/>
      <c r="I61" s="2">
        <f>ROUND(G61*E61,5)</f>
        <v>719840</v>
      </c>
      <c r="J61" s="19"/>
      <c r="K61" s="2"/>
    </row>
    <row r="62" spans="1:11" x14ac:dyDescent="0.2">
      <c r="A62" s="104" t="str">
        <f>A33</f>
        <v>3.3000% Notes, due September 30, 2051</v>
      </c>
      <c r="B62" s="19"/>
      <c r="C62" s="105">
        <f>C33</f>
        <v>55426</v>
      </c>
      <c r="D62" s="35"/>
      <c r="E62" s="96">
        <f>E33</f>
        <v>3.2777000000000001E-2</v>
      </c>
      <c r="F62" s="22"/>
      <c r="G62" s="2">
        <f>G33</f>
        <v>22000000</v>
      </c>
      <c r="H62" s="19"/>
      <c r="I62" s="2">
        <f t="shared" si="5"/>
        <v>721094</v>
      </c>
      <c r="J62" s="19"/>
      <c r="K62" s="2"/>
    </row>
    <row r="63" spans="1:11" x14ac:dyDescent="0.2">
      <c r="A63" s="104" t="str">
        <f>A35</f>
        <v>3.3000% Notes, due March 31, 2052</v>
      </c>
      <c r="B63" s="19"/>
      <c r="C63" s="105">
        <f>C35</f>
        <v>55609</v>
      </c>
      <c r="D63" s="35"/>
      <c r="E63" s="96">
        <f>E35</f>
        <v>3.3000000000000002E-2</v>
      </c>
      <c r="F63" s="22"/>
      <c r="G63" s="2">
        <f>G35*9/13</f>
        <v>11076923.076923076</v>
      </c>
      <c r="H63" s="19"/>
      <c r="I63" s="2">
        <f t="shared" si="5"/>
        <v>365538.46153999999</v>
      </c>
      <c r="J63" s="19"/>
      <c r="K63" s="2"/>
    </row>
    <row r="64" spans="1:11" x14ac:dyDescent="0.2">
      <c r="A64" s="104" t="str">
        <f>A36</f>
        <v>3.3000% Notes, due June 30, 2052</v>
      </c>
      <c r="B64" s="19"/>
      <c r="C64" s="105">
        <f>C36</f>
        <v>55700</v>
      </c>
      <c r="D64" s="35"/>
      <c r="E64" s="96">
        <f>E36</f>
        <v>3.3000000000000002E-2</v>
      </c>
      <c r="F64" s="22"/>
      <c r="G64" s="2">
        <f>G36*6/13</f>
        <v>3692307.6923076925</v>
      </c>
      <c r="H64" s="19"/>
      <c r="I64" s="2">
        <f t="shared" si="5"/>
        <v>121846.15385</v>
      </c>
      <c r="J64" s="19"/>
      <c r="K64" s="2"/>
    </row>
    <row r="65" spans="1:17" x14ac:dyDescent="0.2">
      <c r="A65" s="104"/>
      <c r="B65" s="19"/>
      <c r="C65" s="105"/>
      <c r="D65" s="35"/>
      <c r="E65" s="96"/>
      <c r="F65" s="22"/>
      <c r="G65" s="2"/>
      <c r="H65" s="19"/>
      <c r="I65" s="2"/>
      <c r="J65" s="19"/>
      <c r="K65" s="2"/>
    </row>
    <row r="66" spans="1:17" x14ac:dyDescent="0.2">
      <c r="A66" s="19"/>
      <c r="B66" s="19"/>
      <c r="C66" s="103"/>
      <c r="D66" s="35"/>
      <c r="E66" s="96"/>
      <c r="F66" s="22"/>
      <c r="G66" s="2"/>
      <c r="H66" s="19"/>
      <c r="I66" s="2"/>
      <c r="J66" s="19"/>
      <c r="K66" s="2"/>
    </row>
    <row r="67" spans="1:17" x14ac:dyDescent="0.2">
      <c r="A67" s="97" t="s">
        <v>45</v>
      </c>
      <c r="B67" s="43"/>
      <c r="C67" s="44"/>
      <c r="D67" s="44"/>
      <c r="E67" s="24"/>
      <c r="F67" s="24"/>
      <c r="G67" s="98">
        <f>SUM(G52:G66)</f>
        <v>197144230.76923075</v>
      </c>
      <c r="H67" s="43"/>
      <c r="I67" s="99">
        <f>SUM(I52:I66)</f>
        <v>8616440.6153900009</v>
      </c>
      <c r="J67" s="78"/>
      <c r="K67" s="78"/>
    </row>
    <row r="68" spans="1:17" x14ac:dyDescent="0.2">
      <c r="A68" s="19"/>
      <c r="B68" s="19"/>
      <c r="C68" s="35"/>
      <c r="D68" s="35"/>
      <c r="E68" s="22"/>
      <c r="F68" s="100"/>
      <c r="G68" s="22"/>
      <c r="H68" s="19"/>
      <c r="I68" s="45"/>
      <c r="J68" s="19"/>
      <c r="K68" s="19"/>
    </row>
    <row r="69" spans="1:17" x14ac:dyDescent="0.2">
      <c r="A69" s="3"/>
      <c r="B69" s="19"/>
      <c r="C69" s="35"/>
      <c r="D69" s="35"/>
      <c r="E69" s="101" t="s">
        <v>22</v>
      </c>
      <c r="F69" s="43"/>
      <c r="G69" s="43"/>
      <c r="H69" s="43"/>
      <c r="I69" s="102">
        <f>ROUND(I67/G67,4)</f>
        <v>4.3700000000000003E-2</v>
      </c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74"/>
      <c r="B70" s="19"/>
      <c r="C70" s="35"/>
      <c r="D70" s="35"/>
      <c r="E70" s="22"/>
      <c r="F70" s="79"/>
      <c r="G70" s="3"/>
      <c r="H70" s="3"/>
      <c r="I70" s="3"/>
      <c r="J70" s="3"/>
      <c r="K70" s="3"/>
    </row>
    <row r="71" spans="1:17" x14ac:dyDescent="0.2">
      <c r="A71" s="3"/>
      <c r="B71" s="50"/>
      <c r="C71" s="54"/>
      <c r="D71" s="54"/>
      <c r="E71" s="3"/>
      <c r="F71" s="3"/>
      <c r="G71" s="55"/>
      <c r="H71" s="53"/>
      <c r="I71" s="56"/>
      <c r="J71" s="52"/>
      <c r="K71" s="3"/>
      <c r="L71" s="31"/>
    </row>
    <row r="72" spans="1:17" x14ac:dyDescent="0.2">
      <c r="A72" s="46"/>
      <c r="B72" s="46"/>
      <c r="C72" s="64"/>
      <c r="D72" s="46"/>
      <c r="G72" s="47"/>
      <c r="H72" s="48"/>
      <c r="I72" s="46"/>
      <c r="J72" s="49"/>
      <c r="L72" s="31"/>
    </row>
    <row r="73" spans="1:17" x14ac:dyDescent="0.2">
      <c r="A73" s="57"/>
      <c r="B73" s="57"/>
      <c r="C73" s="57"/>
      <c r="D73" s="57"/>
      <c r="G73" s="58"/>
      <c r="H73" s="59"/>
      <c r="I73" s="57"/>
      <c r="J73" s="60"/>
    </row>
    <row r="74" spans="1:17" ht="15" x14ac:dyDescent="0.25">
      <c r="C74" s="61"/>
      <c r="D74" s="61"/>
      <c r="E74" s="61"/>
      <c r="G74" s="61"/>
      <c r="K74" s="46"/>
    </row>
    <row r="75" spans="1:17" ht="15" x14ac:dyDescent="0.25">
      <c r="C75" s="65"/>
      <c r="D75" s="61"/>
      <c r="E75" s="61"/>
      <c r="F75" s="61"/>
      <c r="G75" s="65"/>
      <c r="H75" s="62"/>
      <c r="I75" s="61"/>
      <c r="J75" s="63"/>
    </row>
    <row r="77" spans="1:17" x14ac:dyDescent="0.2">
      <c r="C77" s="66"/>
      <c r="G77" s="66"/>
    </row>
  </sheetData>
  <mergeCells count="6">
    <mergeCell ref="A46:J46"/>
    <mergeCell ref="A5:J5"/>
    <mergeCell ref="A6:J6"/>
    <mergeCell ref="A3:J3"/>
    <mergeCell ref="A43:J43"/>
    <mergeCell ref="A45:J45"/>
  </mergeCells>
  <pageMargins left="1.2" right="0.45" top="0.75" bottom="0.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WACC-FairRateReturn</vt:lpstr>
      <vt:lpstr>RateSettCapStruc</vt:lpstr>
      <vt:lpstr>Embed. Cost of Debt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Ryan \ John</cp:lastModifiedBy>
  <cp:lastPrinted>2021-10-01T19:06:14Z</cp:lastPrinted>
  <dcterms:created xsi:type="dcterms:W3CDTF">2011-09-08T18:10:45Z</dcterms:created>
  <dcterms:modified xsi:type="dcterms:W3CDTF">2021-10-22T20:42:35Z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