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John Ryan\CKY\2021-00183\Discovery\Post Case Confidential Items\"/>
    </mc:Choice>
  </mc:AlternateContent>
  <bookViews>
    <workbookView xWindow="2325" yWindow="855" windowWidth="21600" windowHeight="11265" activeTab="0"/>
  </bookViews>
  <sheets>
    <sheet name="Table 1" sheetId="2" r:id="rId2"/>
    <sheet name="Table 2" sheetId="3" r:id="rId3"/>
  </sheets>
  <definedNames>
    <definedName name="\A">#REF!</definedName>
    <definedName name="\C">#REF!</definedName>
    <definedName name="\f">#REF!</definedName>
    <definedName name="\p">#REF!</definedName>
    <definedName name="\s">#REF!</definedName>
    <definedName name="\t">#REF!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SCH10">#REF!</definedName>
    <definedName name="__sch17">#REF!</definedName>
    <definedName name="__SCH33">#REF!</definedName>
    <definedName name="__SCH6">#N/A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10TAXPROP">#REF!</definedName>
    <definedName name="_11GROSSTAX">#REF!</definedName>
    <definedName name="_12FRANCTAX">#REF!</definedName>
    <definedName name="_13TAXFED">#REF!</definedName>
    <definedName name="_14DEBTINTEREST">#REF!</definedName>
    <definedName name="_1QTR">#REF!</definedName>
    <definedName name="_1QTR_PROPANE">#REF!</definedName>
    <definedName name="_2_SUMMARY">#REF!</definedName>
    <definedName name="_2_SUMMARY10">#REF!</definedName>
    <definedName name="_235">#REF!</definedName>
    <definedName name="_2QTR">#REF!</definedName>
    <definedName name="_2QTR_PROPANE">#REF!</definedName>
    <definedName name="_3_REV_LAG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GASPURCHASES">#REF!</definedName>
    <definedName name="_4QTR">#REF!</definedName>
    <definedName name="_4QTR_PROPANE">#REF!</definedName>
    <definedName name="_5A_NON_APP_GAS">#REF!</definedName>
    <definedName name="_5GP_TCO">#REF!</definedName>
    <definedName name="_5GP_TCOINPUT">#REF!</definedName>
    <definedName name="_6_PAYROLL_COST">#REF!</definedName>
    <definedName name="_7BENEFITS">#REF!</definedName>
    <definedName name="_8TAXPSC">#REF!</definedName>
    <definedName name="_9_PAY_TAXES">#REF!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Dist_Values" hidden="1">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Fill" hidden="1">#REF!</definedName>
    <definedName name="_FS_ESC_3_X_\TA">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HOME__APP1__LP">#REF!</definedName>
    <definedName name="_HOME__APP1__PC">#REF!</definedName>
    <definedName name="_HOME__FS_ESC_3">#REF!</definedName>
    <definedName name="_Order1" hidden="1">255</definedName>
    <definedName name="_Order2" hidden="1">255</definedName>
    <definedName name="_PRCRSA148..O17">#REF!</definedName>
    <definedName name="_PRCRSAC1..AK46">#REF!</definedName>
    <definedName name="_PRCRSO1..Y60_G">#REF!</definedName>
    <definedName name="_PRCRSQ148..AE1">#REF!</definedName>
    <definedName name="_Regression_Int" hidden="1">1</definedName>
    <definedName name="_SCH10">#REF!</definedName>
    <definedName name="_sch17">#REF!</definedName>
    <definedName name="_SCH33">#REF!</definedName>
    <definedName name="_SCH6">#N/A</definedName>
    <definedName name="_Sort" hidden="1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a" hidden="1">{"'Server Configuration'!$A$1:$DB$281"}</definedName>
    <definedName name="a_1" hidden="1">{"'Server Configuration'!$A$1:$DB$281"}</definedName>
    <definedName name="A_R_CAPCOMP">#REF!</definedName>
    <definedName name="A_R_DAILY">#REF!</definedName>
    <definedName name="A_R_DAILYSUPPOR">#REF!</definedName>
    <definedName name="A_R_WKSHT1">#REF!</definedName>
    <definedName name="A_R_WKST2">#REF!</definedName>
    <definedName name="ACCT106">#REF!</definedName>
    <definedName name="ACCT495">#REF!</definedName>
    <definedName name="ACCT904">#REF!</definedName>
    <definedName name="acctXref">#REF!</definedName>
    <definedName name="Active">#REF!</definedName>
    <definedName name="ACTUAL_VOL">#REF!</definedName>
    <definedName name="AddPMA">#REF!</definedName>
    <definedName name="AddUSF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MCF">#REF!</definedName>
    <definedName name="ADJMCF2">#REF!</definedName>
    <definedName name="adjno">#REF!</definedName>
    <definedName name="ADJSUM">#REF!</definedName>
    <definedName name="AGENCY_GASCOSTS">#REF!</definedName>
    <definedName name="AGENCY_HISTORY">#REF!</definedName>
    <definedName name="AGENCY_TRANS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#REF!</definedName>
    <definedName name="Ainputvol">#REF!</definedName>
    <definedName name="ali" hidden="1">{"'Server Configuration'!$A$1:$DB$281"}</definedName>
    <definedName name="AllData">OFFSET(#REF!,0,0,COUNTA(#REF!),COUNTA(#REF!))</definedName>
    <definedName name="ALLOC">#REF!</definedName>
    <definedName name="ALLPAGES">#REF!</definedName>
    <definedName name="ANGINC">#REF!</definedName>
    <definedName name="ANNPCT">#REF!</definedName>
    <definedName name="ANNPCTANG">#REF!</definedName>
    <definedName name="Application_Fees">#REF!</definedName>
    <definedName name="AR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VG_BANK_BAL">#REF!</definedName>
    <definedName name="Avg_Mo_pmt">#REF!</definedName>
    <definedName name="AVGrate">#REF!</definedName>
    <definedName name="b" hidden="1">{"'Server Configuration'!$A$1:$DB$281"}</definedName>
    <definedName name="b_1" hidden="1">{"'Server Configuration'!$A$1:$DB$281"}</definedName>
    <definedName name="Bank">#REF!</definedName>
    <definedName name="base">#REF!</definedName>
    <definedName name="Baseline">#REF!</definedName>
    <definedName name="bdate">#REF!</definedName>
    <definedName name="BENEFITS">#REF!</definedName>
    <definedName name="Binputrusum">#REF!</definedName>
    <definedName name="binputsum">#REF!</definedName>
    <definedName name="binputsumru">#REF!</definedName>
    <definedName name="binputvol">#REF!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MSGRADE">#REF!</definedName>
    <definedName name="BOB">#REF!</definedName>
    <definedName name="BTU">#REF!</definedName>
    <definedName name="ByTower">#REF!</definedName>
    <definedName name="CALDEN">#REF!</definedName>
    <definedName name="Cap_Structure">#REF!</definedName>
    <definedName name="case">#REF!</definedName>
    <definedName name="CCCfeeadj">#REF!</definedName>
    <definedName name="CCCvoladj">#REF!</definedName>
    <definedName name="Central_Call_Handling_Charge">#REF!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InputChg">#REF!</definedName>
    <definedName name="Cinputvol">#REF!</definedName>
    <definedName name="Clarification">#REF!</definedName>
    <definedName name="co">#REF!</definedName>
    <definedName name="COLUMN1">#REF!</definedName>
    <definedName name="COLUMN2">#REF!</definedName>
    <definedName name="Commodity">#REF!</definedName>
    <definedName name="Companies">#REF!</definedName>
    <definedName name="company">#REF!</definedName>
    <definedName name="CONAME">#REF!</definedName>
    <definedName name="CONTENTS">#REF!</definedName>
    <definedName name="Criticality">#REF!</definedName>
    <definedName name="curr_cust_pmts">#REF!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WC">#REF!</definedName>
    <definedName name="CWC_12_96">#REF!</definedName>
    <definedName name="CWC_12_97">#REF!</definedName>
    <definedName name="CWC_9_97">#REF!</definedName>
    <definedName name="D">{"'Server Configuration'!$A$1:$DB$281"}</definedName>
    <definedName name="D_1">{"'Server Configuration'!$A$1:$DB$281"}</definedName>
    <definedName name="D_2">{"'Server Configuration'!$A$1:$DB$281"}</definedName>
    <definedName name="da">{"'Server Configuration'!$A$1:$DB$281"}</definedName>
    <definedName name="da_1">{"'Server Configuration'!$A$1:$DB$281"}</definedName>
    <definedName name="dad" hidden="1">{"'Server Configuration'!$A$1:$DB$281"}</definedName>
    <definedName name="DATA2">#REF!</definedName>
    <definedName name="_xlnm.Database">#REF!</definedName>
    <definedName name="date">#REF!</definedName>
    <definedName name="dateb">#REF!</definedName>
    <definedName name="datef">#REF!</definedName>
    <definedName name="DAVE">#REF!</definedName>
    <definedName name="DC">#REF!</definedName>
    <definedName name="DEBT">#REF!</definedName>
    <definedName name="DEPPROD51">#REF!</definedName>
    <definedName name="DEPR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TINC">#REF!</definedName>
    <definedName name="E_factor_amt">#REF!</definedName>
    <definedName name="EA">#REF!</definedName>
    <definedName name="EGC">#REF!</definedName>
    <definedName name="EGCDATE">#REF!</definedName>
    <definedName name="ENDrate">#REF!</definedName>
    <definedName name="Enrolled">#REF!</definedName>
    <definedName name="EQUITY">#REF!</definedName>
    <definedName name="Est_Enrollment">#REF!</definedName>
    <definedName name="EX3_SHT1">#REF!</definedName>
    <definedName name="EX3_SHT2">#REF!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S">#REF!</definedName>
    <definedName name="EXPFACTOR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IT37">#REF!</definedName>
    <definedName name="FAPROD51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#REF!</definedName>
    <definedName name="FDATE">#REF!</definedName>
    <definedName name="FEDTAX">#REF!</definedName>
    <definedName name="FICA">#REF!</definedName>
    <definedName name="FICA_CALULATION">#REF!</definedName>
    <definedName name="FICA_FIC_TAX_MO">#REF!</definedName>
    <definedName name="FICA_FIT_TAX_BW">#REF!</definedName>
    <definedName name="FindRef">OFFSET(#REF!,0,0,COUNTA(#REF!),1)</definedName>
    <definedName name="forecast">#REF!</definedName>
    <definedName name="FOREM_S">#REF!</definedName>
    <definedName name="FORESTORE">#REF!</definedName>
    <definedName name="FORESUM">#REF!</definedName>
    <definedName name="FTLEE">#REF!</definedName>
    <definedName name="FTY">#REF!</definedName>
    <definedName name="FUELCOST">#REF!</definedName>
    <definedName name="FY">#REF!</definedName>
    <definedName name="FYDESC">#REF!</definedName>
    <definedName name="GARY">#REF!</definedName>
    <definedName name="GAS_PURCH_SORT">#REF!</definedName>
    <definedName name="GASCOST">#REF!</definedName>
    <definedName name="GASNOTE">#REF!</definedName>
    <definedName name="Grade">#REF!</definedName>
    <definedName name="GROSS_WAGES">#REF!</definedName>
    <definedName name="header">#REF!</definedName>
    <definedName name="HIS_AVG_RT_BASE">#REF!</definedName>
    <definedName name="HoursPerDay">7.5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#REF!</definedName>
    <definedName name="IBM">{"'Server Configuration'!$A$1:$DB$281"}</definedName>
    <definedName name="IC">{"'Server Configuration'!$A$1:$DB$281"}</definedName>
    <definedName name="IMFILE">#REF!</definedName>
    <definedName name="INCTAX">#REF!</definedName>
    <definedName name="INCTAX2">#REF!</definedName>
    <definedName name="INDADD">#REF!</definedName>
    <definedName name="INPUT">#REF!</definedName>
    <definedName name="Inputbase">#REF!</definedName>
    <definedName name="INTCO">#REF!</definedName>
    <definedName name="INTEREST_WKST">#REF!</definedName>
    <definedName name="IRefbase">#REF!</definedName>
    <definedName name="Irefbaseunits">#REF!</definedName>
    <definedName name="ITARCRRCCHARGE">#REF!</definedName>
    <definedName name="ITbasefee">#REF!</definedName>
    <definedName name="ITbaseRUFee">#REF!</definedName>
    <definedName name="ITbinputsumru">#REF!</definedName>
    <definedName name="ITbinputvol">#REF!</definedName>
    <definedName name="ITCinputvol">#REF!</definedName>
    <definedName name="ITIbaselineunits">#REF!</definedName>
    <definedName name="ITNetArcCharge">#REF!</definedName>
    <definedName name="ITnetservfee">#REF!</definedName>
    <definedName name="ITrefbaselineunits">#REF!</definedName>
    <definedName name="JTC">#REF!</definedName>
    <definedName name="LABOR">#REF!</definedName>
    <definedName name="licenseduration">#REF!</definedName>
    <definedName name="licensescope">#REF!</definedName>
    <definedName name="LOBBYING">#REF!</definedName>
    <definedName name="lookup">#REF!</definedName>
    <definedName name="M_S">#REF!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NCSC">#REF!</definedName>
    <definedName name="NCSCLB" hidden="1">{"'Server Configuration'!$A$1:$DB$281"}</definedName>
    <definedName name="NEBT">#REF!</definedName>
    <definedName name="NEWFILE">#REF!</definedName>
    <definedName name="NJANG">#REF!</definedName>
    <definedName name="NJDIST">#REF!</definedName>
    <definedName name="No.">#REF!</definedName>
    <definedName name="NORM_VOL">#REF!</definedName>
    <definedName name="nousf">#REF!</definedName>
    <definedName name="NPM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utoDrillOk">"VN"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Hook">#REF!=#REF!</definedName>
    <definedName name="NvsInstanceHook_1">#REF!=#REF!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#REF!</definedName>
    <definedName name="OTHERTAX">#REF!</definedName>
    <definedName name="OTPAY">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3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01">#REF!</definedName>
    <definedName name="PAGE1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enalty">#REF!</definedName>
    <definedName name="PerInvoiceLookup">OFFSET(#REF!,0,0,COUNTA(#REF!),COUNTA(#REF!))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lug">#REF!</definedName>
    <definedName name="plug1">#REF!</definedName>
    <definedName name="pook">#REF!</definedName>
    <definedName name="PPTY">#REF!</definedName>
    <definedName name="PREMPAY">#REF!</definedName>
    <definedName name="PRINT">#REF!</definedName>
    <definedName name="PRINTADJ">#REF!</definedName>
    <definedName name="PRINTADS">#REF!</definedName>
    <definedName name="PRINTBENEFITS">#REF!</definedName>
    <definedName name="PRINTBILL">#REF!</definedName>
    <definedName name="PRINTFICA">#REF!</definedName>
    <definedName name="PRINTGC">#REF!</definedName>
    <definedName name="PRINTINPUT">#REF!</definedName>
    <definedName name="PRINTLABOR">#REF!</definedName>
    <definedName name="PRINTMAIN">#REF!</definedName>
    <definedName name="PRINTNORM">#REF!</definedName>
    <definedName name="PRINTREVC">#REF!</definedName>
    <definedName name="PRINTSCH35B">#REF!</definedName>
    <definedName name="PRINTSUMMARY">#REF!</definedName>
    <definedName name="productlist">#REF!</definedName>
    <definedName name="proj_cust_pmts">#REF!</definedName>
    <definedName name="PROPTAX">#REF!</definedName>
    <definedName name="qryFTECategbyCountry">#REF!</definedName>
    <definedName name="Quest">#REF!</definedName>
    <definedName name="RATEBASE">#REF!</definedName>
    <definedName name="rates">#REF!</definedName>
    <definedName name="RECON2">#REF!</definedName>
    <definedName name="RECONCILATION">#REF!</definedName>
    <definedName name="Recorder">#REF!</definedName>
    <definedName name="RefFunction">#REF!</definedName>
    <definedName name="RefGrade">#REF!</definedName>
    <definedName name="RefJobTitle">#REF!</definedName>
    <definedName name="REVALLOC">#REF!</definedName>
    <definedName name="RISK">#REF!</definedName>
    <definedName name="Rollups">#REF!</definedName>
    <definedName name="Rusty" hidden="1">{"'Server Configuration'!$A$1:$DB$281"}</definedName>
    <definedName name="S35A">#REF!</definedName>
    <definedName name="S35B">#REF!</definedName>
    <definedName name="SAS_GasCost">#REF!</definedName>
    <definedName name="SCH_17_1of2">#REF!</definedName>
    <definedName name="SCH_17_2of2">#REF!</definedName>
    <definedName name="sch35a">#REF!</definedName>
    <definedName name="sch35b">#REF!</definedName>
    <definedName name="SCHEDULE_12">#REF!</definedName>
    <definedName name="Sep_08_Man_Fee">#REF!</definedName>
    <definedName name="SGA">#REF!</definedName>
    <definedName name="SHEET1">#REF!</definedName>
    <definedName name="SHEET10">#REF!</definedName>
    <definedName name="SHEET108">#REF!</definedName>
    <definedName name="SHEET108_2">#REF!</definedName>
    <definedName name="SHEET11">#REF!</definedName>
    <definedName name="SHEET12">#REF!</definedName>
    <definedName name="SHEET13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MK">#REF!</definedName>
    <definedName name="SPECIFIC">#REF!</definedName>
    <definedName name="STATETAX_PAY_MO">#REF!</definedName>
    <definedName name="STATETAX_PAY_WK">#REF!</definedName>
    <definedName name="STORAGE">#REF!</definedName>
    <definedName name="STUDY">#REF!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5">#REF!</definedName>
    <definedName name="SUMMARY">#REF!</definedName>
    <definedName name="SummaryTable">#REF!</definedName>
    <definedName name="TABLE">#REF!</definedName>
    <definedName name="Teldata">#REF!</definedName>
    <definedName name="TEMP">#REF!</definedName>
    <definedName name="test">#REF!</definedName>
    <definedName name="test1">#REF!</definedName>
    <definedName name="tol">0.001</definedName>
    <definedName name="TOTALONM">#REF!</definedName>
    <definedName name="Totals">#REF!</definedName>
    <definedName name="TY">#REF!</definedName>
    <definedName name="TYDESC">#REF!</definedName>
    <definedName name="UNEMPLOY_TAX">#REF!</definedName>
    <definedName name="Usage_per_Cust">#REF!</definedName>
    <definedName name="usd">#REF!</definedName>
    <definedName name="USF">#REF!</definedName>
    <definedName name="VOL_COMP2">#REF!</definedName>
    <definedName name="VOL_COMPARISON">#REF!</definedName>
    <definedName name="WCSUM">#REF!</definedName>
    <definedName name="wit">#REF!</definedName>
    <definedName name="Witness">#REF!</definedName>
    <definedName name="WORKAREA">#REF!</definedName>
    <definedName name="WorkingDaysPerYear">210</definedName>
    <definedName name="Xref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</calcChain>
</file>

<file path=xl/sharedStrings.xml><?xml version="1.0" encoding="utf-8"?>
<sst xmlns="http://schemas.openxmlformats.org/spreadsheetml/2006/main" count="34" uniqueCount="26">
  <si>
    <t>President &amp; COO, Columbia Gas of Kentucky</t>
  </si>
  <si>
    <t>Vice President Gas Operations, Columbia Gas of Kentucky</t>
  </si>
  <si>
    <t>Chief Executive Officer</t>
  </si>
  <si>
    <t>Chief Financial Officer</t>
  </si>
  <si>
    <t>Chief Operating Officer</t>
  </si>
  <si>
    <t>Chief Legal Officer</t>
  </si>
  <si>
    <t>Chief Experience Officer</t>
  </si>
  <si>
    <t>Title</t>
  </si>
  <si>
    <t>Annual Incentive Pay</t>
  </si>
  <si>
    <t>Vested Restricted Stock</t>
  </si>
  <si>
    <t>Financial Planning</t>
  </si>
  <si>
    <t>Spousal Travel</t>
  </si>
  <si>
    <t>No Gross Taxable</t>
  </si>
  <si>
    <t>One Time Payment</t>
  </si>
  <si>
    <t>Flex Credits</t>
  </si>
  <si>
    <t>Other Allowances and Compensation (Forcasted Period)</t>
  </si>
  <si>
    <t>Total</t>
  </si>
  <si>
    <t>Name</t>
  </si>
  <si>
    <t>Forecasted 2022 FICA</t>
  </si>
  <si>
    <t>Social Security Tax</t>
  </si>
  <si>
    <t>Page 1 of 1</t>
  </si>
  <si>
    <t>KY PSC Case No. 2021-00183 AG DR Set 3 No. 1 - Attachment A: Table 2</t>
  </si>
  <si>
    <t>KY PSC Case No. 2021-00183 AG DR Set 3 No. 1 - Attachment A: Table 1</t>
  </si>
  <si>
    <t>Medicare (above $200,000 in wages) + Additional Medicare</t>
  </si>
  <si>
    <t xml:space="preserve">Medicare (up to $200,000 in wages) </t>
  </si>
  <si>
    <t>Forecasted 2022 Earnings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</si>
</sst>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/>
      <right/>
      <top/>
      <bottom style="thin">
        <color auto="1"/>
      </bottom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0" applyFont="1" applyBorder="1"/>
    <xf numFmtId="0" fontId="3" fillId="0" borderId="0" xfId="0" applyFont="1"/>
    <xf numFmtId="164" fontId="0" fillId="0" borderId="2" xfId="16" applyNumberFormat="1" applyFont="1" applyBorder="1"/>
    <xf numFmtId="164" fontId="3" fillId="0" borderId="2" xfId="16" applyNumberFormat="1" applyFont="1" applyBorder="1"/>
    <xf numFmtId="164" fontId="3" fillId="0" borderId="2" xfId="16" applyNumberFormat="1" applyFont="1" applyBorder="1" applyAlignment="1">
      <alignment horizontal="center"/>
    </xf>
    <xf numFmtId="164" fontId="3" fillId="0" borderId="2" xfId="16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2" xfId="0" applyBorder="1"/>
    <xf numFmtId="42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64" fontId="0" fillId="0" borderId="2" xfId="16" applyNumberFormat="1" applyFont="1" applyBorder="1" applyAlignment="1">
      <alignment horizontal="center"/>
    </xf>
    <xf numFmtId="164" fontId="3" fillId="0" borderId="3" xfId="16" applyNumberFormat="1" applyFont="1" applyBorder="1" applyAlignment="1">
      <alignment horizontal="center"/>
    </xf>
    <xf numFmtId="164" fontId="0" fillId="0" borderId="4" xfId="16" applyNumberFormat="1" applyFont="1" applyBorder="1" applyAlignment="1">
      <alignment/>
    </xf>
    <xf numFmtId="0" fontId="0" fillId="0" borderId="0" xfId="0"/>
    <xf numFmtId="0" fontId="0" fillId="0" borderId="0" xfId="0" applyAlignment="1">
      <alignment horizontal="left"/>
    </xf>
  </cellXfs>
  <cellStyles count="10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 3" xfId="20"/>
    <cellStyle name="Currency 2" xfId="21"/>
    <cellStyle name="Percent 2 2" xfId="22"/>
    <cellStyle name="Comma 2 4" xfId="23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 topLeftCell="A1"/>
  </sheetViews>
  <sheetFormatPr defaultRowHeight="15"/>
  <cols>
    <col min="1" max="1" width="49.1818181818182" customWidth="1"/>
    <col min="2" max="2" width="20.2727272727273" bestFit="1" customWidth="1"/>
    <col min="3" max="3" width="22.2727272727273" bestFit="1" customWidth="1"/>
    <col min="4" max="4" width="18.5454545454545" bestFit="1" customWidth="1"/>
    <col min="5" max="5" width="11.7272727272727" bestFit="1" customWidth="1"/>
    <col min="6" max="6" width="16.7272727272727" customWidth="1"/>
    <col min="7" max="7" width="17.7272727272727" bestFit="1" customWidth="1"/>
    <col min="8" max="8" width="14.5454545454545" bestFit="1" customWidth="1"/>
    <col min="9" max="9" width="11.5454545454545" customWidth="1"/>
  </cols>
  <sheetData>
    <row r="1" spans="5:8" ht="15">
      <c r="E1" s="17"/>
      <c r="F1" s="17"/>
      <c r="G1" s="17"/>
      <c r="H1" s="17"/>
    </row>
    <row r="2" spans="5:8" ht="15">
      <c r="E2" s="17" t="s">
        <v>22</v>
      </c>
      <c r="F2" s="17"/>
      <c r="G2" s="17"/>
      <c r="H2" s="17"/>
    </row>
    <row r="3" spans="5:8" ht="15">
      <c r="E3" s="18" t="s">
        <v>20</v>
      </c>
      <c r="F3" s="18"/>
      <c r="G3" s="18"/>
      <c r="H3" s="18"/>
    </row>
    <row r="4" spans="6:9" ht="15">
      <c r="F4" s="17"/>
      <c r="G4" s="17"/>
      <c r="H4" s="17"/>
      <c r="I4" s="17"/>
    </row>
    <row r="7" spans="1:9" ht="15">
      <c r="A7" s="15" t="s">
        <v>15</v>
      </c>
      <c r="B7" s="16"/>
      <c r="C7" s="16"/>
      <c r="D7" s="16"/>
      <c r="E7" s="16"/>
      <c r="F7" s="16"/>
      <c r="G7" s="16"/>
      <c r="H7" s="16"/>
      <c r="I7" s="16"/>
    </row>
    <row r="8" spans="1:9" ht="15">
      <c r="A8" s="4" t="s">
        <v>7</v>
      </c>
      <c r="B8" s="5" t="s">
        <v>8</v>
      </c>
      <c r="C8" s="5" t="s">
        <v>9</v>
      </c>
      <c r="D8" s="5" t="s">
        <v>13</v>
      </c>
      <c r="E8" s="5" t="s">
        <v>14</v>
      </c>
      <c r="F8" s="5" t="s">
        <v>12</v>
      </c>
      <c r="G8" s="5" t="s">
        <v>10</v>
      </c>
      <c r="H8" s="5" t="s">
        <v>11</v>
      </c>
      <c r="I8" s="6" t="s">
        <v>16</v>
      </c>
    </row>
    <row r="9" spans="1:9" ht="15">
      <c r="A9" s="3" t="s">
        <v>2</v>
      </c>
      <c r="B9" s="3">
        <f>1273080*3.68982360871117%</f>
        <v>46974.406397780163</v>
      </c>
      <c r="C9" s="3">
        <f>3680886.86*3.68982360871117%</f>
        <v>135818.23237022728</v>
      </c>
      <c r="D9" s="3"/>
      <c r="E9" s="3"/>
      <c r="F9" s="3">
        <f>111.893123*3.68982360871117%</f>
        <v>4.1286588689782286</v>
      </c>
      <c r="G9" s="3">
        <f>9538.33972*3.68982360871117%</f>
        <v>351.9479108676349</v>
      </c>
      <c r="H9" s="3">
        <f>2063.535372*3.68982360871117%</f>
        <v>76.140815330161857</v>
      </c>
      <c r="I9" s="3">
        <f>4965680*3.68982360871117%</f>
        <v>183224.83297304882</v>
      </c>
    </row>
    <row r="10" spans="1:9" ht="15">
      <c r="A10" s="3" t="s">
        <v>3</v>
      </c>
      <c r="B10" s="3">
        <f>477406.65*3.69551440237164%</f>
        <v>17642.631508629969</v>
      </c>
      <c r="C10" s="3">
        <f>979647.285*3.69551440237164%</f>
        <v>36203.00650961775</v>
      </c>
      <c r="D10" s="3">
        <f>500000*3.69551440237164%</f>
        <v>18477.572011858199</v>
      </c>
      <c r="E10" s="3"/>
      <c r="F10" s="3">
        <f>111.893123*3.69551440237164%</f>
        <v>4.1350264757284139</v>
      </c>
      <c r="G10" s="3">
        <f>10558.967956*3.69551440237164%</f>
        <v>390.20818155578638</v>
      </c>
      <c r="H10" s="3"/>
      <c r="I10" s="3">
        <f>1967725*3.69551440237164%</f>
        <v>72717.560774067359</v>
      </c>
    </row>
    <row r="11" spans="1:9" ht="15">
      <c r="A11" s="3" t="s">
        <v>4</v>
      </c>
      <c r="B11" s="3">
        <f>509232*5.446936825403%</f>
        <v>27737.545334736205</v>
      </c>
      <c r="C11" s="3">
        <f>979647.285*5.446936825403%</f>
        <v>53360.768725725684</v>
      </c>
      <c r="D11" s="3">
        <f>500000*5.446936825403%</f>
        <v>27234.684127015</v>
      </c>
      <c r="E11" s="3"/>
      <c r="F11" s="3">
        <f>111.893123*5.446936825403%</f>
        <v>6.0947477217804744</v>
      </c>
      <c r="G11" s="3"/>
      <c r="H11" s="3"/>
      <c r="I11" s="3">
        <f>1988991*5.446936825403%</f>
        <v>108339.08323295139</v>
      </c>
    </row>
    <row r="12" spans="1:9" ht="15">
      <c r="A12" s="3" t="s">
        <v>5</v>
      </c>
      <c r="B12" s="3">
        <f>278100*3.70406446347297%</f>
        <v>10301.003272918329</v>
      </c>
      <c r="C12" s="3">
        <f>732931.56*3.70406446347297%</f>
        <v>27148.257455538071</v>
      </c>
      <c r="D12" s="3"/>
      <c r="E12" s="3">
        <f>827.5*3.70406446347297%</f>
        <v>30.651133435238822</v>
      </c>
      <c r="F12" s="3"/>
      <c r="G12" s="3"/>
      <c r="H12" s="3"/>
      <c r="I12" s="3">
        <f>1011859*3.70406446347297%</f>
        <v>37479.909639452955</v>
      </c>
    </row>
    <row r="13" spans="1:9" ht="15">
      <c r="A13" s="3" t="s">
        <v>6</v>
      </c>
      <c r="B13" s="3">
        <f>397837.5*3.82739048469369%</f>
        <v>15226.79461954326</v>
      </c>
      <c r="C13" s="3">
        <f>667942.435*3.82739048469369%</f>
        <v>25564.765200421338</v>
      </c>
      <c r="D13" s="3"/>
      <c r="E13" s="3"/>
      <c r="F13" s="3">
        <f>154.583739*3.82739048469369%</f>
        <v>5.9165233173697294</v>
      </c>
      <c r="G13" s="3">
        <f>7623.330348*3.82739048469369%</f>
        <v>291.77462035611836</v>
      </c>
      <c r="H13" s="3"/>
      <c r="I13" s="3">
        <f>1073558*3.82739048469369%</f>
        <v>41089.256739667886</v>
      </c>
    </row>
    <row r="14" spans="1:9" ht="15">
      <c r="A14" s="3" t="s">
        <v>0</v>
      </c>
      <c r="B14" s="3">
        <v>132612.5</v>
      </c>
      <c r="C14" s="3">
        <v>153568.69500000001</v>
      </c>
      <c r="D14" s="3"/>
      <c r="E14" s="3"/>
      <c r="F14" s="3">
        <v>140.6568</v>
      </c>
      <c r="G14" s="3">
        <v>6717.0989590000008</v>
      </c>
      <c r="H14" s="3">
        <v>79.567499999999995</v>
      </c>
      <c r="I14" s="3">
        <v>293119</v>
      </c>
    </row>
    <row r="15" spans="1:9" ht="15">
      <c r="A15" s="3" t="s">
        <v>1</v>
      </c>
      <c r="B15" s="3">
        <v>98284.400000000009</v>
      </c>
      <c r="C15" s="3">
        <v>164598.625</v>
      </c>
      <c r="D15" s="3">
        <v>2647.4122960000004</v>
      </c>
      <c r="E15" s="3"/>
      <c r="F15" s="3">
        <v>140.65412200000003</v>
      </c>
      <c r="G15" s="3"/>
      <c r="H15" s="3"/>
      <c r="I15" s="3">
        <v>265671</v>
      </c>
    </row>
    <row r="16" spans="1:1" s="2" customFormat="1" ht="15">
      <c r="A16" s="1"/>
    </row>
    <row r="18" spans="8:8" ht="15">
      <c r="H18" s="7"/>
    </row>
    <row r="19" spans="3:3" ht="15">
      <c r="C19" s="7"/>
    </row>
  </sheetData>
  <mergeCells count="5">
    <mergeCell ref="A7:I7"/>
    <mergeCell ref="F4:I4"/>
    <mergeCell ref="E1:H1"/>
    <mergeCell ref="E2:H2"/>
    <mergeCell ref="E3:H3"/>
  </mergeCells>
  <pageMargins left="0.7" right="0.7" top="0.75" bottom="0.75" header="0.3" footer="0.3"/>
  <pageSetup horizontalDpi="1200" verticalDpi="1200" orientation="landscape" scale="68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4"/>
  <sheetViews>
    <sheetView workbookViewId="0" topLeftCell="A1">
      <selection pane="topLeft" activeCell="F12" sqref="F12"/>
    </sheetView>
  </sheetViews>
  <sheetFormatPr defaultRowHeight="15"/>
  <cols>
    <col min="1" max="1" width="47.7272727272727" customWidth="1"/>
    <col min="2" max="2" width="17.5454545454545" customWidth="1"/>
    <col min="3" max="3" width="16.1818181818182" customWidth="1"/>
    <col min="4" max="4" width="15.2727272727273" customWidth="1"/>
    <col min="5" max="5" width="19.1818181818182" customWidth="1"/>
    <col min="6" max="6" width="24.8181818181818" customWidth="1"/>
  </cols>
  <sheetData>
    <row r="2" spans="4:6" ht="15">
      <c r="D2" s="17"/>
      <c r="E2" s="17"/>
      <c r="F2" s="17"/>
    </row>
    <row r="3" spans="3:3" ht="15">
      <c r="C3" t="s">
        <v>21</v>
      </c>
    </row>
    <row r="4" spans="3:5" ht="15">
      <c r="C4" s="10" t="s">
        <v>20</v>
      </c>
      <c r="D4" s="10"/>
      <c r="E4" s="10"/>
    </row>
    <row r="7" spans="1:6" ht="42" customHeight="1">
      <c r="A7" s="12" t="s">
        <v>17</v>
      </c>
      <c r="B7" s="13" t="s">
        <v>25</v>
      </c>
      <c r="C7" s="13" t="s">
        <v>18</v>
      </c>
      <c r="D7" s="13" t="s">
        <v>19</v>
      </c>
      <c r="E7" s="13" t="s">
        <v>24</v>
      </c>
      <c r="F7" s="11" t="s">
        <v>23</v>
      </c>
    </row>
    <row r="8" spans="1:6" ht="15">
      <c r="A8" s="8" t="s">
        <v>2</v>
      </c>
      <c r="B8" s="9">
        <v>222180.14572201698</v>
      </c>
      <c r="C8" s="14">
        <f>148525.832*3.68982360871117%</f>
        <v>5480.3412141706895</v>
      </c>
      <c r="D8" s="3">
        <f>(142800*0.062)*3.68982360871117%</f>
        <v>326.68222302085218</v>
      </c>
      <c r="E8" s="3">
        <f>(200000*0.0145)*3.68982360871117%</f>
        <v>107.00488465262393</v>
      </c>
      <c r="F8" s="3">
        <f>136772.632*3.68982360871117%</f>
        <v>5046.6688657916493</v>
      </c>
    </row>
    <row r="9" spans="1:6" ht="15">
      <c r="A9" s="8" t="s">
        <v>6</v>
      </c>
      <c r="B9" s="9">
        <v>61293.094260744707</v>
      </c>
      <c r="C9" s="14">
        <f>44686.8755*3.82739048469369%</f>
        <v>1710.3412207939159</v>
      </c>
      <c r="D9" s="3">
        <f>(142800*0.062)*3.82739048469369%</f>
        <v>338.86184395284056</v>
      </c>
      <c r="E9" s="3">
        <f>(200000*0.0145)*3.82739048469369%</f>
        <v>110.99432405611701</v>
      </c>
      <c r="F9" s="3">
        <f>32933.6755*3.82739048469369%</f>
        <v>1260.500362346897</v>
      </c>
    </row>
    <row r="10" spans="1:6" ht="15">
      <c r="A10" s="8" t="s">
        <v>3</v>
      </c>
      <c r="B10" s="9">
        <v>96126.796755890507</v>
      </c>
      <c r="C10" s="14">
        <f>68180.8125*3.69551440237164%</f>
        <v>2519.6317455915032</v>
      </c>
      <c r="D10" s="3">
        <f>(142800*0.062)*3.69551440237164%</f>
        <v>327.18606312837551</v>
      </c>
      <c r="E10" s="3">
        <f>(200000*0.0145)*3.69551440237164%</f>
        <v>107.16991766877756</v>
      </c>
      <c r="F10" s="3">
        <f>56427.6125*3.69551440237164%</f>
        <v>2085.2905468519598</v>
      </c>
    </row>
    <row r="11" spans="1:6" ht="15">
      <c r="A11" s="8" t="s">
        <v>5</v>
      </c>
      <c r="B11" s="9">
        <v>54564.906977222003</v>
      </c>
      <c r="C11" s="14">
        <f>41671.2615*3.70406446347297%</f>
        <v>1543.5303887023931</v>
      </c>
      <c r="D11" s="3">
        <f>(142800*0.062)*3.70406446347297%</f>
        <v>327.94305133804284</v>
      </c>
      <c r="E11" s="3">
        <f>(200000*0.0145)*3.70406446347297%</f>
        <v>107.41786944071612</v>
      </c>
      <c r="F11" s="3">
        <f>29918.0615*3.70406446347297%</f>
        <v>1108.184284181488</v>
      </c>
    </row>
    <row r="12" spans="1:6" ht="15">
      <c r="A12" s="8" t="s">
        <v>4</v>
      </c>
      <c r="B12" s="9">
        <v>142842.7045534667</v>
      </c>
      <c r="C12" s="14">
        <f>68680.5635*5.446936825403%</f>
        <v>3740.9869051757919</v>
      </c>
      <c r="D12" s="3">
        <f>(142800*0.062)*5.446936825403%</f>
        <v>482.24999877388007</v>
      </c>
      <c r="E12" s="3">
        <f>(200000*0.0145)*5.446936825403%</f>
        <v>157.96116793668702</v>
      </c>
      <c r="F12" s="3">
        <f>56927.3635*5.446936825403%</f>
        <v>3100.7975262125265</v>
      </c>
    </row>
    <row r="13" spans="1:6" ht="15">
      <c r="A13" s="8" t="s">
        <v>0</v>
      </c>
      <c r="B13" s="9">
        <v>557057</v>
      </c>
      <c r="C13" s="14">
        <f>20144.0395</f>
        <v>20144.039499999999</v>
      </c>
      <c r="D13" s="3">
        <f t="shared" si="0" ref="D13:D14">142800*0.062</f>
        <v>8853.6000000000004</v>
      </c>
      <c r="E13" s="3">
        <f t="shared" si="1" ref="E13:E14">200000*0.0145</f>
        <v>2900</v>
      </c>
      <c r="F13" s="3">
        <v>8390.8395</v>
      </c>
    </row>
    <row r="14" spans="1:6" ht="15">
      <c r="A14" s="8" t="s">
        <v>1</v>
      </c>
      <c r="B14" s="9">
        <v>510189</v>
      </c>
      <c r="C14" s="14">
        <f>19042.6415</f>
        <v>19042.641500000002</v>
      </c>
      <c r="D14" s="3">
        <f t="shared" si="0"/>
        <v>8853.6000000000004</v>
      </c>
      <c r="E14" s="3">
        <f t="shared" si="1"/>
        <v>2900</v>
      </c>
      <c r="F14" s="3">
        <v>7289.4414999999999</v>
      </c>
    </row>
  </sheetData>
  <mergeCells count="1">
    <mergeCell ref="D2:F2"/>
  </mergeCells>
  <pageMargins left="0.7" right="0.7" top="0.75" bottom="0.75" header="0.3" footer="0.3"/>
  <pageSetup horizontalDpi="1200" verticalDpi="1200" orientation="portrait" scale="6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