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CF\General\MCWD RATE CASE 2021\2021 Pleadings\"/>
    </mc:Choice>
  </mc:AlternateContent>
  <xr:revisionPtr revIDLastSave="0" documentId="8_{9203F817-239F-459C-B19B-61893B1938BD}" xr6:coauthVersionLast="47" xr6:coauthVersionMax="47" xr10:uidLastSave="{00000000-0000-0000-0000-000000000000}"/>
  <bookViews>
    <workbookView xWindow="4875" yWindow="1980" windowWidth="21600" windowHeight="11385" activeTab="3" xr2:uid="{00000000-000D-0000-FFFF-FFFF00000000}"/>
  </bookViews>
  <sheets>
    <sheet name="SAO" sheetId="3" r:id="rId1"/>
    <sheet name="SAO2" sheetId="18" r:id="rId2"/>
    <sheet name="SAO3" sheetId="19" r:id="rId3"/>
    <sheet name="Ref" sheetId="6" r:id="rId4"/>
    <sheet name="DeprAdj" sheetId="1" r:id="rId5"/>
    <sheet name="DSch" sheetId="5" r:id="rId6"/>
    <sheet name="Rates" sheetId="2" r:id="rId7"/>
    <sheet name="Bills" sheetId="15" r:id="rId8"/>
    <sheet name="SurCh" sheetId="16" r:id="rId9"/>
    <sheet name="ExBA" sheetId="10" r:id="rId10"/>
    <sheet name="PrBA" sheetId="17" r:id="rId11"/>
    <sheet name="Notice" sheetId="12" r:id="rId12"/>
    <sheet name="BillSum" sheetId="13" r:id="rId13"/>
    <sheet name="Davella" sheetId="14" r:id="rId14"/>
    <sheet name="Comp" sheetId="21" r:id="rId15"/>
    <sheet name="Except" sheetId="22" r:id="rId16"/>
    <sheet name="PrRates" sheetId="23" r:id="rId17"/>
    <sheet name="Tariff" sheetId="24" r:id="rId18"/>
  </sheets>
  <definedNames>
    <definedName name="_xlnm.Print_Area" localSheetId="4">DeprAdj!$B$3:$K$156</definedName>
    <definedName name="_xlnm.Print_Area" localSheetId="5">DSch!$A$1:$O$24</definedName>
    <definedName name="_xlnm.Print_Area" localSheetId="9">ExBA!$A$1:$G$103</definedName>
    <definedName name="_xlnm.Print_Area" localSheetId="15">Except!$A$1:$K$74</definedName>
    <definedName name="_xlnm.Print_Area" localSheetId="10">PrBA!$A$1:$G$105</definedName>
    <definedName name="_xlnm.Print_Area" localSheetId="16">PrRates!$B$32:$H$63</definedName>
    <definedName name="_xlnm.Print_Area" localSheetId="6">Rates!$AV$28:$BD$62</definedName>
    <definedName name="_xlnm.Print_Area" localSheetId="3">Ref!$A$2:$E$61</definedName>
    <definedName name="_xlnm.Print_Area" localSheetId="0">SAO!$A$1:$G$72</definedName>
    <definedName name="_xlnm.Print_Area" localSheetId="1">'SAO2'!$A$1:$G$71</definedName>
    <definedName name="_xlnm.Print_Area" localSheetId="2">'SAO3'!$A$1:$G$72</definedName>
    <definedName name="_xlnm.Print_Area" localSheetId="8">SurCh!$J$1:$P$30</definedName>
    <definedName name="_xlnm.Print_Area">#REF!</definedName>
    <definedName name="_xlnm.Print_Titles" localSheetId="4">DeprAdj!$7:$9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6" l="1"/>
  <c r="K50" i="22"/>
  <c r="K49" i="22"/>
  <c r="K27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29" i="22"/>
  <c r="K25" i="22"/>
  <c r="K18" i="22"/>
  <c r="K15" i="22"/>
  <c r="K20" i="22" s="1"/>
  <c r="D29" i="24"/>
  <c r="D25" i="24"/>
  <c r="D21" i="24"/>
  <c r="D17" i="24"/>
  <c r="D13" i="24"/>
  <c r="W61" i="22"/>
  <c r="W66" i="22"/>
  <c r="X66" i="22" s="1"/>
  <c r="K47" i="22" l="1"/>
  <c r="K52" i="22" s="1"/>
  <c r="K54" i="22"/>
  <c r="K58" i="22"/>
  <c r="U33" i="22"/>
  <c r="W32" i="22"/>
  <c r="U32" i="22" s="1"/>
  <c r="Q66" i="22"/>
  <c r="Q64" i="22"/>
  <c r="I59" i="22"/>
  <c r="J59" i="22" s="1"/>
  <c r="K59" i="22" s="1"/>
  <c r="H70" i="22"/>
  <c r="J70" i="22" s="1"/>
  <c r="K70" i="22" s="1"/>
  <c r="K59" i="23"/>
  <c r="K55" i="23"/>
  <c r="K51" i="23"/>
  <c r="K47" i="23"/>
  <c r="K43" i="23"/>
  <c r="K39" i="23"/>
  <c r="C60" i="23"/>
  <c r="C56" i="23"/>
  <c r="C52" i="23"/>
  <c r="C48" i="23"/>
  <c r="C44" i="23"/>
  <c r="I50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18" i="22"/>
  <c r="I15" i="22"/>
  <c r="Q30" i="22"/>
  <c r="I31" i="22" s="1"/>
  <c r="H31" i="22" s="1"/>
  <c r="I27" i="22"/>
  <c r="I25" i="22"/>
  <c r="G65" i="22"/>
  <c r="G47" i="22"/>
  <c r="G52" i="22" s="1"/>
  <c r="G58" i="22" s="1"/>
  <c r="G63" i="22" s="1"/>
  <c r="G20" i="22"/>
  <c r="D20" i="22"/>
  <c r="H10" i="18"/>
  <c r="H11" i="18" s="1"/>
  <c r="M15" i="21"/>
  <c r="J64" i="21"/>
  <c r="J46" i="21"/>
  <c r="J45" i="21"/>
  <c r="J41" i="21"/>
  <c r="J40" i="21"/>
  <c r="J39" i="21"/>
  <c r="J38" i="21"/>
  <c r="J37" i="21"/>
  <c r="J35" i="21"/>
  <c r="J34" i="21"/>
  <c r="J33" i="21"/>
  <c r="J32" i="21"/>
  <c r="J31" i="21"/>
  <c r="J30" i="21"/>
  <c r="J29" i="21"/>
  <c r="M29" i="21" s="1"/>
  <c r="J28" i="21"/>
  <c r="J27" i="21"/>
  <c r="J25" i="21"/>
  <c r="J24" i="21"/>
  <c r="M24" i="21" s="1"/>
  <c r="J22" i="21"/>
  <c r="J15" i="21"/>
  <c r="J62" i="21" s="1"/>
  <c r="J10" i="21"/>
  <c r="P68" i="21" s="1"/>
  <c r="I8" i="21"/>
  <c r="G63" i="21"/>
  <c r="G46" i="21"/>
  <c r="G41" i="21"/>
  <c r="G40" i="21"/>
  <c r="G39" i="21"/>
  <c r="G38" i="21"/>
  <c r="G37" i="21"/>
  <c r="D36" i="21"/>
  <c r="J36" i="21" s="1"/>
  <c r="G35" i="21"/>
  <c r="G34" i="21"/>
  <c r="G33" i="21"/>
  <c r="G32" i="21"/>
  <c r="G31" i="21"/>
  <c r="D30" i="21"/>
  <c r="G30" i="21" s="1"/>
  <c r="E29" i="21"/>
  <c r="G29" i="21" s="1"/>
  <c r="E25" i="21"/>
  <c r="G25" i="21" s="1"/>
  <c r="M25" i="21" s="1"/>
  <c r="G23" i="21"/>
  <c r="E21" i="21"/>
  <c r="G21" i="21" s="1"/>
  <c r="D17" i="21"/>
  <c r="G15" i="21"/>
  <c r="G13" i="21"/>
  <c r="E12" i="21"/>
  <c r="G12" i="21" s="1"/>
  <c r="G10" i="21"/>
  <c r="G7" i="21"/>
  <c r="J43" i="21" l="1"/>
  <c r="G36" i="21"/>
  <c r="J17" i="21"/>
  <c r="M22" i="21"/>
  <c r="U34" i="22"/>
  <c r="J68" i="21"/>
  <c r="K63" i="22"/>
  <c r="G62" i="21"/>
  <c r="O31" i="22"/>
  <c r="D43" i="21"/>
  <c r="D48" i="21" s="1"/>
  <c r="K68" i="22"/>
  <c r="K72" i="22" s="1"/>
  <c r="K74" i="22" s="1"/>
  <c r="I70" i="22"/>
  <c r="Q63" i="22"/>
  <c r="Q68" i="22" s="1"/>
  <c r="Q72" i="22" s="1"/>
  <c r="Q74" i="22" s="1"/>
  <c r="Q69" i="22"/>
  <c r="G68" i="22"/>
  <c r="G72" i="22" s="1"/>
  <c r="G74" i="22" s="1"/>
  <c r="I20" i="22"/>
  <c r="I29" i="22"/>
  <c r="W33" i="22" s="1"/>
  <c r="W34" i="22" s="1"/>
  <c r="U30" i="22"/>
  <c r="I32" i="22"/>
  <c r="G54" i="22"/>
  <c r="D50" i="21"/>
  <c r="L26" i="19"/>
  <c r="L25" i="19"/>
  <c r="L27" i="19" s="1"/>
  <c r="E25" i="19" s="1"/>
  <c r="G25" i="19" s="1"/>
  <c r="Y36" i="16"/>
  <c r="G63" i="19"/>
  <c r="G46" i="19"/>
  <c r="G41" i="19"/>
  <c r="G40" i="19"/>
  <c r="G39" i="19"/>
  <c r="G38" i="19"/>
  <c r="G37" i="19"/>
  <c r="D36" i="19"/>
  <c r="G36" i="19" s="1"/>
  <c r="G35" i="19"/>
  <c r="G34" i="19"/>
  <c r="G33" i="19"/>
  <c r="G32" i="19"/>
  <c r="G31" i="19"/>
  <c r="D30" i="19"/>
  <c r="G29" i="19"/>
  <c r="E29" i="19"/>
  <c r="G24" i="19"/>
  <c r="G23" i="19"/>
  <c r="E22" i="19"/>
  <c r="G22" i="19" s="1"/>
  <c r="D18" i="19"/>
  <c r="G16" i="19"/>
  <c r="G14" i="19"/>
  <c r="G13" i="19"/>
  <c r="E13" i="19"/>
  <c r="G11" i="19"/>
  <c r="L10" i="19"/>
  <c r="G8" i="19"/>
  <c r="L9" i="18"/>
  <c r="J55" i="2"/>
  <c r="D43" i="19" l="1"/>
  <c r="G30" i="19"/>
  <c r="J48" i="21"/>
  <c r="H32" i="22"/>
  <c r="O32" i="22"/>
  <c r="H29" i="22"/>
  <c r="O29" i="22"/>
  <c r="I47" i="22"/>
  <c r="I52" i="22" s="1"/>
  <c r="H47" i="22"/>
  <c r="L12" i="19"/>
  <c r="G62" i="19"/>
  <c r="D48" i="19"/>
  <c r="D50" i="19"/>
  <c r="L11" i="19"/>
  <c r="L13" i="19" s="1"/>
  <c r="L21" i="3"/>
  <c r="AO37" i="2"/>
  <c r="AO38" i="2" s="1"/>
  <c r="AO39" i="2" s="1"/>
  <c r="AO40" i="2" s="1"/>
  <c r="AO41" i="2" s="1"/>
  <c r="AO42" i="2" s="1"/>
  <c r="AO49" i="2"/>
  <c r="AM60" i="2" s="1"/>
  <c r="AN60" i="2" s="1"/>
  <c r="AO60" i="2" s="1"/>
  <c r="AD63" i="2"/>
  <c r="AE63" i="2" s="1"/>
  <c r="E28" i="18"/>
  <c r="G28" i="18" s="1"/>
  <c r="E24" i="18"/>
  <c r="E21" i="18"/>
  <c r="G21" i="18" s="1"/>
  <c r="G62" i="18"/>
  <c r="G45" i="18"/>
  <c r="G40" i="18"/>
  <c r="G39" i="18"/>
  <c r="G38" i="18"/>
  <c r="G37" i="18"/>
  <c r="G36" i="18"/>
  <c r="D35" i="18"/>
  <c r="G35" i="18" s="1"/>
  <c r="G34" i="18"/>
  <c r="G33" i="18"/>
  <c r="G32" i="18"/>
  <c r="G31" i="18"/>
  <c r="G30" i="18"/>
  <c r="D29" i="18"/>
  <c r="G29" i="18" s="1"/>
  <c r="G23" i="18"/>
  <c r="G22" i="18"/>
  <c r="D17" i="18"/>
  <c r="G15" i="18"/>
  <c r="G13" i="18"/>
  <c r="E12" i="18"/>
  <c r="G12" i="18" s="1"/>
  <c r="G10" i="18"/>
  <c r="G7" i="18"/>
  <c r="G24" i="18" l="1"/>
  <c r="L10" i="18"/>
  <c r="J50" i="21"/>
  <c r="J54" i="21"/>
  <c r="O47" i="22"/>
  <c r="H52" i="22"/>
  <c r="P33" i="22"/>
  <c r="I54" i="22"/>
  <c r="I58" i="22"/>
  <c r="I63" i="22" s="1"/>
  <c r="I68" i="22" s="1"/>
  <c r="I72" i="22" s="1"/>
  <c r="I74" i="22" s="1"/>
  <c r="I26" i="23" s="1"/>
  <c r="G61" i="18"/>
  <c r="D42" i="18"/>
  <c r="D47" i="18" s="1"/>
  <c r="F39" i="23" l="1"/>
  <c r="L39" i="23" s="1"/>
  <c r="F40" i="23"/>
  <c r="O54" i="22"/>
  <c r="O52" i="22"/>
  <c r="F43" i="23" l="1"/>
  <c r="F52" i="23"/>
  <c r="F48" i="23"/>
  <c r="F44" i="23"/>
  <c r="L40" i="23"/>
  <c r="F60" i="23"/>
  <c r="F56" i="23"/>
  <c r="D49" i="18"/>
  <c r="F47" i="23" l="1"/>
  <c r="L43" i="23"/>
  <c r="L47" i="23" l="1"/>
  <c r="F51" i="23"/>
  <c r="D21" i="12"/>
  <c r="D14" i="12"/>
  <c r="D13" i="12"/>
  <c r="D12" i="12"/>
  <c r="D11" i="12"/>
  <c r="D10" i="12"/>
  <c r="D9" i="12"/>
  <c r="F55" i="23" l="1"/>
  <c r="L51" i="23"/>
  <c r="B104" i="17"/>
  <c r="B103" i="17"/>
  <c r="F98" i="17"/>
  <c r="D104" i="17" s="1"/>
  <c r="E98" i="17"/>
  <c r="D103" i="17" s="1"/>
  <c r="D98" i="17"/>
  <c r="C98" i="17"/>
  <c r="C103" i="17" s="1"/>
  <c r="C105" i="17" s="1"/>
  <c r="G97" i="17"/>
  <c r="G96" i="17"/>
  <c r="F95" i="17"/>
  <c r="E95" i="17"/>
  <c r="B90" i="17"/>
  <c r="B89" i="17"/>
  <c r="F84" i="17"/>
  <c r="D90" i="17" s="1"/>
  <c r="E84" i="17"/>
  <c r="D89" i="17" s="1"/>
  <c r="D84" i="17"/>
  <c r="C84" i="17"/>
  <c r="C89" i="17" s="1"/>
  <c r="C91" i="17" s="1"/>
  <c r="G83" i="17"/>
  <c r="G82" i="17"/>
  <c r="F81" i="17"/>
  <c r="E81" i="17"/>
  <c r="B76" i="17"/>
  <c r="C75" i="17"/>
  <c r="C77" i="17" s="1"/>
  <c r="B75" i="17"/>
  <c r="F70" i="17"/>
  <c r="D76" i="17" s="1"/>
  <c r="E70" i="17"/>
  <c r="D75" i="17" s="1"/>
  <c r="D70" i="17"/>
  <c r="C70" i="17"/>
  <c r="G69" i="17"/>
  <c r="G68" i="17"/>
  <c r="F67" i="17"/>
  <c r="E67" i="17"/>
  <c r="B62" i="17"/>
  <c r="B61" i="17"/>
  <c r="F56" i="17"/>
  <c r="D62" i="17" s="1"/>
  <c r="E56" i="17"/>
  <c r="D61" i="17" s="1"/>
  <c r="D56" i="17"/>
  <c r="C56" i="17"/>
  <c r="C61" i="17" s="1"/>
  <c r="C63" i="17" s="1"/>
  <c r="G55" i="17"/>
  <c r="G54" i="17"/>
  <c r="F53" i="17"/>
  <c r="E53" i="17"/>
  <c r="B48" i="17"/>
  <c r="B47" i="17"/>
  <c r="E42" i="17"/>
  <c r="D47" i="17" s="1"/>
  <c r="D42" i="17"/>
  <c r="C42" i="17"/>
  <c r="C47" i="17" s="1"/>
  <c r="C49" i="17" s="1"/>
  <c r="F41" i="17"/>
  <c r="F42" i="17" s="1"/>
  <c r="D48" i="17" s="1"/>
  <c r="G40" i="17"/>
  <c r="F39" i="17"/>
  <c r="E39" i="17"/>
  <c r="B34" i="17"/>
  <c r="B33" i="17"/>
  <c r="E28" i="17"/>
  <c r="D33" i="17" s="1"/>
  <c r="D28" i="17"/>
  <c r="C28" i="17"/>
  <c r="C33" i="17" s="1"/>
  <c r="C35" i="17" s="1"/>
  <c r="F27" i="17"/>
  <c r="F28" i="17" s="1"/>
  <c r="D34" i="17" s="1"/>
  <c r="G26" i="17"/>
  <c r="F25" i="17"/>
  <c r="E25" i="17"/>
  <c r="C109" i="17" l="1"/>
  <c r="L55" i="23"/>
  <c r="F59" i="23"/>
  <c r="L59" i="23" s="1"/>
  <c r="G56" i="17"/>
  <c r="D63" i="17"/>
  <c r="D9" i="17" s="1"/>
  <c r="G98" i="17"/>
  <c r="D105" i="17"/>
  <c r="D12" i="17" s="1"/>
  <c r="G84" i="17"/>
  <c r="D91" i="17"/>
  <c r="D11" i="17" s="1"/>
  <c r="G70" i="17"/>
  <c r="D77" i="17"/>
  <c r="D10" i="17" s="1"/>
  <c r="D35" i="17"/>
  <c r="D7" i="17" s="1"/>
  <c r="D49" i="17"/>
  <c r="D8" i="17" s="1"/>
  <c r="G27" i="17"/>
  <c r="G28" i="17" s="1"/>
  <c r="G41" i="17"/>
  <c r="G42" i="17" s="1"/>
  <c r="E109" i="17" l="1"/>
  <c r="E111" i="17"/>
  <c r="C110" i="17"/>
  <c r="D14" i="17"/>
  <c r="J9" i="10" l="1"/>
  <c r="E30" i="13"/>
  <c r="I37" i="13"/>
  <c r="D46" i="13" s="1"/>
  <c r="D32" i="13"/>
  <c r="D31" i="13"/>
  <c r="D45" i="13"/>
  <c r="E34" i="13" l="1"/>
  <c r="E16" i="10" s="1"/>
  <c r="E16" i="17" s="1"/>
  <c r="E47" i="13"/>
  <c r="E33" i="13"/>
  <c r="E36" i="13" l="1"/>
  <c r="E102" i="10"/>
  <c r="E88" i="10"/>
  <c r="E74" i="10"/>
  <c r="E60" i="10"/>
  <c r="E46" i="10"/>
  <c r="F39" i="10" l="1"/>
  <c r="F25" i="10"/>
  <c r="K7" i="3"/>
  <c r="K9" i="3" s="1"/>
  <c r="E9" i="3" s="1"/>
  <c r="E9" i="21" l="1"/>
  <c r="E10" i="19"/>
  <c r="E9" i="18"/>
  <c r="G9" i="3"/>
  <c r="E18" i="10"/>
  <c r="G11" i="16"/>
  <c r="G10" i="16"/>
  <c r="Y38" i="16" s="1"/>
  <c r="G58" i="19" s="1"/>
  <c r="J154" i="1"/>
  <c r="K154" i="1" s="1"/>
  <c r="L154" i="1" s="1"/>
  <c r="D32" i="16"/>
  <c r="D31" i="16"/>
  <c r="E31" i="16" s="1"/>
  <c r="D22" i="16"/>
  <c r="D21" i="16"/>
  <c r="E21" i="16" s="1"/>
  <c r="C32" i="16"/>
  <c r="E32" i="16" s="1"/>
  <c r="C22" i="16"/>
  <c r="G9" i="18" l="1"/>
  <c r="E17" i="18"/>
  <c r="G10" i="19"/>
  <c r="E18" i="19"/>
  <c r="E17" i="21"/>
  <c r="G9" i="21"/>
  <c r="E22" i="16"/>
  <c r="C33" i="16"/>
  <c r="D33" i="16" s="1"/>
  <c r="C23" i="16"/>
  <c r="D23" i="16" s="1"/>
  <c r="H18" i="19" l="1"/>
  <c r="G68" i="19"/>
  <c r="G18" i="19"/>
  <c r="H17" i="18"/>
  <c r="G17" i="21"/>
  <c r="M10" i="21"/>
  <c r="M17" i="21" s="1"/>
  <c r="G68" i="21"/>
  <c r="G17" i="18"/>
  <c r="G67" i="18"/>
  <c r="C34" i="16"/>
  <c r="E33" i="16"/>
  <c r="C24" i="16"/>
  <c r="E23" i="16"/>
  <c r="N17" i="21" l="1"/>
  <c r="E34" i="16"/>
  <c r="D34" i="16"/>
  <c r="D24" i="16"/>
  <c r="E24" i="16" s="1"/>
  <c r="D11" i="16"/>
  <c r="E11" i="16" s="1"/>
  <c r="C12" i="16"/>
  <c r="C13" i="16" s="1"/>
  <c r="C29" i="15"/>
  <c r="C27" i="15"/>
  <c r="C28" i="15"/>
  <c r="C26" i="15"/>
  <c r="C21" i="15"/>
  <c r="C25" i="15"/>
  <c r="C22" i="15"/>
  <c r="C20" i="15"/>
  <c r="C18" i="15"/>
  <c r="C19" i="15"/>
  <c r="C23" i="15"/>
  <c r="D13" i="16" l="1"/>
  <c r="E13" i="16" s="1"/>
  <c r="C14" i="16"/>
  <c r="D12" i="16"/>
  <c r="E12" i="16" s="1"/>
  <c r="D14" i="16" l="1"/>
  <c r="E14" i="16" s="1"/>
  <c r="O10" i="16"/>
  <c r="Y8" i="16" s="1"/>
  <c r="E12" i="3"/>
  <c r="O12" i="16" l="1"/>
  <c r="U54" i="2"/>
  <c r="O16" i="16" l="1"/>
  <c r="E10" i="15" s="1"/>
  <c r="F10" i="15" s="1"/>
  <c r="Y10" i="16"/>
  <c r="G63" i="3"/>
  <c r="G58" i="21" l="1"/>
  <c r="G57" i="18"/>
  <c r="Y14" i="16"/>
  <c r="G15" i="3"/>
  <c r="AE54" i="2" l="1"/>
  <c r="AC64" i="2" s="1"/>
  <c r="AD64" i="2" s="1"/>
  <c r="AE64" i="2" s="1"/>
  <c r="Y18" i="16"/>
  <c r="Y21" i="16"/>
  <c r="C17" i="14"/>
  <c r="C21" i="14" s="1"/>
  <c r="B17" i="14"/>
  <c r="B8" i="14"/>
  <c r="B19" i="14" l="1"/>
  <c r="B21" i="14" s="1"/>
  <c r="C23" i="14" s="1"/>
  <c r="E25" i="3" s="1"/>
  <c r="E26" i="21" l="1"/>
  <c r="E25" i="18"/>
  <c r="H82" i="1"/>
  <c r="J151" i="1"/>
  <c r="K151" i="1" s="1"/>
  <c r="J150" i="1"/>
  <c r="K150" i="1" s="1"/>
  <c r="J149" i="1"/>
  <c r="J148" i="1"/>
  <c r="K148" i="1" s="1"/>
  <c r="J147" i="1"/>
  <c r="K147" i="1" s="1"/>
  <c r="J144" i="1"/>
  <c r="K144" i="1" s="1"/>
  <c r="J143" i="1"/>
  <c r="K143" i="1" s="1"/>
  <c r="J142" i="1"/>
  <c r="K142" i="1" s="1"/>
  <c r="J141" i="1"/>
  <c r="J140" i="1"/>
  <c r="K140" i="1" s="1"/>
  <c r="J137" i="1"/>
  <c r="K137" i="1" s="1"/>
  <c r="J136" i="1"/>
  <c r="K136" i="1" s="1"/>
  <c r="J135" i="1"/>
  <c r="K135" i="1" s="1"/>
  <c r="J134" i="1"/>
  <c r="J133" i="1"/>
  <c r="J132" i="1"/>
  <c r="J131" i="1"/>
  <c r="J130" i="1"/>
  <c r="J129" i="1"/>
  <c r="K129" i="1" s="1"/>
  <c r="J128" i="1"/>
  <c r="K128" i="1" s="1"/>
  <c r="J127" i="1"/>
  <c r="J126" i="1"/>
  <c r="K126" i="1" s="1"/>
  <c r="J125" i="1"/>
  <c r="J124" i="1"/>
  <c r="K124" i="1" s="1"/>
  <c r="J123" i="1"/>
  <c r="K123" i="1" s="1"/>
  <c r="J122" i="1"/>
  <c r="K122" i="1" s="1"/>
  <c r="J121" i="1"/>
  <c r="J120" i="1"/>
  <c r="K120" i="1" s="1"/>
  <c r="J119" i="1"/>
  <c r="K119" i="1" s="1"/>
  <c r="J118" i="1"/>
  <c r="K118" i="1" s="1"/>
  <c r="J117" i="1"/>
  <c r="J116" i="1"/>
  <c r="K116" i="1" s="1"/>
  <c r="J115" i="1"/>
  <c r="K115" i="1" s="1"/>
  <c r="J114" i="1"/>
  <c r="K114" i="1" s="1"/>
  <c r="J113" i="1"/>
  <c r="J112" i="1"/>
  <c r="K112" i="1" s="1"/>
  <c r="J111" i="1"/>
  <c r="K111" i="1" s="1"/>
  <c r="J110" i="1"/>
  <c r="K110" i="1" s="1"/>
  <c r="J109" i="1"/>
  <c r="J108" i="1"/>
  <c r="K108" i="1" s="1"/>
  <c r="J107" i="1"/>
  <c r="K107" i="1" s="1"/>
  <c r="J106" i="1"/>
  <c r="K106" i="1" s="1"/>
  <c r="J105" i="1"/>
  <c r="J104" i="1"/>
  <c r="K104" i="1" s="1"/>
  <c r="J101" i="1"/>
  <c r="K101" i="1" s="1"/>
  <c r="J98" i="1"/>
  <c r="K98" i="1" s="1"/>
  <c r="J95" i="1"/>
  <c r="J94" i="1"/>
  <c r="J93" i="1"/>
  <c r="J92" i="1"/>
  <c r="K92" i="1" s="1"/>
  <c r="J91" i="1"/>
  <c r="K91" i="1" s="1"/>
  <c r="J90" i="1"/>
  <c r="K90" i="1" s="1"/>
  <c r="J89" i="1"/>
  <c r="K89" i="1" s="1"/>
  <c r="J88" i="1"/>
  <c r="J87" i="1"/>
  <c r="K87" i="1" s="1"/>
  <c r="J86" i="1"/>
  <c r="K86" i="1" s="1"/>
  <c r="J85" i="1"/>
  <c r="J84" i="1"/>
  <c r="K84" i="1" s="1"/>
  <c r="J83" i="1"/>
  <c r="J82" i="1"/>
  <c r="K82" i="1" s="1"/>
  <c r="J79" i="1"/>
  <c r="K79" i="1" s="1"/>
  <c r="J76" i="1"/>
  <c r="K76" i="1" s="1"/>
  <c r="J75" i="1"/>
  <c r="K75" i="1" s="1"/>
  <c r="J74" i="1"/>
  <c r="K74" i="1" s="1"/>
  <c r="J73" i="1"/>
  <c r="K73" i="1" s="1"/>
  <c r="J72" i="1"/>
  <c r="J71" i="1"/>
  <c r="J70" i="1"/>
  <c r="K70" i="1" s="1"/>
  <c r="J69" i="1"/>
  <c r="K69" i="1" s="1"/>
  <c r="J68" i="1"/>
  <c r="J67" i="1"/>
  <c r="J66" i="1"/>
  <c r="K66" i="1" s="1"/>
  <c r="J65" i="1"/>
  <c r="K65" i="1" s="1"/>
  <c r="J64" i="1"/>
  <c r="J63" i="1"/>
  <c r="J62" i="1"/>
  <c r="K62" i="1" s="1"/>
  <c r="J61" i="1"/>
  <c r="K61" i="1" s="1"/>
  <c r="J60" i="1"/>
  <c r="K60" i="1" s="1"/>
  <c r="J59" i="1"/>
  <c r="J56" i="1"/>
  <c r="J55" i="1"/>
  <c r="K55" i="1" s="1"/>
  <c r="J54" i="1"/>
  <c r="J53" i="1"/>
  <c r="J52" i="1"/>
  <c r="K52" i="1" s="1"/>
  <c r="J51" i="1"/>
  <c r="K51" i="1" s="1"/>
  <c r="J50" i="1"/>
  <c r="J49" i="1"/>
  <c r="J48" i="1"/>
  <c r="K48" i="1" s="1"/>
  <c r="J47" i="1"/>
  <c r="K47" i="1" s="1"/>
  <c r="J46" i="1"/>
  <c r="K149" i="1"/>
  <c r="K141" i="1"/>
  <c r="K127" i="1"/>
  <c r="K125" i="1"/>
  <c r="K121" i="1"/>
  <c r="K117" i="1"/>
  <c r="K113" i="1"/>
  <c r="K109" i="1"/>
  <c r="K105" i="1"/>
  <c r="K72" i="1"/>
  <c r="K71" i="1"/>
  <c r="K68" i="1"/>
  <c r="K67" i="1"/>
  <c r="K64" i="1"/>
  <c r="K63" i="1"/>
  <c r="K59" i="1"/>
  <c r="K56" i="1"/>
  <c r="K54" i="1"/>
  <c r="K53" i="1"/>
  <c r="K50" i="1"/>
  <c r="K49" i="1"/>
  <c r="K46" i="1"/>
  <c r="H135" i="1"/>
  <c r="H134" i="1"/>
  <c r="K134" i="1" s="1"/>
  <c r="H133" i="1"/>
  <c r="K133" i="1" s="1"/>
  <c r="H132" i="1"/>
  <c r="K132" i="1" s="1"/>
  <c r="H131" i="1"/>
  <c r="K131" i="1" s="1"/>
  <c r="H130" i="1"/>
  <c r="H83" i="1"/>
  <c r="K95" i="1"/>
  <c r="K94" i="1"/>
  <c r="K93" i="1"/>
  <c r="K88" i="1"/>
  <c r="K85" i="1"/>
  <c r="J43" i="1"/>
  <c r="H43" i="1"/>
  <c r="J40" i="1"/>
  <c r="K40" i="1" s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J20" i="1"/>
  <c r="J19" i="1"/>
  <c r="J18" i="1"/>
  <c r="K18" i="1" s="1"/>
  <c r="H20" i="1"/>
  <c r="H19" i="1"/>
  <c r="J15" i="1"/>
  <c r="K15" i="1" s="1"/>
  <c r="J14" i="1"/>
  <c r="H14" i="1"/>
  <c r="L11" i="18" l="1"/>
  <c r="L12" i="18" s="1"/>
  <c r="K130" i="1"/>
  <c r="K83" i="1"/>
  <c r="K25" i="1"/>
  <c r="K20" i="1"/>
  <c r="K37" i="1"/>
  <c r="K27" i="1"/>
  <c r="K35" i="1"/>
  <c r="K29" i="1"/>
  <c r="K43" i="1"/>
  <c r="K23" i="1"/>
  <c r="K33" i="1"/>
  <c r="K19" i="1"/>
  <c r="K39" i="1"/>
  <c r="K31" i="1"/>
  <c r="K38" i="1"/>
  <c r="K14" i="1"/>
  <c r="K30" i="1"/>
  <c r="K28" i="1"/>
  <c r="K36" i="1"/>
  <c r="K32" i="1"/>
  <c r="K24" i="1"/>
  <c r="K26" i="1"/>
  <c r="K34" i="1"/>
  <c r="O15" i="13"/>
  <c r="O10" i="13"/>
  <c r="O7" i="13"/>
  <c r="N15" i="13"/>
  <c r="E25" i="13"/>
  <c r="P15" i="13" l="1"/>
  <c r="O19" i="13"/>
  <c r="E38" i="13" s="1"/>
  <c r="N11" i="13"/>
  <c r="N10" i="13"/>
  <c r="P10" i="13" s="1"/>
  <c r="N8" i="13"/>
  <c r="P8" i="13" s="1"/>
  <c r="N6" i="13"/>
  <c r="M9" i="13"/>
  <c r="M7" i="13"/>
  <c r="L7" i="13"/>
  <c r="L9" i="13"/>
  <c r="L13" i="13" s="1"/>
  <c r="K9" i="13"/>
  <c r="K13" i="13" s="1"/>
  <c r="K7" i="13"/>
  <c r="J9" i="13"/>
  <c r="J7" i="13"/>
  <c r="I9" i="13"/>
  <c r="I7" i="13"/>
  <c r="I13" i="13" s="1"/>
  <c r="H7" i="13"/>
  <c r="H9" i="13"/>
  <c r="G9" i="13"/>
  <c r="G13" i="13" s="1"/>
  <c r="G7" i="13"/>
  <c r="F9" i="13"/>
  <c r="F7" i="13"/>
  <c r="E9" i="13"/>
  <c r="E7" i="13"/>
  <c r="D9" i="13"/>
  <c r="D7" i="13"/>
  <c r="D13" i="13" s="1"/>
  <c r="C9" i="13"/>
  <c r="N9" i="13" s="1"/>
  <c r="P9" i="13" s="1"/>
  <c r="C7" i="13"/>
  <c r="M13" i="13"/>
  <c r="J13" i="13"/>
  <c r="F13" i="13"/>
  <c r="B13" i="13"/>
  <c r="B9" i="13"/>
  <c r="B7" i="13"/>
  <c r="N7" i="13" s="1"/>
  <c r="M27" i="3"/>
  <c r="M15" i="5"/>
  <c r="M17" i="5" s="1"/>
  <c r="F15" i="5"/>
  <c r="F17" i="5" s="1"/>
  <c r="H15" i="5"/>
  <c r="J15" i="5" s="1"/>
  <c r="J17" i="5" s="1"/>
  <c r="P11" i="5"/>
  <c r="G46" i="3"/>
  <c r="G41" i="3"/>
  <c r="G40" i="3"/>
  <c r="G39" i="3"/>
  <c r="G38" i="3"/>
  <c r="G37" i="3"/>
  <c r="G36" i="3"/>
  <c r="G34" i="3"/>
  <c r="G33" i="3"/>
  <c r="G32" i="3"/>
  <c r="G31" i="3"/>
  <c r="G30" i="3"/>
  <c r="G28" i="3"/>
  <c r="G23" i="3"/>
  <c r="G22" i="3"/>
  <c r="G21" i="3"/>
  <c r="D35" i="3"/>
  <c r="G35" i="3" s="1"/>
  <c r="D29" i="3"/>
  <c r="G29" i="3" s="1"/>
  <c r="G13" i="3"/>
  <c r="G12" i="3"/>
  <c r="G10" i="3"/>
  <c r="G7" i="3"/>
  <c r="P7" i="13" l="1"/>
  <c r="N13" i="13"/>
  <c r="N17" i="13"/>
  <c r="O26" i="13" s="1"/>
  <c r="E48" i="13"/>
  <c r="E50" i="13" s="1"/>
  <c r="E40" i="13"/>
  <c r="F40" i="13" s="1"/>
  <c r="J22" i="5"/>
  <c r="C13" i="13"/>
  <c r="J20" i="5"/>
  <c r="G62" i="3"/>
  <c r="G68" i="3"/>
  <c r="H13" i="13"/>
  <c r="E13" i="13"/>
  <c r="G47" i="3"/>
  <c r="G56" i="21" l="1"/>
  <c r="J56" i="21" s="1"/>
  <c r="G56" i="19"/>
  <c r="G55" i="18"/>
  <c r="G57" i="3"/>
  <c r="G57" i="21"/>
  <c r="J57" i="21" s="1"/>
  <c r="G57" i="19"/>
  <c r="G56" i="18"/>
  <c r="G58" i="3"/>
  <c r="H156" i="1"/>
  <c r="J60" i="21" l="1"/>
  <c r="J66" i="21" s="1"/>
  <c r="M38" i="3"/>
  <c r="M35" i="3"/>
  <c r="K16" i="1"/>
  <c r="B102" i="10"/>
  <c r="B101" i="10"/>
  <c r="E96" i="10"/>
  <c r="D101" i="10" s="1"/>
  <c r="D96" i="10"/>
  <c r="F96" i="10"/>
  <c r="D102" i="10" s="1"/>
  <c r="C96" i="10"/>
  <c r="C101" i="10" s="1"/>
  <c r="G94" i="10"/>
  <c r="F93" i="10"/>
  <c r="E93" i="10"/>
  <c r="C68" i="10"/>
  <c r="C73" i="10" s="1"/>
  <c r="B88" i="10"/>
  <c r="B87" i="10"/>
  <c r="E82" i="10"/>
  <c r="D87" i="10" s="1"/>
  <c r="D82" i="10"/>
  <c r="C82" i="10"/>
  <c r="C87" i="10" s="1"/>
  <c r="F82" i="10"/>
  <c r="D88" i="10" s="1"/>
  <c r="F88" i="10" s="1"/>
  <c r="G80" i="10"/>
  <c r="B74" i="10"/>
  <c r="B73" i="10"/>
  <c r="E68" i="10"/>
  <c r="D73" i="10" s="1"/>
  <c r="D68" i="10"/>
  <c r="F68" i="10"/>
  <c r="D74" i="10" s="1"/>
  <c r="G66" i="10"/>
  <c r="N38" i="3" l="1"/>
  <c r="N40" i="3" s="1"/>
  <c r="P66" i="21"/>
  <c r="P70" i="21" s="1"/>
  <c r="P72" i="21" s="1"/>
  <c r="J70" i="21"/>
  <c r="J72" i="21" s="1"/>
  <c r="G24" i="3"/>
  <c r="L40" i="3"/>
  <c r="G81" i="10"/>
  <c r="G82" i="10" s="1"/>
  <c r="J156" i="1"/>
  <c r="G95" i="10"/>
  <c r="G96" i="10" s="1"/>
  <c r="F102" i="10"/>
  <c r="D103" i="10"/>
  <c r="D12" i="10" s="1"/>
  <c r="C103" i="10"/>
  <c r="F101" i="10"/>
  <c r="F103" i="10" s="1"/>
  <c r="E12" i="10" s="1"/>
  <c r="D89" i="10"/>
  <c r="G67" i="10"/>
  <c r="G68" i="10" s="1"/>
  <c r="C89" i="10"/>
  <c r="F87" i="10"/>
  <c r="F89" i="10" s="1"/>
  <c r="C75" i="10"/>
  <c r="F73" i="10"/>
  <c r="F74" i="10"/>
  <c r="D75" i="10"/>
  <c r="E26" i="3" l="1"/>
  <c r="E27" i="3"/>
  <c r="F75" i="10"/>
  <c r="K156" i="1"/>
  <c r="E45" i="3" s="1"/>
  <c r="D11" i="10"/>
  <c r="F79" i="10"/>
  <c r="E79" i="10"/>
  <c r="F65" i="10"/>
  <c r="E65" i="10"/>
  <c r="B60" i="10"/>
  <c r="B59" i="10"/>
  <c r="F54" i="10"/>
  <c r="D60" i="10" s="1"/>
  <c r="F60" i="10" s="1"/>
  <c r="E54" i="10"/>
  <c r="D59" i="10" s="1"/>
  <c r="D54" i="10"/>
  <c r="C54" i="10"/>
  <c r="C59" i="10" s="1"/>
  <c r="G53" i="10"/>
  <c r="G52" i="10"/>
  <c r="F51" i="10"/>
  <c r="E51" i="10"/>
  <c r="B46" i="10"/>
  <c r="B45" i="10"/>
  <c r="F40" i="10"/>
  <c r="D46" i="10" s="1"/>
  <c r="F46" i="10" s="1"/>
  <c r="E40" i="10"/>
  <c r="D45" i="10" s="1"/>
  <c r="D40" i="10"/>
  <c r="C40" i="10"/>
  <c r="C45" i="10" s="1"/>
  <c r="G39" i="10"/>
  <c r="G38" i="10"/>
  <c r="F37" i="10"/>
  <c r="E37" i="10"/>
  <c r="B32" i="10"/>
  <c r="B31" i="10"/>
  <c r="F26" i="10"/>
  <c r="D32" i="10" s="1"/>
  <c r="F32" i="10" s="1"/>
  <c r="E26" i="10"/>
  <c r="D31" i="10" s="1"/>
  <c r="D26" i="10"/>
  <c r="C26" i="10"/>
  <c r="C31" i="10" s="1"/>
  <c r="G25" i="10"/>
  <c r="G24" i="10"/>
  <c r="F23" i="10"/>
  <c r="E23" i="10"/>
  <c r="G45" i="3" l="1"/>
  <c r="E45" i="21"/>
  <c r="G45" i="21" s="1"/>
  <c r="E45" i="19"/>
  <c r="G45" i="19" s="1"/>
  <c r="E44" i="18"/>
  <c r="G44" i="18" s="1"/>
  <c r="G27" i="3"/>
  <c r="E28" i="21"/>
  <c r="G28" i="21" s="1"/>
  <c r="M28" i="21" s="1"/>
  <c r="E28" i="19"/>
  <c r="G28" i="19" s="1"/>
  <c r="E27" i="18"/>
  <c r="G27" i="18" s="1"/>
  <c r="G26" i="3"/>
  <c r="E27" i="21"/>
  <c r="E27" i="19"/>
  <c r="E26" i="18"/>
  <c r="L20" i="3"/>
  <c r="J26" i="10"/>
  <c r="G54" i="10"/>
  <c r="G40" i="10"/>
  <c r="C33" i="10"/>
  <c r="G26" i="10"/>
  <c r="D47" i="10"/>
  <c r="D8" i="10" s="1"/>
  <c r="F59" i="10"/>
  <c r="F61" i="10" s="1"/>
  <c r="E9" i="10" s="1"/>
  <c r="C61" i="10"/>
  <c r="D10" i="10"/>
  <c r="F45" i="10"/>
  <c r="F47" i="10" s="1"/>
  <c r="E8" i="10" s="1"/>
  <c r="C47" i="10"/>
  <c r="E11" i="10"/>
  <c r="D33" i="10"/>
  <c r="D7" i="10" s="1"/>
  <c r="D61" i="10"/>
  <c r="D9" i="10" s="1"/>
  <c r="E42" i="18" l="1"/>
  <c r="G26" i="18"/>
  <c r="G42" i="18" s="1"/>
  <c r="G47" i="18" s="1"/>
  <c r="G27" i="19"/>
  <c r="G43" i="19" s="1"/>
  <c r="G48" i="19" s="1"/>
  <c r="E43" i="19"/>
  <c r="D14" i="10"/>
  <c r="G27" i="21"/>
  <c r="E43" i="21"/>
  <c r="E48" i="21" s="1"/>
  <c r="E50" i="21" s="1"/>
  <c r="E10" i="10"/>
  <c r="G54" i="19" l="1"/>
  <c r="G60" i="19" s="1"/>
  <c r="G66" i="19" s="1"/>
  <c r="G70" i="19" s="1"/>
  <c r="G50" i="19"/>
  <c r="G43" i="21"/>
  <c r="M27" i="21"/>
  <c r="M43" i="21" s="1"/>
  <c r="E48" i="19"/>
  <c r="H43" i="19"/>
  <c r="G53" i="18"/>
  <c r="G59" i="18" s="1"/>
  <c r="G65" i="18" s="1"/>
  <c r="G69" i="18" s="1"/>
  <c r="G71" i="18" s="1"/>
  <c r="J37" i="2" s="1"/>
  <c r="G49" i="18"/>
  <c r="E47" i="18"/>
  <c r="H42" i="18"/>
  <c r="D17" i="3"/>
  <c r="G48" i="21" l="1"/>
  <c r="N43" i="21"/>
  <c r="H48" i="19"/>
  <c r="E50" i="19"/>
  <c r="H50" i="19" s="1"/>
  <c r="H47" i="18"/>
  <c r="E49" i="18"/>
  <c r="H49" i="18" s="1"/>
  <c r="G72" i="19"/>
  <c r="BE38" i="2" s="1"/>
  <c r="J70" i="19"/>
  <c r="E43" i="3"/>
  <c r="BB37" i="2" l="1"/>
  <c r="BB49" i="2"/>
  <c r="G54" i="21"/>
  <c r="G60" i="21" s="1"/>
  <c r="G66" i="21" s="1"/>
  <c r="G70" i="21" s="1"/>
  <c r="G72" i="21" s="1"/>
  <c r="G50" i="21"/>
  <c r="G43" i="3"/>
  <c r="D43" i="3"/>
  <c r="D49" i="3" s="1"/>
  <c r="D51" i="3" s="1"/>
  <c r="AZ60" i="2" l="1"/>
  <c r="BA60" i="2" s="1"/>
  <c r="BB60" i="2" s="1"/>
  <c r="BB38" i="2"/>
  <c r="BB39" i="2" s="1"/>
  <c r="BB40" i="2" s="1"/>
  <c r="BB41" i="2" s="1"/>
  <c r="BB42" i="2" s="1"/>
  <c r="H43" i="3"/>
  <c r="E49" i="3"/>
  <c r="H49" i="3" l="1"/>
  <c r="G49" i="3"/>
  <c r="G55" i="3" l="1"/>
  <c r="G60" i="3" s="1"/>
  <c r="G66" i="3" s="1"/>
  <c r="F31" i="10"/>
  <c r="F33" i="10" s="1"/>
  <c r="E7" i="10" s="1"/>
  <c r="E14" i="10" s="1"/>
  <c r="E17" i="10" l="1"/>
  <c r="G70" i="3"/>
  <c r="E17" i="3"/>
  <c r="L19" i="3" s="1"/>
  <c r="L22" i="3" s="1"/>
  <c r="G17" i="3"/>
  <c r="G51" i="3" s="1"/>
  <c r="J8" i="10" l="1"/>
  <c r="J10" i="10" s="1"/>
  <c r="E19" i="10"/>
  <c r="G72" i="3"/>
  <c r="N70" i="3"/>
  <c r="E51" i="3"/>
  <c r="H51" i="3" s="1"/>
  <c r="H17" i="3"/>
  <c r="G49" i="2" l="1"/>
  <c r="U49" i="2" s="1"/>
  <c r="AE49" i="2" s="1"/>
  <c r="G37" i="2"/>
  <c r="U37" i="2" l="1"/>
  <c r="S63" i="2" s="1"/>
  <c r="J57" i="2"/>
  <c r="J59" i="2" s="1"/>
  <c r="J61" i="2" s="1"/>
  <c r="F62" i="17"/>
  <c r="M49" i="2"/>
  <c r="C30" i="15"/>
  <c r="D8" i="15" s="1"/>
  <c r="E21" i="12"/>
  <c r="F21" i="12" s="1"/>
  <c r="G21" i="12" s="1"/>
  <c r="E9" i="12"/>
  <c r="F9" i="12" s="1"/>
  <c r="G9" i="12" s="1"/>
  <c r="G38" i="2"/>
  <c r="F47" i="17" s="1"/>
  <c r="M37" i="2"/>
  <c r="F33" i="17"/>
  <c r="AE37" i="2" l="1"/>
  <c r="AE38" i="2" s="1"/>
  <c r="AE39" i="2" s="1"/>
  <c r="AE40" i="2" s="1"/>
  <c r="AE41" i="2" s="1"/>
  <c r="AE42" i="2" s="1"/>
  <c r="U38" i="2"/>
  <c r="U39" i="2" s="1"/>
  <c r="U40" i="2" s="1"/>
  <c r="U41" i="2" s="1"/>
  <c r="U42" i="2" s="1"/>
  <c r="S64" i="2"/>
  <c r="T64" i="2" s="1"/>
  <c r="U64" i="2" s="1"/>
  <c r="T63" i="2"/>
  <c r="U63" i="2" s="1"/>
  <c r="E104" i="17"/>
  <c r="F104" i="17" s="1"/>
  <c r="E76" i="17"/>
  <c r="F76" i="17" s="1"/>
  <c r="F34" i="17"/>
  <c r="F35" i="17" s="1"/>
  <c r="E7" i="17" s="1"/>
  <c r="F48" i="17"/>
  <c r="F49" i="17" s="1"/>
  <c r="E8" i="17" s="1"/>
  <c r="E90" i="17"/>
  <c r="F90" i="17" s="1"/>
  <c r="G39" i="2"/>
  <c r="F61" i="17" s="1"/>
  <c r="F63" i="17" s="1"/>
  <c r="E9" i="17" s="1"/>
  <c r="E10" i="12"/>
  <c r="F10" i="12" s="1"/>
  <c r="G10" i="12" s="1"/>
  <c r="M38" i="2"/>
  <c r="F8" i="15"/>
  <c r="G40" i="2" l="1"/>
  <c r="G41" i="2" s="1"/>
  <c r="E11" i="12"/>
  <c r="F11" i="12" s="1"/>
  <c r="G11" i="12" s="1"/>
  <c r="M39" i="2"/>
  <c r="E12" i="12" l="1"/>
  <c r="F12" i="12" s="1"/>
  <c r="G12" i="12" s="1"/>
  <c r="M40" i="2"/>
  <c r="F75" i="17"/>
  <c r="F77" i="17" s="1"/>
  <c r="E10" i="17" s="1"/>
  <c r="G42" i="2"/>
  <c r="E13" i="12"/>
  <c r="F13" i="12" s="1"/>
  <c r="G13" i="12" s="1"/>
  <c r="F89" i="17"/>
  <c r="F91" i="17" s="1"/>
  <c r="E11" i="17" s="1"/>
  <c r="M41" i="2"/>
  <c r="E14" i="12" l="1"/>
  <c r="F14" i="12" s="1"/>
  <c r="G14" i="12" s="1"/>
  <c r="F103" i="17"/>
  <c r="F105" i="17" s="1"/>
  <c r="E12" i="17" s="1"/>
  <c r="E14" i="17" s="1"/>
  <c r="M42" i="2"/>
  <c r="J14" i="17" l="1"/>
  <c r="E17" i="17"/>
  <c r="J17" i="17" l="1"/>
  <c r="I17" i="17"/>
  <c r="J19" i="17" l="1"/>
  <c r="I19" i="17"/>
</calcChain>
</file>

<file path=xl/sharedStrings.xml><?xml version="1.0" encoding="utf-8"?>
<sst xmlns="http://schemas.openxmlformats.org/spreadsheetml/2006/main" count="1521" uniqueCount="636">
  <si>
    <t>Table B</t>
  </si>
  <si>
    <t>DEPRECIATION EXPENSE ADJUSTMENTS</t>
  </si>
  <si>
    <t>TOTALS</t>
  </si>
  <si>
    <t>Service</t>
  </si>
  <si>
    <t>Original</t>
  </si>
  <si>
    <t>Cost</t>
  </si>
  <si>
    <t>Life</t>
  </si>
  <si>
    <t xml:space="preserve"> </t>
  </si>
  <si>
    <t>Operating Revenues</t>
  </si>
  <si>
    <t>Total Operating Revenues</t>
  </si>
  <si>
    <t>Operating Expenses</t>
  </si>
  <si>
    <t>Total Operating Expenses</t>
  </si>
  <si>
    <t>Pro Forma Operating Expenses</t>
  </si>
  <si>
    <t>Plus:</t>
  </si>
  <si>
    <t>Less:</t>
  </si>
  <si>
    <t>Revenue Required From Retail Rates</t>
  </si>
  <si>
    <t>Required Revenue Increase</t>
  </si>
  <si>
    <t>Percent Increase</t>
  </si>
  <si>
    <t>Other Operating Revenue</t>
  </si>
  <si>
    <t>Operation and Maintenance</t>
  </si>
  <si>
    <t>Total Operation and Mnt. Expenses</t>
  </si>
  <si>
    <t>Depreciation Expense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</si>
  <si>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</si>
  <si>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</si>
  <si>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</si>
  <si>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</si>
  <si>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</si>
  <si>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</si>
  <si>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</si>
  <si>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Bad Debt Expense</t>
  </si>
  <si>
    <t>Miscellaneous Expenses</t>
  </si>
  <si>
    <t>Additional Working Capital</t>
  </si>
  <si>
    <t>Test Year</t>
  </si>
  <si>
    <t>Adjustments</t>
  </si>
  <si>
    <t>Proforma</t>
  </si>
  <si>
    <t>Amortization Expense</t>
  </si>
  <si>
    <t>Transportation Expenses</t>
  </si>
  <si>
    <t>Net Utility Operating Income</t>
  </si>
  <si>
    <t>Total Revenue Requirement</t>
  </si>
  <si>
    <t>Revenue from Sales at Present Rates</t>
  </si>
  <si>
    <t>Forfeited Discounts</t>
  </si>
  <si>
    <t>Misc. Service Revenues</t>
  </si>
  <si>
    <t>Other Water Revenues:</t>
  </si>
  <si>
    <t>Depreciation</t>
  </si>
  <si>
    <t>a.</t>
  </si>
  <si>
    <t>b.</t>
  </si>
  <si>
    <t>DEBT SERVICE SCHDULE</t>
  </si>
  <si>
    <t>Principal</t>
  </si>
  <si>
    <t>Interest</t>
  </si>
  <si>
    <t>Totals</t>
  </si>
  <si>
    <t>REVENUE REQUIREMENTS</t>
  </si>
  <si>
    <t>c.</t>
  </si>
  <si>
    <t>d.</t>
  </si>
  <si>
    <t>Table A</t>
  </si>
  <si>
    <t>e.</t>
  </si>
  <si>
    <t>References</t>
  </si>
  <si>
    <t>5/8 inch</t>
  </si>
  <si>
    <t>1 inch</t>
  </si>
  <si>
    <t>2 inch</t>
  </si>
  <si>
    <t>Ref.</t>
  </si>
  <si>
    <t>Sold</t>
  </si>
  <si>
    <t>Revenue</t>
  </si>
  <si>
    <t>Avg. Annual Principal and Interest Payments</t>
  </si>
  <si>
    <t>BILLING ANALYSIS WITH CURRENT USAGE &amp; RATES</t>
  </si>
  <si>
    <t>SUMMARY</t>
  </si>
  <si>
    <t>Meter Size</t>
  </si>
  <si>
    <t>Gallons Sold</t>
  </si>
  <si>
    <t>1-1/2 inch</t>
  </si>
  <si>
    <t>5/8 INCH METERS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</si>
  <si>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</si>
  <si>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</si>
  <si>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</si>
  <si>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</si>
  <si>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</si>
  <si>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</si>
  <si>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</si>
  <si>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</si>
  <si>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</si>
  <si>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OVER</t>
  </si>
  <si>
    <t>1 INCH METERS</t>
  </si>
  <si>
    <t>1-1/2 INCH METERS</t>
  </si>
  <si>
    <t>2 INCH METERS</t>
  </si>
  <si>
    <t>CURRENT AND PROPOSED RATES</t>
  </si>
  <si>
    <t>Current Rates</t>
  </si>
  <si>
    <t>Proposed Rates</t>
  </si>
  <si>
    <t>Meter</t>
  </si>
  <si>
    <t>Size</t>
  </si>
  <si>
    <t xml:space="preserve">5/8 x 3/4 inch </t>
  </si>
  <si>
    <t>3 inch</t>
  </si>
  <si>
    <t>Charge per</t>
  </si>
  <si>
    <t>1,000 gals.</t>
  </si>
  <si>
    <t>APPENDIX A</t>
  </si>
  <si>
    <t xml:space="preserve">Current </t>
  </si>
  <si>
    <t>Minimum Bills</t>
  </si>
  <si>
    <t>Proposed</t>
  </si>
  <si>
    <t>Dollar</t>
  </si>
  <si>
    <t>Increase</t>
  </si>
  <si>
    <t>Percent</t>
  </si>
  <si>
    <t>Charge per 1,000 Gals.</t>
  </si>
  <si>
    <t>Current</t>
  </si>
  <si>
    <t>MONTHLY WATER RATES</t>
  </si>
  <si>
    <t>3 INCH METERS</t>
  </si>
  <si>
    <t>Chemicals</t>
  </si>
  <si>
    <t>Rental of Equipment</t>
  </si>
  <si>
    <t>Other</t>
  </si>
  <si>
    <t>Advertising</t>
  </si>
  <si>
    <t>Date In</t>
  </si>
  <si>
    <t>Proposed for Rates</t>
  </si>
  <si>
    <t>Description</t>
  </si>
  <si>
    <t>Difference</t>
  </si>
  <si>
    <t>Water Loss Adjustment:</t>
  </si>
  <si>
    <t xml:space="preserve">  WTP</t>
  </si>
  <si>
    <t xml:space="preserve">  Flushing</t>
  </si>
  <si>
    <t xml:space="preserve">  Fire</t>
  </si>
  <si>
    <t xml:space="preserve">  Other</t>
  </si>
  <si>
    <t>Uses:</t>
  </si>
  <si>
    <t>Line Brks.</t>
  </si>
  <si>
    <t>Line Leaks</t>
  </si>
  <si>
    <t>CY 2017 - 2021</t>
  </si>
  <si>
    <t>f.</t>
  </si>
  <si>
    <t>Gallons per Month</t>
  </si>
  <si>
    <t xml:space="preserve">  allowable in rates</t>
  </si>
  <si>
    <t xml:space="preserve">  adjustment percentage</t>
  </si>
  <si>
    <t>check</t>
  </si>
  <si>
    <t>g.</t>
  </si>
  <si>
    <t>Interest Income</t>
  </si>
  <si>
    <t xml:space="preserve">  avg. increase per month</t>
  </si>
  <si>
    <t>Sales of Water</t>
  </si>
  <si>
    <t>Unmetered Water Sales</t>
  </si>
  <si>
    <t>Metered Water Sales</t>
  </si>
  <si>
    <t>Sales for Resale</t>
  </si>
  <si>
    <t>Contractual Services - Water Testing</t>
  </si>
  <si>
    <t>Contractual Services - Other</t>
  </si>
  <si>
    <t>Rental of Bldg./Real Property</t>
  </si>
  <si>
    <t>Insurance - Vehicle &amp; Liability</t>
  </si>
  <si>
    <t>Insurance - Worker's Compensation</t>
  </si>
  <si>
    <t>Insurance - Other</t>
  </si>
  <si>
    <t>Martin County Water District</t>
  </si>
  <si>
    <t>Fees</t>
  </si>
  <si>
    <t xml:space="preserve">  5 Yr. Averages</t>
  </si>
  <si>
    <t>KIA Loan</t>
  </si>
  <si>
    <t>KACo Lease</t>
  </si>
  <si>
    <t>KRWFC Bonds</t>
  </si>
  <si>
    <t xml:space="preserve">  Sum of Averages for All Debt</t>
  </si>
  <si>
    <t>Nonutility Income</t>
  </si>
  <si>
    <t>Produced &amp; Purchased</t>
  </si>
  <si>
    <t xml:space="preserve">  WWTP</t>
  </si>
  <si>
    <t>Contractual Services - Acct. &amp; Legal</t>
  </si>
  <si>
    <t>Sales Tax</t>
  </si>
  <si>
    <t>Commercial</t>
  </si>
  <si>
    <t>Late Charge</t>
  </si>
  <si>
    <t>Residential</t>
  </si>
  <si>
    <t>School Tax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</si>
  <si>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</si>
  <si>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</si>
  <si>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</si>
  <si>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</si>
  <si>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</si>
  <si>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</si>
  <si>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</si>
  <si>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</si>
  <si>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</si>
  <si>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</si>
  <si>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</si>
  <si>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</si>
  <si>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</si>
  <si>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Billed in error total</t>
  </si>
  <si>
    <t>Leak adjustments</t>
  </si>
  <si>
    <t>Mis-read adjustments</t>
  </si>
  <si>
    <t>NSF Adjustment</t>
  </si>
  <si>
    <t>Total Res. &amp; Com.</t>
  </si>
  <si>
    <t xml:space="preserve">    Less Adjustments</t>
  </si>
  <si>
    <t>Total Metered Revenue</t>
  </si>
  <si>
    <t>Usage</t>
  </si>
  <si>
    <t>PSC Report</t>
  </si>
  <si>
    <t>Total Bills from Billing Analysis</t>
  </si>
  <si>
    <t>Adjustment total</t>
  </si>
  <si>
    <t>Total Adjustments (incl. taxes, penalities, etc.)</t>
  </si>
  <si>
    <t xml:space="preserve">NOTE:  </t>
  </si>
  <si>
    <t>Close agreement on sales figures between</t>
  </si>
  <si>
    <t>Monthly Billing Summaries and Billing Analysis.</t>
  </si>
  <si>
    <t>Significantly different than PSC Report.</t>
  </si>
  <si>
    <t>Tabulation of Monthly Billing Summaries and Comparison of Total Metered Sales to Other Sources</t>
  </si>
  <si>
    <t>Sys ID/</t>
  </si>
  <si>
    <t>Asset Code</t>
  </si>
  <si>
    <t>Land &amp; Land Rights</t>
  </si>
  <si>
    <t>All</t>
  </si>
  <si>
    <t>Various</t>
  </si>
  <si>
    <t>Property and R/W's</t>
  </si>
  <si>
    <t>Structures</t>
  </si>
  <si>
    <t>191  132</t>
  </si>
  <si>
    <t>New Office</t>
  </si>
  <si>
    <t>All Other</t>
  </si>
  <si>
    <t>Collecting &amp; Impounding</t>
  </si>
  <si>
    <t>15  21</t>
  </si>
  <si>
    <t>16  22</t>
  </si>
  <si>
    <t>370  03-002</t>
  </si>
  <si>
    <t>Landfill dam</t>
  </si>
  <si>
    <t>Concrete spilhvay</t>
  </si>
  <si>
    <t>Reservoir Dam Improvements</t>
  </si>
  <si>
    <t>Lakes, Rivers &amp; Intakes</t>
  </si>
  <si>
    <t>17  23</t>
  </si>
  <si>
    <t>18  24</t>
  </si>
  <si>
    <t>19  25</t>
  </si>
  <si>
    <t>20  26</t>
  </si>
  <si>
    <t>388  04-003</t>
  </si>
  <si>
    <t>430  05-003</t>
  </si>
  <si>
    <t>431  05-004</t>
  </si>
  <si>
    <t>432  05-005</t>
  </si>
  <si>
    <t>482  06-002</t>
  </si>
  <si>
    <t>483  06-003</t>
  </si>
  <si>
    <t>River project</t>
  </si>
  <si>
    <t>River pump modifications</t>
  </si>
  <si>
    <t>Myers submersible pump</t>
  </si>
  <si>
    <t>Turkey Pumping Station</t>
  </si>
  <si>
    <t>Tug Fork Intake</t>
  </si>
  <si>
    <t>Raw Water Intake</t>
  </si>
  <si>
    <t>524  07-002</t>
  </si>
  <si>
    <t>525  07-003</t>
  </si>
  <si>
    <t>526  07-004</t>
  </si>
  <si>
    <t>527  07-005</t>
  </si>
  <si>
    <t>608  11-001</t>
  </si>
  <si>
    <t>622  12-001</t>
  </si>
  <si>
    <t>644  644</t>
  </si>
  <si>
    <t>657  657</t>
  </si>
  <si>
    <t>PR Valves</t>
  </si>
  <si>
    <t>System Air Compressor</t>
  </si>
  <si>
    <t>Pump and Deep Well Rehab</t>
  </si>
  <si>
    <t>Pit ladder</t>
  </si>
  <si>
    <t>RW Intake Pumps &amp; Rehab</t>
  </si>
  <si>
    <t>RW Intake Pump Service</t>
  </si>
  <si>
    <t>Power Generation Equipment</t>
  </si>
  <si>
    <t>645  645</t>
  </si>
  <si>
    <t>Generator</t>
  </si>
  <si>
    <t>Pumping Equipment</t>
  </si>
  <si>
    <t>MII0-1200-4 Deep Well Pump</t>
  </si>
  <si>
    <t>Pump</t>
  </si>
  <si>
    <t>Pumping Equip - Replace pump</t>
  </si>
  <si>
    <t>Stenner Pump</t>
  </si>
  <si>
    <t>Davella Pump - Soles Electric</t>
  </si>
  <si>
    <t>Pump - Soles Electric</t>
  </si>
  <si>
    <t>Vertical Pump - CI Thornburg</t>
  </si>
  <si>
    <t>5HP Pump -- Albert Crush</t>
  </si>
  <si>
    <t>609  11-002</t>
  </si>
  <si>
    <t>610  11-003</t>
  </si>
  <si>
    <t>633  13-002</t>
  </si>
  <si>
    <t>638  13-007</t>
  </si>
  <si>
    <t>648  648</t>
  </si>
  <si>
    <t>658  658</t>
  </si>
  <si>
    <t>659  659</t>
  </si>
  <si>
    <t>660  660</t>
  </si>
  <si>
    <t>661  661</t>
  </si>
  <si>
    <t>662  662</t>
  </si>
  <si>
    <t>3/l0/2016</t>
  </si>
  <si>
    <t>Water Treatment Equipment</t>
  </si>
  <si>
    <t>24  44</t>
  </si>
  <si>
    <t>25  45</t>
  </si>
  <si>
    <t>354  02-008</t>
  </si>
  <si>
    <t>355  02-009</t>
  </si>
  <si>
    <t>375  03-007</t>
  </si>
  <si>
    <t>391  04-006</t>
  </si>
  <si>
    <t>436  05-009</t>
  </si>
  <si>
    <t>486  06-006</t>
  </si>
  <si>
    <t>487  06-007</t>
  </si>
  <si>
    <t>531  07-009</t>
  </si>
  <si>
    <t>557  08-003</t>
  </si>
  <si>
    <t>601  10-002</t>
  </si>
  <si>
    <t>611  11-004</t>
  </si>
  <si>
    <t>612  11-005</t>
  </si>
  <si>
    <t>Treatment plant equipment</t>
  </si>
  <si>
    <t>Chlorinator</t>
  </si>
  <si>
    <t>Backwash Equipment</t>
  </si>
  <si>
    <t>AWS Plant Equipment Overhaul</t>
  </si>
  <si>
    <t>Water Chamber Model Mlt-1</t>
  </si>
  <si>
    <t>Bearing for Clarifier</t>
  </si>
  <si>
    <t>Engineering</t>
  </si>
  <si>
    <t>Grant Administration</t>
  </si>
  <si>
    <t>Auto Switch Chlorinator</t>
  </si>
  <si>
    <t>Clarifier Improvements</t>
  </si>
  <si>
    <t>Water Treatment Clarifier</t>
  </si>
  <si>
    <t>Fuser</t>
  </si>
  <si>
    <t>613  11-006</t>
  </si>
  <si>
    <t>634  13-003</t>
  </si>
  <si>
    <t>646  646</t>
  </si>
  <si>
    <t>663  663</t>
  </si>
  <si>
    <t>Submersible Pump</t>
  </si>
  <si>
    <t>Dechlorinator</t>
  </si>
  <si>
    <t>Clarifier Rehab</t>
  </si>
  <si>
    <t>Rehab Filter 6</t>
  </si>
  <si>
    <t>Distribution Reservior &amp; Standpipes</t>
  </si>
  <si>
    <t>Sludge Basin/Chem Feeders</t>
  </si>
  <si>
    <t>60  80</t>
  </si>
  <si>
    <t>Hydrants</t>
  </si>
  <si>
    <t>64  84</t>
  </si>
  <si>
    <t>29  49</t>
  </si>
  <si>
    <t>Glass lined tanks</t>
  </si>
  <si>
    <t>79  216</t>
  </si>
  <si>
    <t>Raw water intake &amp; pump station</t>
  </si>
  <si>
    <t>353  02-007</t>
  </si>
  <si>
    <t>2 Chart Recorders</t>
  </si>
  <si>
    <t>394  04-009</t>
  </si>
  <si>
    <t>Mains, etc. depreciated over 33 yrs.</t>
  </si>
  <si>
    <t>Telemetry</t>
  </si>
  <si>
    <t>397  04-012</t>
  </si>
  <si>
    <t>Pressure Recorder</t>
  </si>
  <si>
    <t>447  05-020</t>
  </si>
  <si>
    <t>PRV</t>
  </si>
  <si>
    <t>448  05-021</t>
  </si>
  <si>
    <t>507  06-027</t>
  </si>
  <si>
    <t>Meters</t>
  </si>
  <si>
    <t>495  06-015</t>
  </si>
  <si>
    <t>532  07-010</t>
  </si>
  <si>
    <t>Repair Booster Pump</t>
  </si>
  <si>
    <t>Mains, etc. depreciated over 50 yrs.</t>
  </si>
  <si>
    <t>Tanks and Standpipes</t>
  </si>
  <si>
    <t>Transmission &amp; Distribution Mains</t>
  </si>
  <si>
    <t>Meters and Meter Installations</t>
  </si>
  <si>
    <t>345  85b</t>
  </si>
  <si>
    <t>Other Plant and Misc. Equipment</t>
  </si>
  <si>
    <t>306  410</t>
  </si>
  <si>
    <t>Booster Station</t>
  </si>
  <si>
    <t>155  311</t>
  </si>
  <si>
    <t>Water Lines</t>
  </si>
  <si>
    <t>156  312</t>
  </si>
  <si>
    <t>157   313</t>
  </si>
  <si>
    <t>158  314</t>
  </si>
  <si>
    <t>307  411</t>
  </si>
  <si>
    <t>308  412</t>
  </si>
  <si>
    <t>287  339</t>
  </si>
  <si>
    <t>Installation</t>
  </si>
  <si>
    <t>288  340</t>
  </si>
  <si>
    <t>159  315</t>
  </si>
  <si>
    <t>167  356</t>
  </si>
  <si>
    <t>168  357</t>
  </si>
  <si>
    <t>160  316</t>
  </si>
  <si>
    <t>293   345</t>
  </si>
  <si>
    <t>169  358</t>
  </si>
  <si>
    <t>294  346</t>
  </si>
  <si>
    <t>Bone Hollow</t>
  </si>
  <si>
    <t>Hydrant</t>
  </si>
  <si>
    <t>Hydrant-Bone Hollow</t>
  </si>
  <si>
    <t>Water Lines Sammons</t>
  </si>
  <si>
    <t>Meter Installation</t>
  </si>
  <si>
    <t>Hydrant-Warfield Curve</t>
  </si>
  <si>
    <t>170  359</t>
  </si>
  <si>
    <t>296  348</t>
  </si>
  <si>
    <t>297  349</t>
  </si>
  <si>
    <t>298 350</t>
  </si>
  <si>
    <t>162  318</t>
  </si>
  <si>
    <t>163  319</t>
  </si>
  <si>
    <t>Hydrant-Pigeon Roost</t>
  </si>
  <si>
    <t>Meter &amp; Installation</t>
  </si>
  <si>
    <t>Meter Installations</t>
  </si>
  <si>
    <t>LMIMeters</t>
  </si>
  <si>
    <t>Waterlines Extension</t>
  </si>
  <si>
    <t>Waterlines Addition</t>
  </si>
  <si>
    <t>164   413</t>
  </si>
  <si>
    <t>300  352</t>
  </si>
  <si>
    <t>305  426</t>
  </si>
  <si>
    <t>304  425</t>
  </si>
  <si>
    <t>Master Meters</t>
  </si>
  <si>
    <t>Meter Replacements</t>
  </si>
  <si>
    <t>628  12-007</t>
  </si>
  <si>
    <t>639  13-008</t>
  </si>
  <si>
    <t>650  650</t>
  </si>
  <si>
    <t>651  651</t>
  </si>
  <si>
    <t>652   652</t>
  </si>
  <si>
    <t>655  655</t>
  </si>
  <si>
    <t>667  667</t>
  </si>
  <si>
    <t>668  668</t>
  </si>
  <si>
    <t>Microcom - Telemetry</t>
  </si>
  <si>
    <t>Leak Detection Equip</t>
  </si>
  <si>
    <t>Fire Equipment</t>
  </si>
  <si>
    <t>Office Furniture &amp; Equipment</t>
  </si>
  <si>
    <t>619  11-012</t>
  </si>
  <si>
    <t>620  11-013</t>
  </si>
  <si>
    <t>629  12-008</t>
  </si>
  <si>
    <t>Toshiba  Notebook</t>
  </si>
  <si>
    <t>Toshiba Notebook</t>
  </si>
  <si>
    <t>Dell Poweredge Server</t>
  </si>
  <si>
    <t>630  12-009</t>
  </si>
  <si>
    <t>669  669</t>
  </si>
  <si>
    <t>Acroprint Time Clock</t>
  </si>
  <si>
    <t>Copier</t>
  </si>
  <si>
    <t>Transportation Equipment</t>
  </si>
  <si>
    <t>621  11-014</t>
  </si>
  <si>
    <t>631  12-010</t>
  </si>
  <si>
    <t>670  670</t>
  </si>
  <si>
    <t>Trailer 6X16</t>
  </si>
  <si>
    <t>Trailer Axles</t>
  </si>
  <si>
    <t>2004 Chevy Blazer</t>
  </si>
  <si>
    <t>671  671</t>
  </si>
  <si>
    <t>672  672</t>
  </si>
  <si>
    <t>1994 F-350 Dump Truck</t>
  </si>
  <si>
    <t>Ford F-150 Ext Cab - White</t>
  </si>
  <si>
    <t>643</t>
  </si>
  <si>
    <t>Aquaboost Pump</t>
  </si>
  <si>
    <t>Modulating Actuator</t>
  </si>
  <si>
    <t>2.5" Hole Hammer</t>
  </si>
  <si>
    <t>Air Compressor</t>
  </si>
  <si>
    <t>Cilcro-Com Equipment</t>
  </si>
  <si>
    <t>Pump Sta.</t>
  </si>
  <si>
    <t>Tank</t>
  </si>
  <si>
    <t>Davella</t>
  </si>
  <si>
    <t>Honey Br.</t>
  </si>
  <si>
    <t>h.</t>
  </si>
  <si>
    <t>15% remaining</t>
  </si>
  <si>
    <t>Deductions</t>
  </si>
  <si>
    <t>Total Deduction</t>
  </si>
  <si>
    <t xml:space="preserve">      Required adjustment for power = ($373,353-21,640) x 24% = $84,421</t>
  </si>
  <si>
    <t xml:space="preserve">      Required adjustment for chemicals = $115,033 x 24% = $27,611</t>
  </si>
  <si>
    <t>Other Revenues</t>
  </si>
  <si>
    <t>i.</t>
  </si>
  <si>
    <t>j.</t>
  </si>
  <si>
    <t xml:space="preserve">  Coverage on Long Term Debt</t>
  </si>
  <si>
    <t>Minimum Bills Based on Meter Size</t>
  </si>
  <si>
    <t>Gals. incl'd.</t>
  </si>
  <si>
    <t>Minimum</t>
  </si>
  <si>
    <t>in Minimum</t>
  </si>
  <si>
    <t>Monthly Bill</t>
  </si>
  <si>
    <t>4 inch</t>
  </si>
  <si>
    <t>Rates for Water Usage in Addition to Minimum</t>
  </si>
  <si>
    <t>All usage above minimum</t>
  </si>
  <si>
    <t xml:space="preserve"> rate increase</t>
  </si>
  <si>
    <t>Martin Co. (existing)</t>
  </si>
  <si>
    <t>Hyden-Leslie Co. WD</t>
  </si>
  <si>
    <t>Letcher County WD</t>
  </si>
  <si>
    <t>Mountain WD</t>
  </si>
  <si>
    <t>Southern W &amp; S District</t>
  </si>
  <si>
    <t>Knott Co. W &amp; S District</t>
  </si>
  <si>
    <t>Magoffin County WD</t>
  </si>
  <si>
    <t>Morgan County WD</t>
  </si>
  <si>
    <t>Breathitt County WD</t>
  </si>
  <si>
    <t>Prestonsburg - o.s. city</t>
  </si>
  <si>
    <t>Pikeville - o.s. city</t>
  </si>
  <si>
    <t>Sandy Hook WD</t>
  </si>
  <si>
    <t>Over 90 days</t>
  </si>
  <si>
    <t>Over 61 days</t>
  </si>
  <si>
    <t>Over 31 days</t>
  </si>
  <si>
    <t>Amounts</t>
  </si>
  <si>
    <t>Due</t>
  </si>
  <si>
    <t>Annual</t>
  </si>
  <si>
    <t>Loan Pmts.</t>
  </si>
  <si>
    <t>Customer</t>
  </si>
  <si>
    <t>Surcharge</t>
  </si>
  <si>
    <t>Monthly</t>
  </si>
  <si>
    <t>Accounts</t>
  </si>
  <si>
    <t>Payable *</t>
  </si>
  <si>
    <t>*  as of 9/30/17</t>
  </si>
  <si>
    <t>All payables</t>
  </si>
  <si>
    <t>Base w/</t>
  </si>
  <si>
    <t>2 Year Payoff - No Loan:</t>
  </si>
  <si>
    <t>3 Year Payoff - No Loan:</t>
  </si>
  <si>
    <t>Payments</t>
  </si>
  <si>
    <t>5 Year Loan - Immediate Payoff:</t>
  </si>
  <si>
    <t>Items Added in 2016 Not Previously Included</t>
  </si>
  <si>
    <t>Meters and Service Installations</t>
  </si>
  <si>
    <t>"OPERATIONAL DEFICIT RETIREMENT" ALTERNATIVES</t>
  </si>
  <si>
    <t>Comparison of Bills at Utilities in the Region:</t>
  </si>
  <si>
    <t>Water</t>
  </si>
  <si>
    <t>Bill*</t>
  </si>
  <si>
    <t>Year</t>
  </si>
  <si>
    <t>Rates</t>
  </si>
  <si>
    <t>Adopted</t>
  </si>
  <si>
    <t>k.</t>
  </si>
  <si>
    <t>* Water bill for 4,000 gallons</t>
  </si>
  <si>
    <t>l.</t>
  </si>
  <si>
    <t>CALCULATION OF SURCHARGE FOR</t>
  </si>
  <si>
    <t>Based on PSC approval of a 5 year loan at a 4.25% annual interest rate</t>
  </si>
  <si>
    <t>Total accounts payable as of 9/30/17</t>
  </si>
  <si>
    <t>Monthly payments on 5 year loan</t>
  </si>
  <si>
    <t>No. of existing customers</t>
  </si>
  <si>
    <t>Monthly Surcharge per Customer</t>
  </si>
  <si>
    <t>Base bill*</t>
  </si>
  <si>
    <t xml:space="preserve">  with 39% wl</t>
  </si>
  <si>
    <t xml:space="preserve">  with 15% wl</t>
  </si>
  <si>
    <t>33.83% w/o 2017 rev. decrease</t>
  </si>
  <si>
    <t>Scenario #1 - with 4.76% decrease in 2017 revenue</t>
  </si>
  <si>
    <t>Scenario #2 - disregard 4.76% decrease in 2017 revenue</t>
  </si>
  <si>
    <t>WATER BILL EXAMPLES</t>
  </si>
  <si>
    <t>Martin Co. (Scenario #1)</t>
  </si>
  <si>
    <t>4 INCH METERS</t>
  </si>
  <si>
    <t>Total 2016 Billings (BA)</t>
  </si>
  <si>
    <t>Adjustments to Water Sales:</t>
  </si>
  <si>
    <t>Beg of Yr Subtract</t>
  </si>
  <si>
    <t>JH FINAL</t>
  </si>
  <si>
    <t>End of Yr Addition</t>
  </si>
  <si>
    <t>Less Adjustments</t>
  </si>
  <si>
    <t>Mis-reads</t>
  </si>
  <si>
    <t>CY 2016 Sales Revenue</t>
  </si>
  <si>
    <t>CY 2016 Sales Rev. Reported</t>
  </si>
  <si>
    <t>SAO Adjustment:</t>
  </si>
  <si>
    <t xml:space="preserve">  Less Sales Adjustments</t>
  </si>
  <si>
    <t>Actual 12 month Revenue</t>
  </si>
  <si>
    <t>SAO Adjustment</t>
  </si>
  <si>
    <t xml:space="preserve">        Actual Test Period Sales Revenue</t>
  </si>
  <si>
    <t>= avg for 5/8" meter</t>
  </si>
  <si>
    <t xml:space="preserve">  Actual Test Period Sales Revenue</t>
  </si>
  <si>
    <t xml:space="preserve">  Less Reported Sales Revenue</t>
  </si>
  <si>
    <t xml:space="preserve"> Adjustment Required</t>
  </si>
  <si>
    <t>BILLING ANALYSIS WITH PROPOSED RATES</t>
  </si>
  <si>
    <t xml:space="preserve">    Total Proforma Metered Water Sales</t>
  </si>
  <si>
    <t xml:space="preserve">     Less Billling Adjustments</t>
  </si>
  <si>
    <t xml:space="preserve">  Less Decline in Water Sold</t>
  </si>
  <si>
    <t xml:space="preserve">            Revenue with 2016 Gallons Sold</t>
  </si>
  <si>
    <t>Gals. Incl'd.</t>
  </si>
  <si>
    <t>Gallons per Month:</t>
  </si>
  <si>
    <t>Reconciliation</t>
  </si>
  <si>
    <t xml:space="preserve"> adjustment for decline in gallons sold</t>
  </si>
  <si>
    <t xml:space="preserve"> Surcharge for Operational Deficit Retirement </t>
  </si>
  <si>
    <t>Monthly Lump Sum Surcharge per Customer</t>
  </si>
  <si>
    <t xml:space="preserve">  OPERATIONAL DEFICIT RETIREMENT  </t>
  </si>
  <si>
    <t>15% water loss results in this unrecovered exp.</t>
  </si>
  <si>
    <t>Retail Gallons sold in 2016 (x 1000)</t>
  </si>
  <si>
    <t>Monthly Surcharge per Thousand Gallons</t>
  </si>
  <si>
    <t>Debt Service for Operational Deficit Retirement</t>
  </si>
  <si>
    <t>Part of Alternative 2B</t>
  </si>
  <si>
    <t>Part of Alternative 2A</t>
  </si>
  <si>
    <t>SCHEDULE OF ADJUSTED OPERATIONS - ALTERNATIVE 2</t>
  </si>
  <si>
    <t>Proposed Rates - Alternative 2A</t>
  </si>
  <si>
    <t>Average</t>
  </si>
  <si>
    <t>Existing</t>
  </si>
  <si>
    <t>Prop. w/ Surcharge</t>
  </si>
  <si>
    <t>$$$</t>
  </si>
  <si>
    <t>Bill Comparison:</t>
  </si>
  <si>
    <t>Proposed Rates - Alternative 2B</t>
  </si>
  <si>
    <t>Surcharge per 1,000 gallons of usage</t>
  </si>
  <si>
    <t>Proposed Rates - Alternative 1</t>
  </si>
  <si>
    <t>total net</t>
  </si>
  <si>
    <t>SCHEDULE OF ADJUSTED OPERATIONS</t>
  </si>
  <si>
    <t>m.</t>
  </si>
  <si>
    <t>The Existing Billing Analysis indicates the total amount of retail water sales billed during the test period after billing adjustments</t>
  </si>
  <si>
    <t>is $1,912,941.  The difference between this amount and the sales revenue reported is the sum of the accountant's adjustments</t>
  </si>
  <si>
    <t>($34,146) required to show revenue accrued between January 1 and December 31, 2016.</t>
  </si>
  <si>
    <t>The District has experienced a 4.76% reduction in sales revenue over the first 9 months of 2017.  This is primarily due to the decline</t>
  </si>
  <si>
    <t>in coal mining, related suppliers and other businesses.  Because it is not expected that this revenue will return, an adjustment of</t>
  </si>
  <si>
    <t>4.76% is applied to total adjusted 2016 retail sales.</t>
  </si>
  <si>
    <t>The 2016 Sales for Resale amount was for water purchased by Prestonsburg in the Davella/Industrial Park area. Under a new</t>
  </si>
  <si>
    <t>agreement Prestonsburg will no longer be purchasing water on a routine basis, so this revenue will be eliminated.</t>
  </si>
  <si>
    <t>A large portion of the amount reported for Other Water Revenues is actually late fees and will therefore be included here as</t>
  </si>
  <si>
    <t>Forfeited Discounts.</t>
  </si>
  <si>
    <t>The new agreement with Prestonsburg includes lease payments for the District's Honey Branch Tank in the amount of $15,000 per</t>
  </si>
  <si>
    <t>month.  The annual total is included as Other Revenues.</t>
  </si>
  <si>
    <t>During the test year District employees installed 24 new meter connections and these costs were charged to operating expenses.</t>
  </si>
  <si>
    <t>Based on the District's tariff filing the estimated cost of these additions is $24,000 with $6,360 in Labor Expense and $17,640 in</t>
  </si>
  <si>
    <t>Materials cost.  These amounts are deducted from corresponding expense categories and the total is added in the Depreciation</t>
  </si>
  <si>
    <t>Expense Adjustment schedule.</t>
  </si>
  <si>
    <t>In 2016 the District purchased water from Prestonsburg to supplement its supply to the Davella/Industrial Park area.  Under the</t>
  </si>
  <si>
    <t>new agreement it will not normally be necessary to purchase water from another utility.</t>
  </si>
  <si>
    <t>Under the new agreement Prestonsburg will provide the District up to 625,000 gallons of water per month at no charge.  This volume</t>
  </si>
  <si>
    <t>will be sufficient to supply all of the District's customers in the Davella/Industrial Park area under normal circumstances.  Therefore,</t>
  </si>
  <si>
    <t>The District's test year water loss was 63.02%.  The PSC's maximum allowable loss for rate-making purposes is normally 15%,</t>
  </si>
  <si>
    <t>however the regulations provide that upon application by a utility in a rate case, an alternative level of reasonable water loss may</t>
  </si>
  <si>
    <t>be established by the PSC.  As documented in the Supplemental Information, the District proposes a reasonable water loss percentage</t>
  </si>
  <si>
    <t>of 39% for this rate.  The costs for power and chemicals related to water treatment and transport above this limit must be deducted.</t>
  </si>
  <si>
    <t>The adjustment for power is calculated after the reduction in total power cost is taken for the change in operations (Item h. above).</t>
  </si>
  <si>
    <t>It is the PSC's practice to require an adjustment to a utility's depreciation expense when asset lives fall outside the ranges</t>
  </si>
  <si>
    <t>recommended by NARUC in its publication titled "Depreciation Practices for Small Water Utilities".  Therefore, adjustments are</t>
  </si>
  <si>
    <t>included to bring asset lives near the midpoint of NARUC recommended ranges.  In a few cases adjustments may deviate from this</t>
  </si>
  <si>
    <t>to recognize the specific work performed instead of a broad category.  All asset life adjustments are based on actual experience with</t>
  </si>
  <si>
    <t>the assets.  See Table A.</t>
  </si>
  <si>
    <t>The annual debt service payments for the District's loans are shown in Table B.  The five year average of these payments is included</t>
  </si>
  <si>
    <t>in the required revenue calculation.  Table B also includes coverage on debt service which is required by loan agreements.</t>
  </si>
  <si>
    <t>During the test year the District realized a Gain on Disposition of Utility Property.  Because such a gain will not occur routinely in</t>
  </si>
  <si>
    <t>the future, it is deducted.</t>
  </si>
  <si>
    <t>For several years the District has been operating at a deficit and has accumulated a large amount of past due accounts payable.</t>
  </si>
  <si>
    <t>The District is now pursuing a short term loan which will be used to retire these past due accounts.  The loan amount is anticipated</t>
  </si>
  <si>
    <t>to be about $734,000, amortized over 5 years at 4.5 percent interest.  The debt service for this loan is included here.</t>
  </si>
  <si>
    <t>the District's Davella Pumping Station will be operated only when needed to supplement Prestonsburg's supply to the area and to</t>
  </si>
  <si>
    <t>exercise the pumps.  It is estimated that the power cost at the pump station will be reduced by 85%.  The District will also no longer</t>
  </si>
  <si>
    <t>pay for power at the Honey Branch Tank.  These two changes will reduce power cost by $21,640.</t>
  </si>
  <si>
    <t>Revised for No Prestonsburg Agreement</t>
  </si>
  <si>
    <t>Payable to Prestonsburg</t>
  </si>
  <si>
    <t>Total accounts payable</t>
  </si>
  <si>
    <t>REVISED TO ELIMINATE PRESTONSBURG AGREEMENT</t>
  </si>
  <si>
    <t>Proposed Rates - No Prestonsburg Agreement</t>
  </si>
  <si>
    <t>Leak Adjustment #1</t>
  </si>
  <si>
    <t>Leak Adjustment #2</t>
  </si>
  <si>
    <t>Leak Adjustment #3</t>
  </si>
  <si>
    <t>Staff</t>
  </si>
  <si>
    <t>Adjustmts.</t>
  </si>
  <si>
    <t>Differences</t>
  </si>
  <si>
    <t>A</t>
  </si>
  <si>
    <t>B</t>
  </si>
  <si>
    <t>C</t>
  </si>
  <si>
    <t>D</t>
  </si>
  <si>
    <t>E</t>
  </si>
  <si>
    <t>F</t>
  </si>
  <si>
    <t>G</t>
  </si>
  <si>
    <t>Purchased Power for Pumping</t>
  </si>
  <si>
    <t>H</t>
  </si>
  <si>
    <t>I</t>
  </si>
  <si>
    <t>Adjustment</t>
  </si>
  <si>
    <t>J</t>
  </si>
  <si>
    <t>Pro Forma Present Service Rate Revenues</t>
  </si>
  <si>
    <t>----------  Staff Report  ----------</t>
  </si>
  <si>
    <t>Pro Forma</t>
  </si>
  <si>
    <t xml:space="preserve">  test yr. water loss</t>
  </si>
  <si>
    <t>Required Increase in Revenue from Retail Rates</t>
  </si>
  <si>
    <t>Overall Retail Revenue Requirement</t>
  </si>
  <si>
    <t>Expenses Related to Wholesale Sales</t>
  </si>
  <si>
    <t xml:space="preserve">REVISIONS TO STAFF REPORT PRO FORMA OPERATING STATEMENT AND </t>
  </si>
  <si>
    <t>REVENUE REQUIREMENT CALCULATIONS TO INCLUDE THE RESPONSE FROM</t>
  </si>
  <si>
    <t>------ to Staff Report ------</t>
  </si>
  <si>
    <t>Gallons</t>
  </si>
  <si>
    <t>5/8 x 3/4 Inch Meter</t>
  </si>
  <si>
    <t>First</t>
  </si>
  <si>
    <t>Over</t>
  </si>
  <si>
    <t>1 Inch Mteter</t>
  </si>
  <si>
    <t>1-1/2 Inch Meter</t>
  </si>
  <si>
    <t>2 Inch Meter</t>
  </si>
  <si>
    <t>3 Inch Meter</t>
  </si>
  <si>
    <t>4 Inch Meter</t>
  </si>
  <si>
    <t xml:space="preserve">  Minimum Bill</t>
  </si>
  <si>
    <t xml:space="preserve">  per 1,000 Gallons</t>
  </si>
  <si>
    <t>Adjustment to Deduct Revenue from Wholesale Sales</t>
  </si>
  <si>
    <t>REVISED PROPOSED MONTHLY WATER RATES</t>
  </si>
  <si>
    <t>Debt Service Surcharge</t>
  </si>
  <si>
    <t xml:space="preserve">   per Month</t>
  </si>
  <si>
    <t>EXHIBIT C</t>
  </si>
  <si>
    <t>Martin Water Loss</t>
  </si>
  <si>
    <t xml:space="preserve">  actual water, pwr. &amp; chem exp.</t>
  </si>
  <si>
    <t xml:space="preserve">  Dist. asking for above</t>
  </si>
  <si>
    <t xml:space="preserve">  Total Exp. not recovered</t>
  </si>
  <si>
    <t>Staff amt. allowed</t>
  </si>
  <si>
    <t>A.  MONTHLY RATES:</t>
  </si>
  <si>
    <t>1 Inch Meter</t>
  </si>
  <si>
    <t xml:space="preserve"> Minimum Bill</t>
  </si>
  <si>
    <t xml:space="preserve"> per 1,000 Gallons</t>
  </si>
  <si>
    <t xml:space="preserve"> per Month</t>
  </si>
  <si>
    <t>checks with final order</t>
  </si>
  <si>
    <t>Changes to Staff Report</t>
  </si>
  <si>
    <t>------ In Final Order ------</t>
  </si>
  <si>
    <t>Martin Dist. Exceptions</t>
  </si>
  <si>
    <t>MARTIN COUNTY WATER DISTRICT AND FINAL ORDER ADJUSTMENTS</t>
  </si>
  <si>
    <t>EXHIBIT B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</si>
</sst>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$-409]#,##0.00"/>
    <numFmt numFmtId="167" formatCode="0.000%"/>
    <numFmt numFmtId="168" formatCode="#,##0.0000"/>
    <numFmt numFmtId="169" formatCode="_(* #,##0.0000_);_(* \(#,##0.0000\);_(* &quot;-&quot;??_);_(@_)"/>
    <numFmt numFmtId="170" formatCode="mm/dd/yy;@"/>
    <numFmt numFmtId="171" formatCode="_(* #,##0.000_);_(* \(#,##0.000\);_(* &quot;-&quot;??_);_(@_)"/>
    <numFmt numFmtId="172" formatCode="0.0%"/>
    <numFmt numFmtId="173" formatCode="&quot;$&quot;#,##0.00"/>
  </numFmts>
  <fonts count="44" x14ac:knownFonts="1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0"/>
      <color rgb="FF000000"/>
      <name val="Arial"/>
      <family val="2"/>
    </font>
    <font>
      <b/>
      <u/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doubleAccounting"/>
      <sz val="10"/>
      <color rgb="FF000000"/>
      <name val="Arial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rgb="FFFF0000"/>
      <name val="Cambria"/>
      <family val="1"/>
      <scheme val="major"/>
    </font>
    <font>
      <u val="singleAccounting"/>
      <sz val="12"/>
      <name val="Arial"/>
      <family val="2"/>
    </font>
    <font>
      <sz val="11"/>
      <color rgb="FFFF0000"/>
      <name val="Arial"/>
      <family val="2"/>
    </font>
    <font>
      <b/>
      <i/>
      <sz val="12"/>
      <color rgb="FFFF0000"/>
      <name val="Arial"/>
      <family val="2"/>
    </font>
    <font>
      <sz val="11"/>
      <color rgb="FFFFC000"/>
      <name val="Arial"/>
      <family val="2"/>
    </font>
    <font>
      <u val="singleAccounting"/>
      <sz val="11"/>
      <name val="Arial"/>
      <family val="2"/>
    </font>
    <font>
      <u val="singleAccounting"/>
      <sz val="10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82">
    <xf numFmtId="0" fontId="0" fillId="0" borderId="0" xfId="0"/>
    <xf numFmtId="3" fontId="1" fillId="0" borderId="0" xfId="0" applyNumberFormat="1" applyFont="1" applyAlignment="1"/>
    <xf numFmtId="0" fontId="1" fillId="0" borderId="0" xfId="0" applyNumberFormat="1" applyFont="1" applyAlignment="1"/>
    <xf numFmtId="3" fontId="7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Alignme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44" fontId="14" fillId="0" borderId="0" xfId="2" applyFont="1" applyFill="1"/>
    <xf numFmtId="165" fontId="14" fillId="0" borderId="0" xfId="1" applyNumberFormat="1" applyFont="1"/>
    <xf numFmtId="165" fontId="14" fillId="0" borderId="0" xfId="1" applyNumberFormat="1" applyFont="1" applyFill="1"/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Continuous" vertical="center"/>
    </xf>
    <xf numFmtId="0" fontId="0" fillId="0" borderId="0" xfId="0" applyBorder="1"/>
    <xf numFmtId="3" fontId="5" fillId="0" borderId="0" xfId="0" applyNumberFormat="1" applyFont="1" applyAlignment="1">
      <alignment horizontal="centerContinuous" vertical="center"/>
    </xf>
    <xf numFmtId="164" fontId="13" fillId="0" borderId="0" xfId="2" applyNumberFormat="1" applyFont="1" applyBorder="1"/>
    <xf numFmtId="0" fontId="16" fillId="0" borderId="0" xfId="0" applyFont="1" applyAlignment="1">
      <alignment horizontal="centerContinuous"/>
    </xf>
    <xf numFmtId="0" fontId="6" fillId="0" borderId="0" xfId="0" applyFont="1"/>
    <xf numFmtId="0" fontId="17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12" fillId="0" borderId="0" xfId="0" applyFont="1"/>
    <xf numFmtId="0" fontId="17" fillId="0" borderId="0" xfId="0" applyFont="1"/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/>
    </xf>
    <xf numFmtId="3" fontId="17" fillId="0" borderId="0" xfId="0" applyNumberFormat="1" applyFont="1" applyAlignment="1" applyProtection="1">
      <alignment horizontal="right"/>
    </xf>
    <xf numFmtId="165" fontId="17" fillId="0" borderId="0" xfId="1" applyNumberFormat="1" applyFont="1"/>
    <xf numFmtId="3" fontId="17" fillId="0" borderId="0" xfId="0" applyNumberFormat="1" applyFont="1" applyProtection="1"/>
    <xf numFmtId="3" fontId="17" fillId="0" borderId="11" xfId="0" applyNumberFormat="1" applyFont="1" applyBorder="1" applyAlignment="1" applyProtection="1">
      <alignment horizontal="right"/>
    </xf>
    <xf numFmtId="165" fontId="17" fillId="0" borderId="11" xfId="1" applyNumberFormat="1" applyFont="1" applyBorder="1"/>
    <xf numFmtId="165" fontId="17" fillId="0" borderId="0" xfId="2" applyNumberFormat="1" applyFont="1" applyBorder="1"/>
    <xf numFmtId="37" fontId="17" fillId="0" borderId="0" xfId="0" applyNumberFormat="1" applyFont="1"/>
    <xf numFmtId="44" fontId="17" fillId="0" borderId="0" xfId="2" applyFont="1"/>
    <xf numFmtId="0" fontId="17" fillId="0" borderId="0" xfId="0" applyFont="1" applyBorder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37" fontId="17" fillId="0" borderId="11" xfId="0" applyNumberFormat="1" applyFont="1" applyBorder="1" applyAlignment="1" applyProtection="1">
      <alignment horizontal="center"/>
    </xf>
    <xf numFmtId="165" fontId="17" fillId="0" borderId="0" xfId="1" applyNumberFormat="1" applyFont="1" applyFill="1"/>
    <xf numFmtId="37" fontId="17" fillId="0" borderId="11" xfId="0" applyNumberFormat="1" applyFont="1" applyBorder="1"/>
    <xf numFmtId="165" fontId="17" fillId="0" borderId="11" xfId="1" applyNumberFormat="1" applyFont="1" applyFill="1" applyBorder="1"/>
    <xf numFmtId="165" fontId="17" fillId="0" borderId="0" xfId="1" applyNumberFormat="1" applyFont="1" applyBorder="1"/>
    <xf numFmtId="37" fontId="17" fillId="0" borderId="11" xfId="0" applyNumberFormat="1" applyFont="1" applyBorder="1" applyAlignment="1">
      <alignment horizontal="center"/>
    </xf>
    <xf numFmtId="0" fontId="17" fillId="0" borderId="11" xfId="0" applyFont="1" applyBorder="1"/>
    <xf numFmtId="43" fontId="17" fillId="0" borderId="11" xfId="1" applyFont="1" applyBorder="1"/>
    <xf numFmtId="3" fontId="17" fillId="0" borderId="0" xfId="0" applyNumberFormat="1" applyFont="1"/>
    <xf numFmtId="0" fontId="17" fillId="0" borderId="0" xfId="0" applyFont="1" applyAlignment="1">
      <alignment horizontal="center"/>
    </xf>
    <xf numFmtId="165" fontId="17" fillId="0" borderId="0" xfId="0" applyNumberFormat="1" applyFont="1"/>
    <xf numFmtId="3" fontId="1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6" fillId="0" borderId="2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Continuous"/>
    </xf>
    <xf numFmtId="3" fontId="20" fillId="0" borderId="0" xfId="0" applyNumberFormat="1" applyFont="1" applyAlignment="1">
      <alignment horizontal="centerContinuous"/>
    </xf>
    <xf numFmtId="3" fontId="17" fillId="0" borderId="0" xfId="0" applyNumberFormat="1" applyFont="1" applyAlignment="1">
      <alignment horizontal="centerContinuous"/>
    </xf>
    <xf numFmtId="3" fontId="17" fillId="0" borderId="0" xfId="0" quotePrefix="1" applyNumberFormat="1" applyFont="1" applyAlignment="1">
      <alignment horizontal="left"/>
    </xf>
    <xf numFmtId="3" fontId="17" fillId="0" borderId="0" xfId="0" applyNumberFormat="1" applyFont="1" applyAlignment="1"/>
    <xf numFmtId="44" fontId="17" fillId="0" borderId="0" xfId="2" applyFont="1" applyAlignment="1">
      <alignment horizontal="right"/>
    </xf>
    <xf numFmtId="43" fontId="17" fillId="0" borderId="0" xfId="1" applyFont="1" applyAlignment="1">
      <alignment horizontal="right"/>
    </xf>
    <xf numFmtId="164" fontId="17" fillId="0" borderId="0" xfId="2" applyNumberFormat="1" applyFont="1"/>
    <xf numFmtId="164" fontId="17" fillId="0" borderId="0" xfId="2" applyNumberFormat="1" applyFont="1" applyBorder="1"/>
    <xf numFmtId="44" fontId="14" fillId="0" borderId="0" xfId="2" applyFont="1" applyBorder="1"/>
    <xf numFmtId="165" fontId="14" fillId="0" borderId="0" xfId="1" applyNumberFormat="1" applyFont="1" applyBorder="1"/>
    <xf numFmtId="44" fontId="1" fillId="0" borderId="0" xfId="2" applyFont="1" applyBorder="1" applyAlignment="1">
      <alignment horizontal="centerContinuous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0" fontId="5" fillId="0" borderId="13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4" fillId="0" borderId="13" xfId="0" quotePrefix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5" fontId="14" fillId="0" borderId="13" xfId="1" applyNumberFormat="1" applyFont="1" applyBorder="1"/>
    <xf numFmtId="44" fontId="14" fillId="0" borderId="13" xfId="2" applyFont="1" applyBorder="1"/>
    <xf numFmtId="0" fontId="13" fillId="0" borderId="13" xfId="0" quotePrefix="1" applyFont="1" applyBorder="1" applyAlignment="1">
      <alignment horizontal="left"/>
    </xf>
    <xf numFmtId="164" fontId="13" fillId="0" borderId="18" xfId="2" applyNumberFormat="1" applyFont="1" applyBorder="1"/>
    <xf numFmtId="164" fontId="13" fillId="0" borderId="11" xfId="2" applyNumberFormat="1" applyFont="1" applyBorder="1"/>
    <xf numFmtId="0" fontId="1" fillId="0" borderId="20" xfId="0" applyFont="1" applyBorder="1" applyAlignment="1">
      <alignment horizontal="left"/>
    </xf>
    <xf numFmtId="0" fontId="13" fillId="0" borderId="21" xfId="0" applyFont="1" applyBorder="1" applyAlignment="1">
      <alignment horizontal="right"/>
    </xf>
    <xf numFmtId="0" fontId="12" fillId="0" borderId="14" xfId="2" applyNumberFormat="1" applyFont="1" applyBorder="1" applyAlignment="1">
      <alignment horizontal="center"/>
    </xf>
    <xf numFmtId="0" fontId="12" fillId="0" borderId="15" xfId="2" applyNumberFormat="1" applyFont="1" applyBorder="1" applyAlignment="1">
      <alignment horizontal="center"/>
    </xf>
    <xf numFmtId="164" fontId="13" fillId="0" borderId="13" xfId="2" applyNumberFormat="1" applyFont="1" applyBorder="1"/>
    <xf numFmtId="164" fontId="0" fillId="0" borderId="19" xfId="0" applyNumberFormat="1" applyBorder="1"/>
    <xf numFmtId="44" fontId="22" fillId="0" borderId="13" xfId="2" applyFont="1" applyBorder="1" applyAlignment="1">
      <alignment horizontal="center" vertical="center"/>
    </xf>
    <xf numFmtId="44" fontId="22" fillId="0" borderId="0" xfId="2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65" fontId="8" fillId="0" borderId="0" xfId="1" applyNumberFormat="1" applyFont="1" applyAlignment="1">
      <alignment vertical="center"/>
    </xf>
    <xf numFmtId="165" fontId="8" fillId="0" borderId="0" xfId="1" applyNumberFormat="1" applyFont="1" applyAlignment="1"/>
    <xf numFmtId="10" fontId="8" fillId="0" borderId="0" xfId="0" applyNumberFormat="1" applyFont="1" applyAlignment="1">
      <alignment vertical="center"/>
    </xf>
    <xf numFmtId="0" fontId="17" fillId="0" borderId="0" xfId="0" quotePrefix="1" applyFont="1"/>
    <xf numFmtId="164" fontId="17" fillId="0" borderId="0" xfId="0" applyNumberFormat="1" applyFont="1"/>
    <xf numFmtId="0" fontId="0" fillId="0" borderId="0" xfId="0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Continuous" vertical="top"/>
    </xf>
    <xf numFmtId="0" fontId="24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43" fontId="25" fillId="0" borderId="0" xfId="1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3" fontId="8" fillId="0" borderId="0" xfId="0" applyNumberFormat="1" applyFont="1" applyAlignment="1">
      <alignment horizontal="center"/>
    </xf>
    <xf numFmtId="167" fontId="17" fillId="0" borderId="0" xfId="3" applyNumberFormat="1" applyFont="1"/>
    <xf numFmtId="3" fontId="9" fillId="0" borderId="0" xfId="0" applyNumberFormat="1" applyFont="1" applyAlignment="1"/>
    <xf numFmtId="10" fontId="8" fillId="0" borderId="0" xfId="3" applyNumberFormat="1" applyFont="1" applyAlignment="1"/>
    <xf numFmtId="3" fontId="8" fillId="0" borderId="0" xfId="0" applyNumberFormat="1" applyFont="1" applyAlignment="1">
      <alignment horizontal="right"/>
    </xf>
    <xf numFmtId="168" fontId="1" fillId="0" borderId="0" xfId="0" applyNumberFormat="1" applyFont="1" applyAlignment="1"/>
    <xf numFmtId="3" fontId="19" fillId="0" borderId="0" xfId="0" applyNumberFormat="1" applyFont="1" applyAlignment="1"/>
    <xf numFmtId="0" fontId="17" fillId="0" borderId="0" xfId="0" applyNumberFormat="1" applyFont="1" applyAlignment="1"/>
    <xf numFmtId="0" fontId="3" fillId="0" borderId="0" xfId="0" applyFont="1" applyAlignment="1">
      <alignment horizontal="centerContinuous"/>
    </xf>
    <xf numFmtId="164" fontId="0" fillId="0" borderId="0" xfId="0" applyNumberFormat="1"/>
    <xf numFmtId="44" fontId="28" fillId="0" borderId="0" xfId="2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44" fontId="28" fillId="0" borderId="14" xfId="2" applyFont="1" applyBorder="1"/>
    <xf numFmtId="44" fontId="28" fillId="0" borderId="15" xfId="2" applyFont="1" applyBorder="1"/>
    <xf numFmtId="44" fontId="1" fillId="0" borderId="16" xfId="2" applyFont="1" applyBorder="1"/>
    <xf numFmtId="44" fontId="22" fillId="0" borderId="17" xfId="2" applyFont="1" applyBorder="1" applyAlignment="1">
      <alignment horizontal="center" vertical="center"/>
    </xf>
    <xf numFmtId="165" fontId="14" fillId="0" borderId="17" xfId="1" applyNumberFormat="1" applyFont="1" applyBorder="1"/>
    <xf numFmtId="44" fontId="14" fillId="0" borderId="17" xfId="2" applyFont="1" applyBorder="1"/>
    <xf numFmtId="0" fontId="0" fillId="0" borderId="13" xfId="0" applyBorder="1"/>
    <xf numFmtId="164" fontId="13" fillId="0" borderId="19" xfId="2" applyNumberFormat="1" applyFont="1" applyBorder="1"/>
    <xf numFmtId="0" fontId="13" fillId="0" borderId="13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1" xfId="0" applyFont="1" applyBorder="1"/>
    <xf numFmtId="44" fontId="14" fillId="0" borderId="11" xfId="2" applyFont="1" applyBorder="1"/>
    <xf numFmtId="44" fontId="14" fillId="0" borderId="11" xfId="2" applyFont="1" applyFill="1" applyBorder="1"/>
    <xf numFmtId="0" fontId="0" fillId="0" borderId="19" xfId="0" applyBorder="1"/>
    <xf numFmtId="0" fontId="14" fillId="0" borderId="0" xfId="0" applyFont="1" applyBorder="1" applyAlignment="1">
      <alignment horizontal="center"/>
    </xf>
    <xf numFmtId="165" fontId="14" fillId="0" borderId="0" xfId="1" applyNumberFormat="1" applyFont="1" applyFill="1" applyBorder="1"/>
    <xf numFmtId="44" fontId="14" fillId="0" borderId="0" xfId="2" applyFont="1"/>
    <xf numFmtId="3" fontId="8" fillId="0" borderId="11" xfId="0" applyNumberFormat="1" applyFont="1" applyBorder="1" applyAlignment="1"/>
    <xf numFmtId="0" fontId="8" fillId="0" borderId="0" xfId="0" applyFont="1"/>
    <xf numFmtId="165" fontId="8" fillId="0" borderId="0" xfId="1" applyNumberFormat="1" applyFont="1"/>
    <xf numFmtId="165" fontId="8" fillId="0" borderId="11" xfId="1" applyNumberFormat="1" applyFont="1" applyBorder="1"/>
    <xf numFmtId="0" fontId="29" fillId="0" borderId="0" xfId="0" applyFont="1" applyAlignment="1">
      <alignment horizontal="right"/>
    </xf>
    <xf numFmtId="0" fontId="29" fillId="0" borderId="0" xfId="0" applyFont="1"/>
    <xf numFmtId="43" fontId="17" fillId="0" borderId="0" xfId="1" applyFont="1"/>
    <xf numFmtId="0" fontId="9" fillId="0" borderId="0" xfId="0" applyFont="1" applyAlignment="1">
      <alignment horizontal="center"/>
    </xf>
    <xf numFmtId="43" fontId="8" fillId="0" borderId="0" xfId="1" applyFont="1"/>
    <xf numFmtId="43" fontId="8" fillId="0" borderId="0" xfId="0" applyNumberFormat="1" applyFont="1"/>
    <xf numFmtId="44" fontId="8" fillId="0" borderId="0" xfId="2" applyFont="1"/>
    <xf numFmtId="165" fontId="8" fillId="0" borderId="0" xfId="0" applyNumberFormat="1" applyFont="1"/>
    <xf numFmtId="43" fontId="8" fillId="0" borderId="0" xfId="1" applyFont="1" applyAlignment="1">
      <alignment horizontal="right"/>
    </xf>
    <xf numFmtId="0" fontId="30" fillId="0" borderId="0" xfId="0" applyFont="1"/>
    <xf numFmtId="44" fontId="8" fillId="3" borderId="0" xfId="2" applyFont="1" applyFill="1"/>
    <xf numFmtId="164" fontId="8" fillId="2" borderId="0" xfId="2" applyNumberFormat="1" applyFont="1" applyFill="1"/>
    <xf numFmtId="169" fontId="17" fillId="0" borderId="0" xfId="1" applyNumberFormat="1" applyFont="1"/>
    <xf numFmtId="169" fontId="17" fillId="0" borderId="0" xfId="1" applyNumberFormat="1" applyFont="1" applyAlignment="1">
      <alignment horizontal="center"/>
    </xf>
    <xf numFmtId="14" fontId="25" fillId="0" borderId="0" xfId="0" applyNumberFormat="1" applyFont="1" applyFill="1" applyBorder="1" applyAlignment="1">
      <alignment horizontal="left" vertical="top"/>
    </xf>
    <xf numFmtId="14" fontId="17" fillId="0" borderId="0" xfId="0" applyNumberFormat="1" applyFont="1" applyAlignment="1"/>
    <xf numFmtId="43" fontId="27" fillId="0" borderId="0" xfId="1" applyFont="1" applyFill="1" applyBorder="1" applyAlignment="1">
      <alignment horizontal="left" vertical="top"/>
    </xf>
    <xf numFmtId="43" fontId="17" fillId="0" borderId="0" xfId="1" applyFont="1" applyAlignment="1"/>
    <xf numFmtId="170" fontId="17" fillId="0" borderId="0" xfId="1" applyNumberFormat="1" applyFont="1" applyAlignment="1">
      <alignment horizontal="center"/>
    </xf>
    <xf numFmtId="0" fontId="17" fillId="0" borderId="0" xfId="0" applyFont="1" applyFill="1" applyBorder="1" applyAlignment="1">
      <alignment horizontal="left" vertical="top"/>
    </xf>
    <xf numFmtId="43" fontId="17" fillId="0" borderId="0" xfId="1" applyFont="1" applyFill="1" applyBorder="1" applyAlignment="1">
      <alignment horizontal="left" vertical="top"/>
    </xf>
    <xf numFmtId="169" fontId="17" fillId="0" borderId="0" xfId="1" quotePrefix="1" applyNumberFormat="1" applyFont="1" applyAlignment="1">
      <alignment horizontal="center"/>
    </xf>
    <xf numFmtId="165" fontId="17" fillId="0" borderId="0" xfId="1" quotePrefix="1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" fillId="0" borderId="0" xfId="0" applyNumberFormat="1" applyFont="1" applyBorder="1" applyAlignment="1"/>
    <xf numFmtId="44" fontId="8" fillId="0" borderId="0" xfId="0" applyNumberFormat="1" applyFont="1"/>
    <xf numFmtId="43" fontId="0" fillId="0" borderId="0" xfId="1" applyFont="1"/>
    <xf numFmtId="43" fontId="0" fillId="0" borderId="0" xfId="0" applyNumberFormat="1"/>
    <xf numFmtId="0" fontId="18" fillId="0" borderId="0" xfId="0" applyFont="1" applyAlignment="1">
      <alignment horizontal="center"/>
    </xf>
    <xf numFmtId="0" fontId="1" fillId="0" borderId="0" xfId="0" applyFont="1"/>
    <xf numFmtId="165" fontId="8" fillId="0" borderId="0" xfId="1" applyNumberFormat="1" applyFont="1" applyAlignment="1">
      <alignment horizontal="center" vertical="center"/>
    </xf>
    <xf numFmtId="0" fontId="1" fillId="0" borderId="0" xfId="0" quotePrefix="1" applyFont="1"/>
    <xf numFmtId="3" fontId="1" fillId="0" borderId="0" xfId="0" applyNumberFormat="1" applyFont="1" applyAlignment="1">
      <alignment horizontal="center"/>
    </xf>
    <xf numFmtId="164" fontId="8" fillId="0" borderId="0" xfId="2" applyNumberFormat="1" applyFont="1" applyAlignment="1">
      <alignment vertic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0" fontId="18" fillId="0" borderId="0" xfId="0" applyFont="1"/>
    <xf numFmtId="43" fontId="8" fillId="0" borderId="0" xfId="1" applyNumberFormat="1" applyFont="1"/>
    <xf numFmtId="10" fontId="8" fillId="0" borderId="0" xfId="3" applyNumberFormat="1" applyFont="1"/>
    <xf numFmtId="0" fontId="6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72" fontId="8" fillId="0" borderId="0" xfId="3" applyNumberFormat="1" applyFont="1"/>
    <xf numFmtId="0" fontId="10" fillId="0" borderId="0" xfId="0" applyFont="1"/>
    <xf numFmtId="10" fontId="8" fillId="0" borderId="0" xfId="3" applyNumberFormat="1" applyFont="1" applyAlignment="1">
      <alignment vertical="center"/>
    </xf>
    <xf numFmtId="165" fontId="1" fillId="0" borderId="0" xfId="1" applyNumberFormat="1" applyFont="1" applyAlignment="1">
      <alignment vertical="center"/>
    </xf>
    <xf numFmtId="44" fontId="0" fillId="0" borderId="0" xfId="2" applyFont="1"/>
    <xf numFmtId="164" fontId="0" fillId="0" borderId="0" xfId="2" applyNumberFormat="1" applyFont="1"/>
    <xf numFmtId="165" fontId="0" fillId="0" borderId="0" xfId="0" applyNumberFormat="1"/>
    <xf numFmtId="0" fontId="6" fillId="0" borderId="0" xfId="0" applyFont="1" applyAlignment="1">
      <alignment horizontal="centerContinuous"/>
    </xf>
    <xf numFmtId="10" fontId="1" fillId="0" borderId="0" xfId="3" applyNumberFormat="1" applyFont="1" applyAlignment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44" fontId="8" fillId="0" borderId="0" xfId="2" applyNumberFormat="1" applyFont="1"/>
    <xf numFmtId="0" fontId="31" fillId="0" borderId="0" xfId="0" applyFont="1" applyAlignment="1">
      <alignment horizontal="center"/>
    </xf>
    <xf numFmtId="0" fontId="31" fillId="0" borderId="0" xfId="0" applyFont="1"/>
    <xf numFmtId="164" fontId="8" fillId="0" borderId="0" xfId="0" applyNumberFormat="1" applyFont="1"/>
    <xf numFmtId="165" fontId="8" fillId="0" borderId="11" xfId="0" applyNumberFormat="1" applyFont="1" applyBorder="1"/>
    <xf numFmtId="0" fontId="17" fillId="0" borderId="0" xfId="0" applyFont="1" applyBorder="1" applyAlignment="1">
      <alignment horizontal="center"/>
    </xf>
    <xf numFmtId="165" fontId="17" fillId="0" borderId="0" xfId="1" applyNumberFormat="1" applyFont="1" applyFill="1" applyBorder="1"/>
    <xf numFmtId="172" fontId="17" fillId="0" borderId="0" xfId="3" applyNumberFormat="1" applyFont="1"/>
    <xf numFmtId="0" fontId="1" fillId="0" borderId="0" xfId="0" applyFont="1" applyAlignment="1">
      <alignment horizontal="centerContinuous"/>
    </xf>
    <xf numFmtId="3" fontId="17" fillId="0" borderId="0" xfId="0" applyNumberFormat="1" applyFont="1" applyAlignment="1">
      <alignment horizontal="left"/>
    </xf>
    <xf numFmtId="3" fontId="19" fillId="0" borderId="0" xfId="0" applyNumberFormat="1" applyFont="1"/>
    <xf numFmtId="3" fontId="17" fillId="0" borderId="0" xfId="0" applyNumberFormat="1" applyFont="1" applyAlignment="1">
      <alignment vertical="center"/>
    </xf>
    <xf numFmtId="10" fontId="17" fillId="0" borderId="0" xfId="3" applyNumberFormat="1" applyFont="1" applyAlignment="1">
      <alignment vertical="center"/>
    </xf>
    <xf numFmtId="0" fontId="19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centerContinuous"/>
    </xf>
    <xf numFmtId="3" fontId="17" fillId="0" borderId="12" xfId="0" applyNumberFormat="1" applyFont="1" applyBorder="1"/>
    <xf numFmtId="3" fontId="17" fillId="0" borderId="1" xfId="0" applyNumberFormat="1" applyFont="1" applyBorder="1"/>
    <xf numFmtId="3" fontId="17" fillId="0" borderId="2" xfId="0" applyNumberFormat="1" applyFont="1" applyBorder="1"/>
    <xf numFmtId="3" fontId="20" fillId="0" borderId="2" xfId="0" applyNumberFormat="1" applyFont="1" applyBorder="1" applyAlignment="1">
      <alignment horizontal="centerContinuous"/>
    </xf>
    <xf numFmtId="3" fontId="19" fillId="0" borderId="13" xfId="0" applyNumberFormat="1" applyFont="1" applyBorder="1" applyAlignment="1">
      <alignment horizontal="centerContinuous"/>
    </xf>
    <xf numFmtId="3" fontId="19" fillId="0" borderId="0" xfId="0" applyNumberFormat="1" applyFont="1" applyBorder="1" applyAlignment="1">
      <alignment horizontal="centerContinuous"/>
    </xf>
    <xf numFmtId="3" fontId="19" fillId="0" borderId="2" xfId="0" applyNumberFormat="1" applyFont="1" applyBorder="1" applyAlignment="1">
      <alignment horizontal="centerContinuous"/>
    </xf>
    <xf numFmtId="0" fontId="19" fillId="0" borderId="0" xfId="0" applyNumberFormat="1" applyFont="1" applyAlignment="1">
      <alignment horizontal="center"/>
    </xf>
    <xf numFmtId="0" fontId="19" fillId="0" borderId="0" xfId="0" quotePrefix="1" applyNumberFormat="1" applyFont="1" applyAlignment="1">
      <alignment horizontal="center"/>
    </xf>
    <xf numFmtId="166" fontId="17" fillId="0" borderId="0" xfId="0" applyNumberFormat="1" applyFont="1"/>
    <xf numFmtId="3" fontId="17" fillId="0" borderId="22" xfId="0" applyNumberFormat="1" applyFont="1" applyBorder="1"/>
    <xf numFmtId="0" fontId="17" fillId="0" borderId="11" xfId="0" applyNumberFormat="1" applyFont="1" applyBorder="1" applyAlignment="1"/>
    <xf numFmtId="0" fontId="17" fillId="0" borderId="23" xfId="0" applyNumberFormat="1" applyFont="1" applyBorder="1" applyAlignment="1"/>
    <xf numFmtId="172" fontId="17" fillId="0" borderId="0" xfId="0" applyNumberFormat="1" applyFont="1" applyAlignment="1"/>
    <xf numFmtId="10" fontId="17" fillId="0" borderId="0" xfId="3" applyNumberFormat="1" applyFont="1" applyAlignment="1"/>
    <xf numFmtId="171" fontId="17" fillId="0" borderId="0" xfId="0" applyNumberFormat="1" applyFont="1" applyAlignment="1"/>
    <xf numFmtId="0" fontId="17" fillId="0" borderId="0" xfId="0" applyNumberFormat="1" applyFont="1" applyAlignment="1">
      <alignment horizontal="centerContinuous"/>
    </xf>
    <xf numFmtId="166" fontId="17" fillId="0" borderId="0" xfId="0" applyNumberFormat="1" applyFont="1" applyAlignment="1">
      <alignment horizontal="centerContinuous"/>
    </xf>
    <xf numFmtId="44" fontId="17" fillId="0" borderId="0" xfId="2" applyFont="1" applyAlignment="1">
      <alignment horizontal="centerContinuous"/>
    </xf>
    <xf numFmtId="0" fontId="20" fillId="0" borderId="0" xfId="0" applyFont="1" applyBorder="1" applyAlignment="1">
      <alignment horizontal="left"/>
    </xf>
    <xf numFmtId="3" fontId="1" fillId="0" borderId="0" xfId="0" quotePrefix="1" applyNumberFormat="1" applyFont="1" applyAlignment="1"/>
    <xf numFmtId="44" fontId="0" fillId="0" borderId="0" xfId="0" applyNumberFormat="1"/>
    <xf numFmtId="3" fontId="2" fillId="0" borderId="0" xfId="0" applyNumberFormat="1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3" fontId="19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44" fontId="17" fillId="0" borderId="0" xfId="2" applyNumberFormat="1" applyFont="1" applyAlignment="1"/>
    <xf numFmtId="44" fontId="17" fillId="0" borderId="0" xfId="0" applyNumberFormat="1" applyFont="1" applyAlignment="1"/>
    <xf numFmtId="0" fontId="6" fillId="0" borderId="0" xfId="0" applyNumberFormat="1" applyFont="1" applyAlignment="1"/>
    <xf numFmtId="3" fontId="17" fillId="0" borderId="11" xfId="0" applyNumberFormat="1" applyFont="1" applyBorder="1" applyAlignment="1"/>
    <xf numFmtId="166" fontId="17" fillId="0" borderId="11" xfId="0" applyNumberFormat="1" applyFont="1" applyBorder="1"/>
    <xf numFmtId="44" fontId="17" fillId="0" borderId="11" xfId="2" applyFont="1" applyBorder="1" applyAlignment="1">
      <alignment horizontal="right"/>
    </xf>
    <xf numFmtId="172" fontId="17" fillId="0" borderId="0" xfId="3" applyNumberFormat="1" applyFont="1" applyAlignment="1">
      <alignment horizontal="center"/>
    </xf>
    <xf numFmtId="3" fontId="18" fillId="0" borderId="0" xfId="0" applyNumberFormat="1" applyFont="1" applyAlignment="1"/>
    <xf numFmtId="172" fontId="8" fillId="0" borderId="0" xfId="0" applyNumberFormat="1" applyFont="1" applyAlignment="1">
      <alignment vertical="center"/>
    </xf>
    <xf numFmtId="7" fontId="17" fillId="0" borderId="0" xfId="2" applyNumberFormat="1" applyFont="1" applyAlignment="1">
      <alignment horizontal="right"/>
    </xf>
    <xf numFmtId="172" fontId="17" fillId="0" borderId="0" xfId="3" applyNumberFormat="1" applyFont="1" applyAlignment="1"/>
    <xf numFmtId="3" fontId="19" fillId="0" borderId="0" xfId="0" applyNumberFormat="1" applyFont="1" applyAlignment="1">
      <alignment horizontal="center"/>
    </xf>
    <xf numFmtId="0" fontId="32" fillId="0" borderId="4" xfId="0" applyFont="1" applyBorder="1"/>
    <xf numFmtId="0" fontId="32" fillId="0" borderId="5" xfId="0" applyFont="1" applyBorder="1"/>
    <xf numFmtId="0" fontId="32" fillId="0" borderId="7" xfId="0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/>
    <xf numFmtId="0" fontId="32" fillId="0" borderId="7" xfId="0" applyFont="1" applyBorder="1"/>
    <xf numFmtId="0" fontId="32" fillId="0" borderId="0" xfId="0" applyFont="1" applyFill="1" applyBorder="1"/>
    <xf numFmtId="0" fontId="33" fillId="0" borderId="0" xfId="0" applyFont="1" applyFill="1" applyBorder="1"/>
    <xf numFmtId="0" fontId="32" fillId="0" borderId="9" xfId="0" applyFont="1" applyBorder="1" applyAlignment="1">
      <alignment horizontal="center"/>
    </xf>
    <xf numFmtId="0" fontId="32" fillId="0" borderId="3" xfId="0" applyFont="1" applyBorder="1"/>
    <xf numFmtId="0" fontId="32" fillId="0" borderId="6" xfId="0" applyFont="1" applyBorder="1"/>
    <xf numFmtId="0" fontId="32" fillId="0" borderId="8" xfId="0" applyFont="1" applyBorder="1"/>
    <xf numFmtId="0" fontId="32" fillId="0" borderId="10" xfId="0" applyFont="1" applyBorder="1"/>
    <xf numFmtId="0" fontId="0" fillId="0" borderId="7" xfId="0" applyBorder="1"/>
    <xf numFmtId="0" fontId="32" fillId="0" borderId="0" xfId="0" applyFont="1"/>
    <xf numFmtId="165" fontId="34" fillId="0" borderId="0" xfId="1" applyNumberFormat="1" applyFont="1"/>
    <xf numFmtId="165" fontId="35" fillId="0" borderId="0" xfId="1" applyNumberFormat="1" applyFont="1" applyAlignment="1">
      <alignment vertical="center"/>
    </xf>
    <xf numFmtId="165" fontId="35" fillId="0" borderId="0" xfId="1" applyNumberFormat="1" applyFont="1" applyAlignment="1"/>
    <xf numFmtId="3" fontId="35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 vertical="center"/>
    </xf>
    <xf numFmtId="164" fontId="8" fillId="0" borderId="0" xfId="2" applyNumberFormat="1" applyFont="1"/>
    <xf numFmtId="165" fontId="35" fillId="0" borderId="0" xfId="1" applyNumberFormat="1" applyFont="1" applyAlignment="1">
      <alignment horizontal="center" vertical="center"/>
    </xf>
    <xf numFmtId="37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horizontal="centerContinuous" vertical="center"/>
    </xf>
    <xf numFmtId="172" fontId="35" fillId="0" borderId="0" xfId="0" applyNumberFormat="1" applyFont="1" applyAlignment="1">
      <alignment vertical="center"/>
    </xf>
    <xf numFmtId="37" fontId="0" fillId="0" borderId="0" xfId="0" applyNumberFormat="1"/>
    <xf numFmtId="37" fontId="18" fillId="0" borderId="0" xfId="0" applyNumberFormat="1" applyFont="1"/>
    <xf numFmtId="0" fontId="0" fillId="3" borderId="0" xfId="0" applyFill="1"/>
    <xf numFmtId="165" fontId="8" fillId="3" borderId="0" xfId="1" applyNumberFormat="1" applyFont="1" applyFill="1" applyAlignment="1">
      <alignment vertical="center"/>
    </xf>
    <xf numFmtId="0" fontId="0" fillId="0" borderId="0" xfId="0" applyFill="1"/>
    <xf numFmtId="165" fontId="37" fillId="0" borderId="0" xfId="1" applyNumberFormat="1" applyFont="1" applyAlignment="1">
      <alignment vertical="center"/>
    </xf>
    <xf numFmtId="3" fontId="37" fillId="0" borderId="0" xfId="0" applyNumberFormat="1" applyFont="1" applyAlignment="1"/>
    <xf numFmtId="3" fontId="9" fillId="0" borderId="0" xfId="0" applyNumberFormat="1" applyFont="1" applyFill="1" applyAlignment="1">
      <alignment horizontal="center" vertical="center"/>
    </xf>
    <xf numFmtId="165" fontId="8" fillId="0" borderId="0" xfId="1" applyNumberFormat="1" applyFont="1" applyFill="1"/>
    <xf numFmtId="0" fontId="35" fillId="0" borderId="0" xfId="1" applyNumberFormat="1" applyFont="1" applyFill="1"/>
    <xf numFmtId="165" fontId="8" fillId="0" borderId="0" xfId="1" applyNumberFormat="1" applyFont="1" applyFill="1" applyAlignment="1">
      <alignment vertical="center"/>
    </xf>
    <xf numFmtId="165" fontId="35" fillId="0" borderId="0" xfId="1" applyNumberFormat="1" applyFont="1" applyFill="1"/>
    <xf numFmtId="37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/>
    <xf numFmtId="10" fontId="8" fillId="0" borderId="0" xfId="3" applyNumberFormat="1" applyFont="1" applyFill="1"/>
    <xf numFmtId="3" fontId="9" fillId="3" borderId="0" xfId="0" applyNumberFormat="1" applyFont="1" applyFill="1" applyAlignment="1">
      <alignment horizontal="center" vertical="center"/>
    </xf>
    <xf numFmtId="3" fontId="8" fillId="3" borderId="0" xfId="0" applyNumberFormat="1" applyFont="1" applyFill="1" applyAlignment="1">
      <alignment vertical="center"/>
    </xf>
    <xf numFmtId="3" fontId="1" fillId="3" borderId="0" xfId="0" applyNumberFormat="1" applyFont="1" applyFill="1" applyAlignment="1"/>
    <xf numFmtId="164" fontId="8" fillId="3" borderId="0" xfId="0" applyNumberFormat="1" applyFont="1" applyFill="1" applyAlignment="1">
      <alignment vertical="center"/>
    </xf>
    <xf numFmtId="165" fontId="8" fillId="3" borderId="0" xfId="1" applyNumberFormat="1" applyFont="1" applyFill="1" applyAlignment="1"/>
    <xf numFmtId="37" fontId="8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centerContinuous"/>
    </xf>
    <xf numFmtId="172" fontId="8" fillId="3" borderId="0" xfId="0" applyNumberFormat="1" applyFont="1" applyFill="1" applyAlignment="1">
      <alignment vertical="center"/>
    </xf>
    <xf numFmtId="0" fontId="8" fillId="0" borderId="0" xfId="1" applyNumberFormat="1" applyFont="1" applyFill="1"/>
    <xf numFmtId="165" fontId="8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center"/>
    </xf>
    <xf numFmtId="165" fontId="38" fillId="0" borderId="0" xfId="1" applyNumberFormat="1" applyFont="1" applyFill="1"/>
    <xf numFmtId="3" fontId="9" fillId="0" borderId="0" xfId="0" applyNumberFormat="1" applyFont="1" applyFill="1" applyAlignment="1">
      <alignment horizontal="centerContinuous" vertical="distributed"/>
    </xf>
    <xf numFmtId="3" fontId="10" fillId="0" borderId="0" xfId="0" quotePrefix="1" applyNumberFormat="1" applyFont="1" applyFill="1" applyAlignment="1">
      <alignment horizontal="centerContinuous" vertical="distributed"/>
    </xf>
    <xf numFmtId="165" fontId="15" fillId="0" borderId="0" xfId="1" applyNumberFormat="1" applyFont="1" applyAlignment="1">
      <alignment vertical="center"/>
    </xf>
    <xf numFmtId="10" fontId="0" fillId="0" borderId="0" xfId="3" applyNumberFormat="1" applyFont="1"/>
    <xf numFmtId="10" fontId="0" fillId="0" borderId="0" xfId="0" applyNumberFormat="1"/>
    <xf numFmtId="165" fontId="38" fillId="0" borderId="0" xfId="1" applyNumberFormat="1" applyFont="1"/>
    <xf numFmtId="9" fontId="0" fillId="0" borderId="0" xfId="3" applyFont="1"/>
    <xf numFmtId="165" fontId="8" fillId="0" borderId="0" xfId="1" applyNumberFormat="1" applyFont="1" applyAlignment="1">
      <alignment horizontal="centerContinuous"/>
    </xf>
    <xf numFmtId="0" fontId="5" fillId="0" borderId="0" xfId="0" quotePrefix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NumberFormat="1" applyFont="1" applyAlignment="1"/>
    <xf numFmtId="3" fontId="10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12" xfId="0" applyNumberFormat="1" applyFont="1" applyBorder="1"/>
    <xf numFmtId="3" fontId="8" fillId="0" borderId="1" xfId="0" applyNumberFormat="1" applyFont="1" applyBorder="1"/>
    <xf numFmtId="3" fontId="8" fillId="0" borderId="2" xfId="0" applyNumberFormat="1" applyFont="1" applyBorder="1"/>
    <xf numFmtId="3" fontId="9" fillId="0" borderId="2" xfId="0" applyNumberFormat="1" applyFont="1" applyBorder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3" fontId="15" fillId="0" borderId="13" xfId="0" applyNumberFormat="1" applyFont="1" applyBorder="1" applyAlignment="1">
      <alignment horizontal="centerContinuous"/>
    </xf>
    <xf numFmtId="3" fontId="15" fillId="0" borderId="0" xfId="0" applyNumberFormat="1" applyFont="1" applyBorder="1" applyAlignment="1">
      <alignment horizontal="centerContinuous"/>
    </xf>
    <xf numFmtId="3" fontId="1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"/>
    </xf>
    <xf numFmtId="3" fontId="8" fillId="0" borderId="0" xfId="0" quotePrefix="1" applyNumberFormat="1" applyFont="1" applyAlignment="1">
      <alignment horizontal="left"/>
    </xf>
    <xf numFmtId="44" fontId="8" fillId="0" borderId="0" xfId="2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15" fillId="0" borderId="2" xfId="0" applyNumberFormat="1" applyFont="1" applyBorder="1" applyAlignment="1">
      <alignment horizontal="centerContinuous"/>
    </xf>
    <xf numFmtId="0" fontId="15" fillId="0" borderId="0" xfId="0" applyNumberFormat="1" applyFont="1" applyAlignment="1">
      <alignment horizontal="center"/>
    </xf>
    <xf numFmtId="3" fontId="15" fillId="0" borderId="0" xfId="0" applyNumberFormat="1" applyFont="1" applyAlignment="1"/>
    <xf numFmtId="0" fontId="15" fillId="0" borderId="0" xfId="0" quotePrefix="1" applyNumberFormat="1" applyFont="1" applyAlignment="1">
      <alignment horizontal="center"/>
    </xf>
    <xf numFmtId="166" fontId="8" fillId="0" borderId="0" xfId="0" applyNumberFormat="1" applyFont="1"/>
    <xf numFmtId="3" fontId="8" fillId="0" borderId="22" xfId="0" applyNumberFormat="1" applyFont="1" applyBorder="1"/>
    <xf numFmtId="0" fontId="8" fillId="0" borderId="11" xfId="0" applyNumberFormat="1" applyFont="1" applyBorder="1" applyAlignment="1"/>
    <xf numFmtId="0" fontId="8" fillId="0" borderId="23" xfId="0" applyNumberFormat="1" applyFont="1" applyBorder="1" applyAlignment="1"/>
    <xf numFmtId="171" fontId="8" fillId="0" borderId="0" xfId="0" applyNumberFormat="1" applyFont="1" applyAlignment="1"/>
    <xf numFmtId="3" fontId="15" fillId="0" borderId="0" xfId="0" quotePrefix="1" applyNumberFormat="1" applyFont="1" applyAlignment="1">
      <alignment horizontal="left"/>
    </xf>
    <xf numFmtId="10" fontId="8" fillId="0" borderId="0" xfId="0" applyNumberFormat="1" applyFont="1" applyAlignment="1"/>
    <xf numFmtId="173" fontId="8" fillId="0" borderId="0" xfId="2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44" fontId="8" fillId="0" borderId="0" xfId="2" applyFont="1" applyAlignment="1">
      <alignment horizontal="left"/>
    </xf>
    <xf numFmtId="43" fontId="8" fillId="0" borderId="0" xfId="1" applyFont="1" applyAlignment="1">
      <alignment horizontal="left"/>
    </xf>
    <xf numFmtId="169" fontId="8" fillId="0" borderId="0" xfId="0" applyNumberFormat="1" applyFont="1" applyAlignment="1"/>
    <xf numFmtId="165" fontId="9" fillId="0" borderId="0" xfId="1" applyNumberFormat="1" applyFont="1" applyAlignment="1">
      <alignment horizontal="centerContinuous"/>
    </xf>
    <xf numFmtId="165" fontId="8" fillId="0" borderId="0" xfId="1" applyNumberFormat="1" applyFont="1" applyAlignment="1">
      <alignment horizontal="right"/>
    </xf>
    <xf numFmtId="173" fontId="8" fillId="0" borderId="0" xfId="0" applyNumberFormat="1" applyFont="1"/>
    <xf numFmtId="3" fontId="3" fillId="0" borderId="0" xfId="0" applyNumberFormat="1" applyFont="1" applyAlignment="1">
      <alignment horizontal="centerContinuous"/>
    </xf>
    <xf numFmtId="165" fontId="15" fillId="0" borderId="0" xfId="1" applyNumberFormat="1" applyFont="1" applyAlignment="1">
      <alignment horizontal="centerContinuous"/>
    </xf>
    <xf numFmtId="165" fontId="38" fillId="0" borderId="0" xfId="0" applyNumberFormat="1" applyFont="1"/>
    <xf numFmtId="165" fontId="39" fillId="0" borderId="0" xfId="0" applyNumberFormat="1" applyFont="1"/>
    <xf numFmtId="43" fontId="17" fillId="0" borderId="0" xfId="0" applyNumberFormat="1" applyFont="1"/>
    <xf numFmtId="0" fontId="17" fillId="0" borderId="0" xfId="0" applyFont="1" applyAlignment="1">
      <alignment horizontal="right"/>
    </xf>
    <xf numFmtId="0" fontId="40" fillId="0" borderId="0" xfId="0" applyFont="1"/>
    <xf numFmtId="0" fontId="41" fillId="0" borderId="0" xfId="0" applyFont="1"/>
    <xf numFmtId="165" fontId="40" fillId="0" borderId="0" xfId="1" applyNumberFormat="1" applyFont="1"/>
    <xf numFmtId="173" fontId="40" fillId="0" borderId="0" xfId="2" applyNumberFormat="1" applyFont="1"/>
    <xf numFmtId="173" fontId="40" fillId="0" borderId="0" xfId="0" applyNumberFormat="1" applyFont="1"/>
    <xf numFmtId="164" fontId="42" fillId="0" borderId="0" xfId="0" applyNumberFormat="1" applyFont="1"/>
    <xf numFmtId="0" fontId="5" fillId="0" borderId="0" xfId="0" applyFont="1" applyAlignment="1">
      <alignment horizontal="center"/>
    </xf>
    <xf numFmtId="165" fontId="35" fillId="0" borderId="0" xfId="1" applyNumberFormat="1" applyFont="1"/>
    <xf numFmtId="165" fontId="8" fillId="4" borderId="0" xfId="1" applyNumberFormat="1" applyFont="1" applyFill="1"/>
    <xf numFmtId="3" fontId="8" fillId="4" borderId="0" xfId="0" applyNumberFormat="1" applyFont="1" applyFill="1" applyAlignment="1">
      <alignment vertical="center"/>
    </xf>
    <xf numFmtId="3" fontId="8" fillId="4" borderId="0" xfId="0" applyNumberFormat="1" applyFont="1" applyFill="1" applyAlignment="1"/>
    <xf numFmtId="165" fontId="35" fillId="0" borderId="0" xfId="1" applyNumberFormat="1" applyFont="1" applyFill="1" applyAlignment="1">
      <alignment horizontal="center"/>
    </xf>
    <xf numFmtId="10" fontId="43" fillId="0" borderId="0" xfId="3" applyNumberFormat="1" applyFont="1"/>
    <xf numFmtId="0" fontId="21" fillId="0" borderId="13" xfId="2" quotePrefix="1" applyNumberFormat="1" applyFont="1" applyBorder="1" applyAlignment="1">
      <alignment horizontal="center" vertical="center"/>
    </xf>
    <xf numFmtId="0" fontId="21" fillId="0" borderId="0" xfId="2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1" fillId="0" borderId="13" xfId="2" applyNumberFormat="1" applyFont="1" applyBorder="1" applyAlignment="1">
      <alignment horizontal="center" vertical="center"/>
    </xf>
    <xf numFmtId="0" fontId="21" fillId="0" borderId="17" xfId="2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84"/>
  <sheetViews>
    <sheetView topLeftCell="A14" workbookViewId="0">
      <selection activeCell="E28" sqref="E28"/>
    </sheetView>
  </sheetViews>
  <sheetFormatPr defaultRowHeight="15" x14ac:dyDescent="0.2"/>
  <cols>
    <col min="1" max="1" width="3.6640625" style="1" customWidth="1"/>
    <col min="2" max="2" width="2.6640625" style="1" customWidth="1"/>
    <col min="3" max="3" width="34.6640625" style="1" customWidth="1"/>
    <col min="4" max="5" width="11.5546875" style="1" customWidth="1"/>
    <col min="6" max="6" width="7" style="1" customWidth="1"/>
    <col min="7" max="7" width="11.5546875" style="1" customWidth="1"/>
    <col min="8" max="8" width="9.6640625" style="1" customWidth="1"/>
    <col min="9" max="9" width="9.33203125" style="1" customWidth="1"/>
    <col min="10" max="249" width="9.6640625" style="1" customWidth="1"/>
    <col min="250" max="251" width="9.6640625" customWidth="1"/>
  </cols>
  <sheetData>
    <row r="1" spans="1:12" ht="18" x14ac:dyDescent="0.2">
      <c r="A1" s="238" t="s">
        <v>518</v>
      </c>
      <c r="B1" s="4"/>
      <c r="C1" s="4"/>
      <c r="D1" s="4"/>
      <c r="E1" s="4"/>
      <c r="F1" s="4"/>
      <c r="G1" s="4"/>
      <c r="H1" s="5"/>
      <c r="I1" s="5"/>
      <c r="J1" s="5"/>
    </row>
    <row r="2" spans="1:12" ht="15.75" x14ac:dyDescent="0.2">
      <c r="A2" s="23" t="s">
        <v>137</v>
      </c>
      <c r="B2" s="4"/>
      <c r="C2" s="4"/>
      <c r="D2" s="4"/>
      <c r="E2" s="4"/>
      <c r="F2" s="4"/>
      <c r="G2" s="4"/>
      <c r="H2" s="5"/>
      <c r="I2" s="5"/>
      <c r="J2" s="5"/>
    </row>
    <row r="3" spans="1:12" ht="15.75" x14ac:dyDescent="0.2">
      <c r="A3" s="5"/>
      <c r="B3" s="5"/>
      <c r="C3" s="5"/>
      <c r="D3" s="6"/>
      <c r="E3" s="6"/>
      <c r="F3" s="6"/>
      <c r="G3" s="6"/>
      <c r="H3" s="5"/>
      <c r="I3" s="5"/>
      <c r="J3" s="5"/>
    </row>
    <row r="4" spans="1:12" x14ac:dyDescent="0.2">
      <c r="A4" s="14"/>
      <c r="B4" s="14"/>
      <c r="C4" s="14"/>
      <c r="D4" s="15" t="s">
        <v>32</v>
      </c>
      <c r="E4" s="15" t="s">
        <v>33</v>
      </c>
      <c r="F4" s="15" t="s">
        <v>59</v>
      </c>
      <c r="G4" s="15" t="s">
        <v>34</v>
      </c>
      <c r="H4" s="98"/>
      <c r="I4" s="5"/>
      <c r="J4" s="5"/>
    </row>
    <row r="5" spans="1:12" x14ac:dyDescent="0.2">
      <c r="A5" s="16" t="s">
        <v>8</v>
      </c>
      <c r="B5" s="14"/>
      <c r="C5" s="14"/>
      <c r="D5" s="14"/>
      <c r="E5" s="14"/>
      <c r="F5" s="14"/>
      <c r="G5" s="14"/>
      <c r="H5" s="98"/>
      <c r="I5" s="5"/>
      <c r="J5" s="5"/>
    </row>
    <row r="6" spans="1:12" x14ac:dyDescent="0.2">
      <c r="A6" s="14"/>
      <c r="B6" s="14" t="s">
        <v>127</v>
      </c>
      <c r="C6" s="14"/>
      <c r="E6" s="19"/>
      <c r="H6" s="98"/>
      <c r="I6" s="5"/>
    </row>
    <row r="7" spans="1:12" x14ac:dyDescent="0.2">
      <c r="A7" s="14"/>
      <c r="B7" s="14"/>
      <c r="C7" s="14" t="s">
        <v>128</v>
      </c>
      <c r="D7" s="17">
        <v>304</v>
      </c>
      <c r="E7" s="98"/>
      <c r="F7" s="7"/>
      <c r="G7" s="17">
        <f>D7+E7</f>
        <v>304</v>
      </c>
      <c r="H7" s="98"/>
      <c r="I7" s="5"/>
      <c r="K7" s="212">
        <f>D8+E8</f>
        <v>1912941</v>
      </c>
    </row>
    <row r="8" spans="1:12" x14ac:dyDescent="0.2">
      <c r="A8" s="14"/>
      <c r="B8" s="14"/>
      <c r="C8" s="14" t="s">
        <v>129</v>
      </c>
      <c r="D8" s="98">
        <v>1878795</v>
      </c>
      <c r="E8" s="179">
        <v>34146</v>
      </c>
      <c r="F8" s="18" t="s">
        <v>44</v>
      </c>
      <c r="H8" s="98"/>
      <c r="I8" s="5"/>
      <c r="K8" s="213">
        <v>4.7600000000000003E-2</v>
      </c>
    </row>
    <row r="9" spans="1:12" x14ac:dyDescent="0.2">
      <c r="A9" s="14"/>
      <c r="B9" s="14"/>
      <c r="C9" s="14"/>
      <c r="D9" s="98"/>
      <c r="E9" s="98">
        <f>-K9</f>
        <v>-91055.991600000008</v>
      </c>
      <c r="F9" s="18" t="s">
        <v>45</v>
      </c>
      <c r="G9" s="98">
        <f>D8+E8+E9</f>
        <v>1821885.0083999999</v>
      </c>
      <c r="H9" s="98"/>
      <c r="I9" s="5"/>
      <c r="K9" s="212">
        <f>K7*K8</f>
        <v>91055.991600000008</v>
      </c>
      <c r="L9" s="64" t="s">
        <v>508</v>
      </c>
    </row>
    <row r="10" spans="1:12" x14ac:dyDescent="0.2">
      <c r="A10" s="14"/>
      <c r="B10" s="14"/>
      <c r="C10" s="14" t="s">
        <v>130</v>
      </c>
      <c r="D10" s="98">
        <v>62792</v>
      </c>
      <c r="E10" s="98">
        <v>-62792</v>
      </c>
      <c r="F10" s="18" t="s">
        <v>51</v>
      </c>
      <c r="G10" s="98">
        <f>D10+E10</f>
        <v>0</v>
      </c>
      <c r="H10" s="98"/>
      <c r="I10" s="5"/>
    </row>
    <row r="11" spans="1:12" x14ac:dyDescent="0.2">
      <c r="A11" s="14"/>
      <c r="B11" s="14" t="s">
        <v>42</v>
      </c>
      <c r="C11" s="14"/>
      <c r="D11" s="17"/>
      <c r="E11" s="98"/>
      <c r="F11" s="18"/>
      <c r="G11" s="98"/>
      <c r="H11" s="98"/>
      <c r="I11" s="5"/>
    </row>
    <row r="12" spans="1:12" x14ac:dyDescent="0.2">
      <c r="A12" s="14"/>
      <c r="B12" s="14"/>
      <c r="C12" s="14" t="s">
        <v>40</v>
      </c>
      <c r="D12" s="19"/>
      <c r="E12" s="98">
        <f>-E14</f>
        <v>72155.490000000005</v>
      </c>
      <c r="F12" s="111" t="s">
        <v>52</v>
      </c>
      <c r="G12" s="98">
        <f>D12+E12</f>
        <v>72155.490000000005</v>
      </c>
      <c r="H12" s="98"/>
      <c r="I12" s="5"/>
      <c r="J12" s="5"/>
    </row>
    <row r="13" spans="1:12" x14ac:dyDescent="0.2">
      <c r="A13" s="14"/>
      <c r="B13" s="14"/>
      <c r="C13" s="14" t="s">
        <v>41</v>
      </c>
      <c r="D13" s="19">
        <v>28253</v>
      </c>
      <c r="E13" s="98"/>
      <c r="F13" s="18"/>
      <c r="G13" s="98">
        <f>D13+E13</f>
        <v>28253</v>
      </c>
      <c r="H13" s="98"/>
      <c r="I13" s="5"/>
      <c r="J13" s="5"/>
    </row>
    <row r="14" spans="1:12" x14ac:dyDescent="0.2">
      <c r="A14" s="14"/>
      <c r="B14" s="14"/>
      <c r="C14" s="14" t="s">
        <v>411</v>
      </c>
      <c r="D14" s="19">
        <v>77813</v>
      </c>
      <c r="E14" s="98">
        <v>-72155.490000000005</v>
      </c>
      <c r="F14" s="111" t="s">
        <v>52</v>
      </c>
      <c r="G14" s="98"/>
      <c r="H14" s="98"/>
      <c r="I14" s="5"/>
      <c r="J14" s="5"/>
    </row>
    <row r="15" spans="1:12" x14ac:dyDescent="0.2">
      <c r="A15" s="14"/>
      <c r="B15" s="7"/>
      <c r="D15" s="7"/>
      <c r="E15" s="7">
        <v>180000</v>
      </c>
      <c r="F15" s="111" t="s">
        <v>54</v>
      </c>
      <c r="G15" s="99">
        <f>D14+E14+E15</f>
        <v>185657.51</v>
      </c>
      <c r="H15" s="98"/>
      <c r="I15" s="5"/>
      <c r="J15" s="5"/>
    </row>
    <row r="16" spans="1:12" ht="3" customHeight="1" x14ac:dyDescent="0.2">
      <c r="A16" s="14"/>
      <c r="B16" s="14"/>
      <c r="C16" s="14"/>
      <c r="D16" s="19"/>
      <c r="E16" s="98"/>
      <c r="F16" s="18"/>
      <c r="G16" s="19"/>
      <c r="H16" s="98"/>
      <c r="I16" s="5"/>
      <c r="J16" s="5"/>
    </row>
    <row r="17" spans="1:18" x14ac:dyDescent="0.2">
      <c r="A17" s="20" t="s">
        <v>9</v>
      </c>
      <c r="B17" s="14"/>
      <c r="C17" s="14"/>
      <c r="D17" s="17">
        <f>SUM(D7:D16)</f>
        <v>2047957</v>
      </c>
      <c r="E17" s="98">
        <f>SUM(E6:E16)</f>
        <v>60298.008399999992</v>
      </c>
      <c r="F17" s="18"/>
      <c r="G17" s="17">
        <f>SUM(G7:G16)</f>
        <v>2108255.0083999997</v>
      </c>
      <c r="H17" s="98">
        <f>D17+E17</f>
        <v>2108255.0084000002</v>
      </c>
      <c r="I17" s="5"/>
      <c r="J17" s="5"/>
    </row>
    <row r="18" spans="1:18" ht="6.95" customHeight="1" x14ac:dyDescent="0.2">
      <c r="A18" s="14"/>
      <c r="B18" s="14"/>
      <c r="C18" s="14"/>
      <c r="D18" s="19"/>
      <c r="E18" s="14"/>
      <c r="F18" s="18"/>
      <c r="G18" s="19"/>
      <c r="H18" s="98"/>
      <c r="I18" s="5"/>
      <c r="J18" s="5"/>
    </row>
    <row r="19" spans="1:18" x14ac:dyDescent="0.2">
      <c r="A19" s="16" t="s">
        <v>10</v>
      </c>
      <c r="B19" s="14"/>
      <c r="C19" s="14"/>
      <c r="D19" s="19"/>
      <c r="E19" s="14"/>
      <c r="F19" s="18"/>
      <c r="G19" s="19"/>
      <c r="H19" s="98"/>
      <c r="I19" s="5"/>
      <c r="J19" s="5"/>
      <c r="L19" s="1">
        <f>E17</f>
        <v>60298.008399999992</v>
      </c>
    </row>
    <row r="20" spans="1:18" x14ac:dyDescent="0.2">
      <c r="A20" s="14"/>
      <c r="B20" s="14" t="s">
        <v>19</v>
      </c>
      <c r="C20" s="14"/>
      <c r="D20" s="19"/>
      <c r="E20" s="14"/>
      <c r="F20" s="18"/>
      <c r="G20" s="19"/>
      <c r="H20" s="98"/>
      <c r="I20" s="5"/>
      <c r="J20" s="5"/>
      <c r="L20" s="1">
        <f>E26+E27</f>
        <v>-112032.12251909275</v>
      </c>
      <c r="O20"/>
      <c r="P20"/>
      <c r="Q20"/>
      <c r="R20"/>
    </row>
    <row r="21" spans="1:18" x14ac:dyDescent="0.2">
      <c r="A21" s="14"/>
      <c r="B21" s="14"/>
      <c r="C21" s="14" t="s">
        <v>23</v>
      </c>
      <c r="D21" s="17">
        <v>555390</v>
      </c>
      <c r="E21" s="19">
        <v>-6360</v>
      </c>
      <c r="F21" s="111" t="s">
        <v>119</v>
      </c>
      <c r="G21" s="17">
        <f t="shared" ref="G21:G41" si="0">D21+E21</f>
        <v>549030</v>
      </c>
      <c r="H21" s="98"/>
      <c r="I21" s="5"/>
      <c r="J21" s="5"/>
      <c r="L21" s="249">
        <f>182275</f>
        <v>182275</v>
      </c>
      <c r="O21"/>
      <c r="P21"/>
      <c r="Q21"/>
      <c r="R21"/>
    </row>
    <row r="22" spans="1:18" x14ac:dyDescent="0.2">
      <c r="A22" s="14"/>
      <c r="B22" s="14"/>
      <c r="C22" s="14" t="s">
        <v>24</v>
      </c>
      <c r="D22" s="19">
        <v>0</v>
      </c>
      <c r="E22" s="98"/>
      <c r="F22" s="18"/>
      <c r="G22" s="98">
        <f t="shared" si="0"/>
        <v>0</v>
      </c>
      <c r="H22" s="98"/>
      <c r="I22" s="5"/>
      <c r="J22" s="5"/>
      <c r="L22" s="1">
        <f>SUM(L19:L21)</f>
        <v>130540.88588090724</v>
      </c>
      <c r="M22" s="178" t="s">
        <v>528</v>
      </c>
      <c r="O22"/>
      <c r="P22"/>
      <c r="Q22"/>
      <c r="R22"/>
    </row>
    <row r="23" spans="1:18" x14ac:dyDescent="0.2">
      <c r="A23" s="14"/>
      <c r="B23" s="14"/>
      <c r="C23" s="14" t="s">
        <v>25</v>
      </c>
      <c r="D23" s="19">
        <v>296755</v>
      </c>
      <c r="E23" s="98"/>
      <c r="F23" s="18"/>
      <c r="G23" s="98">
        <f t="shared" si="0"/>
        <v>296755</v>
      </c>
      <c r="H23" s="98"/>
      <c r="I23" s="5"/>
      <c r="J23" s="5"/>
      <c r="O23"/>
      <c r="P23"/>
      <c r="Q23"/>
      <c r="R23"/>
    </row>
    <row r="24" spans="1:18" ht="15.75" x14ac:dyDescent="0.25">
      <c r="A24" s="14"/>
      <c r="B24" s="14"/>
      <c r="C24" s="14" t="s">
        <v>26</v>
      </c>
      <c r="D24" s="19">
        <v>24603</v>
      </c>
      <c r="E24" s="19">
        <v>-24603</v>
      </c>
      <c r="F24" s="111" t="s">
        <v>124</v>
      </c>
      <c r="G24" s="98">
        <f t="shared" si="0"/>
        <v>0</v>
      </c>
      <c r="H24" s="99"/>
      <c r="I24" s="5"/>
      <c r="J24" s="5"/>
      <c r="K24" s="113" t="s">
        <v>110</v>
      </c>
      <c r="L24" s="7"/>
      <c r="M24" s="7"/>
      <c r="N24" s="7"/>
      <c r="O24"/>
      <c r="P24"/>
      <c r="Q24"/>
      <c r="R24"/>
    </row>
    <row r="25" spans="1:18" x14ac:dyDescent="0.2">
      <c r="A25" s="14"/>
      <c r="B25" s="14"/>
      <c r="C25" s="14" t="s">
        <v>27</v>
      </c>
      <c r="D25" s="19">
        <v>373353</v>
      </c>
      <c r="E25" s="99">
        <f>-Davella!C23</f>
        <v>-21640.212000000003</v>
      </c>
      <c r="F25" s="111" t="s">
        <v>405</v>
      </c>
      <c r="H25" s="99"/>
      <c r="I25" s="5"/>
      <c r="J25" s="5"/>
      <c r="K25" s="7"/>
      <c r="L25" s="7"/>
      <c r="M25" s="7"/>
      <c r="N25" s="7"/>
    </row>
    <row r="26" spans="1:18" x14ac:dyDescent="0.2">
      <c r="A26" s="14"/>
      <c r="B26" s="14"/>
      <c r="C26" s="14"/>
      <c r="D26" s="19"/>
      <c r="E26" s="19">
        <f>-(D25+E25)*$N$40</f>
        <v>-84420.965694387138</v>
      </c>
      <c r="F26" s="111" t="s">
        <v>412</v>
      </c>
      <c r="G26" s="98">
        <f>D25+E25+E26</f>
        <v>267291.82230561285</v>
      </c>
      <c r="H26" s="99"/>
      <c r="I26" s="5"/>
      <c r="J26" s="5"/>
      <c r="K26" s="7"/>
      <c r="L26" s="7"/>
      <c r="M26" s="7"/>
      <c r="N26" s="7"/>
    </row>
    <row r="27" spans="1:18" x14ac:dyDescent="0.2">
      <c r="A27" s="14"/>
      <c r="B27" s="14"/>
      <c r="C27" s="14" t="s">
        <v>102</v>
      </c>
      <c r="D27" s="19">
        <v>115033</v>
      </c>
      <c r="E27" s="19">
        <f>-D27*$N$40</f>
        <v>-27611.156824705606</v>
      </c>
      <c r="F27" s="111" t="s">
        <v>412</v>
      </c>
      <c r="G27" s="98">
        <f t="shared" si="0"/>
        <v>87421.843175294402</v>
      </c>
      <c r="H27" s="99"/>
      <c r="I27" s="5"/>
      <c r="J27" s="5"/>
      <c r="K27" s="7" t="s">
        <v>145</v>
      </c>
      <c r="L27" s="7"/>
      <c r="M27" s="7">
        <f>696292+10341</f>
        <v>706633</v>
      </c>
      <c r="N27" s="7"/>
    </row>
    <row r="28" spans="1:18" x14ac:dyDescent="0.2">
      <c r="A28" s="14"/>
      <c r="B28" s="14"/>
      <c r="C28" s="14" t="s">
        <v>28</v>
      </c>
      <c r="D28" s="19">
        <v>156069</v>
      </c>
      <c r="E28" s="19">
        <v>-17640</v>
      </c>
      <c r="F28" s="111" t="s">
        <v>119</v>
      </c>
      <c r="G28" s="98">
        <f t="shared" si="0"/>
        <v>138429</v>
      </c>
      <c r="H28" s="98"/>
      <c r="I28" s="193"/>
      <c r="J28" s="5"/>
      <c r="K28" s="7" t="s">
        <v>60</v>
      </c>
      <c r="L28" s="7"/>
      <c r="M28" s="7">
        <v>221837</v>
      </c>
      <c r="N28" s="7"/>
    </row>
    <row r="29" spans="1:18" x14ac:dyDescent="0.2">
      <c r="A29" s="14"/>
      <c r="B29" s="14"/>
      <c r="C29" s="14" t="s">
        <v>147</v>
      </c>
      <c r="D29" s="19">
        <f>42000+2844</f>
        <v>44844</v>
      </c>
      <c r="E29" s="98"/>
      <c r="F29" s="178"/>
      <c r="G29" s="98">
        <f t="shared" si="0"/>
        <v>44844</v>
      </c>
      <c r="H29" s="98"/>
      <c r="I29" s="5"/>
      <c r="J29" s="5"/>
      <c r="K29" s="7" t="s">
        <v>115</v>
      </c>
      <c r="L29" s="7"/>
      <c r="M29" s="7"/>
      <c r="N29" s="7"/>
    </row>
    <row r="30" spans="1:18" x14ac:dyDescent="0.2">
      <c r="A30" s="14"/>
      <c r="B30" s="14"/>
      <c r="C30" s="14" t="s">
        <v>131</v>
      </c>
      <c r="D30" s="19">
        <v>14709</v>
      </c>
      <c r="E30" s="98"/>
      <c r="F30" s="111"/>
      <c r="G30" s="98">
        <f t="shared" si="0"/>
        <v>14709</v>
      </c>
      <c r="H30" s="98"/>
      <c r="I30" s="5"/>
      <c r="J30" s="5"/>
      <c r="K30" s="7" t="s">
        <v>111</v>
      </c>
      <c r="L30" s="7">
        <v>5631</v>
      </c>
      <c r="M30" s="7"/>
      <c r="N30" s="7"/>
    </row>
    <row r="31" spans="1:18" x14ac:dyDescent="0.2">
      <c r="A31" s="14"/>
      <c r="B31" s="14"/>
      <c r="C31" s="14" t="s">
        <v>132</v>
      </c>
      <c r="D31" s="19">
        <v>154668</v>
      </c>
      <c r="E31" s="98"/>
      <c r="F31" s="111"/>
      <c r="G31" s="98">
        <f t="shared" si="0"/>
        <v>154668</v>
      </c>
      <c r="H31" s="98"/>
      <c r="I31" s="5"/>
      <c r="J31" s="5"/>
      <c r="K31" s="1" t="s">
        <v>146</v>
      </c>
      <c r="L31" s="7">
        <v>50</v>
      </c>
    </row>
    <row r="32" spans="1:18" x14ac:dyDescent="0.2">
      <c r="A32" s="14"/>
      <c r="B32" s="14"/>
      <c r="C32" s="14" t="s">
        <v>133</v>
      </c>
      <c r="D32" s="19">
        <v>7898</v>
      </c>
      <c r="E32" s="14"/>
      <c r="F32" s="18"/>
      <c r="G32" s="98">
        <f t="shared" si="0"/>
        <v>7898</v>
      </c>
      <c r="H32" s="98"/>
      <c r="I32" s="5"/>
      <c r="J32" s="5"/>
      <c r="K32" s="7" t="s">
        <v>112</v>
      </c>
      <c r="L32" s="7">
        <v>30050</v>
      </c>
      <c r="M32" s="7"/>
      <c r="N32" s="7"/>
    </row>
    <row r="33" spans="1:15" x14ac:dyDescent="0.2">
      <c r="A33" s="14"/>
      <c r="B33" s="14"/>
      <c r="C33" s="14" t="s">
        <v>103</v>
      </c>
      <c r="D33" s="19">
        <v>51314</v>
      </c>
      <c r="E33" s="14"/>
      <c r="F33" s="18"/>
      <c r="G33" s="98">
        <f t="shared" si="0"/>
        <v>51314</v>
      </c>
      <c r="H33" s="98"/>
      <c r="I33" s="5"/>
      <c r="J33" s="5"/>
      <c r="K33" s="7" t="s">
        <v>113</v>
      </c>
      <c r="L33" s="7">
        <v>3725</v>
      </c>
      <c r="M33" s="7"/>
      <c r="N33" s="7"/>
    </row>
    <row r="34" spans="1:15" x14ac:dyDescent="0.2">
      <c r="A34" s="14"/>
      <c r="B34" s="14"/>
      <c r="C34" s="14" t="s">
        <v>36</v>
      </c>
      <c r="D34" s="19">
        <v>75334</v>
      </c>
      <c r="E34" s="14"/>
      <c r="F34" s="18"/>
      <c r="G34" s="98">
        <f t="shared" si="0"/>
        <v>75334</v>
      </c>
      <c r="H34" s="98"/>
      <c r="I34" s="5"/>
      <c r="J34" s="5"/>
      <c r="K34" s="7" t="s">
        <v>114</v>
      </c>
      <c r="L34" s="142">
        <v>0</v>
      </c>
      <c r="M34" s="7"/>
      <c r="N34" s="7"/>
    </row>
    <row r="35" spans="1:15" x14ac:dyDescent="0.2">
      <c r="A35" s="14"/>
      <c r="B35" s="14"/>
      <c r="C35" s="14" t="s">
        <v>134</v>
      </c>
      <c r="D35" s="19">
        <f>8042+25079</f>
        <v>33121</v>
      </c>
      <c r="E35" s="14"/>
      <c r="F35" s="18"/>
      <c r="G35" s="98">
        <f t="shared" si="0"/>
        <v>33121</v>
      </c>
      <c r="H35" s="98"/>
      <c r="I35" s="5"/>
      <c r="J35" s="5"/>
      <c r="K35" s="7"/>
      <c r="L35" s="7"/>
      <c r="M35" s="7">
        <f>SUM(L30:L34)</f>
        <v>39456</v>
      </c>
      <c r="N35" s="7"/>
    </row>
    <row r="36" spans="1:15" x14ac:dyDescent="0.2">
      <c r="A36" s="14"/>
      <c r="B36" s="14"/>
      <c r="C36" s="14" t="s">
        <v>135</v>
      </c>
      <c r="D36" s="19">
        <v>28737</v>
      </c>
      <c r="E36" s="14"/>
      <c r="F36" s="18"/>
      <c r="G36" s="98">
        <f t="shared" si="0"/>
        <v>28737</v>
      </c>
      <c r="H36" s="98"/>
      <c r="I36" s="5"/>
      <c r="J36" s="5"/>
      <c r="K36" s="7" t="s">
        <v>116</v>
      </c>
      <c r="L36" s="7">
        <v>186774</v>
      </c>
      <c r="M36" s="7"/>
      <c r="N36" s="7"/>
    </row>
    <row r="37" spans="1:15" x14ac:dyDescent="0.2">
      <c r="A37" s="14"/>
      <c r="B37" s="14"/>
      <c r="C37" s="14" t="s">
        <v>136</v>
      </c>
      <c r="D37" s="19">
        <v>7257</v>
      </c>
      <c r="E37" s="14"/>
      <c r="F37" s="18"/>
      <c r="G37" s="98">
        <f t="shared" si="0"/>
        <v>7257</v>
      </c>
      <c r="H37" s="98"/>
      <c r="I37" s="5"/>
      <c r="J37" s="5"/>
      <c r="K37" s="7" t="s">
        <v>117</v>
      </c>
      <c r="L37" s="142">
        <v>258566</v>
      </c>
      <c r="M37" s="7"/>
      <c r="N37" s="7"/>
    </row>
    <row r="38" spans="1:15" x14ac:dyDescent="0.2">
      <c r="A38" s="14"/>
      <c r="B38" s="14"/>
      <c r="C38" s="14" t="s">
        <v>105</v>
      </c>
      <c r="D38" s="19">
        <v>0</v>
      </c>
      <c r="E38" s="14"/>
      <c r="F38" s="18"/>
      <c r="G38" s="98">
        <f t="shared" si="0"/>
        <v>0</v>
      </c>
      <c r="H38" s="98"/>
      <c r="I38" s="5"/>
      <c r="J38" s="5"/>
      <c r="M38" s="7">
        <f>L36+L37</f>
        <v>445340</v>
      </c>
      <c r="N38" s="114">
        <f>M38/M27</f>
        <v>0.63022813822734003</v>
      </c>
    </row>
    <row r="39" spans="1:15" x14ac:dyDescent="0.2">
      <c r="A39" s="14"/>
      <c r="B39" s="14"/>
      <c r="C39" s="14" t="s">
        <v>104</v>
      </c>
      <c r="D39" s="19">
        <v>3000</v>
      </c>
      <c r="E39" s="14"/>
      <c r="F39" s="18"/>
      <c r="G39" s="98">
        <f t="shared" si="0"/>
        <v>3000</v>
      </c>
      <c r="H39" s="98"/>
      <c r="I39" s="5"/>
      <c r="J39" s="5"/>
      <c r="K39" s="7"/>
      <c r="L39" s="7"/>
      <c r="M39" s="7"/>
      <c r="N39" s="114">
        <v>0.39019999999999999</v>
      </c>
      <c r="O39" s="7" t="s">
        <v>121</v>
      </c>
    </row>
    <row r="40" spans="1:15" x14ac:dyDescent="0.2">
      <c r="A40" s="14"/>
      <c r="B40" s="14"/>
      <c r="C40" s="14" t="s">
        <v>29</v>
      </c>
      <c r="D40" s="19">
        <v>67543</v>
      </c>
      <c r="E40" s="14"/>
      <c r="F40" s="18"/>
      <c r="G40" s="98">
        <f t="shared" si="0"/>
        <v>67543</v>
      </c>
      <c r="H40" s="98"/>
      <c r="I40" s="5"/>
      <c r="J40" s="5"/>
      <c r="K40" s="115" t="s">
        <v>123</v>
      </c>
      <c r="L40" s="7">
        <f>SUM(M28:M38)</f>
        <v>706633</v>
      </c>
      <c r="N40" s="114">
        <f>N38-N39</f>
        <v>0.24002813822734004</v>
      </c>
      <c r="O40" s="7" t="s">
        <v>122</v>
      </c>
    </row>
    <row r="41" spans="1:15" x14ac:dyDescent="0.2">
      <c r="A41" s="14"/>
      <c r="B41" s="14"/>
      <c r="C41" s="14" t="s">
        <v>30</v>
      </c>
      <c r="D41" s="19">
        <v>40341</v>
      </c>
      <c r="E41" s="14"/>
      <c r="F41" s="18"/>
      <c r="G41" s="98">
        <f t="shared" si="0"/>
        <v>40341</v>
      </c>
      <c r="H41" s="98"/>
      <c r="I41" s="5"/>
      <c r="J41" s="5"/>
    </row>
    <row r="42" spans="1:15" ht="3" customHeight="1" x14ac:dyDescent="0.2">
      <c r="A42" s="14"/>
      <c r="B42" s="14"/>
      <c r="C42" s="14"/>
      <c r="D42" s="19"/>
      <c r="E42" s="14"/>
      <c r="F42" s="18"/>
      <c r="G42" s="19"/>
      <c r="H42" s="98"/>
      <c r="I42" s="5"/>
      <c r="J42" s="5"/>
    </row>
    <row r="43" spans="1:15" x14ac:dyDescent="0.2">
      <c r="A43" s="14"/>
      <c r="B43" s="14" t="s">
        <v>20</v>
      </c>
      <c r="C43" s="14"/>
      <c r="D43" s="19">
        <f>SUM(D21:D41)</f>
        <v>2049969</v>
      </c>
      <c r="E43" s="19">
        <f>SUM(E21:E41)</f>
        <v>-182275.33451909275</v>
      </c>
      <c r="F43" s="18"/>
      <c r="G43" s="19">
        <f>SUM(G21:G41)</f>
        <v>1867693.6654809071</v>
      </c>
      <c r="H43" s="98">
        <f>D43+E43</f>
        <v>1867693.6654809073</v>
      </c>
      <c r="I43" s="5"/>
      <c r="J43" s="5"/>
    </row>
    <row r="44" spans="1:15" ht="3" customHeight="1" x14ac:dyDescent="0.2">
      <c r="A44" s="14"/>
      <c r="B44" s="14"/>
      <c r="C44" s="14"/>
      <c r="D44" s="19"/>
      <c r="E44" s="14"/>
      <c r="F44" s="18"/>
      <c r="G44" s="19"/>
      <c r="H44" s="98"/>
      <c r="I44" s="5"/>
      <c r="J44" s="5"/>
    </row>
    <row r="45" spans="1:15" x14ac:dyDescent="0.2">
      <c r="A45" s="14"/>
      <c r="B45" s="14" t="s">
        <v>21</v>
      </c>
      <c r="C45" s="14"/>
      <c r="D45" s="19">
        <v>771703</v>
      </c>
      <c r="E45" s="19">
        <f>DeprAdj!K156</f>
        <v>-87952.641556450209</v>
      </c>
      <c r="F45" s="18" t="s">
        <v>413</v>
      </c>
      <c r="G45" s="98">
        <f>D45+E45</f>
        <v>683750.35844354983</v>
      </c>
      <c r="H45" s="98"/>
      <c r="I45" s="5"/>
      <c r="J45" s="5"/>
      <c r="K45" s="236" t="s">
        <v>512</v>
      </c>
      <c r="O45" s="1">
        <v>224144</v>
      </c>
    </row>
    <row r="46" spans="1:15" x14ac:dyDescent="0.2">
      <c r="A46" s="14"/>
      <c r="B46" s="14" t="s">
        <v>35</v>
      </c>
      <c r="C46" s="14"/>
      <c r="D46" s="19">
        <v>0</v>
      </c>
      <c r="E46" s="14"/>
      <c r="F46" s="18"/>
      <c r="G46" s="98">
        <f>D46+E46</f>
        <v>0</v>
      </c>
      <c r="H46" s="98"/>
      <c r="I46" s="5"/>
      <c r="J46" s="5"/>
    </row>
    <row r="47" spans="1:15" x14ac:dyDescent="0.2">
      <c r="A47" s="14"/>
      <c r="B47" s="14" t="s">
        <v>22</v>
      </c>
      <c r="C47" s="14"/>
      <c r="D47" s="19">
        <v>46496</v>
      </c>
      <c r="E47" s="98"/>
      <c r="F47" s="18"/>
      <c r="G47" s="98">
        <f>D47+E47</f>
        <v>46496</v>
      </c>
      <c r="H47" s="98"/>
      <c r="I47" s="5"/>
      <c r="J47" s="5"/>
      <c r="K47" s="116"/>
    </row>
    <row r="48" spans="1:15" ht="3" customHeight="1" x14ac:dyDescent="0.2">
      <c r="A48" s="14"/>
      <c r="B48" s="14"/>
      <c r="C48" s="14"/>
      <c r="D48" s="19"/>
      <c r="E48" s="14"/>
      <c r="F48" s="18"/>
      <c r="G48" s="19"/>
      <c r="H48" s="98"/>
      <c r="I48" s="5"/>
      <c r="J48" s="5"/>
    </row>
    <row r="49" spans="1:10" x14ac:dyDescent="0.2">
      <c r="A49" s="20" t="s">
        <v>11</v>
      </c>
      <c r="B49" s="14"/>
      <c r="C49" s="14"/>
      <c r="D49" s="17">
        <f>D43+D45+D47+D46</f>
        <v>2868168</v>
      </c>
      <c r="E49" s="17">
        <f>E43+E45+E47+E46</f>
        <v>-270227.97607554297</v>
      </c>
      <c r="F49" s="18"/>
      <c r="G49" s="17">
        <f>G43+G45+G47+G46</f>
        <v>2597940.0239244569</v>
      </c>
      <c r="H49" s="98">
        <f>D49+E49</f>
        <v>2597940.0239244569</v>
      </c>
      <c r="I49" s="5"/>
      <c r="J49" s="5"/>
    </row>
    <row r="50" spans="1:10" ht="3" customHeight="1" x14ac:dyDescent="0.2">
      <c r="A50" s="20"/>
      <c r="B50" s="14"/>
      <c r="C50" s="14"/>
      <c r="D50" s="19"/>
      <c r="E50" s="14"/>
      <c r="F50" s="18"/>
      <c r="G50" s="19"/>
      <c r="H50" s="98"/>
      <c r="I50" s="5"/>
      <c r="J50" s="5"/>
    </row>
    <row r="51" spans="1:10" x14ac:dyDescent="0.2">
      <c r="A51" s="20" t="s">
        <v>37</v>
      </c>
      <c r="B51" s="14"/>
      <c r="C51" s="14"/>
      <c r="D51" s="17">
        <f>D17-D49</f>
        <v>-820211</v>
      </c>
      <c r="E51" s="17">
        <f>E17-E49</f>
        <v>330525.98447554297</v>
      </c>
      <c r="F51" s="18"/>
      <c r="G51" s="17">
        <f>G17-G49</f>
        <v>-489685.01552445721</v>
      </c>
      <c r="H51" s="98">
        <f>D51+E51</f>
        <v>-489685.01552445703</v>
      </c>
      <c r="I51" s="5"/>
      <c r="J51" s="5"/>
    </row>
    <row r="52" spans="1:10" ht="6.95" customHeight="1" x14ac:dyDescent="0.2">
      <c r="A52" s="14"/>
      <c r="B52" s="14"/>
      <c r="C52" s="14"/>
      <c r="D52" s="19"/>
      <c r="E52" s="14"/>
      <c r="F52" s="18"/>
      <c r="G52" s="19"/>
      <c r="H52" s="98"/>
      <c r="I52" s="5"/>
      <c r="J52" s="5"/>
    </row>
    <row r="53" spans="1:10" ht="18" x14ac:dyDescent="0.2">
      <c r="A53" s="3" t="s">
        <v>50</v>
      </c>
      <c r="B53" s="21"/>
      <c r="C53" s="21"/>
      <c r="D53" s="21"/>
      <c r="E53" s="21"/>
      <c r="F53" s="8"/>
      <c r="G53" s="8"/>
      <c r="H53" s="98"/>
      <c r="I53" s="5"/>
      <c r="J53" s="5"/>
    </row>
    <row r="54" spans="1:10" ht="3" customHeight="1" x14ac:dyDescent="0.2">
      <c r="A54" s="14"/>
      <c r="B54" s="14"/>
      <c r="C54" s="14"/>
      <c r="D54" s="19"/>
      <c r="E54" s="15"/>
      <c r="F54" s="15"/>
      <c r="G54" s="19"/>
      <c r="H54" s="98"/>
      <c r="I54" s="5"/>
      <c r="J54" s="5"/>
    </row>
    <row r="55" spans="1:10" x14ac:dyDescent="0.2">
      <c r="A55" s="20" t="s">
        <v>12</v>
      </c>
      <c r="B55" s="14"/>
      <c r="C55" s="14"/>
      <c r="D55" s="7"/>
      <c r="E55" s="14"/>
      <c r="F55" s="18"/>
      <c r="G55" s="17">
        <f>G49</f>
        <v>2597940.0239244569</v>
      </c>
      <c r="H55" s="98"/>
      <c r="I55" s="5"/>
      <c r="J55" s="5"/>
    </row>
    <row r="56" spans="1:10" ht="3" customHeight="1" x14ac:dyDescent="0.2">
      <c r="A56" s="20"/>
      <c r="B56" s="14"/>
      <c r="C56" s="14"/>
      <c r="D56" s="7"/>
      <c r="E56" s="14"/>
      <c r="F56" s="18"/>
      <c r="G56" s="19"/>
      <c r="H56" s="98"/>
      <c r="I56" s="5"/>
      <c r="J56" s="5"/>
    </row>
    <row r="57" spans="1:10" x14ac:dyDescent="0.2">
      <c r="A57" s="14" t="s">
        <v>13</v>
      </c>
      <c r="B57" s="14"/>
      <c r="C57" s="14" t="s">
        <v>62</v>
      </c>
      <c r="D57" s="7"/>
      <c r="E57" s="14"/>
      <c r="F57" s="18" t="s">
        <v>464</v>
      </c>
      <c r="G57" s="19">
        <f>DSch!J20</f>
        <v>209997.56399999998</v>
      </c>
      <c r="H57" s="98"/>
      <c r="I57" s="5"/>
      <c r="J57" s="5"/>
    </row>
    <row r="58" spans="1:10" x14ac:dyDescent="0.2">
      <c r="A58" s="14"/>
      <c r="B58" s="14"/>
      <c r="C58" s="14" t="s">
        <v>31</v>
      </c>
      <c r="D58" s="7"/>
      <c r="E58" s="14"/>
      <c r="F58" s="18" t="s">
        <v>464</v>
      </c>
      <c r="G58" s="19">
        <f>DSch!J22</f>
        <v>38822.36</v>
      </c>
      <c r="H58" s="98"/>
      <c r="I58" s="5"/>
      <c r="J58" s="5"/>
    </row>
    <row r="59" spans="1:10" ht="3" customHeight="1" x14ac:dyDescent="0.2">
      <c r="A59" s="14"/>
      <c r="B59" s="14"/>
      <c r="C59" s="14"/>
      <c r="D59" s="7"/>
      <c r="E59" s="14"/>
      <c r="F59" s="18"/>
      <c r="G59" s="19"/>
      <c r="H59" s="98"/>
      <c r="I59" s="5"/>
      <c r="J59" s="5"/>
    </row>
    <row r="60" spans="1:10" x14ac:dyDescent="0.2">
      <c r="A60" s="20" t="s">
        <v>38</v>
      </c>
      <c r="B60" s="14"/>
      <c r="C60" s="14"/>
      <c r="D60" s="7"/>
      <c r="E60" s="14"/>
      <c r="F60" s="18"/>
      <c r="G60" s="19">
        <f>SUM(G55:G58)</f>
        <v>2846759.9479244566</v>
      </c>
      <c r="H60" s="98"/>
      <c r="I60" s="5"/>
      <c r="J60" s="5"/>
    </row>
    <row r="61" spans="1:10" ht="3" customHeight="1" x14ac:dyDescent="0.2">
      <c r="A61" s="20"/>
      <c r="B61" s="14"/>
      <c r="C61" s="14"/>
      <c r="D61" s="7"/>
      <c r="E61" s="14"/>
      <c r="F61" s="18"/>
      <c r="G61" s="19"/>
      <c r="H61" s="98"/>
      <c r="I61" s="5"/>
      <c r="J61" s="5"/>
    </row>
    <row r="62" spans="1:10" x14ac:dyDescent="0.2">
      <c r="A62" s="14" t="s">
        <v>14</v>
      </c>
      <c r="B62" s="14"/>
      <c r="C62" s="14" t="s">
        <v>18</v>
      </c>
      <c r="D62" s="7"/>
      <c r="E62" s="14"/>
      <c r="F62" s="18"/>
      <c r="G62" s="19">
        <f>-(G13+G12+G15)</f>
        <v>-286066</v>
      </c>
      <c r="H62" s="98"/>
      <c r="I62" s="5"/>
      <c r="J62" s="5"/>
    </row>
    <row r="63" spans="1:10" x14ac:dyDescent="0.2">
      <c r="A63" s="14"/>
      <c r="B63" s="14"/>
      <c r="C63" s="14" t="s">
        <v>144</v>
      </c>
      <c r="D63" s="99">
        <v>22789</v>
      </c>
      <c r="E63" s="98">
        <v>-22789</v>
      </c>
      <c r="F63" s="176" t="s">
        <v>466</v>
      </c>
      <c r="G63" s="98">
        <f>E63+D63</f>
        <v>0</v>
      </c>
      <c r="H63" s="98"/>
      <c r="I63" s="5"/>
      <c r="J63" s="5"/>
    </row>
    <row r="64" spans="1:10" x14ac:dyDescent="0.2">
      <c r="A64" s="14"/>
      <c r="B64" s="14"/>
      <c r="C64" s="14" t="s">
        <v>125</v>
      </c>
      <c r="D64" s="7"/>
      <c r="E64" s="14"/>
      <c r="F64" s="18"/>
      <c r="G64" s="19">
        <v>-293</v>
      </c>
      <c r="H64" s="98"/>
      <c r="I64" s="5"/>
      <c r="J64" s="5"/>
    </row>
    <row r="65" spans="1:17" ht="3" customHeight="1" x14ac:dyDescent="0.2">
      <c r="A65" s="14"/>
      <c r="B65" s="14"/>
      <c r="C65" s="14"/>
      <c r="D65" s="7"/>
      <c r="E65" s="14"/>
      <c r="F65" s="18"/>
      <c r="G65" s="19"/>
      <c r="H65" s="98"/>
      <c r="I65" s="5"/>
      <c r="J65" s="5"/>
    </row>
    <row r="66" spans="1:17" x14ac:dyDescent="0.2">
      <c r="A66" s="20" t="s">
        <v>15</v>
      </c>
      <c r="B66" s="14"/>
      <c r="C66" s="14"/>
      <c r="D66" s="7"/>
      <c r="E66" s="14"/>
      <c r="F66" s="18"/>
      <c r="G66" s="19">
        <f>SUM(G60:G64)</f>
        <v>2560400.9479244566</v>
      </c>
      <c r="H66" s="98"/>
      <c r="I66" s="5"/>
      <c r="J66" s="5"/>
    </row>
    <row r="67" spans="1:17" ht="3" customHeight="1" x14ac:dyDescent="0.2">
      <c r="A67" s="20"/>
      <c r="B67" s="14"/>
      <c r="C67" s="14"/>
      <c r="D67" s="7"/>
      <c r="E67" s="14"/>
      <c r="F67" s="18"/>
      <c r="G67" s="19"/>
      <c r="H67" s="98"/>
      <c r="I67" s="5"/>
      <c r="J67" s="5"/>
    </row>
    <row r="68" spans="1:17" x14ac:dyDescent="0.2">
      <c r="A68" s="14" t="s">
        <v>14</v>
      </c>
      <c r="B68" s="14"/>
      <c r="C68" s="14" t="s">
        <v>39</v>
      </c>
      <c r="D68" s="7"/>
      <c r="E68" s="14"/>
      <c r="F68" s="18"/>
      <c r="G68" s="19">
        <f>-SUM(G7:G10)</f>
        <v>-1822189.0083999999</v>
      </c>
      <c r="H68" s="98"/>
      <c r="I68" s="5"/>
      <c r="J68" s="5"/>
    </row>
    <row r="69" spans="1:17" ht="3" customHeight="1" x14ac:dyDescent="0.2">
      <c r="A69" s="14"/>
      <c r="B69" s="14"/>
      <c r="C69" s="14"/>
      <c r="D69" s="7"/>
      <c r="E69" s="14"/>
      <c r="F69" s="18"/>
      <c r="G69" s="19"/>
      <c r="H69" s="98"/>
      <c r="I69" s="5"/>
      <c r="J69" s="5"/>
    </row>
    <row r="70" spans="1:17" x14ac:dyDescent="0.2">
      <c r="A70" s="20" t="s">
        <v>16</v>
      </c>
      <c r="B70" s="14"/>
      <c r="C70" s="14"/>
      <c r="D70" s="7"/>
      <c r="E70" s="14"/>
      <c r="F70" s="18"/>
      <c r="G70" s="17">
        <f>G66+G68</f>
        <v>738211.93952445663</v>
      </c>
      <c r="H70" s="98"/>
      <c r="J70" s="5"/>
      <c r="N70" s="179">
        <f>G70/12</f>
        <v>61517.661627038055</v>
      </c>
      <c r="O70" s="14" t="s">
        <v>126</v>
      </c>
    </row>
    <row r="71" spans="1:17" ht="3" customHeight="1" x14ac:dyDescent="0.2">
      <c r="A71" s="14"/>
      <c r="B71" s="14"/>
      <c r="C71" s="14"/>
      <c r="D71" s="7"/>
      <c r="E71" s="14"/>
      <c r="F71" s="18"/>
      <c r="G71" s="14"/>
      <c r="H71" s="5"/>
      <c r="K71" s="7"/>
    </row>
    <row r="72" spans="1:17" x14ac:dyDescent="0.2">
      <c r="A72" s="20" t="s">
        <v>17</v>
      </c>
      <c r="B72" s="14"/>
      <c r="C72" s="14"/>
      <c r="D72" s="7"/>
      <c r="E72" s="14"/>
      <c r="F72" s="18"/>
      <c r="G72" s="100">
        <f>ROUND(G70/-G68,4)</f>
        <v>0.40510000000000002</v>
      </c>
      <c r="H72" s="5"/>
      <c r="K72" s="7"/>
      <c r="N72" s="198">
        <v>0.40510000000000002</v>
      </c>
      <c r="O72" s="1" t="s">
        <v>474</v>
      </c>
      <c r="Q72" s="1" t="s">
        <v>476</v>
      </c>
    </row>
    <row r="73" spans="1:17" x14ac:dyDescent="0.2">
      <c r="A73" s="7"/>
      <c r="B73" s="7"/>
      <c r="C73" s="7"/>
      <c r="D73" s="7"/>
      <c r="E73" s="7"/>
      <c r="F73" s="111"/>
      <c r="G73" s="7"/>
      <c r="N73" s="198">
        <v>0.34360000000000002</v>
      </c>
      <c r="O73" s="1" t="s">
        <v>475</v>
      </c>
    </row>
    <row r="74" spans="1:17" x14ac:dyDescent="0.2">
      <c r="D74" s="192"/>
      <c r="E74" s="14"/>
      <c r="G74" s="100"/>
      <c r="H74" s="100"/>
      <c r="L74" s="198"/>
    </row>
    <row r="78" spans="1:17" x14ac:dyDescent="0.2">
      <c r="A78"/>
      <c r="B78"/>
      <c r="C78"/>
      <c r="D78"/>
      <c r="E78"/>
      <c r="F78"/>
      <c r="G78"/>
    </row>
    <row r="79" spans="1:17" x14ac:dyDescent="0.2">
      <c r="A79"/>
      <c r="B79"/>
      <c r="C79"/>
      <c r="D79"/>
      <c r="E79"/>
      <c r="F79"/>
      <c r="G79"/>
    </row>
    <row r="80" spans="1:1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</sheetData>
  <printOptions horizontalCentered="1"/>
  <pageMargins left="0.6" right="0.5" top="0.3" bottom="0.25" header="0" footer="0"/>
  <pageSetup scale="83" orientation="portrait" r:id="rId1"/>
  <headerFooter alignWithMargins="0">
    <oddHeader xml:space="preserve">&amp;C&amp;"Arial,Bold Italic"&amp;KFF0000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03"/>
  <sheetViews>
    <sheetView workbookViewId="0">
      <selection activeCell="E18" sqref="E18"/>
    </sheetView>
  </sheetViews>
  <sheetFormatPr defaultRowHeight="15" x14ac:dyDescent="0.2"/>
  <cols>
    <col min="1" max="1" width="9.33203125" customWidth="1"/>
    <col min="2" max="2" width="9.109375" customWidth="1"/>
    <col min="3" max="3" width="11.44140625" customWidth="1"/>
    <col min="4" max="4" width="10.44140625" customWidth="1"/>
    <col min="5" max="5" width="10.6640625" customWidth="1"/>
    <col min="6" max="6" width="12.77734375" customWidth="1"/>
    <col min="7" max="7" width="12.88671875" customWidth="1"/>
    <col min="8" max="8" width="9.33203125" customWidth="1"/>
    <col min="9" max="9" width="8.6640625" customWidth="1"/>
    <col min="10" max="10" width="10.77734375" customWidth="1"/>
    <col min="11" max="11" width="9.5546875" bestFit="1" customWidth="1"/>
  </cols>
  <sheetData>
    <row r="1" spans="1:17" ht="18" x14ac:dyDescent="0.25">
      <c r="A1" s="9" t="s">
        <v>63</v>
      </c>
      <c r="B1" s="8"/>
      <c r="C1" s="8"/>
      <c r="D1" s="8"/>
      <c r="E1" s="8"/>
      <c r="F1" s="8"/>
      <c r="G1" s="8"/>
      <c r="H1" s="8" t="s">
        <v>7</v>
      </c>
      <c r="I1" s="8"/>
      <c r="J1" s="8"/>
    </row>
    <row r="2" spans="1:17" ht="15.75" x14ac:dyDescent="0.2">
      <c r="A2" s="23" t="s">
        <v>137</v>
      </c>
      <c r="B2" s="8"/>
      <c r="C2" s="8"/>
      <c r="D2" s="8"/>
      <c r="E2" s="8"/>
      <c r="F2" s="8"/>
      <c r="G2" s="8"/>
      <c r="H2" s="8" t="s">
        <v>7</v>
      </c>
      <c r="I2" s="8"/>
      <c r="J2" s="8"/>
    </row>
    <row r="3" spans="1:17" x14ac:dyDescent="0.2">
      <c r="A3" s="25"/>
      <c r="B3" s="8"/>
      <c r="C3" s="8"/>
      <c r="D3" s="8"/>
      <c r="E3" s="8"/>
      <c r="F3" s="8"/>
      <c r="G3" s="8"/>
      <c r="H3" s="8"/>
      <c r="I3" s="8"/>
      <c r="J3" s="8"/>
    </row>
    <row r="4" spans="1:17" ht="15.75" x14ac:dyDescent="0.25">
      <c r="A4" s="26" t="s">
        <v>64</v>
      </c>
    </row>
    <row r="5" spans="1:17" ht="15" customHeight="1" x14ac:dyDescent="0.2">
      <c r="B5" s="30"/>
      <c r="C5" s="31" t="s">
        <v>65</v>
      </c>
      <c r="D5" s="32" t="s">
        <v>66</v>
      </c>
      <c r="E5" s="32" t="s">
        <v>61</v>
      </c>
      <c r="F5" s="30"/>
      <c r="G5" s="30"/>
      <c r="H5" s="30"/>
      <c r="I5" s="30"/>
      <c r="J5" s="30"/>
    </row>
    <row r="6" spans="1:17" ht="6" customHeight="1" x14ac:dyDescent="0.2">
      <c r="B6" s="30"/>
      <c r="C6" s="30"/>
      <c r="D6" s="30"/>
      <c r="E6" s="30"/>
      <c r="F6" s="30"/>
      <c r="G6" s="30"/>
      <c r="H6" s="30"/>
      <c r="I6" s="30"/>
      <c r="J6" s="30"/>
    </row>
    <row r="7" spans="1:17" ht="15" customHeight="1" x14ac:dyDescent="0.2">
      <c r="B7" s="30"/>
      <c r="C7" s="30" t="s">
        <v>56</v>
      </c>
      <c r="D7" s="33">
        <f>D33</f>
        <v>156568000</v>
      </c>
      <c r="E7" s="67">
        <f>F33</f>
        <v>1690332.1</v>
      </c>
      <c r="F7" s="30"/>
      <c r="G7" s="30"/>
      <c r="H7" s="30"/>
      <c r="I7" s="30"/>
      <c r="J7" s="30"/>
    </row>
    <row r="8" spans="1:17" ht="15" customHeight="1" x14ac:dyDescent="0.2">
      <c r="B8" s="30"/>
      <c r="C8" s="30" t="s">
        <v>57</v>
      </c>
      <c r="D8" s="33">
        <f>D47</f>
        <v>4899000</v>
      </c>
      <c r="E8" s="34">
        <f>F47</f>
        <v>40512</v>
      </c>
      <c r="F8" s="30"/>
      <c r="G8" s="30"/>
      <c r="H8" s="30"/>
      <c r="I8" s="30"/>
      <c r="J8" s="102">
        <f>E17</f>
        <v>1912940.81</v>
      </c>
      <c r="K8" s="30" t="s">
        <v>497</v>
      </c>
      <c r="L8" s="30"/>
      <c r="P8" s="120"/>
      <c r="Q8" s="120"/>
    </row>
    <row r="9" spans="1:17" ht="15" customHeight="1" x14ac:dyDescent="0.2">
      <c r="B9" s="30"/>
      <c r="C9" s="30" t="s">
        <v>67</v>
      </c>
      <c r="D9" s="33">
        <f>D61</f>
        <v>722000</v>
      </c>
      <c r="E9" s="34">
        <f>F61</f>
        <v>8825.5</v>
      </c>
      <c r="F9" s="30"/>
      <c r="G9" s="30"/>
      <c r="H9" s="30"/>
      <c r="I9" s="30"/>
      <c r="J9" s="37">
        <f>SAO!D8</f>
        <v>1878795</v>
      </c>
      <c r="K9" s="30" t="s">
        <v>498</v>
      </c>
      <c r="L9" s="30"/>
    </row>
    <row r="10" spans="1:17" ht="15" customHeight="1" x14ac:dyDescent="0.2">
      <c r="B10" s="30"/>
      <c r="C10" s="30" t="s">
        <v>58</v>
      </c>
      <c r="D10" s="33">
        <f>D75</f>
        <v>19212100</v>
      </c>
      <c r="E10" s="34">
        <f>F75</f>
        <v>151383.57</v>
      </c>
      <c r="H10" s="30"/>
      <c r="I10" s="30"/>
      <c r="J10" s="102">
        <f>J8-J9</f>
        <v>34145.810000000056</v>
      </c>
      <c r="K10" s="102" t="s">
        <v>499</v>
      </c>
      <c r="L10" s="30"/>
    </row>
    <row r="11" spans="1:17" ht="15" customHeight="1" x14ac:dyDescent="0.2">
      <c r="B11" s="30"/>
      <c r="C11" s="30" t="s">
        <v>88</v>
      </c>
      <c r="D11" s="35">
        <f>D89</f>
        <v>4384000</v>
      </c>
      <c r="E11" s="34">
        <f>F89</f>
        <v>31887.899999999998</v>
      </c>
      <c r="F11" s="30"/>
      <c r="G11" s="30"/>
      <c r="H11" s="30"/>
      <c r="I11" s="30"/>
      <c r="J11" s="30"/>
      <c r="K11" s="30"/>
      <c r="L11" s="30"/>
    </row>
    <row r="12" spans="1:17" ht="15" customHeight="1" x14ac:dyDescent="0.2">
      <c r="B12" s="30"/>
      <c r="C12" s="101" t="s">
        <v>420</v>
      </c>
      <c r="D12" s="35">
        <f>D103</f>
        <v>5967000</v>
      </c>
      <c r="E12" s="34">
        <f>F103</f>
        <v>40136.100000000006</v>
      </c>
      <c r="F12" s="30"/>
      <c r="G12" s="30"/>
      <c r="H12" s="30"/>
      <c r="I12" s="30"/>
      <c r="J12" s="30"/>
      <c r="K12" s="102"/>
      <c r="L12" s="30"/>
    </row>
    <row r="13" spans="1:17" ht="6" customHeight="1" x14ac:dyDescent="0.2">
      <c r="B13" s="30"/>
      <c r="C13" s="30"/>
      <c r="D13" s="36"/>
      <c r="E13" s="37"/>
      <c r="F13" s="30"/>
      <c r="G13" s="30"/>
      <c r="H13" s="30"/>
      <c r="I13" s="30"/>
      <c r="J13" s="30"/>
      <c r="K13" s="30"/>
      <c r="L13" s="30"/>
    </row>
    <row r="14" spans="1:17" ht="15" customHeight="1" x14ac:dyDescent="0.2">
      <c r="B14" s="30"/>
      <c r="C14" s="30" t="s">
        <v>49</v>
      </c>
      <c r="D14" s="38">
        <f>SUM(D7:D12)</f>
        <v>191752100</v>
      </c>
      <c r="E14" s="68">
        <f>SUM(E7:E12)</f>
        <v>1963077.1700000002</v>
      </c>
      <c r="G14" s="30"/>
      <c r="H14" s="30"/>
      <c r="I14" s="30"/>
      <c r="J14" s="30"/>
      <c r="K14" s="112"/>
      <c r="L14" s="30"/>
    </row>
    <row r="15" spans="1:17" ht="6.95" customHeight="1" x14ac:dyDescent="0.2">
      <c r="B15" s="30"/>
      <c r="C15" s="30"/>
      <c r="D15" s="38"/>
      <c r="E15" s="68"/>
      <c r="G15" s="30"/>
      <c r="H15" s="30"/>
      <c r="I15" s="30"/>
      <c r="J15" s="30"/>
      <c r="K15" s="112"/>
      <c r="L15" s="30"/>
    </row>
    <row r="16" spans="1:17" ht="15" customHeight="1" x14ac:dyDescent="0.2">
      <c r="B16" s="30"/>
      <c r="C16" s="30" t="s">
        <v>502</v>
      </c>
      <c r="D16" s="38"/>
      <c r="E16" s="37">
        <f>BillSum!E34</f>
        <v>-50136.36</v>
      </c>
      <c r="G16" s="30"/>
      <c r="H16" s="30"/>
      <c r="I16" s="30"/>
      <c r="J16" s="30"/>
      <c r="K16" s="112"/>
      <c r="L16" s="30"/>
    </row>
    <row r="17" spans="1:12" ht="15" customHeight="1" x14ac:dyDescent="0.2">
      <c r="B17" s="29" t="s">
        <v>495</v>
      </c>
      <c r="C17" s="30"/>
      <c r="D17" s="38"/>
      <c r="E17" s="68">
        <f>E14+E16</f>
        <v>1912940.81</v>
      </c>
      <c r="G17" s="30"/>
      <c r="H17" s="30"/>
      <c r="I17" s="30"/>
      <c r="J17" s="30"/>
      <c r="K17" s="112"/>
      <c r="L17" s="30"/>
    </row>
    <row r="18" spans="1:12" ht="15" customHeight="1" x14ac:dyDescent="0.2">
      <c r="B18" s="29"/>
      <c r="C18" s="30" t="s">
        <v>503</v>
      </c>
      <c r="D18" s="38"/>
      <c r="E18" s="37">
        <f>SAO!E9</f>
        <v>-91055.991600000008</v>
      </c>
      <c r="G18" s="30"/>
      <c r="H18" s="30"/>
      <c r="I18" s="30"/>
      <c r="J18" s="30"/>
      <c r="K18" s="112"/>
      <c r="L18" s="30"/>
    </row>
    <row r="19" spans="1:12" ht="15" customHeight="1" x14ac:dyDescent="0.2">
      <c r="B19" s="29" t="s">
        <v>501</v>
      </c>
      <c r="C19" s="30"/>
      <c r="D19" s="38"/>
      <c r="E19" s="68">
        <f>E17+E18</f>
        <v>1821884.8184</v>
      </c>
      <c r="G19" s="30"/>
      <c r="H19" s="30"/>
      <c r="I19" s="30"/>
      <c r="J19" s="30"/>
      <c r="K19" s="112"/>
      <c r="L19" s="30"/>
    </row>
    <row r="20" spans="1:12" ht="15" customHeight="1" x14ac:dyDescent="0.2">
      <c r="A20" s="30"/>
      <c r="B20" s="30"/>
      <c r="C20" s="38"/>
      <c r="D20" s="68"/>
      <c r="E20" s="30"/>
      <c r="G20" s="30"/>
      <c r="H20" s="30"/>
      <c r="I20" s="30"/>
      <c r="J20" s="30"/>
      <c r="K20" s="112"/>
      <c r="L20" s="30"/>
    </row>
    <row r="21" spans="1:12" ht="15.75" customHeight="1" x14ac:dyDescent="0.25">
      <c r="A21" s="26" t="s">
        <v>68</v>
      </c>
      <c r="B21" s="41"/>
      <c r="C21" s="41"/>
      <c r="D21" s="41"/>
      <c r="E21" s="41"/>
      <c r="F21" s="41"/>
      <c r="G21" s="41"/>
      <c r="I21" s="30"/>
      <c r="J21" s="30"/>
    </row>
    <row r="22" spans="1:12" ht="12.95" customHeight="1" x14ac:dyDescent="0.2">
      <c r="A22" s="42"/>
      <c r="B22" s="42"/>
      <c r="C22" s="42"/>
      <c r="D22" s="42"/>
      <c r="E22" s="43" t="s">
        <v>69</v>
      </c>
      <c r="F22" s="43" t="s">
        <v>70</v>
      </c>
      <c r="G22" s="30"/>
    </row>
    <row r="23" spans="1:12" ht="12.95" customHeight="1" x14ac:dyDescent="0.2">
      <c r="A23" s="42"/>
      <c r="B23" s="32" t="s">
        <v>71</v>
      </c>
      <c r="C23" s="44" t="s">
        <v>72</v>
      </c>
      <c r="D23" s="44" t="s">
        <v>73</v>
      </c>
      <c r="E23" s="44">
        <f>B24</f>
        <v>2000</v>
      </c>
      <c r="F23" s="44">
        <f>B25</f>
        <v>2000</v>
      </c>
      <c r="G23" s="31" t="s">
        <v>74</v>
      </c>
    </row>
    <row r="24" spans="1:12" ht="12.95" customHeight="1" x14ac:dyDescent="0.2">
      <c r="A24" s="27" t="s">
        <v>69</v>
      </c>
      <c r="B24" s="39">
        <v>2000</v>
      </c>
      <c r="C24" s="45">
        <v>17926</v>
      </c>
      <c r="D24" s="45">
        <v>21379000</v>
      </c>
      <c r="E24" s="45">
        <v>21379000</v>
      </c>
      <c r="F24" s="45">
        <v>0</v>
      </c>
      <c r="G24" s="45">
        <f>SUM(E24:F24)</f>
        <v>21379000</v>
      </c>
    </row>
    <row r="25" spans="1:12" ht="12.95" customHeight="1" x14ac:dyDescent="0.2">
      <c r="A25" s="27" t="s">
        <v>70</v>
      </c>
      <c r="B25" s="46">
        <v>2000</v>
      </c>
      <c r="C25" s="47">
        <v>23628</v>
      </c>
      <c r="D25" s="47">
        <v>135189000</v>
      </c>
      <c r="E25" s="47">
        <v>47256000</v>
      </c>
      <c r="F25" s="47">
        <f>D25-E25</f>
        <v>87933000</v>
      </c>
      <c r="G25" s="47">
        <f>SUM(E25:F25)</f>
        <v>135189000</v>
      </c>
      <c r="J25" s="34"/>
    </row>
    <row r="26" spans="1:12" ht="12.95" customHeight="1" x14ac:dyDescent="0.2">
      <c r="A26" s="27"/>
      <c r="B26" s="39"/>
      <c r="C26" s="48">
        <f>SUM(C24:C25)</f>
        <v>41554</v>
      </c>
      <c r="D26" s="48">
        <f>SUM(D24:D25)</f>
        <v>156568000</v>
      </c>
      <c r="E26" s="48">
        <f>SUM(E24:E25)</f>
        <v>68635000</v>
      </c>
      <c r="F26" s="48">
        <f>SUM(F24:F25)</f>
        <v>87933000</v>
      </c>
      <c r="G26" s="48">
        <f>SUM(G24:G25)</f>
        <v>156568000</v>
      </c>
      <c r="J26" s="34">
        <f>D26/C26</f>
        <v>3767.8201857823556</v>
      </c>
      <c r="K26" s="101" t="s">
        <v>496</v>
      </c>
    </row>
    <row r="27" spans="1:12" ht="6.95" customHeight="1" x14ac:dyDescent="0.2">
      <c r="A27" s="27"/>
      <c r="B27" s="39"/>
      <c r="C27" s="30"/>
      <c r="D27" s="39"/>
      <c r="E27" s="39"/>
      <c r="F27" s="39"/>
      <c r="G27" s="39"/>
      <c r="I27" s="39"/>
      <c r="J27" s="30"/>
    </row>
    <row r="28" spans="1:12" ht="12.95" customHeight="1" x14ac:dyDescent="0.2">
      <c r="A28" s="28" t="s">
        <v>75</v>
      </c>
      <c r="B28" s="28"/>
      <c r="C28" s="30"/>
      <c r="D28" s="39"/>
      <c r="E28" s="39"/>
      <c r="F28" s="39"/>
      <c r="G28" s="39"/>
      <c r="I28" s="39"/>
      <c r="J28" s="30"/>
    </row>
    <row r="29" spans="1:12" ht="6" customHeight="1" x14ac:dyDescent="0.2">
      <c r="A29" s="27"/>
      <c r="B29" s="39"/>
      <c r="C29" s="30"/>
      <c r="D29" s="39"/>
      <c r="E29" s="39"/>
      <c r="F29" s="39"/>
      <c r="G29" s="39"/>
      <c r="H29" s="39"/>
      <c r="I29" s="39"/>
      <c r="J29" s="30"/>
    </row>
    <row r="30" spans="1:12" ht="12.95" customHeight="1" x14ac:dyDescent="0.2">
      <c r="A30" s="27"/>
      <c r="B30" s="30"/>
      <c r="C30" s="49" t="s">
        <v>72</v>
      </c>
      <c r="D30" s="31" t="s">
        <v>73</v>
      </c>
      <c r="E30" s="49" t="s">
        <v>76</v>
      </c>
      <c r="F30" s="49" t="s">
        <v>77</v>
      </c>
      <c r="G30" s="39"/>
      <c r="H30" s="39"/>
      <c r="I30" s="39"/>
      <c r="J30" s="30"/>
    </row>
    <row r="31" spans="1:12" ht="12.95" customHeight="1" x14ac:dyDescent="0.2">
      <c r="A31" s="27" t="s">
        <v>69</v>
      </c>
      <c r="B31" s="39">
        <f>B24</f>
        <v>2000</v>
      </c>
      <c r="C31" s="34">
        <f>C26</f>
        <v>41554</v>
      </c>
      <c r="D31" s="45">
        <f>E26</f>
        <v>68635000</v>
      </c>
      <c r="E31" s="40">
        <v>26.5</v>
      </c>
      <c r="F31" s="40">
        <f>E31*C31</f>
        <v>1101181</v>
      </c>
      <c r="G31" s="39"/>
      <c r="H31" s="39"/>
      <c r="I31" s="39"/>
      <c r="J31" s="30"/>
    </row>
    <row r="32" spans="1:12" ht="12.95" customHeight="1" x14ac:dyDescent="0.2">
      <c r="A32" s="27" t="s">
        <v>70</v>
      </c>
      <c r="B32" s="39">
        <f>B25</f>
        <v>2000</v>
      </c>
      <c r="C32" s="50"/>
      <c r="D32" s="47">
        <f>F26</f>
        <v>87933000</v>
      </c>
      <c r="E32" s="51">
        <v>6.7</v>
      </c>
      <c r="F32" s="51">
        <f>E32*(D32/1000)</f>
        <v>589151.1</v>
      </c>
      <c r="G32" s="39"/>
      <c r="H32" s="39"/>
      <c r="I32" s="39"/>
      <c r="J32" s="30"/>
    </row>
    <row r="33" spans="1:10" ht="12.95" customHeight="1" x14ac:dyDescent="0.2">
      <c r="A33" s="27"/>
      <c r="B33" s="39" t="s">
        <v>74</v>
      </c>
      <c r="C33" s="34">
        <f>SUM(C31:C32)</f>
        <v>41554</v>
      </c>
      <c r="D33" s="48">
        <f>SUM(D31:D32)</f>
        <v>156568000</v>
      </c>
      <c r="E33" s="30"/>
      <c r="F33" s="40">
        <f>SUM(F31:F32)</f>
        <v>1690332.1</v>
      </c>
      <c r="G33" s="39"/>
      <c r="H33" s="39"/>
      <c r="I33" s="39"/>
      <c r="J33" s="30"/>
    </row>
    <row r="34" spans="1:10" ht="15" customHeight="1" x14ac:dyDescent="0.2">
      <c r="A34" s="27"/>
      <c r="B34" s="39"/>
      <c r="C34" s="52"/>
      <c r="D34" s="52"/>
      <c r="E34" s="30"/>
      <c r="F34" s="40"/>
      <c r="G34" s="39"/>
      <c r="H34" s="39"/>
      <c r="I34" s="39"/>
      <c r="J34" s="30"/>
    </row>
    <row r="35" spans="1:10" ht="15.75" x14ac:dyDescent="0.25">
      <c r="A35" s="26" t="s">
        <v>79</v>
      </c>
      <c r="B35" s="29"/>
      <c r="C35" s="53"/>
      <c r="D35" s="53"/>
      <c r="E35" s="53"/>
      <c r="F35" s="53"/>
      <c r="G35" s="53"/>
      <c r="H35" s="53"/>
      <c r="I35" s="30"/>
      <c r="J35" s="30"/>
    </row>
    <row r="36" spans="1:10" ht="12.95" customHeight="1" x14ac:dyDescent="0.2">
      <c r="A36" s="42"/>
      <c r="B36" s="42"/>
      <c r="C36" s="42"/>
      <c r="D36" s="42"/>
      <c r="E36" s="43" t="s">
        <v>69</v>
      </c>
      <c r="F36" s="43" t="s">
        <v>78</v>
      </c>
      <c r="G36" s="30"/>
      <c r="J36" s="30"/>
    </row>
    <row r="37" spans="1:10" ht="12.95" customHeight="1" x14ac:dyDescent="0.2">
      <c r="A37" s="42"/>
      <c r="B37" s="32" t="s">
        <v>71</v>
      </c>
      <c r="C37" s="44" t="s">
        <v>72</v>
      </c>
      <c r="D37" s="44" t="s">
        <v>73</v>
      </c>
      <c r="E37" s="44">
        <f>B38</f>
        <v>5000</v>
      </c>
      <c r="F37" s="44">
        <f>B39</f>
        <v>5000</v>
      </c>
      <c r="G37" s="31" t="s">
        <v>74</v>
      </c>
      <c r="J37" s="30"/>
    </row>
    <row r="38" spans="1:10" ht="12.95" customHeight="1" x14ac:dyDescent="0.2">
      <c r="A38" s="27" t="s">
        <v>69</v>
      </c>
      <c r="B38" s="39">
        <v>5000</v>
      </c>
      <c r="C38" s="34">
        <v>158</v>
      </c>
      <c r="D38" s="45">
        <v>229000</v>
      </c>
      <c r="E38" s="34">
        <v>229000</v>
      </c>
      <c r="F38" s="34"/>
      <c r="G38" s="34">
        <f>SUM(E38:F38)</f>
        <v>229000</v>
      </c>
      <c r="J38" s="30"/>
    </row>
    <row r="39" spans="1:10" ht="12.95" customHeight="1" x14ac:dyDescent="0.2">
      <c r="A39" s="27" t="s">
        <v>70</v>
      </c>
      <c r="B39" s="46">
        <v>5000</v>
      </c>
      <c r="C39" s="37">
        <v>142</v>
      </c>
      <c r="D39" s="47">
        <v>4670000</v>
      </c>
      <c r="E39" s="37">
        <v>710000</v>
      </c>
      <c r="F39" s="47">
        <f>D39-E39</f>
        <v>3960000</v>
      </c>
      <c r="G39" s="37">
        <f>SUM(E39:F39)</f>
        <v>4670000</v>
      </c>
      <c r="J39" s="30"/>
    </row>
    <row r="40" spans="1:10" ht="12.95" customHeight="1" x14ac:dyDescent="0.2">
      <c r="A40" s="27"/>
      <c r="B40" s="39"/>
      <c r="C40" s="34">
        <f>SUM(C38:C39)</f>
        <v>300</v>
      </c>
      <c r="D40" s="34">
        <f>SUM(D38:D39)</f>
        <v>4899000</v>
      </c>
      <c r="E40" s="34">
        <f>SUM(E38:E39)</f>
        <v>939000</v>
      </c>
      <c r="F40" s="34">
        <f>SUM(F38:F39)</f>
        <v>3960000</v>
      </c>
      <c r="G40" s="34">
        <f>SUM(G38:G39)</f>
        <v>4899000</v>
      </c>
      <c r="J40" s="30"/>
    </row>
    <row r="41" spans="1:10" ht="6.95" customHeight="1" x14ac:dyDescent="0.2">
      <c r="A41" s="27"/>
      <c r="B41" s="39"/>
      <c r="C41" s="30"/>
      <c r="D41" s="30"/>
      <c r="E41" s="30"/>
      <c r="F41" s="30"/>
      <c r="G41" s="30"/>
      <c r="H41" s="30"/>
      <c r="I41" s="30"/>
      <c r="J41" s="30"/>
    </row>
    <row r="42" spans="1:10" ht="12.95" customHeight="1" x14ac:dyDescent="0.2">
      <c r="A42" s="28" t="s">
        <v>75</v>
      </c>
      <c r="B42" s="28"/>
      <c r="C42" s="30"/>
      <c r="D42" s="30"/>
      <c r="E42" s="30"/>
      <c r="F42" s="30"/>
      <c r="G42" s="30"/>
      <c r="H42" s="30"/>
      <c r="I42" s="30"/>
      <c r="J42" s="30"/>
    </row>
    <row r="43" spans="1:10" ht="6" customHeight="1" x14ac:dyDescent="0.2">
      <c r="A43" s="27"/>
      <c r="B43" s="39"/>
      <c r="C43" s="30"/>
      <c r="D43" s="30"/>
      <c r="E43" s="30"/>
      <c r="F43" s="30"/>
      <c r="G43" s="30"/>
      <c r="H43" s="30"/>
      <c r="I43" s="30"/>
      <c r="J43" s="30"/>
    </row>
    <row r="44" spans="1:10" ht="12.95" customHeight="1" x14ac:dyDescent="0.2">
      <c r="A44" s="27"/>
      <c r="B44" s="30"/>
      <c r="C44" s="49" t="s">
        <v>72</v>
      </c>
      <c r="D44" s="31" t="s">
        <v>73</v>
      </c>
      <c r="E44" s="31" t="s">
        <v>76</v>
      </c>
      <c r="F44" s="31" t="s">
        <v>77</v>
      </c>
      <c r="G44" s="30"/>
      <c r="H44" s="30"/>
      <c r="I44" s="30"/>
      <c r="J44" s="30"/>
    </row>
    <row r="45" spans="1:10" ht="12.95" customHeight="1" x14ac:dyDescent="0.2">
      <c r="A45" s="27" t="s">
        <v>69</v>
      </c>
      <c r="B45" s="39">
        <f>B38</f>
        <v>5000</v>
      </c>
      <c r="C45" s="54">
        <f>C40</f>
        <v>300</v>
      </c>
      <c r="D45" s="45">
        <f>E40</f>
        <v>939000</v>
      </c>
      <c r="E45" s="40">
        <v>46.6</v>
      </c>
      <c r="F45" s="40">
        <f>E45*C45</f>
        <v>13980</v>
      </c>
      <c r="G45" s="30"/>
      <c r="H45" s="30"/>
      <c r="I45" s="30"/>
      <c r="J45" s="30"/>
    </row>
    <row r="46" spans="1:10" ht="12.95" customHeight="1" x14ac:dyDescent="0.2">
      <c r="A46" s="27" t="s">
        <v>70</v>
      </c>
      <c r="B46" s="39">
        <f>B39</f>
        <v>5000</v>
      </c>
      <c r="C46" s="50"/>
      <c r="D46" s="47">
        <f>F40</f>
        <v>3960000</v>
      </c>
      <c r="E46" s="51">
        <f>$E$32</f>
        <v>6.7</v>
      </c>
      <c r="F46" s="51">
        <f>E46*(D46/1000)</f>
        <v>26532</v>
      </c>
      <c r="G46" s="30"/>
      <c r="H46" s="30"/>
      <c r="I46" s="30"/>
      <c r="J46" s="30"/>
    </row>
    <row r="47" spans="1:10" ht="12.95" customHeight="1" x14ac:dyDescent="0.2">
      <c r="A47" s="27"/>
      <c r="B47" s="39" t="s">
        <v>74</v>
      </c>
      <c r="C47" s="34">
        <f>SUM(C45:C46)</f>
        <v>300</v>
      </c>
      <c r="D47" s="34">
        <f>SUM(D45:D46)</f>
        <v>4899000</v>
      </c>
      <c r="E47" s="30"/>
      <c r="F47" s="40">
        <f>SUM(F45:F46)</f>
        <v>40512</v>
      </c>
      <c r="G47" s="30"/>
      <c r="H47" s="30"/>
      <c r="I47" s="30"/>
      <c r="J47" s="30"/>
    </row>
    <row r="48" spans="1:10" ht="12.95" customHeight="1" x14ac:dyDescent="0.2">
      <c r="A48" s="27"/>
      <c r="B48" s="39"/>
      <c r="C48" s="34"/>
      <c r="D48" s="34"/>
      <c r="E48" s="30"/>
      <c r="F48" s="40"/>
      <c r="G48" s="30"/>
      <c r="H48" s="30"/>
      <c r="I48" s="30"/>
      <c r="J48" s="30"/>
    </row>
    <row r="49" spans="1:10" ht="15.75" x14ac:dyDescent="0.25">
      <c r="A49" s="26" t="s">
        <v>80</v>
      </c>
      <c r="B49" s="29"/>
      <c r="C49" s="53"/>
      <c r="D49" s="53"/>
      <c r="E49" s="53"/>
      <c r="F49" s="53"/>
      <c r="G49" s="53"/>
      <c r="H49" s="53"/>
      <c r="I49" s="30"/>
      <c r="J49" s="30"/>
    </row>
    <row r="50" spans="1:10" ht="12.95" customHeight="1" x14ac:dyDescent="0.2">
      <c r="A50" s="42"/>
      <c r="B50" s="42"/>
      <c r="C50" s="42"/>
      <c r="D50" s="42"/>
      <c r="E50" s="43" t="s">
        <v>69</v>
      </c>
      <c r="F50" s="43" t="s">
        <v>78</v>
      </c>
      <c r="G50" s="30"/>
      <c r="I50" s="30"/>
      <c r="J50" s="30"/>
    </row>
    <row r="51" spans="1:10" ht="12.95" customHeight="1" x14ac:dyDescent="0.2">
      <c r="A51" s="42"/>
      <c r="B51" s="32" t="s">
        <v>71</v>
      </c>
      <c r="C51" s="44" t="s">
        <v>72</v>
      </c>
      <c r="D51" s="44" t="s">
        <v>73</v>
      </c>
      <c r="E51" s="44">
        <f>B52</f>
        <v>10000</v>
      </c>
      <c r="F51" s="44">
        <f>B53</f>
        <v>10000</v>
      </c>
      <c r="G51" s="31" t="s">
        <v>74</v>
      </c>
      <c r="I51" s="30"/>
      <c r="J51" s="30"/>
    </row>
    <row r="52" spans="1:10" ht="12.95" customHeight="1" x14ac:dyDescent="0.2">
      <c r="A52" s="27" t="s">
        <v>69</v>
      </c>
      <c r="B52" s="39">
        <v>10000</v>
      </c>
      <c r="C52" s="34">
        <v>52</v>
      </c>
      <c r="D52" s="45">
        <v>89000</v>
      </c>
      <c r="E52" s="34">
        <v>89000</v>
      </c>
      <c r="F52" s="34"/>
      <c r="G52" s="34">
        <f>SUM(E52:F52)</f>
        <v>89000</v>
      </c>
      <c r="I52" s="30"/>
      <c r="J52" s="30"/>
    </row>
    <row r="53" spans="1:10" ht="12.95" customHeight="1" x14ac:dyDescent="0.2">
      <c r="A53" s="27" t="s">
        <v>70</v>
      </c>
      <c r="B53" s="46">
        <v>10000</v>
      </c>
      <c r="C53" s="37">
        <v>32</v>
      </c>
      <c r="D53" s="47">
        <v>633000</v>
      </c>
      <c r="E53" s="37">
        <v>320000</v>
      </c>
      <c r="F53" s="47">
        <v>313000</v>
      </c>
      <c r="G53" s="37">
        <f>SUM(E53:F53)</f>
        <v>633000</v>
      </c>
      <c r="I53" s="30"/>
      <c r="J53" s="30"/>
    </row>
    <row r="54" spans="1:10" ht="12.95" customHeight="1" x14ac:dyDescent="0.2">
      <c r="A54" s="27"/>
      <c r="B54" s="39"/>
      <c r="C54" s="34">
        <f>SUM(C52:C53)</f>
        <v>84</v>
      </c>
      <c r="D54" s="34">
        <f>SUM(D52:D53)</f>
        <v>722000</v>
      </c>
      <c r="E54" s="34">
        <f>SUM(E52:E53)</f>
        <v>409000</v>
      </c>
      <c r="F54" s="34">
        <f>SUM(F52:F53)</f>
        <v>313000</v>
      </c>
      <c r="G54" s="34">
        <f>SUM(G52:G53)</f>
        <v>722000</v>
      </c>
      <c r="I54" s="30"/>
      <c r="J54" s="30"/>
    </row>
    <row r="55" spans="1:10" ht="6.95" customHeight="1" x14ac:dyDescent="0.2">
      <c r="A55" s="27"/>
      <c r="B55" s="39"/>
      <c r="C55" s="30"/>
      <c r="D55" s="30"/>
      <c r="E55" s="30"/>
      <c r="F55" s="30"/>
      <c r="G55" s="30"/>
      <c r="H55" s="30"/>
      <c r="I55" s="30"/>
      <c r="J55" s="30"/>
    </row>
    <row r="56" spans="1:10" ht="12.95" customHeight="1" x14ac:dyDescent="0.2">
      <c r="A56" s="28" t="s">
        <v>75</v>
      </c>
      <c r="B56" s="28"/>
      <c r="C56" s="30"/>
      <c r="D56" s="30"/>
      <c r="E56" s="30"/>
      <c r="F56" s="30"/>
      <c r="G56" s="30"/>
      <c r="H56" s="30"/>
      <c r="I56" s="30"/>
      <c r="J56" s="30"/>
    </row>
    <row r="57" spans="1:10" ht="6" customHeight="1" x14ac:dyDescent="0.2">
      <c r="A57" s="27"/>
      <c r="B57" s="39"/>
      <c r="C57" s="30"/>
      <c r="D57" s="30"/>
      <c r="E57" s="30"/>
      <c r="F57" s="30"/>
      <c r="G57" s="30"/>
      <c r="H57" s="30"/>
      <c r="I57" s="30"/>
      <c r="J57" s="30"/>
    </row>
    <row r="58" spans="1:10" ht="12.95" customHeight="1" x14ac:dyDescent="0.2">
      <c r="A58" s="27"/>
      <c r="B58" s="30"/>
      <c r="C58" s="49" t="s">
        <v>72</v>
      </c>
      <c r="D58" s="31" t="s">
        <v>73</v>
      </c>
      <c r="E58" s="31" t="s">
        <v>76</v>
      </c>
      <c r="F58" s="31" t="s">
        <v>77</v>
      </c>
      <c r="G58" s="30"/>
      <c r="H58" s="30"/>
      <c r="I58" s="30"/>
      <c r="J58" s="30"/>
    </row>
    <row r="59" spans="1:10" ht="12.95" customHeight="1" x14ac:dyDescent="0.2">
      <c r="A59" s="27" t="s">
        <v>69</v>
      </c>
      <c r="B59" s="39">
        <f>B52</f>
        <v>10000</v>
      </c>
      <c r="C59" s="54">
        <f>C54</f>
        <v>84</v>
      </c>
      <c r="D59" s="45">
        <f>E54</f>
        <v>409000</v>
      </c>
      <c r="E59" s="40">
        <v>80.099999999999994</v>
      </c>
      <c r="F59" s="40">
        <f>E59*C59</f>
        <v>6728.4</v>
      </c>
      <c r="G59" s="30"/>
      <c r="H59" s="30"/>
      <c r="I59" s="30"/>
      <c r="J59" s="30"/>
    </row>
    <row r="60" spans="1:10" ht="12.95" customHeight="1" x14ac:dyDescent="0.2">
      <c r="A60" s="27" t="s">
        <v>70</v>
      </c>
      <c r="B60" s="39">
        <f>B53</f>
        <v>10000</v>
      </c>
      <c r="C60" s="50"/>
      <c r="D60" s="47">
        <f>F54</f>
        <v>313000</v>
      </c>
      <c r="E60" s="51">
        <f>$E$32</f>
        <v>6.7</v>
      </c>
      <c r="F60" s="51">
        <f>E60*(D60/1000)</f>
        <v>2097.1</v>
      </c>
      <c r="G60" s="30"/>
      <c r="H60" s="30"/>
      <c r="I60" s="30"/>
      <c r="J60" s="30"/>
    </row>
    <row r="61" spans="1:10" ht="12.95" customHeight="1" x14ac:dyDescent="0.2">
      <c r="A61" s="27"/>
      <c r="B61" s="39" t="s">
        <v>74</v>
      </c>
      <c r="C61" s="34">
        <f>SUM(C59:C60)</f>
        <v>84</v>
      </c>
      <c r="D61" s="34">
        <f>SUM(D59:D60)</f>
        <v>722000</v>
      </c>
      <c r="E61" s="30"/>
      <c r="F61" s="40">
        <f>SUM(F59:F60)</f>
        <v>8825.5</v>
      </c>
      <c r="G61" s="30"/>
      <c r="H61" s="30"/>
      <c r="I61" s="30"/>
      <c r="J61" s="30"/>
    </row>
    <row r="62" spans="1:10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5.75" x14ac:dyDescent="0.25">
      <c r="A63" s="26" t="s">
        <v>81</v>
      </c>
      <c r="B63" s="29"/>
      <c r="C63" s="53"/>
      <c r="D63" s="53"/>
      <c r="E63" s="53"/>
      <c r="F63" s="53"/>
      <c r="G63" s="53"/>
      <c r="H63" s="53"/>
      <c r="I63" s="30"/>
      <c r="J63" s="30"/>
    </row>
    <row r="64" spans="1:10" ht="12.95" customHeight="1" x14ac:dyDescent="0.2">
      <c r="A64" s="42"/>
      <c r="B64" s="42"/>
      <c r="C64" s="42"/>
      <c r="D64" s="42"/>
      <c r="E64" s="43" t="s">
        <v>69</v>
      </c>
      <c r="F64" s="43" t="s">
        <v>78</v>
      </c>
      <c r="G64" s="30"/>
      <c r="H64" s="30"/>
      <c r="I64" s="30"/>
      <c r="J64" s="30"/>
    </row>
    <row r="65" spans="1:10" ht="12.95" customHeight="1" x14ac:dyDescent="0.2">
      <c r="A65" s="42"/>
      <c r="B65" s="32" t="s">
        <v>71</v>
      </c>
      <c r="C65" s="44" t="s">
        <v>72</v>
      </c>
      <c r="D65" s="44" t="s">
        <v>73</v>
      </c>
      <c r="E65" s="44">
        <f>B66</f>
        <v>20000</v>
      </c>
      <c r="F65" s="44">
        <f>B67</f>
        <v>20000</v>
      </c>
      <c r="G65" s="31" t="s">
        <v>74</v>
      </c>
      <c r="H65" s="30"/>
      <c r="I65" s="30"/>
      <c r="J65" s="30"/>
    </row>
    <row r="66" spans="1:10" ht="12.95" customHeight="1" x14ac:dyDescent="0.2">
      <c r="A66" s="27" t="s">
        <v>69</v>
      </c>
      <c r="B66" s="39">
        <v>20000</v>
      </c>
      <c r="C66" s="34">
        <v>197</v>
      </c>
      <c r="D66" s="45">
        <v>1236000</v>
      </c>
      <c r="E66" s="34">
        <v>1236000</v>
      </c>
      <c r="F66" s="34"/>
      <c r="G66" s="34">
        <f>SUM(E66:F66)</f>
        <v>1236000</v>
      </c>
      <c r="H66" s="30"/>
      <c r="I66" s="30"/>
      <c r="J66" s="30"/>
    </row>
    <row r="67" spans="1:10" ht="12.95" customHeight="1" x14ac:dyDescent="0.2">
      <c r="A67" s="27" t="s">
        <v>70</v>
      </c>
      <c r="B67" s="46">
        <v>20000</v>
      </c>
      <c r="C67" s="37">
        <v>150</v>
      </c>
      <c r="D67" s="47">
        <v>17976100</v>
      </c>
      <c r="E67" s="37">
        <v>3000000</v>
      </c>
      <c r="F67" s="47">
        <v>14976100</v>
      </c>
      <c r="G67" s="37">
        <f>SUM(E67:F67)</f>
        <v>17976100</v>
      </c>
      <c r="H67" s="30"/>
      <c r="I67" s="30"/>
      <c r="J67" s="30"/>
    </row>
    <row r="68" spans="1:10" ht="12.95" customHeight="1" x14ac:dyDescent="0.2">
      <c r="A68" s="27"/>
      <c r="B68" s="39"/>
      <c r="C68" s="34">
        <f>SUM(C66:C67)</f>
        <v>347</v>
      </c>
      <c r="D68" s="34">
        <f>SUM(D66:D67)</f>
        <v>19212100</v>
      </c>
      <c r="E68" s="34">
        <f>SUM(E66:E67)</f>
        <v>4236000</v>
      </c>
      <c r="F68" s="34">
        <f>SUM(F66:F67)</f>
        <v>14976100</v>
      </c>
      <c r="G68" s="34">
        <f>SUM(G66:G67)</f>
        <v>19212100</v>
      </c>
      <c r="H68" s="30"/>
      <c r="I68" s="30"/>
      <c r="J68" s="30"/>
    </row>
    <row r="69" spans="1:10" ht="6.95" customHeight="1" x14ac:dyDescent="0.2">
      <c r="A69" s="27"/>
      <c r="B69" s="39"/>
      <c r="C69" s="30"/>
      <c r="D69" s="30"/>
      <c r="E69" s="30"/>
      <c r="F69" s="30"/>
      <c r="G69" s="30"/>
      <c r="H69" s="30"/>
      <c r="I69" s="30"/>
      <c r="J69" s="30"/>
    </row>
    <row r="70" spans="1:10" ht="12.95" customHeight="1" x14ac:dyDescent="0.2">
      <c r="A70" s="28" t="s">
        <v>75</v>
      </c>
      <c r="B70" s="28"/>
      <c r="C70" s="30"/>
      <c r="D70" s="30"/>
      <c r="E70" s="30"/>
      <c r="F70" s="30"/>
      <c r="G70" s="30"/>
      <c r="H70" s="30"/>
      <c r="I70" s="30"/>
      <c r="J70" s="30"/>
    </row>
    <row r="71" spans="1:10" ht="6" customHeight="1" x14ac:dyDescent="0.2">
      <c r="A71" s="27"/>
      <c r="B71" s="39"/>
      <c r="C71" s="30"/>
      <c r="D71" s="30"/>
      <c r="E71" s="30"/>
      <c r="F71" s="30"/>
      <c r="G71" s="30"/>
      <c r="H71" s="30"/>
      <c r="I71" s="30"/>
      <c r="J71" s="30"/>
    </row>
    <row r="72" spans="1:10" ht="12.95" customHeight="1" x14ac:dyDescent="0.2">
      <c r="A72" s="27"/>
      <c r="B72" s="30"/>
      <c r="C72" s="49" t="s">
        <v>72</v>
      </c>
      <c r="D72" s="31" t="s">
        <v>73</v>
      </c>
      <c r="E72" s="31" t="s">
        <v>76</v>
      </c>
      <c r="F72" s="31" t="s">
        <v>77</v>
      </c>
      <c r="G72" s="30"/>
      <c r="H72" s="30"/>
      <c r="I72" s="30"/>
      <c r="J72" s="30"/>
    </row>
    <row r="73" spans="1:10" ht="12.95" customHeight="1" x14ac:dyDescent="0.2">
      <c r="A73" s="27" t="s">
        <v>69</v>
      </c>
      <c r="B73" s="39">
        <f>B66</f>
        <v>20000</v>
      </c>
      <c r="C73" s="54">
        <f>C68</f>
        <v>347</v>
      </c>
      <c r="D73" s="45">
        <f>E68</f>
        <v>4236000</v>
      </c>
      <c r="E73" s="40">
        <v>147.1</v>
      </c>
      <c r="F73" s="40">
        <f>E73*C73</f>
        <v>51043.7</v>
      </c>
      <c r="G73" s="30"/>
      <c r="H73" s="30"/>
      <c r="I73" s="30"/>
      <c r="J73" s="30"/>
    </row>
    <row r="74" spans="1:10" ht="12.95" customHeight="1" x14ac:dyDescent="0.2">
      <c r="A74" s="27" t="s">
        <v>70</v>
      </c>
      <c r="B74" s="39">
        <f>B67</f>
        <v>20000</v>
      </c>
      <c r="C74" s="50"/>
      <c r="D74" s="47">
        <f>F68</f>
        <v>14976100</v>
      </c>
      <c r="E74" s="51">
        <f>$E$32</f>
        <v>6.7</v>
      </c>
      <c r="F74" s="51">
        <f>E74*(D74/1000)</f>
        <v>100339.87000000001</v>
      </c>
      <c r="G74" s="30"/>
      <c r="H74" s="30"/>
      <c r="I74" s="30"/>
      <c r="J74" s="30"/>
    </row>
    <row r="75" spans="1:10" ht="12.95" customHeight="1" x14ac:dyDescent="0.2">
      <c r="A75" s="27"/>
      <c r="B75" s="39" t="s">
        <v>74</v>
      </c>
      <c r="C75" s="34">
        <f>SUM(C73:C74)</f>
        <v>347</v>
      </c>
      <c r="D75" s="34">
        <f>SUM(D73:D74)</f>
        <v>19212100</v>
      </c>
      <c r="E75" s="30"/>
      <c r="F75" s="40">
        <f>SUM(F73:F74)</f>
        <v>151383.57</v>
      </c>
      <c r="G75" s="30"/>
      <c r="H75" s="30"/>
      <c r="I75" s="30"/>
      <c r="J75" s="30"/>
    </row>
    <row r="76" spans="1:10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5.75" x14ac:dyDescent="0.25">
      <c r="A77" s="26" t="s">
        <v>101</v>
      </c>
      <c r="B77" s="29"/>
      <c r="C77" s="53"/>
      <c r="D77" s="53"/>
      <c r="E77" s="53"/>
      <c r="F77" s="53"/>
      <c r="G77" s="53"/>
      <c r="H77" s="30"/>
      <c r="I77" s="30"/>
      <c r="J77" s="30"/>
    </row>
    <row r="78" spans="1:10" ht="12.95" customHeight="1" x14ac:dyDescent="0.2">
      <c r="A78" s="42"/>
      <c r="B78" s="42"/>
      <c r="C78" s="42"/>
      <c r="D78" s="42"/>
      <c r="E78" s="43" t="s">
        <v>69</v>
      </c>
      <c r="F78" s="43" t="s">
        <v>78</v>
      </c>
      <c r="G78" s="30"/>
      <c r="H78" s="30"/>
      <c r="I78" s="30"/>
      <c r="J78" s="30"/>
    </row>
    <row r="79" spans="1:10" ht="12.95" customHeight="1" x14ac:dyDescent="0.2">
      <c r="A79" s="42"/>
      <c r="B79" s="32" t="s">
        <v>71</v>
      </c>
      <c r="C79" s="44" t="s">
        <v>72</v>
      </c>
      <c r="D79" s="44" t="s">
        <v>73</v>
      </c>
      <c r="E79" s="44">
        <f>B80</f>
        <v>30000</v>
      </c>
      <c r="F79" s="44">
        <f>B81</f>
        <v>30000</v>
      </c>
      <c r="G79" s="31" t="s">
        <v>74</v>
      </c>
      <c r="H79" s="30"/>
      <c r="I79" s="30"/>
      <c r="J79" s="30"/>
    </row>
    <row r="80" spans="1:10" ht="12.95" customHeight="1" x14ac:dyDescent="0.2">
      <c r="A80" s="27" t="s">
        <v>69</v>
      </c>
      <c r="B80" s="39">
        <v>30000</v>
      </c>
      <c r="C80" s="34">
        <v>13</v>
      </c>
      <c r="D80" s="45">
        <v>85000</v>
      </c>
      <c r="E80" s="34">
        <v>85000</v>
      </c>
      <c r="F80" s="34"/>
      <c r="G80" s="34">
        <f>SUM(E80:F80)</f>
        <v>85000</v>
      </c>
      <c r="H80" s="30"/>
      <c r="I80" s="30"/>
      <c r="J80" s="30"/>
    </row>
    <row r="81" spans="1:10" ht="12.95" customHeight="1" x14ac:dyDescent="0.2">
      <c r="A81" s="27" t="s">
        <v>70</v>
      </c>
      <c r="B81" s="46">
        <v>30000</v>
      </c>
      <c r="C81" s="37">
        <v>23</v>
      </c>
      <c r="D81" s="47">
        <v>4299000</v>
      </c>
      <c r="E81" s="37">
        <v>690000</v>
      </c>
      <c r="F81" s="47">
        <v>3609000</v>
      </c>
      <c r="G81" s="37">
        <f>SUM(E81:F81)</f>
        <v>4299000</v>
      </c>
      <c r="H81" s="30"/>
      <c r="I81" s="30"/>
      <c r="J81" s="30"/>
    </row>
    <row r="82" spans="1:10" ht="12.95" customHeight="1" x14ac:dyDescent="0.2">
      <c r="A82" s="27"/>
      <c r="B82" s="39"/>
      <c r="C82" s="34">
        <f>SUM(C80:C81)</f>
        <v>36</v>
      </c>
      <c r="D82" s="34">
        <f>SUM(D80:D81)</f>
        <v>4384000</v>
      </c>
      <c r="E82" s="34">
        <f>SUM(E80:E81)</f>
        <v>775000</v>
      </c>
      <c r="F82" s="34">
        <f>SUM(F80:F81)</f>
        <v>3609000</v>
      </c>
      <c r="G82" s="34">
        <f>SUM(G80:G81)</f>
        <v>4384000</v>
      </c>
      <c r="H82" s="30"/>
      <c r="I82" s="30"/>
      <c r="J82" s="30"/>
    </row>
    <row r="83" spans="1:10" ht="6.95" customHeight="1" x14ac:dyDescent="0.2">
      <c r="A83" s="27"/>
      <c r="B83" s="39"/>
      <c r="C83" s="30"/>
      <c r="D83" s="30"/>
      <c r="E83" s="30"/>
      <c r="F83" s="30"/>
      <c r="G83" s="30"/>
      <c r="H83" s="30"/>
      <c r="I83" s="30"/>
      <c r="J83" s="30"/>
    </row>
    <row r="84" spans="1:10" ht="12.95" customHeight="1" x14ac:dyDescent="0.2">
      <c r="A84" s="28" t="s">
        <v>75</v>
      </c>
      <c r="B84" s="28"/>
      <c r="C84" s="30"/>
      <c r="D84" s="30"/>
      <c r="E84" s="30"/>
      <c r="F84" s="30"/>
      <c r="G84" s="30"/>
      <c r="H84" s="30"/>
      <c r="I84" s="30"/>
      <c r="J84" s="30"/>
    </row>
    <row r="85" spans="1:10" ht="6" customHeight="1" x14ac:dyDescent="0.2">
      <c r="A85" s="27"/>
      <c r="B85" s="39"/>
      <c r="C85" s="30"/>
      <c r="D85" s="30"/>
      <c r="E85" s="30"/>
      <c r="F85" s="30"/>
      <c r="G85" s="30"/>
      <c r="H85" s="30"/>
      <c r="I85" s="30"/>
      <c r="J85" s="30"/>
    </row>
    <row r="86" spans="1:10" ht="12.95" customHeight="1" x14ac:dyDescent="0.2">
      <c r="A86" s="27"/>
      <c r="B86" s="30"/>
      <c r="C86" s="49" t="s">
        <v>72</v>
      </c>
      <c r="D86" s="31" t="s">
        <v>73</v>
      </c>
      <c r="E86" s="31" t="s">
        <v>76</v>
      </c>
      <c r="F86" s="31" t="s">
        <v>77</v>
      </c>
      <c r="G86" s="30"/>
      <c r="H86" s="30"/>
      <c r="I86" s="30"/>
      <c r="J86" s="30"/>
    </row>
    <row r="87" spans="1:10" ht="12.95" customHeight="1" x14ac:dyDescent="0.2">
      <c r="A87" s="27" t="s">
        <v>69</v>
      </c>
      <c r="B87" s="39">
        <f>B80</f>
        <v>30000</v>
      </c>
      <c r="C87" s="54">
        <f>C82</f>
        <v>36</v>
      </c>
      <c r="D87" s="45">
        <f>E82</f>
        <v>775000</v>
      </c>
      <c r="E87" s="40">
        <v>214.1</v>
      </c>
      <c r="F87" s="40">
        <f>E87*C87</f>
        <v>7707.5999999999995</v>
      </c>
      <c r="G87" s="30"/>
      <c r="H87" s="30"/>
      <c r="I87" s="30"/>
      <c r="J87" s="30"/>
    </row>
    <row r="88" spans="1:10" ht="12.95" customHeight="1" x14ac:dyDescent="0.2">
      <c r="A88" s="27" t="s">
        <v>70</v>
      </c>
      <c r="B88" s="39">
        <f>B81</f>
        <v>30000</v>
      </c>
      <c r="C88" s="50"/>
      <c r="D88" s="47">
        <f>F82</f>
        <v>3609000</v>
      </c>
      <c r="E88" s="51">
        <f>$E$32</f>
        <v>6.7</v>
      </c>
      <c r="F88" s="51">
        <f>E88*(D88/1000)</f>
        <v>24180.3</v>
      </c>
      <c r="G88" s="30"/>
      <c r="H88" s="30"/>
      <c r="I88" s="30"/>
      <c r="J88" s="30"/>
    </row>
    <row r="89" spans="1:10" ht="12.95" customHeight="1" x14ac:dyDescent="0.2">
      <c r="A89" s="27"/>
      <c r="B89" s="39" t="s">
        <v>74</v>
      </c>
      <c r="C89" s="34">
        <f>SUM(C87:C88)</f>
        <v>36</v>
      </c>
      <c r="D89" s="34">
        <f>SUM(D87:D88)</f>
        <v>4384000</v>
      </c>
      <c r="E89" s="30"/>
      <c r="F89" s="40">
        <f>SUM(F87:F88)</f>
        <v>31887.899999999998</v>
      </c>
      <c r="G89" s="30"/>
      <c r="H89" s="30"/>
      <c r="I89" s="30"/>
      <c r="J89" s="30"/>
    </row>
    <row r="91" spans="1:10" ht="15.75" x14ac:dyDescent="0.25">
      <c r="A91" s="26" t="s">
        <v>481</v>
      </c>
      <c r="B91" s="29"/>
      <c r="C91" s="53"/>
      <c r="D91" s="53"/>
      <c r="E91" s="53"/>
      <c r="F91" s="53"/>
      <c r="G91" s="53"/>
    </row>
    <row r="92" spans="1:10" ht="12.95" customHeight="1" x14ac:dyDescent="0.2">
      <c r="A92" s="42"/>
      <c r="B92" s="42"/>
      <c r="C92" s="42"/>
      <c r="D92" s="42"/>
      <c r="E92" s="43" t="s">
        <v>69</v>
      </c>
      <c r="F92" s="43" t="s">
        <v>78</v>
      </c>
      <c r="G92" s="30"/>
    </row>
    <row r="93" spans="1:10" ht="12.95" customHeight="1" x14ac:dyDescent="0.2">
      <c r="A93" s="42"/>
      <c r="B93" s="32" t="s">
        <v>71</v>
      </c>
      <c r="C93" s="44" t="s">
        <v>72</v>
      </c>
      <c r="D93" s="44" t="s">
        <v>73</v>
      </c>
      <c r="E93" s="44">
        <f>B94</f>
        <v>50000</v>
      </c>
      <c r="F93" s="44">
        <f>B95</f>
        <v>50000</v>
      </c>
      <c r="G93" s="31" t="s">
        <v>74</v>
      </c>
    </row>
    <row r="94" spans="1:10" ht="12.95" customHeight="1" x14ac:dyDescent="0.2">
      <c r="A94" s="27" t="s">
        <v>69</v>
      </c>
      <c r="B94" s="39">
        <v>50000</v>
      </c>
      <c r="C94" s="34">
        <v>0</v>
      </c>
      <c r="D94" s="45">
        <v>0</v>
      </c>
      <c r="E94" s="34">
        <v>0</v>
      </c>
      <c r="F94" s="34"/>
      <c r="G94" s="34">
        <f>SUM(E94:F94)</f>
        <v>0</v>
      </c>
    </row>
    <row r="95" spans="1:10" ht="12.95" customHeight="1" x14ac:dyDescent="0.2">
      <c r="A95" s="27" t="s">
        <v>70</v>
      </c>
      <c r="B95" s="46">
        <v>50000</v>
      </c>
      <c r="C95" s="37">
        <v>12</v>
      </c>
      <c r="D95" s="47">
        <v>5967000</v>
      </c>
      <c r="E95" s="37">
        <v>600000</v>
      </c>
      <c r="F95" s="47">
        <v>5367000</v>
      </c>
      <c r="G95" s="37">
        <f>SUM(E95:F95)</f>
        <v>5967000</v>
      </c>
    </row>
    <row r="96" spans="1:10" ht="12.95" customHeight="1" x14ac:dyDescent="0.2">
      <c r="A96" s="27"/>
      <c r="B96" s="39"/>
      <c r="C96" s="34">
        <f>SUM(C94:C95)</f>
        <v>12</v>
      </c>
      <c r="D96" s="34">
        <f>SUM(D94:D95)</f>
        <v>5967000</v>
      </c>
      <c r="E96" s="34">
        <f>SUM(E94:E95)</f>
        <v>600000</v>
      </c>
      <c r="F96" s="34">
        <f>SUM(F94:F95)</f>
        <v>5367000</v>
      </c>
      <c r="G96" s="34">
        <f>SUM(G94:G95)</f>
        <v>5967000</v>
      </c>
    </row>
    <row r="97" spans="1:7" ht="6.95" customHeight="1" x14ac:dyDescent="0.2">
      <c r="A97" s="27"/>
      <c r="B97" s="39"/>
      <c r="C97" s="30"/>
      <c r="D97" s="30"/>
      <c r="E97" s="30"/>
      <c r="F97" s="30"/>
      <c r="G97" s="30"/>
    </row>
    <row r="98" spans="1:7" x14ac:dyDescent="0.2">
      <c r="A98" s="28" t="s">
        <v>75</v>
      </c>
      <c r="B98" s="28"/>
      <c r="C98" s="30"/>
      <c r="D98" s="30"/>
      <c r="E98" s="30"/>
      <c r="F98" s="30"/>
      <c r="G98" s="30"/>
    </row>
    <row r="99" spans="1:7" ht="6.95" customHeight="1" x14ac:dyDescent="0.2">
      <c r="A99" s="27"/>
      <c r="B99" s="39"/>
      <c r="C99" s="30"/>
      <c r="D99" s="30"/>
      <c r="E99" s="30"/>
      <c r="F99" s="30"/>
      <c r="G99" s="30"/>
    </row>
    <row r="100" spans="1:7" ht="12.95" customHeight="1" x14ac:dyDescent="0.2">
      <c r="A100" s="27"/>
      <c r="B100" s="30"/>
      <c r="C100" s="49" t="s">
        <v>72</v>
      </c>
      <c r="D100" s="31" t="s">
        <v>73</v>
      </c>
      <c r="E100" s="31" t="s">
        <v>76</v>
      </c>
      <c r="F100" s="31" t="s">
        <v>77</v>
      </c>
      <c r="G100" s="30"/>
    </row>
    <row r="101" spans="1:7" ht="12.95" customHeight="1" x14ac:dyDescent="0.2">
      <c r="A101" s="27" t="s">
        <v>69</v>
      </c>
      <c r="B101" s="39">
        <f>B94</f>
        <v>50000</v>
      </c>
      <c r="C101" s="54">
        <f>C96</f>
        <v>12</v>
      </c>
      <c r="D101" s="45">
        <f>E96</f>
        <v>600000</v>
      </c>
      <c r="E101" s="40">
        <v>348.1</v>
      </c>
      <c r="F101" s="40">
        <f>E101*C101</f>
        <v>4177.2000000000007</v>
      </c>
      <c r="G101" s="30"/>
    </row>
    <row r="102" spans="1:7" ht="12.95" customHeight="1" x14ac:dyDescent="0.2">
      <c r="A102" s="27" t="s">
        <v>70</v>
      </c>
      <c r="B102" s="39">
        <f>B95</f>
        <v>50000</v>
      </c>
      <c r="C102" s="50"/>
      <c r="D102" s="47">
        <f>F96</f>
        <v>5367000</v>
      </c>
      <c r="E102" s="51">
        <f>$E$32</f>
        <v>6.7</v>
      </c>
      <c r="F102" s="51">
        <f>E102*(D102/1000)</f>
        <v>35958.9</v>
      </c>
      <c r="G102" s="30"/>
    </row>
    <row r="103" spans="1:7" ht="12.95" customHeight="1" x14ac:dyDescent="0.2">
      <c r="A103" s="27"/>
      <c r="B103" s="39" t="s">
        <v>74</v>
      </c>
      <c r="C103" s="34">
        <f>SUM(C101:C102)</f>
        <v>12</v>
      </c>
      <c r="D103" s="34">
        <f>SUM(D101:D102)</f>
        <v>5967000</v>
      </c>
      <c r="E103" s="30"/>
      <c r="F103" s="40">
        <f>SUM(F101:F102)</f>
        <v>40136.100000000006</v>
      </c>
      <c r="G103" s="30"/>
    </row>
  </sheetData>
  <printOptions horizontalCentered="1"/>
  <pageMargins left="0.45" right="0.45" top="0.75" bottom="0.25" header="0.3" footer="0.3"/>
  <pageSetup fitToHeight="2" orientation="portrait" r:id="rId1"/>
  <rowBreaks count="1" manualBreakCount="1">
    <brk id="48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1"/>
  <sheetViews>
    <sheetView topLeftCell="A64" workbookViewId="0">
      <selection activeCell="D109" sqref="D109"/>
    </sheetView>
  </sheetViews>
  <sheetFormatPr defaultRowHeight="15" x14ac:dyDescent="0.2"/>
  <cols>
    <col min="1" max="1" width="9.33203125" customWidth="1"/>
    <col min="2" max="2" width="9.109375" customWidth="1"/>
    <col min="3" max="3" width="11.44140625" customWidth="1"/>
    <col min="4" max="4" width="10.44140625" customWidth="1"/>
    <col min="5" max="5" width="10.6640625" customWidth="1"/>
    <col min="6" max="6" width="12.77734375" customWidth="1"/>
    <col min="7" max="7" width="12.88671875" customWidth="1"/>
    <col min="8" max="8" width="10.88671875" customWidth="1"/>
    <col min="9" max="9" width="9.33203125" customWidth="1"/>
    <col min="10" max="10" width="8.6640625" customWidth="1"/>
  </cols>
  <sheetData>
    <row r="1" spans="1:10" ht="18" x14ac:dyDescent="0.25">
      <c r="A1" s="9" t="s">
        <v>500</v>
      </c>
      <c r="B1" s="8"/>
      <c r="C1" s="8"/>
      <c r="D1" s="8"/>
      <c r="E1" s="8"/>
      <c r="F1" s="8"/>
      <c r="G1" s="8"/>
      <c r="H1" s="209" t="s">
        <v>7</v>
      </c>
      <c r="I1" s="8" t="s">
        <v>7</v>
      </c>
      <c r="J1" s="8"/>
    </row>
    <row r="2" spans="1:10" ht="15.75" x14ac:dyDescent="0.2">
      <c r="A2" s="23" t="s">
        <v>137</v>
      </c>
      <c r="B2" s="8"/>
      <c r="C2" s="8"/>
      <c r="D2" s="8"/>
      <c r="E2" s="8"/>
      <c r="F2" s="8"/>
      <c r="G2" s="8"/>
      <c r="H2" s="209" t="s">
        <v>7</v>
      </c>
      <c r="I2" s="8" t="s">
        <v>7</v>
      </c>
      <c r="J2" s="8"/>
    </row>
    <row r="3" spans="1:10" x14ac:dyDescent="0.2">
      <c r="A3" s="25"/>
      <c r="B3" s="8"/>
      <c r="C3" s="8"/>
      <c r="D3" s="8"/>
      <c r="E3" s="8"/>
      <c r="F3" s="8"/>
      <c r="G3" s="8"/>
      <c r="H3" s="8"/>
      <c r="I3" s="8"/>
      <c r="J3" s="8"/>
    </row>
    <row r="4" spans="1:10" ht="15.75" x14ac:dyDescent="0.25">
      <c r="A4" s="26" t="s">
        <v>64</v>
      </c>
    </row>
    <row r="5" spans="1:10" x14ac:dyDescent="0.2">
      <c r="B5" s="30"/>
      <c r="C5" s="31" t="s">
        <v>65</v>
      </c>
      <c r="D5" s="32" t="s">
        <v>66</v>
      </c>
      <c r="E5" s="32" t="s">
        <v>61</v>
      </c>
      <c r="F5" s="30"/>
      <c r="G5" s="30"/>
      <c r="H5" s="30"/>
      <c r="I5" s="30"/>
      <c r="J5" s="30"/>
    </row>
    <row r="6" spans="1:10" ht="6.95" customHeight="1" x14ac:dyDescent="0.2"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2">
      <c r="B7" s="30"/>
      <c r="C7" s="30" t="s">
        <v>56</v>
      </c>
      <c r="D7" s="33">
        <f>D35</f>
        <v>156568000</v>
      </c>
      <c r="E7" s="67">
        <f>F35</f>
        <v>2125854.4699999997</v>
      </c>
      <c r="F7" s="30"/>
      <c r="G7" s="30"/>
      <c r="H7" s="30"/>
      <c r="I7" s="30"/>
      <c r="J7" s="30"/>
    </row>
    <row r="8" spans="1:10" x14ac:dyDescent="0.2">
      <c r="B8" s="30"/>
      <c r="C8" s="30" t="s">
        <v>57</v>
      </c>
      <c r="D8" s="33">
        <f>D49</f>
        <v>4899000</v>
      </c>
      <c r="E8" s="34">
        <f>F49</f>
        <v>50959.799999999996</v>
      </c>
      <c r="F8" s="30"/>
      <c r="G8" s="30"/>
      <c r="H8" s="30"/>
      <c r="I8" s="30"/>
      <c r="J8" s="30"/>
    </row>
    <row r="9" spans="1:10" x14ac:dyDescent="0.2">
      <c r="B9" s="30"/>
      <c r="C9" s="30" t="s">
        <v>67</v>
      </c>
      <c r="D9" s="33">
        <f>D63</f>
        <v>722000</v>
      </c>
      <c r="E9" s="34">
        <f>F63</f>
        <v>11097.390000000001</v>
      </c>
      <c r="F9" s="30"/>
      <c r="G9" s="30"/>
      <c r="H9" s="30"/>
      <c r="I9" s="30"/>
      <c r="J9" s="30"/>
    </row>
    <row r="10" spans="1:10" x14ac:dyDescent="0.2">
      <c r="B10" s="30"/>
      <c r="C10" s="30" t="s">
        <v>58</v>
      </c>
      <c r="D10" s="33">
        <f>D77</f>
        <v>19212100</v>
      </c>
      <c r="E10" s="34">
        <f>F77</f>
        <v>190419.23300000001</v>
      </c>
      <c r="I10" s="30"/>
      <c r="J10" s="30"/>
    </row>
    <row r="11" spans="1:10" x14ac:dyDescent="0.2">
      <c r="B11" s="30"/>
      <c r="C11" s="30" t="s">
        <v>88</v>
      </c>
      <c r="D11" s="35">
        <f>D91</f>
        <v>4384000</v>
      </c>
      <c r="E11" s="34">
        <f>F91</f>
        <v>40113.99</v>
      </c>
      <c r="F11" s="30"/>
      <c r="G11" s="30"/>
      <c r="H11" s="30"/>
      <c r="I11" s="30"/>
      <c r="J11" s="30"/>
    </row>
    <row r="12" spans="1:10" x14ac:dyDescent="0.2">
      <c r="B12" s="30"/>
      <c r="C12" s="101" t="s">
        <v>420</v>
      </c>
      <c r="D12" s="35">
        <f>D105</f>
        <v>5967000</v>
      </c>
      <c r="E12" s="34">
        <f>F105</f>
        <v>50495.369999999995</v>
      </c>
      <c r="F12" s="30"/>
      <c r="G12" s="30"/>
      <c r="H12" s="30"/>
      <c r="I12" s="30"/>
      <c r="J12" s="30"/>
    </row>
    <row r="13" spans="1:10" ht="6.95" customHeight="1" x14ac:dyDescent="0.2">
      <c r="B13" s="30"/>
      <c r="C13" s="30"/>
      <c r="D13" s="36"/>
      <c r="E13" s="37"/>
      <c r="F13" s="30"/>
      <c r="G13" s="30"/>
      <c r="H13" s="30"/>
      <c r="I13" s="30"/>
      <c r="J13" s="30"/>
    </row>
    <row r="14" spans="1:10" x14ac:dyDescent="0.2">
      <c r="B14" s="30"/>
      <c r="C14" s="30" t="s">
        <v>49</v>
      </c>
      <c r="D14" s="38">
        <f>SUM(D7:D12)</f>
        <v>191752100</v>
      </c>
      <c r="E14" s="68">
        <f>SUM(E7:E12)</f>
        <v>2468940.253</v>
      </c>
      <c r="G14" s="30"/>
      <c r="H14" s="30"/>
      <c r="I14" s="30"/>
      <c r="J14" s="208">
        <f>(E14-ExBA!E14)/ExBA!E14</f>
        <v>0.25768884215590965</v>
      </c>
    </row>
    <row r="15" spans="1:10" ht="6.95" customHeight="1" x14ac:dyDescent="0.2">
      <c r="B15" s="30"/>
      <c r="C15" s="30"/>
      <c r="D15" s="38"/>
      <c r="E15" s="68"/>
      <c r="G15" s="30"/>
      <c r="H15" s="30"/>
      <c r="I15" s="30"/>
      <c r="J15" s="208"/>
    </row>
    <row r="16" spans="1:10" x14ac:dyDescent="0.2">
      <c r="B16" s="30"/>
      <c r="C16" s="30" t="s">
        <v>502</v>
      </c>
      <c r="D16" s="38"/>
      <c r="E16" s="37">
        <f>ExBA!E16*(1+0.2572)</f>
        <v>-63031.431792000003</v>
      </c>
      <c r="G16" s="30"/>
      <c r="H16" s="30"/>
      <c r="I16" s="30"/>
      <c r="J16" s="208"/>
    </row>
    <row r="17" spans="1:10" x14ac:dyDescent="0.2">
      <c r="B17" s="29" t="s">
        <v>504</v>
      </c>
      <c r="C17" s="30"/>
      <c r="D17" s="38"/>
      <c r="E17" s="68">
        <f>E14+E16</f>
        <v>2405908.8212080002</v>
      </c>
      <c r="F17" s="362" t="s">
        <v>630</v>
      </c>
      <c r="G17" s="30"/>
      <c r="H17" s="30"/>
      <c r="I17" s="102">
        <f>E17-ExBA!E17</f>
        <v>492968.01120800013</v>
      </c>
      <c r="J17" s="208">
        <f>(E17-ExBA!E17)/ExBA!E17</f>
        <v>0.25770165424407465</v>
      </c>
    </row>
    <row r="18" spans="1:10" x14ac:dyDescent="0.2">
      <c r="B18" s="29"/>
      <c r="C18" s="30"/>
      <c r="D18" s="38"/>
      <c r="E18" s="37"/>
      <c r="G18" s="30"/>
      <c r="H18" s="30"/>
      <c r="I18" s="102"/>
      <c r="J18" s="208"/>
    </row>
    <row r="19" spans="1:10" x14ac:dyDescent="0.2">
      <c r="B19" s="29"/>
      <c r="C19" s="30"/>
      <c r="D19" s="38"/>
      <c r="E19" s="68"/>
      <c r="G19" s="30"/>
      <c r="H19" s="30"/>
      <c r="I19" s="102">
        <f>E19-ExBA!E19</f>
        <v>-1821884.8184</v>
      </c>
      <c r="J19" s="208">
        <f>(E19-ExBA!E19)/ExBA!E19</f>
        <v>-1</v>
      </c>
    </row>
    <row r="20" spans="1:10" x14ac:dyDescent="0.2">
      <c r="B20" s="29"/>
      <c r="C20" s="30"/>
      <c r="D20" s="38"/>
      <c r="E20" s="68"/>
      <c r="G20" s="30"/>
      <c r="H20" s="30"/>
      <c r="I20" s="102"/>
      <c r="J20" s="208"/>
    </row>
    <row r="21" spans="1:10" x14ac:dyDescent="0.2">
      <c r="B21" s="29"/>
      <c r="C21" s="30"/>
      <c r="D21" s="38"/>
      <c r="E21" s="68"/>
      <c r="G21" s="30"/>
      <c r="H21" s="30"/>
      <c r="I21" s="102"/>
      <c r="J21" s="208"/>
    </row>
    <row r="22" spans="1:10" x14ac:dyDescent="0.2">
      <c r="A22" s="30"/>
      <c r="B22" s="30"/>
      <c r="C22" s="38"/>
      <c r="D22" s="68"/>
      <c r="E22" s="30"/>
      <c r="G22" s="30"/>
      <c r="H22" s="30"/>
      <c r="I22" s="30"/>
      <c r="J22" s="30"/>
    </row>
    <row r="23" spans="1:10" ht="15.75" x14ac:dyDescent="0.25">
      <c r="A23" s="26" t="s">
        <v>68</v>
      </c>
      <c r="B23" s="41"/>
      <c r="C23" s="41"/>
      <c r="D23" s="41"/>
      <c r="E23" s="41"/>
      <c r="F23" s="41"/>
      <c r="G23" s="41"/>
      <c r="H23" s="41"/>
      <c r="J23" s="30"/>
    </row>
    <row r="24" spans="1:10" ht="12.95" customHeight="1" x14ac:dyDescent="0.2">
      <c r="A24" s="42"/>
      <c r="B24" s="42"/>
      <c r="C24" s="42"/>
      <c r="D24" s="42"/>
      <c r="E24" s="43" t="s">
        <v>69</v>
      </c>
      <c r="F24" s="43" t="s">
        <v>70</v>
      </c>
      <c r="G24" s="30"/>
      <c r="H24" s="30"/>
    </row>
    <row r="25" spans="1:10" ht="12.95" customHeight="1" x14ac:dyDescent="0.2">
      <c r="A25" s="42"/>
      <c r="B25" s="32" t="s">
        <v>71</v>
      </c>
      <c r="C25" s="44" t="s">
        <v>72</v>
      </c>
      <c r="D25" s="44" t="s">
        <v>73</v>
      </c>
      <c r="E25" s="44">
        <f>B26</f>
        <v>2000</v>
      </c>
      <c r="F25" s="44">
        <f>B27</f>
        <v>2000</v>
      </c>
      <c r="G25" s="31" t="s">
        <v>74</v>
      </c>
      <c r="H25" s="206"/>
    </row>
    <row r="26" spans="1:10" ht="12.95" customHeight="1" x14ac:dyDescent="0.2">
      <c r="A26" s="27" t="s">
        <v>69</v>
      </c>
      <c r="B26" s="39">
        <v>2000</v>
      </c>
      <c r="C26" s="45">
        <v>17926</v>
      </c>
      <c r="D26" s="45">
        <v>21379000</v>
      </c>
      <c r="E26" s="45">
        <v>21379000</v>
      </c>
      <c r="F26" s="45">
        <v>0</v>
      </c>
      <c r="G26" s="45">
        <f>SUM(E26:F26)</f>
        <v>21379000</v>
      </c>
      <c r="H26" s="45"/>
    </row>
    <row r="27" spans="1:10" ht="12.95" customHeight="1" x14ac:dyDescent="0.2">
      <c r="A27" s="27" t="s">
        <v>70</v>
      </c>
      <c r="B27" s="46">
        <v>2000</v>
      </c>
      <c r="C27" s="47">
        <v>23628</v>
      </c>
      <c r="D27" s="47">
        <v>135189000</v>
      </c>
      <c r="E27" s="47">
        <v>47256000</v>
      </c>
      <c r="F27" s="47">
        <f>D27-E27</f>
        <v>87933000</v>
      </c>
      <c r="G27" s="47">
        <f>SUM(E27:F27)</f>
        <v>135189000</v>
      </c>
      <c r="H27" s="207"/>
    </row>
    <row r="28" spans="1:10" ht="12.95" customHeight="1" x14ac:dyDescent="0.2">
      <c r="A28" s="27"/>
      <c r="B28" s="39"/>
      <c r="C28" s="48">
        <f>SUM(C26:C27)</f>
        <v>41554</v>
      </c>
      <c r="D28" s="48">
        <f>SUM(D26:D27)</f>
        <v>156568000</v>
      </c>
      <c r="E28" s="48">
        <f>SUM(E26:E27)</f>
        <v>68635000</v>
      </c>
      <c r="F28" s="48">
        <f>SUM(F26:F27)</f>
        <v>87933000</v>
      </c>
      <c r="G28" s="48">
        <f>SUM(G26:G27)</f>
        <v>156568000</v>
      </c>
      <c r="H28" s="48"/>
    </row>
    <row r="29" spans="1:10" ht="6.95" customHeight="1" x14ac:dyDescent="0.2">
      <c r="A29" s="27"/>
      <c r="B29" s="39"/>
      <c r="C29" s="30"/>
      <c r="D29" s="39"/>
      <c r="E29" s="39"/>
      <c r="F29" s="39"/>
      <c r="G29" s="39"/>
      <c r="H29" s="39"/>
      <c r="J29" s="39"/>
    </row>
    <row r="30" spans="1:10" x14ac:dyDescent="0.2">
      <c r="A30" s="28" t="s">
        <v>75</v>
      </c>
      <c r="B30" s="28"/>
      <c r="C30" s="30"/>
      <c r="D30" s="39"/>
      <c r="E30" s="39"/>
      <c r="F30" s="39"/>
      <c r="G30" s="39"/>
      <c r="H30" s="39"/>
      <c r="J30" s="39"/>
    </row>
    <row r="31" spans="1:10" ht="6.95" customHeight="1" x14ac:dyDescent="0.2">
      <c r="A31" s="27"/>
      <c r="B31" s="39"/>
      <c r="C31" s="30"/>
      <c r="D31" s="39"/>
      <c r="E31" s="39"/>
      <c r="F31" s="39"/>
      <c r="G31" s="39"/>
      <c r="H31" s="39"/>
      <c r="I31" s="39"/>
      <c r="J31" s="39"/>
    </row>
    <row r="32" spans="1:10" ht="12.95" customHeight="1" x14ac:dyDescent="0.2">
      <c r="A32" s="27"/>
      <c r="B32" s="30"/>
      <c r="C32" s="49" t="s">
        <v>72</v>
      </c>
      <c r="D32" s="31" t="s">
        <v>73</v>
      </c>
      <c r="E32" s="49" t="s">
        <v>76</v>
      </c>
      <c r="F32" s="49" t="s">
        <v>77</v>
      </c>
      <c r="G32" s="39"/>
      <c r="H32" s="39"/>
      <c r="I32" s="39"/>
      <c r="J32" s="39"/>
    </row>
    <row r="33" spans="1:10" ht="12.95" customHeight="1" x14ac:dyDescent="0.2">
      <c r="A33" s="27" t="s">
        <v>69</v>
      </c>
      <c r="B33" s="39">
        <f>B26</f>
        <v>2000</v>
      </c>
      <c r="C33" s="34">
        <f>C28</f>
        <v>41554</v>
      </c>
      <c r="D33" s="45">
        <f>E28</f>
        <v>68635000</v>
      </c>
      <c r="E33" s="40">
        <v>33.32</v>
      </c>
      <c r="F33" s="40">
        <f>E33*C33</f>
        <v>1384579.28</v>
      </c>
      <c r="G33" s="39"/>
      <c r="H33" s="39"/>
      <c r="I33" s="39"/>
      <c r="J33" s="39"/>
    </row>
    <row r="34" spans="1:10" ht="12.95" customHeight="1" x14ac:dyDescent="0.2">
      <c r="A34" s="27" t="s">
        <v>70</v>
      </c>
      <c r="B34" s="39">
        <f>B27</f>
        <v>2000</v>
      </c>
      <c r="C34" s="50"/>
      <c r="D34" s="47">
        <f>F28</f>
        <v>87933000</v>
      </c>
      <c r="E34" s="51">
        <v>8.43</v>
      </c>
      <c r="F34" s="51">
        <f>E34*(D34/1000)</f>
        <v>741275.19</v>
      </c>
      <c r="G34" s="39"/>
      <c r="H34" s="39"/>
      <c r="I34" s="39"/>
      <c r="J34" s="39"/>
    </row>
    <row r="35" spans="1:10" ht="12.95" customHeight="1" x14ac:dyDescent="0.2">
      <c r="A35" s="27"/>
      <c r="B35" s="39" t="s">
        <v>74</v>
      </c>
      <c r="C35" s="34">
        <f>SUM(C33:C34)</f>
        <v>41554</v>
      </c>
      <c r="D35" s="48">
        <f>SUM(D33:D34)</f>
        <v>156568000</v>
      </c>
      <c r="E35" s="30"/>
      <c r="F35" s="40">
        <f>SUM(F33:F34)</f>
        <v>2125854.4699999997</v>
      </c>
      <c r="G35" s="39"/>
      <c r="H35" s="39"/>
      <c r="I35" s="39"/>
      <c r="J35" s="39"/>
    </row>
    <row r="36" spans="1:10" ht="12.95" customHeight="1" x14ac:dyDescent="0.2">
      <c r="A36" s="27"/>
      <c r="B36" s="39"/>
      <c r="C36" s="52"/>
      <c r="D36" s="52"/>
      <c r="E36" s="30"/>
      <c r="F36" s="40"/>
      <c r="G36" s="39"/>
      <c r="H36" s="39"/>
      <c r="I36" s="39"/>
      <c r="J36" s="39"/>
    </row>
    <row r="37" spans="1:10" ht="15.75" x14ac:dyDescent="0.25">
      <c r="A37" s="26" t="s">
        <v>79</v>
      </c>
      <c r="B37" s="29"/>
      <c r="C37" s="53"/>
      <c r="D37" s="53"/>
      <c r="E37" s="53"/>
      <c r="F37" s="53"/>
      <c r="G37" s="53"/>
      <c r="H37" s="53"/>
      <c r="I37" s="53"/>
      <c r="J37" s="30"/>
    </row>
    <row r="38" spans="1:10" ht="12.95" customHeight="1" x14ac:dyDescent="0.2">
      <c r="A38" s="42"/>
      <c r="B38" s="42"/>
      <c r="C38" s="42"/>
      <c r="D38" s="42"/>
      <c r="E38" s="43" t="s">
        <v>69</v>
      </c>
      <c r="F38" s="43" t="s">
        <v>78</v>
      </c>
      <c r="G38" s="30"/>
      <c r="H38" s="30"/>
    </row>
    <row r="39" spans="1:10" ht="12.95" customHeight="1" x14ac:dyDescent="0.2">
      <c r="A39" s="42"/>
      <c r="B39" s="32" t="s">
        <v>71</v>
      </c>
      <c r="C39" s="44" t="s">
        <v>72</v>
      </c>
      <c r="D39" s="44" t="s">
        <v>73</v>
      </c>
      <c r="E39" s="44">
        <f>B40</f>
        <v>5000</v>
      </c>
      <c r="F39" s="44">
        <f>B41</f>
        <v>5000</v>
      </c>
      <c r="G39" s="31" t="s">
        <v>74</v>
      </c>
      <c r="H39" s="206"/>
    </row>
    <row r="40" spans="1:10" ht="12.95" customHeight="1" x14ac:dyDescent="0.2">
      <c r="A40" s="27" t="s">
        <v>69</v>
      </c>
      <c r="B40" s="39">
        <v>5000</v>
      </c>
      <c r="C40" s="34">
        <v>158</v>
      </c>
      <c r="D40" s="45">
        <v>229000</v>
      </c>
      <c r="E40" s="34">
        <v>229000</v>
      </c>
      <c r="F40" s="34"/>
      <c r="G40" s="34">
        <f>SUM(E40:F40)</f>
        <v>229000</v>
      </c>
      <c r="H40" s="34"/>
    </row>
    <row r="41" spans="1:10" ht="12.95" customHeight="1" x14ac:dyDescent="0.2">
      <c r="A41" s="27" t="s">
        <v>70</v>
      </c>
      <c r="B41" s="46">
        <v>5000</v>
      </c>
      <c r="C41" s="37">
        <v>142</v>
      </c>
      <c r="D41" s="47">
        <v>4670000</v>
      </c>
      <c r="E41" s="37">
        <v>710000</v>
      </c>
      <c r="F41" s="47">
        <f>D41-E41</f>
        <v>3960000</v>
      </c>
      <c r="G41" s="37">
        <f>SUM(E41:F41)</f>
        <v>4670000</v>
      </c>
      <c r="H41" s="48"/>
    </row>
    <row r="42" spans="1:10" ht="12.95" customHeight="1" x14ac:dyDescent="0.2">
      <c r="A42" s="27"/>
      <c r="B42" s="39"/>
      <c r="C42" s="34">
        <f>SUM(C40:C41)</f>
        <v>300</v>
      </c>
      <c r="D42" s="34">
        <f>SUM(D40:D41)</f>
        <v>4899000</v>
      </c>
      <c r="E42" s="34">
        <f>SUM(E40:E41)</f>
        <v>939000</v>
      </c>
      <c r="F42" s="34">
        <f>SUM(F40:F41)</f>
        <v>3960000</v>
      </c>
      <c r="G42" s="34">
        <f>SUM(G40:G41)</f>
        <v>4899000</v>
      </c>
      <c r="H42" s="34"/>
    </row>
    <row r="43" spans="1:10" ht="6.95" customHeight="1" x14ac:dyDescent="0.2">
      <c r="A43" s="27"/>
      <c r="B43" s="39"/>
      <c r="C43" s="30"/>
      <c r="D43" s="30"/>
      <c r="E43" s="30"/>
      <c r="F43" s="30"/>
      <c r="G43" s="30"/>
      <c r="H43" s="30"/>
      <c r="I43" s="30"/>
      <c r="J43" s="30"/>
    </row>
    <row r="44" spans="1:10" x14ac:dyDescent="0.2">
      <c r="A44" s="28" t="s">
        <v>75</v>
      </c>
      <c r="B44" s="28"/>
      <c r="C44" s="30"/>
      <c r="D44" s="30"/>
      <c r="E44" s="30"/>
      <c r="F44" s="30"/>
      <c r="G44" s="30"/>
      <c r="H44" s="30"/>
      <c r="I44" s="30"/>
      <c r="J44" s="30"/>
    </row>
    <row r="45" spans="1:10" ht="6.95" customHeight="1" x14ac:dyDescent="0.2">
      <c r="A45" s="27"/>
      <c r="B45" s="39"/>
      <c r="C45" s="30"/>
      <c r="D45" s="30"/>
      <c r="E45" s="30"/>
      <c r="F45" s="30"/>
      <c r="G45" s="30"/>
      <c r="H45" s="30"/>
      <c r="I45" s="30"/>
      <c r="J45" s="30"/>
    </row>
    <row r="46" spans="1:10" ht="12.95" customHeight="1" x14ac:dyDescent="0.2">
      <c r="A46" s="27"/>
      <c r="B46" s="30"/>
      <c r="C46" s="49" t="s">
        <v>72</v>
      </c>
      <c r="D46" s="31" t="s">
        <v>73</v>
      </c>
      <c r="E46" s="31" t="s">
        <v>76</v>
      </c>
      <c r="F46" s="31" t="s">
        <v>77</v>
      </c>
      <c r="G46" s="30"/>
      <c r="H46" s="30"/>
      <c r="I46" s="30"/>
      <c r="J46" s="30"/>
    </row>
    <row r="47" spans="1:10" ht="12.95" customHeight="1" x14ac:dyDescent="0.2">
      <c r="A47" s="27" t="s">
        <v>69</v>
      </c>
      <c r="B47" s="39">
        <f>B40</f>
        <v>5000</v>
      </c>
      <c r="C47" s="54">
        <f>C42</f>
        <v>300</v>
      </c>
      <c r="D47" s="45">
        <f>E42</f>
        <v>939000</v>
      </c>
      <c r="E47" s="40">
        <v>58.59</v>
      </c>
      <c r="F47" s="40">
        <f>E47*C47</f>
        <v>17577</v>
      </c>
      <c r="G47" s="30"/>
      <c r="H47" s="30"/>
      <c r="I47" s="30"/>
      <c r="J47" s="30"/>
    </row>
    <row r="48" spans="1:10" ht="12.95" customHeight="1" x14ac:dyDescent="0.2">
      <c r="A48" s="27" t="s">
        <v>70</v>
      </c>
      <c r="B48" s="39">
        <f>B41</f>
        <v>5000</v>
      </c>
      <c r="C48" s="50"/>
      <c r="D48" s="47">
        <f>F42</f>
        <v>3960000</v>
      </c>
      <c r="E48" s="51">
        <v>8.43</v>
      </c>
      <c r="F48" s="51">
        <f>E48*(D48/1000)</f>
        <v>33382.799999999996</v>
      </c>
      <c r="G48" s="30"/>
      <c r="H48" s="30"/>
      <c r="I48" s="30"/>
      <c r="J48" s="30"/>
    </row>
    <row r="49" spans="1:10" ht="12.95" customHeight="1" x14ac:dyDescent="0.2">
      <c r="A49" s="27"/>
      <c r="B49" s="39" t="s">
        <v>74</v>
      </c>
      <c r="C49" s="34">
        <f>SUM(C47:C48)</f>
        <v>300</v>
      </c>
      <c r="D49" s="34">
        <f>SUM(D47:D48)</f>
        <v>4899000</v>
      </c>
      <c r="E49" s="30"/>
      <c r="F49" s="40">
        <f>SUM(F47:F48)</f>
        <v>50959.799999999996</v>
      </c>
      <c r="G49" s="30"/>
      <c r="H49" s="30"/>
      <c r="I49" s="30"/>
      <c r="J49" s="30"/>
    </row>
    <row r="50" spans="1:10" ht="12.95" customHeight="1" x14ac:dyDescent="0.2">
      <c r="A50" s="27"/>
      <c r="B50" s="39"/>
      <c r="C50" s="34"/>
      <c r="D50" s="34"/>
      <c r="E50" s="30"/>
      <c r="F50" s="40"/>
      <c r="G50" s="30"/>
      <c r="H50" s="30"/>
      <c r="I50" s="30"/>
      <c r="J50" s="30"/>
    </row>
    <row r="51" spans="1:10" ht="15.75" x14ac:dyDescent="0.25">
      <c r="A51" s="26" t="s">
        <v>80</v>
      </c>
      <c r="B51" s="29"/>
      <c r="C51" s="53"/>
      <c r="D51" s="53"/>
      <c r="E51" s="53"/>
      <c r="F51" s="53"/>
      <c r="G51" s="53"/>
      <c r="H51" s="53"/>
      <c r="I51" s="53"/>
      <c r="J51" s="30"/>
    </row>
    <row r="52" spans="1:10" ht="12.95" customHeight="1" x14ac:dyDescent="0.2">
      <c r="A52" s="42"/>
      <c r="B52" s="42"/>
      <c r="C52" s="42"/>
      <c r="D52" s="42"/>
      <c r="E52" s="43" t="s">
        <v>69</v>
      </c>
      <c r="F52" s="43" t="s">
        <v>78</v>
      </c>
      <c r="G52" s="30"/>
      <c r="H52" s="30"/>
      <c r="J52" s="30"/>
    </row>
    <row r="53" spans="1:10" ht="12.95" customHeight="1" x14ac:dyDescent="0.2">
      <c r="A53" s="42"/>
      <c r="B53" s="32" t="s">
        <v>71</v>
      </c>
      <c r="C53" s="44" t="s">
        <v>72</v>
      </c>
      <c r="D53" s="44" t="s">
        <v>73</v>
      </c>
      <c r="E53" s="44">
        <f>B54</f>
        <v>10000</v>
      </c>
      <c r="F53" s="44">
        <f>B55</f>
        <v>10000</v>
      </c>
      <c r="G53" s="31" t="s">
        <v>74</v>
      </c>
      <c r="H53" s="206"/>
      <c r="J53" s="30"/>
    </row>
    <row r="54" spans="1:10" ht="12.95" customHeight="1" x14ac:dyDescent="0.2">
      <c r="A54" s="27" t="s">
        <v>69</v>
      </c>
      <c r="B54" s="39">
        <v>10000</v>
      </c>
      <c r="C54" s="34">
        <v>52</v>
      </c>
      <c r="D54" s="45">
        <v>89000</v>
      </c>
      <c r="E54" s="34">
        <v>89000</v>
      </c>
      <c r="F54" s="34"/>
      <c r="G54" s="34">
        <f>SUM(E54:F54)</f>
        <v>89000</v>
      </c>
      <c r="H54" s="34"/>
      <c r="J54" s="30"/>
    </row>
    <row r="55" spans="1:10" ht="12.95" customHeight="1" x14ac:dyDescent="0.2">
      <c r="A55" s="27" t="s">
        <v>70</v>
      </c>
      <c r="B55" s="46">
        <v>10000</v>
      </c>
      <c r="C55" s="37">
        <v>32</v>
      </c>
      <c r="D55" s="47">
        <v>633000</v>
      </c>
      <c r="E55" s="37">
        <v>320000</v>
      </c>
      <c r="F55" s="47">
        <v>313000</v>
      </c>
      <c r="G55" s="37">
        <f>SUM(E55:F55)</f>
        <v>633000</v>
      </c>
      <c r="H55" s="48"/>
      <c r="J55" s="30"/>
    </row>
    <row r="56" spans="1:10" ht="12.95" customHeight="1" x14ac:dyDescent="0.2">
      <c r="A56" s="27"/>
      <c r="B56" s="39"/>
      <c r="C56" s="34">
        <f>SUM(C54:C55)</f>
        <v>84</v>
      </c>
      <c r="D56" s="34">
        <f>SUM(D54:D55)</f>
        <v>722000</v>
      </c>
      <c r="E56" s="34">
        <f>SUM(E54:E55)</f>
        <v>409000</v>
      </c>
      <c r="F56" s="34">
        <f>SUM(F54:F55)</f>
        <v>313000</v>
      </c>
      <c r="G56" s="34">
        <f>SUM(G54:G55)</f>
        <v>722000</v>
      </c>
      <c r="H56" s="34"/>
      <c r="J56" s="30"/>
    </row>
    <row r="57" spans="1:10" ht="6.95" customHeight="1" x14ac:dyDescent="0.2">
      <c r="A57" s="27"/>
      <c r="B57" s="39"/>
      <c r="C57" s="30"/>
      <c r="D57" s="30"/>
      <c r="E57" s="30"/>
      <c r="F57" s="30"/>
      <c r="G57" s="30"/>
      <c r="H57" s="30"/>
      <c r="I57" s="30"/>
      <c r="J57" s="30"/>
    </row>
    <row r="58" spans="1:10" x14ac:dyDescent="0.2">
      <c r="A58" s="28" t="s">
        <v>75</v>
      </c>
      <c r="B58" s="28"/>
      <c r="C58" s="30"/>
      <c r="D58" s="30"/>
      <c r="E58" s="30"/>
      <c r="F58" s="30"/>
      <c r="G58" s="30"/>
      <c r="H58" s="30"/>
      <c r="I58" s="30"/>
      <c r="J58" s="30"/>
    </row>
    <row r="59" spans="1:10" ht="6.95" customHeight="1" x14ac:dyDescent="0.2">
      <c r="A59" s="27"/>
      <c r="B59" s="39"/>
      <c r="C59" s="30"/>
      <c r="D59" s="30"/>
      <c r="E59" s="30"/>
      <c r="F59" s="30"/>
      <c r="G59" s="30"/>
      <c r="H59" s="30"/>
      <c r="I59" s="30"/>
      <c r="J59" s="30"/>
    </row>
    <row r="60" spans="1:10" ht="12.95" customHeight="1" x14ac:dyDescent="0.2">
      <c r="A60" s="27"/>
      <c r="B60" s="30"/>
      <c r="C60" s="49" t="s">
        <v>72</v>
      </c>
      <c r="D60" s="31" t="s">
        <v>73</v>
      </c>
      <c r="E60" s="31" t="s">
        <v>76</v>
      </c>
      <c r="F60" s="31" t="s">
        <v>77</v>
      </c>
      <c r="G60" s="30"/>
      <c r="H60" s="30"/>
      <c r="I60" s="30"/>
      <c r="J60" s="30"/>
    </row>
    <row r="61" spans="1:10" ht="12.95" customHeight="1" x14ac:dyDescent="0.2">
      <c r="A61" s="27" t="s">
        <v>69</v>
      </c>
      <c r="B61" s="39">
        <f>B54</f>
        <v>10000</v>
      </c>
      <c r="C61" s="54">
        <f>C56</f>
        <v>84</v>
      </c>
      <c r="D61" s="45">
        <f>E56</f>
        <v>409000</v>
      </c>
      <c r="E61" s="40">
        <v>100.7</v>
      </c>
      <c r="F61" s="40">
        <f>E61*C61</f>
        <v>8458.8000000000011</v>
      </c>
      <c r="G61" s="30"/>
      <c r="H61" s="30"/>
      <c r="I61" s="30"/>
      <c r="J61" s="30"/>
    </row>
    <row r="62" spans="1:10" ht="12.95" customHeight="1" x14ac:dyDescent="0.2">
      <c r="A62" s="27" t="s">
        <v>70</v>
      </c>
      <c r="B62" s="39">
        <f>B55</f>
        <v>10000</v>
      </c>
      <c r="C62" s="50"/>
      <c r="D62" s="47">
        <f>F56</f>
        <v>313000</v>
      </c>
      <c r="E62" s="51">
        <v>8.43</v>
      </c>
      <c r="F62" s="51">
        <f>E62*(D62/1000)</f>
        <v>2638.5899999999997</v>
      </c>
      <c r="G62" s="30"/>
      <c r="H62" s="30"/>
      <c r="I62" s="30"/>
      <c r="J62" s="30"/>
    </row>
    <row r="63" spans="1:10" ht="12.95" customHeight="1" x14ac:dyDescent="0.2">
      <c r="A63" s="27"/>
      <c r="B63" s="39" t="s">
        <v>74</v>
      </c>
      <c r="C63" s="34">
        <f>SUM(C61:C62)</f>
        <v>84</v>
      </c>
      <c r="D63" s="34">
        <f>SUM(D61:D62)</f>
        <v>722000</v>
      </c>
      <c r="E63" s="30"/>
      <c r="F63" s="40">
        <f>SUM(F61:F62)</f>
        <v>11097.390000000001</v>
      </c>
      <c r="G63" s="30"/>
      <c r="H63" s="30"/>
      <c r="I63" s="30"/>
      <c r="J63" s="30"/>
    </row>
    <row r="64" spans="1:10" ht="12.95" customHeight="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5.75" x14ac:dyDescent="0.25">
      <c r="A65" s="26" t="s">
        <v>81</v>
      </c>
      <c r="B65" s="29"/>
      <c r="C65" s="53"/>
      <c r="D65" s="53"/>
      <c r="E65" s="53"/>
      <c r="F65" s="53"/>
      <c r="G65" s="53"/>
      <c r="H65" s="53"/>
      <c r="I65" s="53"/>
      <c r="J65" s="30"/>
    </row>
    <row r="66" spans="1:10" ht="12.95" customHeight="1" x14ac:dyDescent="0.2">
      <c r="A66" s="42"/>
      <c r="B66" s="42"/>
      <c r="C66" s="42"/>
      <c r="D66" s="42"/>
      <c r="E66" s="43" t="s">
        <v>69</v>
      </c>
      <c r="F66" s="43" t="s">
        <v>78</v>
      </c>
      <c r="G66" s="30"/>
      <c r="H66" s="30"/>
      <c r="I66" s="30"/>
      <c r="J66" s="30"/>
    </row>
    <row r="67" spans="1:10" ht="12.95" customHeight="1" x14ac:dyDescent="0.2">
      <c r="A67" s="42"/>
      <c r="B67" s="32" t="s">
        <v>71</v>
      </c>
      <c r="C67" s="44" t="s">
        <v>72</v>
      </c>
      <c r="D67" s="44" t="s">
        <v>73</v>
      </c>
      <c r="E67" s="44">
        <f>B68</f>
        <v>20000</v>
      </c>
      <c r="F67" s="44">
        <f>B69</f>
        <v>20000</v>
      </c>
      <c r="G67" s="31" t="s">
        <v>74</v>
      </c>
      <c r="H67" s="206"/>
      <c r="I67" s="30"/>
      <c r="J67" s="30"/>
    </row>
    <row r="68" spans="1:10" ht="12.95" customHeight="1" x14ac:dyDescent="0.2">
      <c r="A68" s="27" t="s">
        <v>69</v>
      </c>
      <c r="B68" s="39">
        <v>20000</v>
      </c>
      <c r="C68" s="34">
        <v>197</v>
      </c>
      <c r="D68" s="45">
        <v>1236000</v>
      </c>
      <c r="E68" s="34">
        <v>1236000</v>
      </c>
      <c r="F68" s="34"/>
      <c r="G68" s="34">
        <f>SUM(E68:F68)</f>
        <v>1236000</v>
      </c>
      <c r="H68" s="34"/>
      <c r="I68" s="30"/>
      <c r="J68" s="30"/>
    </row>
    <row r="69" spans="1:10" ht="12.95" customHeight="1" x14ac:dyDescent="0.2">
      <c r="A69" s="27" t="s">
        <v>70</v>
      </c>
      <c r="B69" s="46">
        <v>20000</v>
      </c>
      <c r="C69" s="37">
        <v>150</v>
      </c>
      <c r="D69" s="47">
        <v>17976100</v>
      </c>
      <c r="E69" s="37">
        <v>3000000</v>
      </c>
      <c r="F69" s="47">
        <v>14976100</v>
      </c>
      <c r="G69" s="37">
        <f>SUM(E69:F69)</f>
        <v>17976100</v>
      </c>
      <c r="H69" s="48"/>
      <c r="I69" s="30"/>
      <c r="J69" s="30"/>
    </row>
    <row r="70" spans="1:10" ht="12.95" customHeight="1" x14ac:dyDescent="0.2">
      <c r="A70" s="27"/>
      <c r="B70" s="39"/>
      <c r="C70" s="34">
        <f>SUM(C68:C69)</f>
        <v>347</v>
      </c>
      <c r="D70" s="34">
        <f>SUM(D68:D69)</f>
        <v>19212100</v>
      </c>
      <c r="E70" s="34">
        <f>SUM(E68:E69)</f>
        <v>4236000</v>
      </c>
      <c r="F70" s="34">
        <f>SUM(F68:F69)</f>
        <v>14976100</v>
      </c>
      <c r="G70" s="34">
        <f>SUM(G68:G69)</f>
        <v>19212100</v>
      </c>
      <c r="H70" s="34"/>
      <c r="I70" s="30"/>
      <c r="J70" s="30"/>
    </row>
    <row r="71" spans="1:10" ht="6.95" customHeight="1" x14ac:dyDescent="0.2">
      <c r="A71" s="27"/>
      <c r="B71" s="39"/>
      <c r="C71" s="30"/>
      <c r="D71" s="30"/>
      <c r="E71" s="30"/>
      <c r="F71" s="30"/>
      <c r="G71" s="30"/>
      <c r="H71" s="30"/>
      <c r="I71" s="30"/>
      <c r="J71" s="30"/>
    </row>
    <row r="72" spans="1:10" x14ac:dyDescent="0.2">
      <c r="A72" s="28" t="s">
        <v>75</v>
      </c>
      <c r="B72" s="28"/>
      <c r="C72" s="30"/>
      <c r="D72" s="30"/>
      <c r="E72" s="30"/>
      <c r="F72" s="30"/>
      <c r="G72" s="30"/>
      <c r="H72" s="30"/>
      <c r="I72" s="30"/>
      <c r="J72" s="30"/>
    </row>
    <row r="73" spans="1:10" ht="6.95" customHeight="1" x14ac:dyDescent="0.2">
      <c r="A73" s="27"/>
      <c r="B73" s="39"/>
      <c r="C73" s="30"/>
      <c r="D73" s="30"/>
      <c r="E73" s="30"/>
      <c r="F73" s="30"/>
      <c r="G73" s="30"/>
      <c r="H73" s="30"/>
      <c r="I73" s="30"/>
      <c r="J73" s="30"/>
    </row>
    <row r="74" spans="1:10" ht="12.95" customHeight="1" x14ac:dyDescent="0.2">
      <c r="A74" s="27"/>
      <c r="B74" s="30"/>
      <c r="C74" s="49" t="s">
        <v>72</v>
      </c>
      <c r="D74" s="31" t="s">
        <v>73</v>
      </c>
      <c r="E74" s="31" t="s">
        <v>76</v>
      </c>
      <c r="F74" s="31" t="s">
        <v>77</v>
      </c>
      <c r="G74" s="30"/>
      <c r="H74" s="30"/>
      <c r="I74" s="30"/>
      <c r="J74" s="30"/>
    </row>
    <row r="75" spans="1:10" ht="12.95" customHeight="1" x14ac:dyDescent="0.2">
      <c r="A75" s="27" t="s">
        <v>69</v>
      </c>
      <c r="B75" s="39">
        <f>B68</f>
        <v>20000</v>
      </c>
      <c r="C75" s="54">
        <f>C70</f>
        <v>347</v>
      </c>
      <c r="D75" s="45">
        <f>E70</f>
        <v>4236000</v>
      </c>
      <c r="E75" s="40">
        <v>184.93</v>
      </c>
      <c r="F75" s="40">
        <f>E75*C75</f>
        <v>64170.71</v>
      </c>
      <c r="G75" s="30"/>
      <c r="H75" s="30"/>
      <c r="I75" s="30"/>
      <c r="J75" s="30"/>
    </row>
    <row r="76" spans="1:10" ht="12.95" customHeight="1" x14ac:dyDescent="0.2">
      <c r="A76" s="27" t="s">
        <v>70</v>
      </c>
      <c r="B76" s="39">
        <f>B69</f>
        <v>20000</v>
      </c>
      <c r="C76" s="50"/>
      <c r="D76" s="47">
        <f>F70</f>
        <v>14976100</v>
      </c>
      <c r="E76" s="51">
        <f>$E$34</f>
        <v>8.43</v>
      </c>
      <c r="F76" s="51">
        <f>E76*(D76/1000)</f>
        <v>126248.523</v>
      </c>
      <c r="G76" s="30"/>
      <c r="H76" s="30"/>
      <c r="I76" s="30"/>
      <c r="J76" s="30"/>
    </row>
    <row r="77" spans="1:10" ht="12.95" customHeight="1" x14ac:dyDescent="0.2">
      <c r="A77" s="27"/>
      <c r="B77" s="39" t="s">
        <v>74</v>
      </c>
      <c r="C77" s="34">
        <f>SUM(C75:C76)</f>
        <v>347</v>
      </c>
      <c r="D77" s="34">
        <f>SUM(D75:D76)</f>
        <v>19212100</v>
      </c>
      <c r="E77" s="30"/>
      <c r="F77" s="40">
        <f>SUM(F75:F76)</f>
        <v>190419.23300000001</v>
      </c>
      <c r="G77" s="30"/>
      <c r="H77" s="30"/>
      <c r="I77" s="30"/>
      <c r="J77" s="30"/>
    </row>
    <row r="78" spans="1:10" ht="12.95" customHeight="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5.75" x14ac:dyDescent="0.25">
      <c r="A79" s="26" t="s">
        <v>101</v>
      </c>
      <c r="B79" s="29"/>
      <c r="C79" s="53"/>
      <c r="D79" s="53"/>
      <c r="E79" s="53"/>
      <c r="F79" s="53"/>
      <c r="G79" s="53"/>
      <c r="H79" s="53"/>
      <c r="I79" s="30"/>
      <c r="J79" s="30"/>
    </row>
    <row r="80" spans="1:10" ht="12.95" customHeight="1" x14ac:dyDescent="0.2">
      <c r="A80" s="42"/>
      <c r="B80" s="42"/>
      <c r="C80" s="42"/>
      <c r="D80" s="42"/>
      <c r="E80" s="43" t="s">
        <v>69</v>
      </c>
      <c r="F80" s="43" t="s">
        <v>78</v>
      </c>
      <c r="G80" s="30"/>
      <c r="H80" s="30"/>
      <c r="I80" s="30"/>
      <c r="J80" s="30"/>
    </row>
    <row r="81" spans="1:10" ht="12.95" customHeight="1" x14ac:dyDescent="0.2">
      <c r="A81" s="42"/>
      <c r="B81" s="32" t="s">
        <v>71</v>
      </c>
      <c r="C81" s="44" t="s">
        <v>72</v>
      </c>
      <c r="D81" s="44" t="s">
        <v>73</v>
      </c>
      <c r="E81" s="44">
        <f>B82</f>
        <v>30000</v>
      </c>
      <c r="F81" s="44">
        <f>B83</f>
        <v>30000</v>
      </c>
      <c r="G81" s="31" t="s">
        <v>74</v>
      </c>
      <c r="H81" s="206"/>
      <c r="I81" s="30"/>
      <c r="J81" s="30"/>
    </row>
    <row r="82" spans="1:10" ht="12.95" customHeight="1" x14ac:dyDescent="0.2">
      <c r="A82" s="27" t="s">
        <v>69</v>
      </c>
      <c r="B82" s="39">
        <v>30000</v>
      </c>
      <c r="C82" s="34">
        <v>13</v>
      </c>
      <c r="D82" s="45">
        <v>85000</v>
      </c>
      <c r="E82" s="34">
        <v>85000</v>
      </c>
      <c r="F82" s="34"/>
      <c r="G82" s="34">
        <f>SUM(E82:F82)</f>
        <v>85000</v>
      </c>
      <c r="H82" s="34"/>
      <c r="I82" s="30"/>
      <c r="J82" s="30"/>
    </row>
    <row r="83" spans="1:10" ht="12.95" customHeight="1" x14ac:dyDescent="0.2">
      <c r="A83" s="27" t="s">
        <v>70</v>
      </c>
      <c r="B83" s="46">
        <v>30000</v>
      </c>
      <c r="C83" s="37">
        <v>23</v>
      </c>
      <c r="D83" s="47">
        <v>4299000</v>
      </c>
      <c r="E83" s="37">
        <v>690000</v>
      </c>
      <c r="F83" s="47">
        <v>3609000</v>
      </c>
      <c r="G83" s="37">
        <f>SUM(E83:F83)</f>
        <v>4299000</v>
      </c>
      <c r="H83" s="48"/>
      <c r="I83" s="30"/>
      <c r="J83" s="30"/>
    </row>
    <row r="84" spans="1:10" ht="12.95" customHeight="1" x14ac:dyDescent="0.2">
      <c r="A84" s="27"/>
      <c r="B84" s="39"/>
      <c r="C84" s="34">
        <f>SUM(C82:C83)</f>
        <v>36</v>
      </c>
      <c r="D84" s="34">
        <f>SUM(D82:D83)</f>
        <v>4384000</v>
      </c>
      <c r="E84" s="34">
        <f>SUM(E82:E83)</f>
        <v>775000</v>
      </c>
      <c r="F84" s="34">
        <f>SUM(F82:F83)</f>
        <v>3609000</v>
      </c>
      <c r="G84" s="34">
        <f>SUM(G82:G83)</f>
        <v>4384000</v>
      </c>
      <c r="H84" s="34"/>
      <c r="I84" s="30"/>
      <c r="J84" s="30"/>
    </row>
    <row r="85" spans="1:10" ht="6.95" customHeight="1" x14ac:dyDescent="0.2">
      <c r="A85" s="27"/>
      <c r="B85" s="39"/>
      <c r="C85" s="30"/>
      <c r="D85" s="30"/>
      <c r="E85" s="30"/>
      <c r="F85" s="30"/>
      <c r="G85" s="30"/>
      <c r="H85" s="30"/>
      <c r="I85" s="30"/>
      <c r="J85" s="30"/>
    </row>
    <row r="86" spans="1:10" x14ac:dyDescent="0.2">
      <c r="A86" s="28" t="s">
        <v>75</v>
      </c>
      <c r="B86" s="28"/>
      <c r="C86" s="30"/>
      <c r="D86" s="30"/>
      <c r="E86" s="30"/>
      <c r="F86" s="30"/>
      <c r="G86" s="30"/>
      <c r="H86" s="30"/>
      <c r="I86" s="30"/>
      <c r="J86" s="30"/>
    </row>
    <row r="87" spans="1:10" ht="6.95" customHeight="1" x14ac:dyDescent="0.2">
      <c r="A87" s="27"/>
      <c r="B87" s="39"/>
      <c r="C87" s="30"/>
      <c r="D87" s="30"/>
      <c r="E87" s="30"/>
      <c r="F87" s="30"/>
      <c r="G87" s="30"/>
      <c r="H87" s="30"/>
      <c r="I87" s="30"/>
      <c r="J87" s="30"/>
    </row>
    <row r="88" spans="1:10" ht="12.95" customHeight="1" x14ac:dyDescent="0.2">
      <c r="A88" s="27"/>
      <c r="B88" s="30"/>
      <c r="C88" s="49" t="s">
        <v>72</v>
      </c>
      <c r="D88" s="31" t="s">
        <v>73</v>
      </c>
      <c r="E88" s="31" t="s">
        <v>76</v>
      </c>
      <c r="F88" s="31" t="s">
        <v>77</v>
      </c>
      <c r="G88" s="30"/>
      <c r="H88" s="30"/>
      <c r="I88" s="30"/>
      <c r="J88" s="30"/>
    </row>
    <row r="89" spans="1:10" ht="12.95" customHeight="1" x14ac:dyDescent="0.2">
      <c r="A89" s="27" t="s">
        <v>69</v>
      </c>
      <c r="B89" s="39">
        <f>B82</f>
        <v>30000</v>
      </c>
      <c r="C89" s="54">
        <f>C84</f>
        <v>36</v>
      </c>
      <c r="D89" s="45">
        <f>E84</f>
        <v>775000</v>
      </c>
      <c r="E89" s="40">
        <v>269.17</v>
      </c>
      <c r="F89" s="40">
        <f>E89*C89</f>
        <v>9690.1200000000008</v>
      </c>
      <c r="G89" s="30"/>
      <c r="H89" s="30"/>
      <c r="I89" s="30"/>
      <c r="J89" s="30"/>
    </row>
    <row r="90" spans="1:10" ht="12.95" customHeight="1" x14ac:dyDescent="0.2">
      <c r="A90" s="27" t="s">
        <v>70</v>
      </c>
      <c r="B90" s="39">
        <f>B83</f>
        <v>30000</v>
      </c>
      <c r="C90" s="50"/>
      <c r="D90" s="47">
        <f>F84</f>
        <v>3609000</v>
      </c>
      <c r="E90" s="51">
        <f>$E$34</f>
        <v>8.43</v>
      </c>
      <c r="F90" s="51">
        <f>E90*(D90/1000)</f>
        <v>30423.87</v>
      </c>
      <c r="G90" s="30"/>
      <c r="H90" s="30"/>
      <c r="I90" s="30"/>
      <c r="J90" s="30"/>
    </row>
    <row r="91" spans="1:10" ht="12.95" customHeight="1" x14ac:dyDescent="0.2">
      <c r="A91" s="27"/>
      <c r="B91" s="39" t="s">
        <v>74</v>
      </c>
      <c r="C91" s="34">
        <f>SUM(C89:C90)</f>
        <v>36</v>
      </c>
      <c r="D91" s="34">
        <f>SUM(D89:D90)</f>
        <v>4384000</v>
      </c>
      <c r="E91" s="30"/>
      <c r="F91" s="40">
        <f>SUM(F89:F90)</f>
        <v>40113.99</v>
      </c>
      <c r="G91" s="30"/>
      <c r="H91" s="30"/>
      <c r="I91" s="30"/>
      <c r="J91" s="30"/>
    </row>
    <row r="92" spans="1:10" ht="12.95" customHeight="1" x14ac:dyDescent="0.2"/>
    <row r="93" spans="1:10" ht="15.75" x14ac:dyDescent="0.25">
      <c r="A93" s="26" t="s">
        <v>481</v>
      </c>
      <c r="B93" s="29"/>
      <c r="C93" s="53"/>
      <c r="D93" s="53"/>
      <c r="E93" s="53"/>
      <c r="F93" s="53"/>
      <c r="G93" s="53"/>
      <c r="H93" s="53"/>
    </row>
    <row r="94" spans="1:10" ht="12.95" customHeight="1" x14ac:dyDescent="0.2">
      <c r="A94" s="42"/>
      <c r="B94" s="42"/>
      <c r="C94" s="42"/>
      <c r="D94" s="42"/>
      <c r="E94" s="43" t="s">
        <v>69</v>
      </c>
      <c r="F94" s="43" t="s">
        <v>78</v>
      </c>
      <c r="G94" s="30"/>
      <c r="H94" s="30"/>
    </row>
    <row r="95" spans="1:10" ht="12.95" customHeight="1" x14ac:dyDescent="0.2">
      <c r="A95" s="42"/>
      <c r="B95" s="32" t="s">
        <v>71</v>
      </c>
      <c r="C95" s="44" t="s">
        <v>72</v>
      </c>
      <c r="D95" s="44" t="s">
        <v>73</v>
      </c>
      <c r="E95" s="44">
        <f>B96</f>
        <v>50000</v>
      </c>
      <c r="F95" s="44">
        <f>B97</f>
        <v>50000</v>
      </c>
      <c r="G95" s="31" t="s">
        <v>74</v>
      </c>
      <c r="H95" s="206"/>
    </row>
    <row r="96" spans="1:10" ht="12.95" customHeight="1" x14ac:dyDescent="0.2">
      <c r="A96" s="27" t="s">
        <v>69</v>
      </c>
      <c r="B96" s="39">
        <v>50000</v>
      </c>
      <c r="C96" s="34">
        <v>0</v>
      </c>
      <c r="D96" s="45">
        <v>0</v>
      </c>
      <c r="E96" s="34">
        <v>0</v>
      </c>
      <c r="F96" s="34"/>
      <c r="G96" s="34">
        <f>SUM(E96:F96)</f>
        <v>0</v>
      </c>
      <c r="H96" s="34"/>
    </row>
    <row r="97" spans="1:8" ht="12.95" customHeight="1" x14ac:dyDescent="0.2">
      <c r="A97" s="27" t="s">
        <v>70</v>
      </c>
      <c r="B97" s="46">
        <v>50000</v>
      </c>
      <c r="C97" s="37">
        <v>12</v>
      </c>
      <c r="D97" s="47">
        <v>5967000</v>
      </c>
      <c r="E97" s="37">
        <v>600000</v>
      </c>
      <c r="F97" s="47">
        <v>5367000</v>
      </c>
      <c r="G97" s="37">
        <f>SUM(E97:F97)</f>
        <v>5967000</v>
      </c>
      <c r="H97" s="48"/>
    </row>
    <row r="98" spans="1:8" ht="12.95" customHeight="1" x14ac:dyDescent="0.2">
      <c r="A98" s="27"/>
      <c r="B98" s="39"/>
      <c r="C98" s="34">
        <f>SUM(C96:C97)</f>
        <v>12</v>
      </c>
      <c r="D98" s="34">
        <f>SUM(D96:D97)</f>
        <v>5967000</v>
      </c>
      <c r="E98" s="34">
        <f>SUM(E96:E97)</f>
        <v>600000</v>
      </c>
      <c r="F98" s="34">
        <f>SUM(F96:F97)</f>
        <v>5367000</v>
      </c>
      <c r="G98" s="34">
        <f>SUM(G96:G97)</f>
        <v>5967000</v>
      </c>
      <c r="H98" s="34"/>
    </row>
    <row r="99" spans="1:8" ht="6.95" customHeight="1" x14ac:dyDescent="0.2">
      <c r="A99" s="27"/>
      <c r="B99" s="39"/>
      <c r="C99" s="30"/>
      <c r="D99" s="30"/>
      <c r="E99" s="30"/>
      <c r="F99" s="30"/>
      <c r="G99" s="30"/>
      <c r="H99" s="30"/>
    </row>
    <row r="100" spans="1:8" x14ac:dyDescent="0.2">
      <c r="A100" s="28" t="s">
        <v>75</v>
      </c>
      <c r="B100" s="28"/>
      <c r="C100" s="30"/>
      <c r="D100" s="30"/>
      <c r="E100" s="30"/>
      <c r="F100" s="30"/>
      <c r="G100" s="30"/>
      <c r="H100" s="30"/>
    </row>
    <row r="101" spans="1:8" ht="6.95" customHeight="1" x14ac:dyDescent="0.2">
      <c r="A101" s="27"/>
      <c r="B101" s="39"/>
      <c r="C101" s="30"/>
      <c r="D101" s="30"/>
      <c r="E101" s="30"/>
      <c r="F101" s="30"/>
      <c r="G101" s="30"/>
      <c r="H101" s="30"/>
    </row>
    <row r="102" spans="1:8" ht="12.95" customHeight="1" x14ac:dyDescent="0.2">
      <c r="A102" s="27"/>
      <c r="B102" s="30"/>
      <c r="C102" s="49" t="s">
        <v>72</v>
      </c>
      <c r="D102" s="31" t="s">
        <v>73</v>
      </c>
      <c r="E102" s="31" t="s">
        <v>76</v>
      </c>
      <c r="F102" s="31" t="s">
        <v>77</v>
      </c>
      <c r="G102" s="30"/>
      <c r="H102" s="30"/>
    </row>
    <row r="103" spans="1:8" ht="12.95" customHeight="1" x14ac:dyDescent="0.2">
      <c r="A103" s="27" t="s">
        <v>69</v>
      </c>
      <c r="B103" s="39">
        <f>B96</f>
        <v>50000</v>
      </c>
      <c r="C103" s="54">
        <f>C98</f>
        <v>12</v>
      </c>
      <c r="D103" s="45">
        <f>E98</f>
        <v>600000</v>
      </c>
      <c r="E103" s="40">
        <v>437.63</v>
      </c>
      <c r="F103" s="40">
        <f>E103*C103</f>
        <v>5251.5599999999995</v>
      </c>
      <c r="G103" s="30"/>
      <c r="H103" s="30"/>
    </row>
    <row r="104" spans="1:8" ht="12.95" customHeight="1" x14ac:dyDescent="0.2">
      <c r="A104" s="27" t="s">
        <v>70</v>
      </c>
      <c r="B104" s="39">
        <f>B97</f>
        <v>50000</v>
      </c>
      <c r="C104" s="50"/>
      <c r="D104" s="47">
        <f>F98</f>
        <v>5367000</v>
      </c>
      <c r="E104" s="51">
        <f>$E$34</f>
        <v>8.43</v>
      </c>
      <c r="F104" s="51">
        <f>E104*(D104/1000)</f>
        <v>45243.81</v>
      </c>
      <c r="G104" s="30"/>
      <c r="H104" s="30"/>
    </row>
    <row r="105" spans="1:8" ht="12.95" customHeight="1" x14ac:dyDescent="0.2">
      <c r="A105" s="27"/>
      <c r="B105" s="39" t="s">
        <v>74</v>
      </c>
      <c r="C105" s="34">
        <f>SUM(C103:C104)</f>
        <v>12</v>
      </c>
      <c r="D105" s="34">
        <f>SUM(D103:D104)</f>
        <v>5967000</v>
      </c>
      <c r="E105" s="30"/>
      <c r="F105" s="40">
        <f>SUM(F103:F104)</f>
        <v>50495.369999999995</v>
      </c>
      <c r="G105" s="30"/>
      <c r="H105" s="30"/>
    </row>
    <row r="109" spans="1:8" x14ac:dyDescent="0.2">
      <c r="C109" s="196">
        <f>C105+C91+C63+C49+C35</f>
        <v>41986</v>
      </c>
      <c r="D109">
        <v>3.16</v>
      </c>
      <c r="E109" s="195">
        <f>C109*D109</f>
        <v>132675.76</v>
      </c>
    </row>
    <row r="110" spans="1:8" x14ac:dyDescent="0.2">
      <c r="C110" s="180">
        <f>C109/12</f>
        <v>3498.8333333333335</v>
      </c>
      <c r="E110" s="195"/>
    </row>
    <row r="111" spans="1:8" x14ac:dyDescent="0.2">
      <c r="D111">
        <v>4.1900000000000004</v>
      </c>
      <c r="E111" s="195">
        <f>C109*D111</f>
        <v>175921.34000000003</v>
      </c>
    </row>
  </sheetData>
  <printOptions horizontalCentered="1"/>
  <pageMargins left="0.7" right="0.7" top="0.75" bottom="0.5" header="0.3" footer="0.3"/>
  <pageSetup scale="99" fitToHeight="2" orientation="portrait" r:id="rId1"/>
  <rowBreaks count="1" manualBreakCount="1">
    <brk id="50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22"/>
  <sheetViews>
    <sheetView workbookViewId="0"/>
  </sheetViews>
  <sheetFormatPr defaultRowHeight="15" x14ac:dyDescent="0.2"/>
  <cols>
    <col min="2" max="2" width="10.21875" customWidth="1"/>
    <col min="3" max="3" width="9.6640625" customWidth="1"/>
    <col min="7" max="7" width="8" customWidth="1"/>
  </cols>
  <sheetData>
    <row r="2" spans="1:14" ht="15.75" x14ac:dyDescent="0.25">
      <c r="B2" s="378" t="s">
        <v>100</v>
      </c>
      <c r="C2" s="378"/>
      <c r="D2" s="378"/>
      <c r="E2" s="378"/>
      <c r="F2" s="378"/>
      <c r="G2" s="378"/>
    </row>
    <row r="4" spans="1:14" x14ac:dyDescent="0.2">
      <c r="A4" s="30"/>
      <c r="B4" s="377" t="s">
        <v>415</v>
      </c>
      <c r="C4" s="377"/>
      <c r="D4" s="377"/>
      <c r="E4" s="377"/>
      <c r="F4" s="377"/>
      <c r="G4" s="377"/>
      <c r="H4" s="30"/>
      <c r="I4" s="30"/>
      <c r="J4" s="30"/>
      <c r="K4" s="30"/>
      <c r="L4" s="30"/>
      <c r="M4" s="30"/>
      <c r="N4" s="30"/>
    </row>
    <row r="5" spans="1:14" ht="6.9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x14ac:dyDescent="0.2">
      <c r="A6" s="30"/>
      <c r="B6" s="59"/>
      <c r="C6" s="60" t="s">
        <v>505</v>
      </c>
      <c r="D6" s="375" t="s">
        <v>93</v>
      </c>
      <c r="E6" s="375"/>
      <c r="F6" s="199" t="s">
        <v>95</v>
      </c>
      <c r="G6" s="199" t="s">
        <v>97</v>
      </c>
      <c r="H6" s="30"/>
      <c r="I6" s="30"/>
      <c r="J6" s="30"/>
      <c r="K6" s="30"/>
      <c r="L6" s="30"/>
      <c r="M6" s="30"/>
      <c r="N6" s="30"/>
    </row>
    <row r="7" spans="1:14" x14ac:dyDescent="0.2">
      <c r="A7" s="30"/>
      <c r="B7" s="59" t="s">
        <v>65</v>
      </c>
      <c r="C7" s="200" t="s">
        <v>418</v>
      </c>
      <c r="D7" s="199" t="s">
        <v>92</v>
      </c>
      <c r="E7" s="199" t="s">
        <v>94</v>
      </c>
      <c r="F7" s="199" t="s">
        <v>96</v>
      </c>
      <c r="G7" s="199" t="s">
        <v>96</v>
      </c>
      <c r="H7" s="30"/>
      <c r="I7" s="30"/>
      <c r="J7" s="30"/>
      <c r="K7" s="30"/>
      <c r="L7" s="30"/>
      <c r="M7" s="30"/>
      <c r="N7" s="30"/>
    </row>
    <row r="8" spans="1:14" ht="6.95" customHeight="1" x14ac:dyDescent="0.2">
      <c r="A8" s="30"/>
      <c r="B8" s="61"/>
      <c r="C8" s="62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x14ac:dyDescent="0.2">
      <c r="A9" s="30"/>
      <c r="B9" s="63" t="s">
        <v>87</v>
      </c>
      <c r="C9" s="64">
        <v>2000</v>
      </c>
      <c r="D9" s="251">
        <f>Rates!G14</f>
        <v>26.5</v>
      </c>
      <c r="E9" s="251">
        <f>Rates!G37</f>
        <v>39.6175</v>
      </c>
      <c r="F9" s="251">
        <f>E9-D9</f>
        <v>13.1175</v>
      </c>
      <c r="G9" s="248">
        <f>ROUND(F9/D9,4)</f>
        <v>0.495</v>
      </c>
      <c r="H9" s="30"/>
      <c r="I9" s="30"/>
      <c r="J9" s="30"/>
      <c r="K9" s="30"/>
      <c r="L9" s="30"/>
      <c r="M9" s="30"/>
      <c r="N9" s="30"/>
    </row>
    <row r="10" spans="1:14" x14ac:dyDescent="0.2">
      <c r="A10" s="30"/>
      <c r="B10" s="63" t="s">
        <v>57</v>
      </c>
      <c r="C10" s="64">
        <v>5000</v>
      </c>
      <c r="D10" s="66">
        <f>Rates!G15</f>
        <v>46.6</v>
      </c>
      <c r="E10" s="66">
        <f>Rates!G38</f>
        <v>69.677499999999995</v>
      </c>
      <c r="F10" s="148">
        <f>E10-D10</f>
        <v>23.077499999999993</v>
      </c>
      <c r="G10" s="248">
        <f t="shared" ref="G10:G14" si="0">ROUND(F10/D10,4)</f>
        <v>0.49519999999999997</v>
      </c>
      <c r="H10" s="30"/>
      <c r="I10" s="30"/>
      <c r="J10" s="30"/>
      <c r="K10" s="30"/>
      <c r="L10" s="30"/>
      <c r="M10" s="30"/>
      <c r="N10" s="30"/>
    </row>
    <row r="11" spans="1:14" x14ac:dyDescent="0.2">
      <c r="A11" s="30"/>
      <c r="B11" s="210" t="s">
        <v>67</v>
      </c>
      <c r="C11" s="64">
        <v>10000</v>
      </c>
      <c r="D11" s="66">
        <f>Rates!G16</f>
        <v>80.099999999999994</v>
      </c>
      <c r="E11" s="66">
        <f>Rates!G39</f>
        <v>119.77749999999999</v>
      </c>
      <c r="F11" s="148">
        <f t="shared" ref="F11:F14" si="1">E11-D11</f>
        <v>39.677499999999995</v>
      </c>
      <c r="G11" s="248">
        <f t="shared" si="0"/>
        <v>0.49530000000000002</v>
      </c>
      <c r="H11" s="30"/>
      <c r="I11" s="30"/>
      <c r="J11" s="30"/>
      <c r="K11" s="30"/>
      <c r="L11" s="30"/>
      <c r="M11" s="30"/>
      <c r="N11" s="30"/>
    </row>
    <row r="12" spans="1:14" x14ac:dyDescent="0.2">
      <c r="A12" s="30"/>
      <c r="B12" s="210" t="s">
        <v>58</v>
      </c>
      <c r="C12" s="64">
        <v>20000</v>
      </c>
      <c r="D12" s="66">
        <f>Rates!G17</f>
        <v>147.1</v>
      </c>
      <c r="E12" s="66">
        <f>Rates!G40</f>
        <v>219.97749999999996</v>
      </c>
      <c r="F12" s="148">
        <f t="shared" si="1"/>
        <v>72.877499999999969</v>
      </c>
      <c r="G12" s="248">
        <f t="shared" si="0"/>
        <v>0.49540000000000001</v>
      </c>
      <c r="H12" s="30"/>
      <c r="I12" s="30"/>
      <c r="J12" s="30"/>
      <c r="K12" s="30"/>
      <c r="L12" s="30"/>
      <c r="M12" s="30"/>
      <c r="N12" s="30"/>
    </row>
    <row r="13" spans="1:14" x14ac:dyDescent="0.2">
      <c r="A13" s="30"/>
      <c r="B13" s="210" t="s">
        <v>88</v>
      </c>
      <c r="C13" s="64">
        <v>30000</v>
      </c>
      <c r="D13" s="66">
        <f>Rates!G18</f>
        <v>214.1</v>
      </c>
      <c r="E13" s="66">
        <f>Rates!G41</f>
        <v>320.17749999999995</v>
      </c>
      <c r="F13" s="148">
        <f t="shared" si="1"/>
        <v>106.07749999999996</v>
      </c>
      <c r="G13" s="248">
        <f t="shared" si="0"/>
        <v>0.4955</v>
      </c>
      <c r="H13" s="30"/>
      <c r="I13" s="30"/>
      <c r="J13" s="30"/>
      <c r="K13" s="30"/>
      <c r="L13" s="30"/>
      <c r="M13" s="30"/>
      <c r="N13" s="30"/>
    </row>
    <row r="14" spans="1:14" x14ac:dyDescent="0.2">
      <c r="A14" s="30"/>
      <c r="B14" s="210" t="s">
        <v>420</v>
      </c>
      <c r="C14" s="64">
        <v>50000</v>
      </c>
      <c r="D14" s="66">
        <f>Rates!G19</f>
        <v>348.1</v>
      </c>
      <c r="E14" s="66">
        <f>Rates!G42</f>
        <v>520.57749999999987</v>
      </c>
      <c r="F14" s="148">
        <f t="shared" si="1"/>
        <v>172.47749999999985</v>
      </c>
      <c r="G14" s="248">
        <f t="shared" si="0"/>
        <v>0.4955</v>
      </c>
      <c r="H14" s="30"/>
      <c r="I14" s="30"/>
      <c r="J14" s="30"/>
      <c r="K14" s="30"/>
      <c r="L14" s="30"/>
      <c r="M14" s="30"/>
      <c r="N14" s="30"/>
    </row>
    <row r="15" spans="1:14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x14ac:dyDescent="0.2">
      <c r="A16" s="30"/>
      <c r="B16" s="376" t="s">
        <v>421</v>
      </c>
      <c r="C16" s="376"/>
      <c r="D16" s="376"/>
      <c r="E16" s="376"/>
      <c r="F16" s="376"/>
      <c r="G16" s="376"/>
      <c r="H16" s="30"/>
      <c r="I16" s="30"/>
      <c r="J16" s="30"/>
      <c r="K16" s="30"/>
      <c r="L16" s="30"/>
      <c r="M16" s="30"/>
      <c r="N16" s="30"/>
    </row>
    <row r="17" spans="1:14" ht="6.95" customHeight="1" x14ac:dyDescent="0.2">
      <c r="A17" s="30"/>
      <c r="B17" s="52"/>
      <c r="C17" s="52"/>
      <c r="D17" s="52"/>
      <c r="E17" s="52"/>
      <c r="F17" s="52"/>
      <c r="G17" s="52"/>
      <c r="H17" s="30"/>
      <c r="I17" s="30"/>
      <c r="J17" s="30"/>
      <c r="K17" s="30"/>
      <c r="L17" s="30"/>
      <c r="M17" s="30"/>
      <c r="N17" s="30"/>
    </row>
    <row r="18" spans="1:14" x14ac:dyDescent="0.2">
      <c r="A18" s="30"/>
      <c r="B18" s="30"/>
      <c r="C18" s="30"/>
      <c r="D18" s="375" t="s">
        <v>98</v>
      </c>
      <c r="E18" s="375"/>
      <c r="F18" s="199" t="s">
        <v>95</v>
      </c>
      <c r="G18" s="199" t="s">
        <v>97</v>
      </c>
      <c r="H18" s="30"/>
      <c r="I18" s="30"/>
      <c r="J18" s="30"/>
      <c r="K18" s="30"/>
      <c r="L18" s="30"/>
      <c r="M18" s="30"/>
      <c r="N18" s="30"/>
    </row>
    <row r="19" spans="1:14" x14ac:dyDescent="0.2">
      <c r="A19" s="30"/>
      <c r="B19" s="211" t="s">
        <v>506</v>
      </c>
      <c r="C19" s="30"/>
      <c r="D19" s="199" t="s">
        <v>99</v>
      </c>
      <c r="E19" s="199" t="s">
        <v>94</v>
      </c>
      <c r="F19" s="199" t="s">
        <v>96</v>
      </c>
      <c r="G19" s="199" t="s">
        <v>96</v>
      </c>
      <c r="H19" s="30"/>
      <c r="I19" s="30"/>
      <c r="J19" s="30"/>
      <c r="K19" s="30"/>
      <c r="L19" s="30"/>
      <c r="M19" s="30"/>
      <c r="N19" s="30"/>
    </row>
    <row r="20" spans="1:14" ht="6.95" customHeight="1" x14ac:dyDescent="0.2">
      <c r="A20" s="30"/>
      <c r="B20" s="52"/>
      <c r="C20" s="30"/>
      <c r="D20" s="30"/>
      <c r="F20" s="40"/>
      <c r="H20" s="30"/>
      <c r="I20" s="30"/>
      <c r="J20" s="30"/>
      <c r="K20" s="30"/>
      <c r="L20" s="30"/>
      <c r="M20" s="30"/>
      <c r="N20" s="30"/>
    </row>
    <row r="21" spans="1:14" x14ac:dyDescent="0.2">
      <c r="A21" s="30"/>
      <c r="B21" s="64" t="s">
        <v>422</v>
      </c>
      <c r="D21" s="251">
        <f>Rates!G26</f>
        <v>6.7</v>
      </c>
      <c r="E21" s="251">
        <f>Rates!G49</f>
        <v>10.02</v>
      </c>
      <c r="F21" s="251">
        <f>E21-D21</f>
        <v>3.3199999999999994</v>
      </c>
      <c r="G21" s="248">
        <f>ROUND(F21/D21,4)</f>
        <v>0.4955</v>
      </c>
      <c r="H21" s="30"/>
      <c r="I21" s="30"/>
      <c r="J21" s="30"/>
      <c r="K21" s="30"/>
      <c r="L21" s="30"/>
      <c r="M21" s="30"/>
      <c r="N21" s="30"/>
    </row>
    <row r="22" spans="1:14" x14ac:dyDescent="0.2">
      <c r="G22" s="208"/>
    </row>
  </sheetData>
  <mergeCells count="5">
    <mergeCell ref="D6:E6"/>
    <mergeCell ref="D18:E18"/>
    <mergeCell ref="B16:G16"/>
    <mergeCell ref="B4:G4"/>
    <mergeCell ref="B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50"/>
  <sheetViews>
    <sheetView topLeftCell="A28" workbookViewId="0">
      <selection activeCell="E38" sqref="E38"/>
    </sheetView>
  </sheetViews>
  <sheetFormatPr defaultRowHeight="15" x14ac:dyDescent="0.2"/>
  <cols>
    <col min="1" max="1" width="11.33203125" customWidth="1"/>
    <col min="2" max="2" width="12.109375" customWidth="1"/>
    <col min="3" max="13" width="11" bestFit="1" customWidth="1"/>
    <col min="14" max="14" width="13.5546875" customWidth="1"/>
    <col min="15" max="15" width="12.21875" customWidth="1"/>
    <col min="16" max="16" width="11.21875" customWidth="1"/>
  </cols>
  <sheetData>
    <row r="2" spans="1:16" ht="18.75" x14ac:dyDescent="0.3">
      <c r="A2" s="155" t="s">
        <v>182</v>
      </c>
    </row>
    <row r="4" spans="1:16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ht="15.75" x14ac:dyDescent="0.25">
      <c r="A5" s="143"/>
      <c r="B5" s="149" t="s">
        <v>154</v>
      </c>
      <c r="C5" s="149" t="s">
        <v>155</v>
      </c>
      <c r="D5" s="149" t="s">
        <v>156</v>
      </c>
      <c r="E5" s="149" t="s">
        <v>157</v>
      </c>
      <c r="F5" s="149" t="s">
        <v>158</v>
      </c>
      <c r="G5" s="149" t="s">
        <v>159</v>
      </c>
      <c r="H5" s="149" t="s">
        <v>160</v>
      </c>
      <c r="I5" s="149" t="s">
        <v>161</v>
      </c>
      <c r="J5" s="149" t="s">
        <v>162</v>
      </c>
      <c r="K5" s="149" t="s">
        <v>163</v>
      </c>
      <c r="L5" s="149" t="s">
        <v>164</v>
      </c>
      <c r="M5" s="149" t="s">
        <v>165</v>
      </c>
      <c r="N5" s="149" t="s">
        <v>49</v>
      </c>
      <c r="O5" s="149" t="s">
        <v>174</v>
      </c>
      <c r="P5" s="149" t="s">
        <v>109</v>
      </c>
    </row>
    <row r="6" spans="1:16" x14ac:dyDescent="0.2">
      <c r="A6" s="143" t="s">
        <v>148</v>
      </c>
      <c r="B6" s="150">
        <v>1497.64</v>
      </c>
      <c r="C6" s="150">
        <v>1406.82</v>
      </c>
      <c r="D6" s="150">
        <v>1532.65</v>
      </c>
      <c r="E6" s="150">
        <v>1764.98</v>
      </c>
      <c r="F6" s="150">
        <v>1397.98</v>
      </c>
      <c r="G6" s="150">
        <v>1344.47</v>
      </c>
      <c r="H6" s="150">
        <v>1403.59</v>
      </c>
      <c r="I6" s="150">
        <v>1438.95</v>
      </c>
      <c r="J6" s="150">
        <v>1502.48</v>
      </c>
      <c r="K6" s="150">
        <v>1411.17</v>
      </c>
      <c r="L6" s="150">
        <v>1368.22</v>
      </c>
      <c r="M6" s="150">
        <v>1496.05</v>
      </c>
      <c r="N6" s="150">
        <f t="shared" ref="N6:N11" si="0">SUM(B6:M6)</f>
        <v>17565</v>
      </c>
      <c r="O6" s="150"/>
      <c r="P6" s="143"/>
    </row>
    <row r="7" spans="1:16" x14ac:dyDescent="0.2">
      <c r="A7" s="143" t="s">
        <v>149</v>
      </c>
      <c r="B7" s="150">
        <f>7285.9+951.5+6218+520.8+548.2+287.2+5522.1+5122.5+2049.3+3336.3</f>
        <v>31841.8</v>
      </c>
      <c r="C7" s="150">
        <f>7185.7+951.5+5219.7+721.8+387.4+260.4+4919.1+3501.1+2612.1+3121.9</f>
        <v>28880.699999999997</v>
      </c>
      <c r="D7" s="150">
        <f>7313+1232.9+6579.8+547.6+608.5+307.3+5066.8+3333.6+2230.2+3745</f>
        <v>30964.7</v>
      </c>
      <c r="E7" s="150">
        <f>7178.7+837.6+5038.8+674.9+474.5+253.7+5515.7+4291.7+7617+3590.9</f>
        <v>35473.5</v>
      </c>
      <c r="F7" s="150">
        <f>7104.7+690.2+5521.2+534.2+487.9+280.5+5133.8+4392.2+2089.5+2961.1</f>
        <v>29195.3</v>
      </c>
      <c r="G7" s="150">
        <f>7439.4+683.8+5253.2+674.9+367.3+260.4+4671.5+4425.7+1922+2753.4</f>
        <v>28451.600000000002</v>
      </c>
      <c r="H7" s="150">
        <f>7091.6+791+6827.7+400.2+534.8+280.5+3371.7+3514.2+2484.8+3081.7</f>
        <v>28378.2</v>
      </c>
      <c r="I7" s="150">
        <f>7185.4+703.9+5514.5+293+340.5+240.3+5723.1+3681.7+1995.7+3222.4</f>
        <v>28900.5</v>
      </c>
      <c r="J7" s="150">
        <f>7111.4+891.8+6439.1+400.2+394.1+287.2+5200.5+6254.5+2129.7+3765.1</f>
        <v>32873.600000000006</v>
      </c>
      <c r="K7" s="150">
        <f>6669.2+771.2+5795.9+654.8+333.8+675.8+4892.6+7225.7+2196.7+3631.1</f>
        <v>32846.799999999996</v>
      </c>
      <c r="L7" s="150">
        <f>6991.1+603.7+5742.3+327.1+273.8+4323.1+5430.4+2143.1+3276+547.6</f>
        <v>29658.199999999997</v>
      </c>
      <c r="M7" s="150">
        <f>7065.1+784.6+6673.6+634.7+333.8+280.5+4792.1+4733.6+2417.8+3651.2</f>
        <v>31367</v>
      </c>
      <c r="N7" s="150">
        <f t="shared" si="0"/>
        <v>368831.9</v>
      </c>
      <c r="O7" s="144">
        <f>356337+9888+5695</f>
        <v>371920</v>
      </c>
      <c r="P7" s="150">
        <f>O7-N7</f>
        <v>3088.0999999999767</v>
      </c>
    </row>
    <row r="8" spans="1:16" x14ac:dyDescent="0.2">
      <c r="A8" s="143" t="s">
        <v>150</v>
      </c>
      <c r="B8" s="150">
        <v>7093.95</v>
      </c>
      <c r="C8" s="150">
        <v>5317.54</v>
      </c>
      <c r="D8" s="150">
        <v>7644.17</v>
      </c>
      <c r="E8" s="150">
        <v>6928.07</v>
      </c>
      <c r="F8" s="150">
        <v>6368.23</v>
      </c>
      <c r="G8" s="150">
        <v>5041.21</v>
      </c>
      <c r="H8" s="150">
        <v>6457.53</v>
      </c>
      <c r="I8" s="150">
        <v>5797.7</v>
      </c>
      <c r="J8" s="150">
        <v>7042.21</v>
      </c>
      <c r="K8" s="150">
        <v>6571.49</v>
      </c>
      <c r="L8" s="150">
        <v>6342.41</v>
      </c>
      <c r="M8" s="150">
        <v>6190.36</v>
      </c>
      <c r="N8" s="150">
        <f t="shared" si="0"/>
        <v>76794.87</v>
      </c>
      <c r="O8" s="144">
        <v>77813</v>
      </c>
      <c r="P8" s="151">
        <f>O8-N8</f>
        <v>1018.1300000000047</v>
      </c>
    </row>
    <row r="9" spans="1:16" x14ac:dyDescent="0.2">
      <c r="A9" s="143" t="s">
        <v>3</v>
      </c>
      <c r="B9" s="150">
        <f>40+80+280+30+200</f>
        <v>630</v>
      </c>
      <c r="C9" s="150">
        <f>1520+440+360+80</f>
        <v>2400</v>
      </c>
      <c r="D9" s="150">
        <f>1120+560+120+4+40+40</f>
        <v>1884</v>
      </c>
      <c r="E9" s="150">
        <f>480+360+360+10+40</f>
        <v>1250</v>
      </c>
      <c r="F9" s="150">
        <f>520+280+600+12+120</f>
        <v>1532</v>
      </c>
      <c r="G9" s="150">
        <f>80+440+10+160</f>
        <v>690</v>
      </c>
      <c r="H9" s="150">
        <f>560+80+320+240</f>
        <v>1200</v>
      </c>
      <c r="I9" s="150">
        <f>1600+680+200+44+320</f>
        <v>2844</v>
      </c>
      <c r="J9" s="150">
        <f>1160+280+520+90+320</f>
        <v>2370</v>
      </c>
      <c r="K9" s="150">
        <f>640+240+725+20+160</f>
        <v>1785</v>
      </c>
      <c r="L9" s="150">
        <f>640+80+160+20+40</f>
        <v>940</v>
      </c>
      <c r="M9" s="150">
        <f>640+200+240+40+80</f>
        <v>1200</v>
      </c>
      <c r="N9" s="150">
        <f t="shared" si="0"/>
        <v>18725</v>
      </c>
      <c r="O9" s="144">
        <v>28253</v>
      </c>
      <c r="P9" s="151">
        <f>O9-N9</f>
        <v>9528</v>
      </c>
    </row>
    <row r="10" spans="1:16" x14ac:dyDescent="0.2">
      <c r="A10" s="143" t="s">
        <v>151</v>
      </c>
      <c r="B10" s="150">
        <v>151795.1</v>
      </c>
      <c r="C10" s="150">
        <v>125951.7</v>
      </c>
      <c r="D10" s="150">
        <v>144829.70000000001</v>
      </c>
      <c r="E10" s="150">
        <v>121034</v>
      </c>
      <c r="F10" s="150">
        <v>126761.1</v>
      </c>
      <c r="G10" s="150">
        <v>123961.4</v>
      </c>
      <c r="H10" s="150">
        <v>148386.9</v>
      </c>
      <c r="I10" s="150">
        <v>125603.2</v>
      </c>
      <c r="J10" s="150">
        <v>141492.9</v>
      </c>
      <c r="K10" s="150">
        <v>131240.1</v>
      </c>
      <c r="L10" s="150">
        <v>125752.5</v>
      </c>
      <c r="M10" s="150">
        <v>127643.7</v>
      </c>
      <c r="N10" s="150">
        <f t="shared" si="0"/>
        <v>1594452.3</v>
      </c>
      <c r="O10" s="144">
        <f>1504601+2274</f>
        <v>1506875</v>
      </c>
      <c r="P10" s="151">
        <f>O10-N10</f>
        <v>-87577.300000000047</v>
      </c>
    </row>
    <row r="11" spans="1:16" x14ac:dyDescent="0.2">
      <c r="A11" s="143" t="s">
        <v>152</v>
      </c>
      <c r="B11" s="150">
        <v>5519.67</v>
      </c>
      <c r="C11" s="150">
        <v>4656.96</v>
      </c>
      <c r="D11" s="150">
        <v>5285.34</v>
      </c>
      <c r="E11" s="150">
        <v>4707.7299999999996</v>
      </c>
      <c r="F11" s="150">
        <v>4690.5200000000004</v>
      </c>
      <c r="G11" s="150">
        <v>4584.63</v>
      </c>
      <c r="H11" s="150">
        <v>5313.18</v>
      </c>
      <c r="I11" s="150">
        <v>4647.72</v>
      </c>
      <c r="J11" s="150">
        <v>5241.9399999999996</v>
      </c>
      <c r="K11" s="150">
        <v>4934.32</v>
      </c>
      <c r="L11" s="150">
        <v>4674.55</v>
      </c>
      <c r="M11" s="150">
        <v>4782.1400000000003</v>
      </c>
      <c r="N11" s="150">
        <f t="shared" si="0"/>
        <v>59038.700000000004</v>
      </c>
      <c r="O11" s="144"/>
      <c r="P11" s="143"/>
    </row>
    <row r="12" spans="1:16" x14ac:dyDescent="0.2">
      <c r="A12" s="143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44"/>
      <c r="P12" s="143"/>
    </row>
    <row r="13" spans="1:16" x14ac:dyDescent="0.2">
      <c r="A13" s="143" t="s">
        <v>153</v>
      </c>
      <c r="B13" s="150">
        <f>SUM(B6:B12)</f>
        <v>198378.16</v>
      </c>
      <c r="C13" s="150">
        <f t="shared" ref="C13:N13" si="1">SUM(C6:C12)</f>
        <v>168613.72</v>
      </c>
      <c r="D13" s="150">
        <f t="shared" si="1"/>
        <v>192140.56000000003</v>
      </c>
      <c r="E13" s="150">
        <f t="shared" si="1"/>
        <v>171158.28</v>
      </c>
      <c r="F13" s="150">
        <f t="shared" si="1"/>
        <v>169945.12999999998</v>
      </c>
      <c r="G13" s="150">
        <f t="shared" si="1"/>
        <v>164073.31</v>
      </c>
      <c r="H13" s="150">
        <f t="shared" si="1"/>
        <v>191139.4</v>
      </c>
      <c r="I13" s="150">
        <f t="shared" si="1"/>
        <v>169232.07</v>
      </c>
      <c r="J13" s="150">
        <f t="shared" si="1"/>
        <v>190523.13</v>
      </c>
      <c r="K13" s="150">
        <f t="shared" si="1"/>
        <v>178788.88</v>
      </c>
      <c r="L13" s="150">
        <f t="shared" si="1"/>
        <v>168735.88</v>
      </c>
      <c r="M13" s="150">
        <f t="shared" si="1"/>
        <v>172679.25</v>
      </c>
      <c r="N13" s="152">
        <f t="shared" si="1"/>
        <v>2135407.77</v>
      </c>
      <c r="O13" s="144"/>
      <c r="P13" s="143"/>
    </row>
    <row r="14" spans="1:16" x14ac:dyDescent="0.2">
      <c r="A14" s="143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44"/>
      <c r="P14" s="143"/>
    </row>
    <row r="15" spans="1:16" x14ac:dyDescent="0.2">
      <c r="A15" s="143" t="s">
        <v>173</v>
      </c>
      <c r="B15" s="144">
        <v>19109000</v>
      </c>
      <c r="C15" s="144">
        <v>14629000</v>
      </c>
      <c r="D15" s="144">
        <v>17597000</v>
      </c>
      <c r="E15" s="144">
        <v>14830000</v>
      </c>
      <c r="F15" s="144">
        <v>14853000</v>
      </c>
      <c r="G15" s="144">
        <v>14214000</v>
      </c>
      <c r="H15" s="144">
        <v>18160000</v>
      </c>
      <c r="I15" s="144">
        <v>14343700</v>
      </c>
      <c r="J15" s="144">
        <v>17760000</v>
      </c>
      <c r="K15" s="144">
        <v>16133700</v>
      </c>
      <c r="L15" s="144">
        <v>14723400</v>
      </c>
      <c r="M15" s="144">
        <v>15399300</v>
      </c>
      <c r="N15" s="144">
        <f>SUM(B15:M15)</f>
        <v>191752100</v>
      </c>
      <c r="O15" s="144">
        <f>(197826+927)*1000</f>
        <v>198753000</v>
      </c>
      <c r="P15" s="153">
        <f>O15-N15</f>
        <v>7000900</v>
      </c>
    </row>
    <row r="16" spans="1:16" x14ac:dyDescent="0.2">
      <c r="A16" s="143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44"/>
      <c r="P16" s="143"/>
    </row>
    <row r="17" spans="1:16" x14ac:dyDescent="0.2">
      <c r="A17" s="143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 t="s">
        <v>170</v>
      </c>
      <c r="M17" s="150"/>
      <c r="N17" s="156">
        <f>N7+N10</f>
        <v>1963284.2000000002</v>
      </c>
      <c r="O17" s="153"/>
      <c r="P17" s="143"/>
    </row>
    <row r="18" spans="1:16" ht="15.75" x14ac:dyDescent="0.25">
      <c r="A18" s="143"/>
      <c r="B18" s="150"/>
      <c r="C18" s="150"/>
      <c r="D18" s="150"/>
      <c r="E18" s="149" t="s">
        <v>33</v>
      </c>
      <c r="F18" s="143"/>
      <c r="G18" s="150"/>
      <c r="H18" s="143"/>
      <c r="I18" s="143"/>
      <c r="J18" s="150"/>
      <c r="K18" s="150"/>
      <c r="L18" s="150" t="s">
        <v>171</v>
      </c>
      <c r="M18" s="150"/>
      <c r="N18" s="150"/>
      <c r="O18" s="144"/>
      <c r="P18" s="143"/>
    </row>
    <row r="19" spans="1:16" x14ac:dyDescent="0.2">
      <c r="A19" s="143"/>
      <c r="B19" s="150"/>
      <c r="C19" s="150"/>
      <c r="D19" s="150"/>
      <c r="E19" s="143"/>
      <c r="F19" s="143"/>
      <c r="G19" s="150"/>
      <c r="H19" s="143"/>
      <c r="I19" s="143"/>
      <c r="J19" s="150"/>
      <c r="K19" s="150"/>
      <c r="L19" s="150" t="s">
        <v>172</v>
      </c>
      <c r="M19" s="150"/>
      <c r="N19" s="150"/>
      <c r="O19" s="157">
        <f>O7+O10</f>
        <v>1878795</v>
      </c>
      <c r="P19" s="143"/>
    </row>
    <row r="20" spans="1:16" x14ac:dyDescent="0.2">
      <c r="A20" s="143"/>
      <c r="B20" s="150"/>
      <c r="C20" s="150"/>
      <c r="D20" s="150"/>
      <c r="E20" s="144">
        <v>23649.09</v>
      </c>
      <c r="F20" s="143" t="s">
        <v>176</v>
      </c>
      <c r="G20" s="150"/>
      <c r="H20" s="143"/>
      <c r="I20" s="143"/>
      <c r="J20" s="150"/>
      <c r="K20" s="150"/>
      <c r="L20" s="150"/>
      <c r="M20" s="150"/>
      <c r="N20" s="150"/>
      <c r="O20" s="150"/>
      <c r="P20" s="143"/>
    </row>
    <row r="21" spans="1:16" x14ac:dyDescent="0.2">
      <c r="A21" s="143"/>
      <c r="B21" s="150"/>
      <c r="C21" s="150"/>
      <c r="D21" s="150"/>
      <c r="E21" s="144">
        <v>297.63</v>
      </c>
      <c r="F21" s="143" t="s">
        <v>166</v>
      </c>
      <c r="G21" s="150"/>
      <c r="H21" s="143"/>
      <c r="I21" s="143"/>
      <c r="J21" s="150"/>
      <c r="K21" s="150"/>
      <c r="L21" s="150"/>
      <c r="M21" s="150"/>
      <c r="N21" s="150"/>
      <c r="O21" s="150"/>
      <c r="P21" s="143"/>
    </row>
    <row r="22" spans="1:16" x14ac:dyDescent="0.2">
      <c r="A22" s="143"/>
      <c r="B22" s="150"/>
      <c r="C22" s="150"/>
      <c r="D22" s="150"/>
      <c r="E22" s="144">
        <v>26374.71</v>
      </c>
      <c r="F22" s="143" t="s">
        <v>167</v>
      </c>
      <c r="G22" s="150"/>
      <c r="H22" s="143"/>
      <c r="I22" s="143"/>
      <c r="J22" s="150"/>
      <c r="K22" s="150"/>
      <c r="L22" s="143"/>
      <c r="M22" s="154" t="s">
        <v>175</v>
      </c>
      <c r="N22" s="156">
        <v>1963077.17</v>
      </c>
      <c r="O22" s="150"/>
      <c r="P22" s="143"/>
    </row>
    <row r="23" spans="1:16" x14ac:dyDescent="0.2">
      <c r="A23" s="143"/>
      <c r="B23" s="150"/>
      <c r="C23" s="150"/>
      <c r="D23" s="150"/>
      <c r="E23" s="144">
        <v>5387.88</v>
      </c>
      <c r="F23" s="143" t="s">
        <v>168</v>
      </c>
      <c r="G23" s="150"/>
      <c r="H23" s="143"/>
      <c r="I23" s="143"/>
      <c r="J23" s="150"/>
      <c r="K23" s="150"/>
      <c r="L23" s="150"/>
      <c r="M23" s="150"/>
      <c r="N23" s="150"/>
      <c r="O23" s="150"/>
      <c r="P23" s="143"/>
    </row>
    <row r="24" spans="1:16" ht="15.75" x14ac:dyDescent="0.25">
      <c r="A24" s="143"/>
      <c r="B24" s="143"/>
      <c r="C24" s="143"/>
      <c r="D24" s="143"/>
      <c r="E24" s="145">
        <v>-3097.12</v>
      </c>
      <c r="F24" s="143" t="s">
        <v>169</v>
      </c>
      <c r="G24" s="143"/>
      <c r="H24" s="143"/>
      <c r="I24" s="143"/>
      <c r="J24" s="143"/>
      <c r="K24" s="146" t="s">
        <v>178</v>
      </c>
      <c r="L24" s="147" t="s">
        <v>179</v>
      </c>
      <c r="M24" s="143"/>
      <c r="N24" s="143"/>
      <c r="O24" s="143"/>
      <c r="P24" s="143"/>
    </row>
    <row r="25" spans="1:16" ht="15.75" x14ac:dyDescent="0.25">
      <c r="A25" s="143"/>
      <c r="B25" s="143"/>
      <c r="C25" s="143"/>
      <c r="D25" s="143"/>
      <c r="E25" s="144">
        <f>SUM(E20:E24)</f>
        <v>52612.189999999995</v>
      </c>
      <c r="F25" s="143" t="s">
        <v>177</v>
      </c>
      <c r="G25" s="143"/>
      <c r="H25" s="143"/>
      <c r="I25" s="143"/>
      <c r="J25" s="143"/>
      <c r="K25" s="147"/>
      <c r="L25" s="147" t="s">
        <v>180</v>
      </c>
      <c r="M25" s="143"/>
      <c r="N25" s="143"/>
      <c r="O25" s="143"/>
      <c r="P25" s="143"/>
    </row>
    <row r="26" spans="1:16" ht="15.75" x14ac:dyDescent="0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7"/>
      <c r="L26" s="147" t="s">
        <v>181</v>
      </c>
      <c r="M26" s="143"/>
      <c r="N26" s="143"/>
      <c r="O26" s="171">
        <f>+N17-O19</f>
        <v>84489.200000000186</v>
      </c>
      <c r="P26" s="143"/>
    </row>
    <row r="28" spans="1:16" ht="15.75" x14ac:dyDescent="0.25">
      <c r="A28" s="26" t="s">
        <v>507</v>
      </c>
    </row>
    <row r="30" spans="1:16" x14ac:dyDescent="0.2">
      <c r="B30" s="143" t="s">
        <v>482</v>
      </c>
      <c r="D30" s="143"/>
      <c r="E30" s="204">
        <f>N22</f>
        <v>1963077.17</v>
      </c>
      <c r="F30" s="143"/>
      <c r="G30" s="143" t="s">
        <v>483</v>
      </c>
      <c r="H30" s="143"/>
      <c r="I30" s="143"/>
      <c r="J30" s="143"/>
    </row>
    <row r="31" spans="1:16" ht="15.75" x14ac:dyDescent="0.25">
      <c r="B31" s="143" t="s">
        <v>484</v>
      </c>
      <c r="D31" s="144">
        <f>-42089.79-196487.64</f>
        <v>-238577.43000000002</v>
      </c>
      <c r="E31" s="144"/>
      <c r="F31" s="150"/>
      <c r="G31" s="143"/>
      <c r="H31" s="143"/>
      <c r="I31" s="202" t="s">
        <v>485</v>
      </c>
    </row>
    <row r="32" spans="1:16" x14ac:dyDescent="0.2">
      <c r="B32" s="143" t="s">
        <v>486</v>
      </c>
      <c r="D32" s="145">
        <f>38479.94+165163.86</f>
        <v>203643.8</v>
      </c>
      <c r="E32" s="144"/>
      <c r="F32" s="153"/>
      <c r="G32" s="143" t="s">
        <v>576</v>
      </c>
      <c r="H32" s="143"/>
      <c r="I32" s="150">
        <v>21385.919999999998</v>
      </c>
    </row>
    <row r="33" spans="2:13" x14ac:dyDescent="0.2">
      <c r="B33" s="143"/>
      <c r="D33" s="144"/>
      <c r="E33" s="144">
        <f>E30+D31+D32</f>
        <v>1928143.54</v>
      </c>
      <c r="F33" s="150"/>
      <c r="G33" s="143" t="s">
        <v>577</v>
      </c>
      <c r="H33" s="143"/>
      <c r="I33" s="150">
        <v>23617.040000000001</v>
      </c>
    </row>
    <row r="34" spans="2:13" x14ac:dyDescent="0.2">
      <c r="B34" s="143" t="s">
        <v>487</v>
      </c>
      <c r="D34" s="144"/>
      <c r="E34" s="145">
        <f>-I37</f>
        <v>-50136.36</v>
      </c>
      <c r="F34" s="150"/>
      <c r="G34" s="143" t="s">
        <v>488</v>
      </c>
      <c r="I34" s="150">
        <v>335</v>
      </c>
    </row>
    <row r="35" spans="2:13" x14ac:dyDescent="0.2">
      <c r="B35" s="143"/>
      <c r="D35" s="143"/>
      <c r="E35" s="144"/>
      <c r="F35" s="150"/>
      <c r="G35" s="143" t="s">
        <v>578</v>
      </c>
      <c r="H35" s="143"/>
      <c r="I35" s="150">
        <v>4798.3999999999996</v>
      </c>
    </row>
    <row r="36" spans="2:13" x14ac:dyDescent="0.2">
      <c r="B36" s="143" t="s">
        <v>489</v>
      </c>
      <c r="D36" s="144"/>
      <c r="E36" s="144">
        <f>E33+E34</f>
        <v>1878007.18</v>
      </c>
      <c r="F36" s="143"/>
      <c r="G36" s="143"/>
      <c r="H36" s="143"/>
      <c r="I36" s="150"/>
    </row>
    <row r="37" spans="2:13" x14ac:dyDescent="0.2">
      <c r="B37" s="143"/>
      <c r="D37" s="143"/>
      <c r="E37" s="143"/>
      <c r="F37" s="143"/>
      <c r="G37" s="143"/>
      <c r="H37" s="143" t="s">
        <v>153</v>
      </c>
      <c r="I37" s="150">
        <f>SUM(I32:I36)</f>
        <v>50136.36</v>
      </c>
    </row>
    <row r="38" spans="2:13" x14ac:dyDescent="0.2">
      <c r="B38" s="143" t="s">
        <v>490</v>
      </c>
      <c r="D38" s="143"/>
      <c r="E38" s="144">
        <f>O19</f>
        <v>1878795</v>
      </c>
      <c r="F38" s="143"/>
      <c r="G38" s="143"/>
      <c r="H38" s="143"/>
      <c r="I38" s="143"/>
      <c r="J38" s="143"/>
      <c r="K38" s="143"/>
      <c r="L38" s="143"/>
      <c r="M38" s="143"/>
    </row>
    <row r="39" spans="2:13" x14ac:dyDescent="0.2">
      <c r="B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</row>
    <row r="40" spans="2:13" x14ac:dyDescent="0.2">
      <c r="B40" s="143" t="s">
        <v>109</v>
      </c>
      <c r="D40" s="143"/>
      <c r="E40" s="153">
        <f>E36-E38</f>
        <v>-787.82000000006519</v>
      </c>
      <c r="F40" s="184">
        <f>E40/E36</f>
        <v>-4.1949786368764854E-4</v>
      </c>
      <c r="G40" s="143"/>
      <c r="H40" s="143"/>
      <c r="I40" s="143"/>
      <c r="J40" s="143"/>
      <c r="K40" s="143"/>
      <c r="L40" s="143"/>
      <c r="M40" s="143"/>
    </row>
    <row r="41" spans="2:13" x14ac:dyDescent="0.2">
      <c r="B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</row>
    <row r="42" spans="2:13" x14ac:dyDescent="0.2">
      <c r="B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</row>
    <row r="43" spans="2:13" ht="15.75" x14ac:dyDescent="0.25">
      <c r="B43" s="203" t="s">
        <v>491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</row>
    <row r="44" spans="2:13" x14ac:dyDescent="0.2">
      <c r="B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  <row r="45" spans="2:13" x14ac:dyDescent="0.2">
      <c r="B45" s="143" t="s">
        <v>482</v>
      </c>
      <c r="D45" s="204">
        <f>E30</f>
        <v>1963077.17</v>
      </c>
      <c r="E45" s="143"/>
      <c r="F45" s="143"/>
      <c r="G45" s="143"/>
      <c r="H45" s="143"/>
      <c r="I45" s="143"/>
      <c r="J45" s="143"/>
      <c r="K45" s="143"/>
      <c r="L45" s="143"/>
      <c r="M45" s="143"/>
    </row>
    <row r="46" spans="2:13" x14ac:dyDescent="0.2">
      <c r="B46" s="143" t="s">
        <v>492</v>
      </c>
      <c r="D46" s="205">
        <f>-I37</f>
        <v>-50136.36</v>
      </c>
      <c r="E46" s="143"/>
      <c r="F46" s="143"/>
      <c r="G46" s="143"/>
      <c r="H46" s="143"/>
      <c r="I46" s="143"/>
      <c r="J46" s="143"/>
      <c r="K46" s="143"/>
      <c r="L46" s="143"/>
      <c r="M46" s="143"/>
    </row>
    <row r="47" spans="2:13" x14ac:dyDescent="0.2">
      <c r="B47" s="143" t="s">
        <v>493</v>
      </c>
      <c r="D47" s="143"/>
      <c r="E47" s="204">
        <f>D45+D46</f>
        <v>1912940.8099999998</v>
      </c>
      <c r="F47" s="143"/>
      <c r="G47" s="143"/>
      <c r="H47" s="143"/>
      <c r="I47" s="143"/>
      <c r="J47" s="143"/>
      <c r="K47" s="143"/>
      <c r="L47" s="143"/>
      <c r="M47" s="143"/>
    </row>
    <row r="48" spans="2:13" x14ac:dyDescent="0.2">
      <c r="B48" s="143" t="s">
        <v>490</v>
      </c>
      <c r="D48" s="143"/>
      <c r="E48" s="145">
        <f>-E38</f>
        <v>-1878795</v>
      </c>
      <c r="F48" s="143"/>
      <c r="G48" s="143"/>
      <c r="H48" s="143"/>
      <c r="I48" s="143"/>
      <c r="J48" s="143"/>
      <c r="K48" s="143"/>
      <c r="L48" s="143"/>
      <c r="M48" s="143"/>
    </row>
    <row r="49" spans="2:13" x14ac:dyDescent="0.2">
      <c r="B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</row>
    <row r="50" spans="2:13" x14ac:dyDescent="0.2">
      <c r="B50" s="143" t="s">
        <v>494</v>
      </c>
      <c r="D50" s="143"/>
      <c r="E50" s="204">
        <f>E47+E48</f>
        <v>34145.809999999823</v>
      </c>
      <c r="F50" s="143"/>
      <c r="G50" s="143"/>
      <c r="H50" s="143"/>
      <c r="I50" s="143"/>
      <c r="J50" s="143"/>
      <c r="K50" s="143"/>
      <c r="L50" s="143"/>
      <c r="M50" s="14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D23"/>
  <sheetViews>
    <sheetView workbookViewId="0"/>
  </sheetViews>
  <sheetFormatPr defaultRowHeight="15" x14ac:dyDescent="0.2"/>
  <cols>
    <col min="1" max="1" width="14.88671875" customWidth="1"/>
    <col min="2" max="2" width="12" customWidth="1"/>
    <col min="3" max="3" width="11" customWidth="1"/>
    <col min="4" max="4" width="12.21875" customWidth="1"/>
  </cols>
  <sheetData>
    <row r="2" spans="1:3" x14ac:dyDescent="0.2">
      <c r="B2" s="174" t="s">
        <v>403</v>
      </c>
      <c r="C2" s="174" t="s">
        <v>404</v>
      </c>
    </row>
    <row r="3" spans="1:3" x14ac:dyDescent="0.2">
      <c r="B3" s="174" t="s">
        <v>401</v>
      </c>
      <c r="C3" s="174" t="s">
        <v>402</v>
      </c>
    </row>
    <row r="4" spans="1:3" x14ac:dyDescent="0.2">
      <c r="A4" t="s">
        <v>154</v>
      </c>
      <c r="B4" s="172">
        <v>1138.22</v>
      </c>
      <c r="C4" s="172">
        <v>22.25</v>
      </c>
    </row>
    <row r="5" spans="1:3" x14ac:dyDescent="0.2">
      <c r="A5" t="s">
        <v>155</v>
      </c>
      <c r="B5" s="172">
        <v>1736.74</v>
      </c>
      <c r="C5" s="172">
        <v>21.29</v>
      </c>
    </row>
    <row r="6" spans="1:3" x14ac:dyDescent="0.2">
      <c r="A6" t="s">
        <v>156</v>
      </c>
      <c r="B6" s="172">
        <v>2105.13</v>
      </c>
      <c r="C6" s="172">
        <v>21.35</v>
      </c>
    </row>
    <row r="7" spans="1:3" x14ac:dyDescent="0.2">
      <c r="A7" t="s">
        <v>157</v>
      </c>
      <c r="B7" s="172">
        <v>2862.04</v>
      </c>
      <c r="C7" s="172">
        <v>21.55</v>
      </c>
    </row>
    <row r="8" spans="1:3" x14ac:dyDescent="0.2">
      <c r="A8" t="s">
        <v>158</v>
      </c>
      <c r="B8" s="172">
        <f>5012.11-2862.04</f>
        <v>2150.0699999999997</v>
      </c>
      <c r="C8" s="172">
        <v>21.99</v>
      </c>
    </row>
    <row r="9" spans="1:3" x14ac:dyDescent="0.2">
      <c r="A9" t="s">
        <v>159</v>
      </c>
      <c r="B9" s="172">
        <v>2498.12</v>
      </c>
      <c r="C9" s="172">
        <v>23.83</v>
      </c>
    </row>
    <row r="10" spans="1:3" x14ac:dyDescent="0.2">
      <c r="A10" t="s">
        <v>160</v>
      </c>
      <c r="B10" s="172">
        <v>2241.84</v>
      </c>
      <c r="C10" s="172">
        <v>22.78</v>
      </c>
    </row>
    <row r="11" spans="1:3" x14ac:dyDescent="0.2">
      <c r="A11" t="s">
        <v>161</v>
      </c>
      <c r="B11" s="172">
        <v>2017.13</v>
      </c>
      <c r="C11" s="172">
        <v>21.64</v>
      </c>
    </row>
    <row r="12" spans="1:3" x14ac:dyDescent="0.2">
      <c r="A12" t="s">
        <v>162</v>
      </c>
      <c r="B12" s="172">
        <v>1350.63</v>
      </c>
      <c r="C12" s="172">
        <v>20.6</v>
      </c>
    </row>
    <row r="13" spans="1:3" x14ac:dyDescent="0.2">
      <c r="A13" t="s">
        <v>163</v>
      </c>
      <c r="B13" s="172">
        <v>2038.58</v>
      </c>
      <c r="C13" s="172">
        <v>20.93</v>
      </c>
    </row>
    <row r="14" spans="1:3" x14ac:dyDescent="0.2">
      <c r="A14" t="s">
        <v>164</v>
      </c>
      <c r="B14" s="172">
        <v>3591.11</v>
      </c>
      <c r="C14" s="172">
        <v>22.13</v>
      </c>
    </row>
    <row r="15" spans="1:3" x14ac:dyDescent="0.2">
      <c r="A15" t="s">
        <v>165</v>
      </c>
      <c r="B15" s="172">
        <v>1420.11</v>
      </c>
      <c r="C15" s="172">
        <v>22.61</v>
      </c>
    </row>
    <row r="16" spans="1:3" x14ac:dyDescent="0.2">
      <c r="B16" s="172"/>
      <c r="C16" s="172"/>
    </row>
    <row r="17" spans="1:4" x14ac:dyDescent="0.2">
      <c r="A17" s="175" t="s">
        <v>49</v>
      </c>
      <c r="B17" s="172">
        <f>SUM(B4:B15)</f>
        <v>25149.72</v>
      </c>
      <c r="C17" s="172">
        <f>SUM(C4:C15)</f>
        <v>262.95</v>
      </c>
      <c r="D17" s="173"/>
    </row>
    <row r="19" spans="1:4" x14ac:dyDescent="0.2">
      <c r="A19" s="177" t="s">
        <v>406</v>
      </c>
      <c r="B19" s="173">
        <f>B17*0.15</f>
        <v>3772.4580000000001</v>
      </c>
    </row>
    <row r="21" spans="1:4" x14ac:dyDescent="0.2">
      <c r="A21" s="175" t="s">
        <v>407</v>
      </c>
      <c r="B21" s="173">
        <f>B17-B19</f>
        <v>21377.262000000002</v>
      </c>
      <c r="C21" s="173">
        <f>C17</f>
        <v>262.95</v>
      </c>
    </row>
    <row r="23" spans="1:4" x14ac:dyDescent="0.2">
      <c r="A23" s="175" t="s">
        <v>408</v>
      </c>
      <c r="C23" s="173">
        <f>C21+B21</f>
        <v>21640.212000000003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P75"/>
  <sheetViews>
    <sheetView defaultGridColor="0" topLeftCell="A56" colorId="8" workbookViewId="0">
      <selection activeCell="A72" sqref="A1:J72"/>
    </sheetView>
  </sheetViews>
  <sheetFormatPr defaultRowHeight="15" x14ac:dyDescent="0.2"/>
  <cols>
    <col min="1" max="1" width="1.44140625" customWidth="1"/>
    <col min="2" max="2" width="2" customWidth="1"/>
    <col min="3" max="3" width="9" customWidth="1"/>
    <col min="4" max="4" width="11.5546875" customWidth="1"/>
    <col min="5" max="5" width="10.21875" customWidth="1"/>
    <col min="6" max="6" width="5.109375" customWidth="1"/>
    <col min="7" max="7" width="10.21875" customWidth="1"/>
    <col min="8" max="8" width="1.21875" customWidth="1"/>
    <col min="9" max="9" width="9.33203125" customWidth="1"/>
    <col min="10" max="10" width="9.6640625" customWidth="1"/>
    <col min="11" max="11" width="1.21875" customWidth="1"/>
    <col min="12" max="12" width="2.44140625" customWidth="1"/>
    <col min="13" max="13" width="12" customWidth="1"/>
    <col min="16" max="16" width="12.109375" customWidth="1"/>
  </cols>
  <sheetData>
    <row r="3" spans="1:13" x14ac:dyDescent="0.2">
      <c r="H3" s="281"/>
      <c r="I3" s="286" t="s">
        <v>579</v>
      </c>
      <c r="J3" s="286" t="s">
        <v>579</v>
      </c>
      <c r="K3" s="281"/>
    </row>
    <row r="4" spans="1:13" x14ac:dyDescent="0.2">
      <c r="A4" s="14"/>
      <c r="B4" s="14"/>
      <c r="C4" s="14"/>
      <c r="D4" s="15" t="s">
        <v>32</v>
      </c>
      <c r="E4" s="15" t="s">
        <v>33</v>
      </c>
      <c r="F4" s="15" t="s">
        <v>59</v>
      </c>
      <c r="G4" s="15" t="s">
        <v>34</v>
      </c>
      <c r="H4" s="295"/>
      <c r="I4" s="286" t="s">
        <v>580</v>
      </c>
      <c r="J4" s="286" t="s">
        <v>34</v>
      </c>
      <c r="K4" s="281"/>
      <c r="M4" s="15" t="s">
        <v>581</v>
      </c>
    </row>
    <row r="5" spans="1:13" x14ac:dyDescent="0.2">
      <c r="A5" s="16" t="s">
        <v>8</v>
      </c>
      <c r="B5" s="14"/>
      <c r="C5" s="14"/>
      <c r="D5" s="14"/>
      <c r="E5" s="14"/>
      <c r="F5" s="14"/>
      <c r="G5" s="14"/>
      <c r="H5" s="296"/>
      <c r="I5" s="283"/>
      <c r="J5" s="283"/>
      <c r="K5" s="281"/>
      <c r="M5" s="143"/>
    </row>
    <row r="6" spans="1:13" x14ac:dyDescent="0.2">
      <c r="A6" s="14"/>
      <c r="B6" s="14" t="s">
        <v>127</v>
      </c>
      <c r="C6" s="14"/>
      <c r="D6" s="1"/>
      <c r="E6" s="19"/>
      <c r="F6" s="1"/>
      <c r="G6" s="1"/>
      <c r="H6" s="297"/>
      <c r="I6" s="283"/>
      <c r="J6" s="283"/>
      <c r="K6" s="281"/>
      <c r="M6" s="143"/>
    </row>
    <row r="7" spans="1:13" x14ac:dyDescent="0.2">
      <c r="A7" s="14"/>
      <c r="B7" s="14"/>
      <c r="C7" s="14" t="s">
        <v>128</v>
      </c>
      <c r="D7" s="17">
        <v>304</v>
      </c>
      <c r="E7" s="98"/>
      <c r="F7" s="7"/>
      <c r="G7" s="17">
        <f>D7+E7</f>
        <v>304</v>
      </c>
      <c r="H7" s="298"/>
      <c r="I7" s="287"/>
      <c r="J7" s="287"/>
      <c r="K7" s="281"/>
      <c r="M7" s="143"/>
    </row>
    <row r="8" spans="1:13" x14ac:dyDescent="0.2">
      <c r="A8" s="14"/>
      <c r="B8" s="14"/>
      <c r="C8" s="14" t="s">
        <v>129</v>
      </c>
      <c r="D8" s="98">
        <v>1878795</v>
      </c>
      <c r="E8" s="179">
        <v>34146</v>
      </c>
      <c r="F8" s="18" t="s">
        <v>44</v>
      </c>
      <c r="G8" s="1"/>
      <c r="H8" s="297"/>
      <c r="I8" s="287">
        <f>E8</f>
        <v>34146</v>
      </c>
      <c r="J8" s="287"/>
      <c r="K8" s="281"/>
      <c r="M8" s="143"/>
    </row>
    <row r="9" spans="1:13" x14ac:dyDescent="0.2">
      <c r="A9" s="14"/>
      <c r="B9" s="14"/>
      <c r="C9" s="14"/>
      <c r="D9" s="98"/>
      <c r="E9" s="284">
        <f>SAO!E9</f>
        <v>-91055.991600000008</v>
      </c>
      <c r="F9" s="18" t="s">
        <v>45</v>
      </c>
      <c r="G9" s="98">
        <f>D8+E8+E9</f>
        <v>1821885.0083999999</v>
      </c>
      <c r="H9" s="282"/>
      <c r="I9" s="288">
        <v>0</v>
      </c>
      <c r="J9" s="287"/>
      <c r="K9" s="281"/>
      <c r="M9" s="143"/>
    </row>
    <row r="10" spans="1:13" x14ac:dyDescent="0.2">
      <c r="A10" s="14"/>
      <c r="B10" s="14"/>
      <c r="C10" s="14" t="s">
        <v>130</v>
      </c>
      <c r="D10" s="98">
        <v>62792</v>
      </c>
      <c r="E10" s="284">
        <v>-62792</v>
      </c>
      <c r="F10" s="18" t="s">
        <v>51</v>
      </c>
      <c r="G10" s="98">
        <f>D10+E10</f>
        <v>0</v>
      </c>
      <c r="H10" s="282"/>
      <c r="I10" s="288">
        <v>0</v>
      </c>
      <c r="J10" s="287">
        <f>D10+D8+D7+I8</f>
        <v>1976037</v>
      </c>
      <c r="K10" s="281"/>
      <c r="M10" s="153">
        <f>J10-G9-D7</f>
        <v>153847.99160000007</v>
      </c>
    </row>
    <row r="11" spans="1:13" x14ac:dyDescent="0.2">
      <c r="A11" s="14"/>
      <c r="B11" s="14" t="s">
        <v>42</v>
      </c>
      <c r="C11" s="14"/>
      <c r="D11" s="17"/>
      <c r="E11" s="98"/>
      <c r="F11" s="18"/>
      <c r="G11" s="98"/>
      <c r="H11" s="282"/>
      <c r="I11" s="287"/>
      <c r="J11" s="287"/>
      <c r="K11" s="281"/>
      <c r="M11" s="143"/>
    </row>
    <row r="12" spans="1:13" x14ac:dyDescent="0.2">
      <c r="A12" s="14"/>
      <c r="B12" s="14"/>
      <c r="C12" s="14" t="s">
        <v>40</v>
      </c>
      <c r="D12" s="19"/>
      <c r="E12" s="98">
        <f>-E14</f>
        <v>72155.490000000005</v>
      </c>
      <c r="F12" s="111" t="s">
        <v>52</v>
      </c>
      <c r="G12" s="98">
        <f>D12+E12</f>
        <v>72155.490000000005</v>
      </c>
      <c r="H12" s="282"/>
      <c r="I12" s="287"/>
      <c r="J12" s="287"/>
      <c r="K12" s="281"/>
      <c r="M12" s="143"/>
    </row>
    <row r="13" spans="1:13" x14ac:dyDescent="0.2">
      <c r="A13" s="14"/>
      <c r="B13" s="14"/>
      <c r="C13" s="14" t="s">
        <v>41</v>
      </c>
      <c r="D13" s="19">
        <v>28253</v>
      </c>
      <c r="E13" s="98"/>
      <c r="F13" s="18"/>
      <c r="G13" s="98">
        <f>D13+E13</f>
        <v>28253</v>
      </c>
      <c r="H13" s="282"/>
      <c r="I13" s="287"/>
      <c r="J13" s="287"/>
      <c r="K13" s="281"/>
      <c r="M13" s="143"/>
    </row>
    <row r="14" spans="1:13" x14ac:dyDescent="0.2">
      <c r="A14" s="14"/>
      <c r="B14" s="14"/>
      <c r="C14" s="14" t="s">
        <v>411</v>
      </c>
      <c r="D14" s="19">
        <v>77813</v>
      </c>
      <c r="E14" s="98">
        <v>-72155.490000000005</v>
      </c>
      <c r="F14" s="111" t="s">
        <v>52</v>
      </c>
      <c r="G14" s="98"/>
      <c r="H14" s="282"/>
      <c r="I14" s="287"/>
      <c r="J14" s="287"/>
      <c r="K14" s="281"/>
      <c r="M14" s="143"/>
    </row>
    <row r="15" spans="1:13" x14ac:dyDescent="0.2">
      <c r="A15" s="14"/>
      <c r="B15" s="7"/>
      <c r="C15" s="1"/>
      <c r="D15" s="7"/>
      <c r="E15" s="285">
        <v>180000</v>
      </c>
      <c r="F15" s="111" t="s">
        <v>54</v>
      </c>
      <c r="G15" s="99">
        <f>D14+E14+E15</f>
        <v>185657.51</v>
      </c>
      <c r="H15" s="299"/>
      <c r="I15" s="288">
        <v>0</v>
      </c>
      <c r="J15" s="287">
        <f>E12+D13+G15-E15</f>
        <v>106066</v>
      </c>
      <c r="K15" s="281"/>
      <c r="M15" s="153">
        <f>J15-G15-G12-G13</f>
        <v>-180000</v>
      </c>
    </row>
    <row r="16" spans="1:13" x14ac:dyDescent="0.2">
      <c r="A16" s="14"/>
      <c r="B16" s="14"/>
      <c r="C16" s="14"/>
      <c r="D16" s="19"/>
      <c r="E16" s="98"/>
      <c r="F16" s="18"/>
      <c r="G16" s="19"/>
      <c r="H16" s="300"/>
      <c r="I16" s="287"/>
      <c r="J16" s="287"/>
      <c r="K16" s="281"/>
      <c r="M16" s="143"/>
    </row>
    <row r="17" spans="1:14" x14ac:dyDescent="0.2">
      <c r="A17" s="20" t="s">
        <v>9</v>
      </c>
      <c r="B17" s="14"/>
      <c r="C17" s="14"/>
      <c r="D17" s="17">
        <f>SUM(D7:D16)</f>
        <v>2047957</v>
      </c>
      <c r="E17" s="98">
        <f>SUM(E6:E16)</f>
        <v>60298.008399999992</v>
      </c>
      <c r="F17" s="18"/>
      <c r="G17" s="17">
        <f>SUM(G7:G16)</f>
        <v>2108255.0083999997</v>
      </c>
      <c r="H17" s="298"/>
      <c r="I17" s="287"/>
      <c r="J17" s="289">
        <f>SUM(J7:J16)</f>
        <v>2082103</v>
      </c>
      <c r="K17" s="281"/>
      <c r="M17" s="289">
        <f>SUM(M7:M16)</f>
        <v>-26152.008399999933</v>
      </c>
      <c r="N17" s="196">
        <f>J17-G17</f>
        <v>-26152.0083999997</v>
      </c>
    </row>
    <row r="18" spans="1:14" x14ac:dyDescent="0.2">
      <c r="A18" s="14"/>
      <c r="B18" s="14"/>
      <c r="C18" s="14"/>
      <c r="D18" s="19"/>
      <c r="E18" s="14"/>
      <c r="F18" s="18"/>
      <c r="G18" s="19"/>
      <c r="H18" s="300"/>
      <c r="I18" s="287"/>
      <c r="J18" s="287"/>
      <c r="K18" s="281"/>
      <c r="M18" s="143"/>
    </row>
    <row r="19" spans="1:14" x14ac:dyDescent="0.2">
      <c r="A19" s="16" t="s">
        <v>10</v>
      </c>
      <c r="B19" s="14"/>
      <c r="C19" s="14"/>
      <c r="D19" s="19"/>
      <c r="E19" s="14"/>
      <c r="F19" s="18"/>
      <c r="G19" s="19"/>
      <c r="H19" s="300"/>
      <c r="I19" s="287"/>
      <c r="J19" s="287"/>
      <c r="K19" s="281"/>
      <c r="M19" s="143"/>
    </row>
    <row r="20" spans="1:14" x14ac:dyDescent="0.2">
      <c r="A20" s="14"/>
      <c r="B20" s="14" t="s">
        <v>19</v>
      </c>
      <c r="C20" s="14"/>
      <c r="D20" s="19"/>
      <c r="E20" s="14"/>
      <c r="F20" s="18"/>
      <c r="G20" s="19"/>
      <c r="H20" s="300"/>
      <c r="I20" s="287"/>
      <c r="J20" s="287"/>
      <c r="K20" s="281"/>
      <c r="M20" s="143"/>
    </row>
    <row r="21" spans="1:14" x14ac:dyDescent="0.2">
      <c r="A21" s="14"/>
      <c r="B21" s="14"/>
      <c r="C21" s="14" t="s">
        <v>23</v>
      </c>
      <c r="D21" s="17">
        <v>555390</v>
      </c>
      <c r="E21" s="98">
        <f>SAO!E21</f>
        <v>-6360</v>
      </c>
      <c r="F21" s="111" t="s">
        <v>119</v>
      </c>
      <c r="G21" s="17">
        <f t="shared" ref="G21:G41" si="0">D21+E21</f>
        <v>549030</v>
      </c>
      <c r="H21" s="298"/>
      <c r="I21" s="287">
        <v>-6360</v>
      </c>
      <c r="J21" s="287"/>
      <c r="K21" s="281"/>
      <c r="M21" s="143"/>
    </row>
    <row r="22" spans="1:14" x14ac:dyDescent="0.2">
      <c r="A22" s="14"/>
      <c r="B22" s="14"/>
      <c r="C22" s="14"/>
      <c r="D22" s="19"/>
      <c r="E22" s="98"/>
      <c r="F22" s="18"/>
      <c r="G22" s="98"/>
      <c r="H22" s="282"/>
      <c r="I22" s="290">
        <v>-63206</v>
      </c>
      <c r="J22" s="287">
        <f>D21+I21+I22</f>
        <v>485824</v>
      </c>
      <c r="K22" s="281"/>
      <c r="M22" s="153">
        <f>J22-G21</f>
        <v>-63206</v>
      </c>
    </row>
    <row r="23" spans="1:14" x14ac:dyDescent="0.2">
      <c r="A23" s="14"/>
      <c r="B23" s="14"/>
      <c r="C23" s="14" t="s">
        <v>25</v>
      </c>
      <c r="D23" s="19">
        <v>296755</v>
      </c>
      <c r="E23" s="98"/>
      <c r="F23" s="18"/>
      <c r="G23" s="98">
        <f t="shared" si="0"/>
        <v>296755</v>
      </c>
      <c r="H23" s="282"/>
      <c r="I23" s="290">
        <v>-116935</v>
      </c>
      <c r="J23" s="287"/>
      <c r="K23" s="281"/>
      <c r="M23" s="143"/>
    </row>
    <row r="24" spans="1:14" x14ac:dyDescent="0.2">
      <c r="A24" s="14"/>
      <c r="B24" s="14"/>
      <c r="C24" s="14"/>
      <c r="D24" s="19"/>
      <c r="E24" s="98"/>
      <c r="F24" s="18"/>
      <c r="G24" s="98"/>
      <c r="H24" s="282"/>
      <c r="I24" s="287">
        <v>-17945</v>
      </c>
      <c r="J24" s="287">
        <f>D23+I23+I24</f>
        <v>161875</v>
      </c>
      <c r="K24" s="281"/>
      <c r="M24" s="153">
        <f>J24-G23</f>
        <v>-134880</v>
      </c>
    </row>
    <row r="25" spans="1:14" x14ac:dyDescent="0.2">
      <c r="A25" s="14"/>
      <c r="B25" s="14"/>
      <c r="C25" s="14" t="s">
        <v>26</v>
      </c>
      <c r="D25" s="19">
        <v>24603</v>
      </c>
      <c r="E25" s="98">
        <f>SAO!E24</f>
        <v>-24603</v>
      </c>
      <c r="F25" s="111" t="s">
        <v>124</v>
      </c>
      <c r="G25" s="98">
        <f t="shared" si="0"/>
        <v>0</v>
      </c>
      <c r="H25" s="282"/>
      <c r="I25" s="290">
        <v>-12147</v>
      </c>
      <c r="J25" s="287">
        <f>D25+I25</f>
        <v>12456</v>
      </c>
      <c r="K25" s="281"/>
      <c r="M25" s="153">
        <f>J25-G25</f>
        <v>12456</v>
      </c>
    </row>
    <row r="26" spans="1:14" x14ac:dyDescent="0.2">
      <c r="A26" s="14"/>
      <c r="B26" s="14"/>
      <c r="C26" s="14" t="s">
        <v>27</v>
      </c>
      <c r="D26" s="19">
        <v>373353</v>
      </c>
      <c r="E26" s="98">
        <f>SAO!E25</f>
        <v>-21640.212000000003</v>
      </c>
      <c r="F26" s="111" t="s">
        <v>405</v>
      </c>
      <c r="G26" s="1"/>
      <c r="H26" s="297"/>
      <c r="I26" s="288">
        <v>0</v>
      </c>
      <c r="J26" s="287"/>
      <c r="K26" s="281"/>
      <c r="M26" s="143"/>
    </row>
    <row r="27" spans="1:14" x14ac:dyDescent="0.2">
      <c r="A27" s="14"/>
      <c r="B27" s="14"/>
      <c r="C27" s="14"/>
      <c r="D27" s="19"/>
      <c r="E27" s="98">
        <f>SAO!E26</f>
        <v>-84420.965694387138</v>
      </c>
      <c r="F27" s="111" t="s">
        <v>412</v>
      </c>
      <c r="G27" s="98">
        <f>D26+E26+E27</f>
        <v>267291.82230561285</v>
      </c>
      <c r="H27" s="282"/>
      <c r="I27" s="290">
        <v>-184324</v>
      </c>
      <c r="J27" s="287">
        <f>D26+I27</f>
        <v>189029</v>
      </c>
      <c r="K27" s="281"/>
      <c r="M27" s="153">
        <f>J27-G27</f>
        <v>-78262.822305612848</v>
      </c>
    </row>
    <row r="28" spans="1:14" x14ac:dyDescent="0.2">
      <c r="A28" s="14"/>
      <c r="B28" s="14"/>
      <c r="C28" s="14" t="s">
        <v>102</v>
      </c>
      <c r="D28" s="19">
        <v>115033</v>
      </c>
      <c r="E28" s="98">
        <f>SAO!E27</f>
        <v>-27611.156824705606</v>
      </c>
      <c r="F28" s="111" t="s">
        <v>412</v>
      </c>
      <c r="G28" s="98">
        <f t="shared" si="0"/>
        <v>87421.843175294402</v>
      </c>
      <c r="H28" s="282"/>
      <c r="I28" s="290">
        <v>-56792</v>
      </c>
      <c r="J28" s="287">
        <f>D28+I28</f>
        <v>58241</v>
      </c>
      <c r="K28" s="281"/>
      <c r="M28" s="153">
        <f>J28-G28</f>
        <v>-29180.843175294402</v>
      </c>
    </row>
    <row r="29" spans="1:14" x14ac:dyDescent="0.2">
      <c r="A29" s="14"/>
      <c r="B29" s="14"/>
      <c r="C29" s="14" t="s">
        <v>28</v>
      </c>
      <c r="D29" s="19">
        <v>156069</v>
      </c>
      <c r="E29" s="98">
        <f>SAO!E28</f>
        <v>-17640</v>
      </c>
      <c r="F29" s="111" t="s">
        <v>119</v>
      </c>
      <c r="G29" s="98">
        <f t="shared" si="0"/>
        <v>138429</v>
      </c>
      <c r="H29" s="282"/>
      <c r="I29" s="287">
        <v>-17640</v>
      </c>
      <c r="J29" s="287">
        <f>D29+I29</f>
        <v>138429</v>
      </c>
      <c r="K29" s="281"/>
      <c r="M29" s="153">
        <f>J29-G29</f>
        <v>0</v>
      </c>
    </row>
    <row r="30" spans="1:14" x14ac:dyDescent="0.2">
      <c r="A30" s="14"/>
      <c r="B30" s="14"/>
      <c r="C30" s="14" t="s">
        <v>147</v>
      </c>
      <c r="D30" s="19">
        <f>42000+2844</f>
        <v>44844</v>
      </c>
      <c r="E30" s="98"/>
      <c r="F30" s="178"/>
      <c r="G30" s="98">
        <f t="shared" si="0"/>
        <v>44844</v>
      </c>
      <c r="H30" s="282"/>
      <c r="I30" s="287"/>
      <c r="J30" s="287">
        <f t="shared" ref="J30:J41" si="1">D30+I30</f>
        <v>44844</v>
      </c>
      <c r="K30" s="281"/>
      <c r="M30" s="143"/>
    </row>
    <row r="31" spans="1:14" x14ac:dyDescent="0.2">
      <c r="A31" s="14"/>
      <c r="B31" s="14"/>
      <c r="C31" s="14" t="s">
        <v>131</v>
      </c>
      <c r="D31" s="19">
        <v>14709</v>
      </c>
      <c r="E31" s="98"/>
      <c r="F31" s="111"/>
      <c r="G31" s="98">
        <f t="shared" si="0"/>
        <v>14709</v>
      </c>
      <c r="H31" s="282"/>
      <c r="I31" s="287"/>
      <c r="J31" s="287">
        <f t="shared" si="1"/>
        <v>14709</v>
      </c>
      <c r="K31" s="281"/>
      <c r="M31" s="143"/>
    </row>
    <row r="32" spans="1:14" x14ac:dyDescent="0.2">
      <c r="A32" s="14"/>
      <c r="B32" s="14"/>
      <c r="C32" s="14" t="s">
        <v>132</v>
      </c>
      <c r="D32" s="19">
        <v>154668</v>
      </c>
      <c r="E32" s="98"/>
      <c r="F32" s="111"/>
      <c r="G32" s="98">
        <f t="shared" si="0"/>
        <v>154668</v>
      </c>
      <c r="H32" s="282"/>
      <c r="I32" s="287"/>
      <c r="J32" s="287">
        <f t="shared" si="1"/>
        <v>154668</v>
      </c>
      <c r="K32" s="281"/>
      <c r="M32" s="143"/>
    </row>
    <row r="33" spans="1:14" x14ac:dyDescent="0.2">
      <c r="A33" s="14"/>
      <c r="B33" s="14"/>
      <c r="C33" s="14" t="s">
        <v>133</v>
      </c>
      <c r="D33" s="19">
        <v>7898</v>
      </c>
      <c r="E33" s="14"/>
      <c r="F33" s="18"/>
      <c r="G33" s="98">
        <f t="shared" si="0"/>
        <v>7898</v>
      </c>
      <c r="H33" s="282"/>
      <c r="I33" s="287"/>
      <c r="J33" s="287">
        <f t="shared" si="1"/>
        <v>7898</v>
      </c>
      <c r="K33" s="281"/>
      <c r="M33" s="143"/>
    </row>
    <row r="34" spans="1:14" x14ac:dyDescent="0.2">
      <c r="A34" s="14"/>
      <c r="B34" s="14"/>
      <c r="C34" s="14" t="s">
        <v>103</v>
      </c>
      <c r="D34" s="19">
        <v>51314</v>
      </c>
      <c r="E34" s="14"/>
      <c r="F34" s="18"/>
      <c r="G34" s="98">
        <f t="shared" si="0"/>
        <v>51314</v>
      </c>
      <c r="H34" s="282"/>
      <c r="I34" s="287"/>
      <c r="J34" s="287">
        <f t="shared" si="1"/>
        <v>51314</v>
      </c>
      <c r="K34" s="281"/>
      <c r="M34" s="143"/>
    </row>
    <row r="35" spans="1:14" x14ac:dyDescent="0.2">
      <c r="A35" s="14"/>
      <c r="B35" s="14"/>
      <c r="C35" s="14" t="s">
        <v>36</v>
      </c>
      <c r="D35" s="19">
        <v>75334</v>
      </c>
      <c r="E35" s="14"/>
      <c r="F35" s="18"/>
      <c r="G35" s="98">
        <f t="shared" si="0"/>
        <v>75334</v>
      </c>
      <c r="H35" s="282"/>
      <c r="I35" s="287"/>
      <c r="J35" s="287">
        <f t="shared" si="1"/>
        <v>75334</v>
      </c>
      <c r="K35" s="281"/>
      <c r="M35" s="143"/>
    </row>
    <row r="36" spans="1:14" x14ac:dyDescent="0.2">
      <c r="A36" s="14"/>
      <c r="B36" s="14"/>
      <c r="C36" s="14" t="s">
        <v>134</v>
      </c>
      <c r="D36" s="19">
        <f>8042+25079</f>
        <v>33121</v>
      </c>
      <c r="E36" s="14"/>
      <c r="F36" s="18"/>
      <c r="G36" s="98">
        <f t="shared" si="0"/>
        <v>33121</v>
      </c>
      <c r="H36" s="282"/>
      <c r="I36" s="287"/>
      <c r="J36" s="287">
        <f t="shared" si="1"/>
        <v>33121</v>
      </c>
      <c r="K36" s="281"/>
      <c r="M36" s="143"/>
    </row>
    <row r="37" spans="1:14" x14ac:dyDescent="0.2">
      <c r="A37" s="14"/>
      <c r="B37" s="14"/>
      <c r="C37" s="14" t="s">
        <v>135</v>
      </c>
      <c r="D37" s="19">
        <v>28737</v>
      </c>
      <c r="E37" s="14"/>
      <c r="F37" s="18"/>
      <c r="G37" s="98">
        <f t="shared" si="0"/>
        <v>28737</v>
      </c>
      <c r="H37" s="282"/>
      <c r="I37" s="287"/>
      <c r="J37" s="287">
        <f t="shared" si="1"/>
        <v>28737</v>
      </c>
      <c r="K37" s="281"/>
      <c r="M37" s="143"/>
    </row>
    <row r="38" spans="1:14" x14ac:dyDescent="0.2">
      <c r="A38" s="14"/>
      <c r="B38" s="14"/>
      <c r="C38" s="14" t="s">
        <v>136</v>
      </c>
      <c r="D38" s="19">
        <v>7257</v>
      </c>
      <c r="E38" s="14"/>
      <c r="F38" s="18"/>
      <c r="G38" s="98">
        <f t="shared" si="0"/>
        <v>7257</v>
      </c>
      <c r="H38" s="282"/>
      <c r="I38" s="287"/>
      <c r="J38" s="287">
        <f t="shared" si="1"/>
        <v>7257</v>
      </c>
      <c r="K38" s="281"/>
      <c r="M38" s="143"/>
    </row>
    <row r="39" spans="1:14" x14ac:dyDescent="0.2">
      <c r="A39" s="14"/>
      <c r="B39" s="14"/>
      <c r="C39" s="14" t="s">
        <v>104</v>
      </c>
      <c r="D39" s="19">
        <v>3000</v>
      </c>
      <c r="E39" s="14"/>
      <c r="F39" s="18"/>
      <c r="G39" s="98">
        <f t="shared" si="0"/>
        <v>3000</v>
      </c>
      <c r="H39" s="282"/>
      <c r="I39" s="287"/>
      <c r="J39" s="287">
        <f t="shared" si="1"/>
        <v>3000</v>
      </c>
      <c r="K39" s="281"/>
      <c r="M39" s="143"/>
    </row>
    <row r="40" spans="1:14" x14ac:dyDescent="0.2">
      <c r="A40" s="14"/>
      <c r="B40" s="14"/>
      <c r="C40" s="14" t="s">
        <v>29</v>
      </c>
      <c r="D40" s="19">
        <v>67543</v>
      </c>
      <c r="E40" s="14"/>
      <c r="F40" s="18"/>
      <c r="G40" s="98">
        <f t="shared" si="0"/>
        <v>67543</v>
      </c>
      <c r="H40" s="282"/>
      <c r="I40" s="287"/>
      <c r="J40" s="287">
        <f t="shared" si="1"/>
        <v>67543</v>
      </c>
      <c r="K40" s="281"/>
      <c r="M40" s="143"/>
    </row>
    <row r="41" spans="1:14" x14ac:dyDescent="0.2">
      <c r="A41" s="14"/>
      <c r="B41" s="14"/>
      <c r="C41" s="14" t="s">
        <v>30</v>
      </c>
      <c r="D41" s="19">
        <v>40341</v>
      </c>
      <c r="E41" s="14"/>
      <c r="F41" s="18"/>
      <c r="G41" s="98">
        <f t="shared" si="0"/>
        <v>40341</v>
      </c>
      <c r="H41" s="282"/>
      <c r="I41" s="287"/>
      <c r="J41" s="287">
        <f t="shared" si="1"/>
        <v>40341</v>
      </c>
      <c r="K41" s="281"/>
      <c r="M41" s="143"/>
    </row>
    <row r="42" spans="1:14" x14ac:dyDescent="0.2">
      <c r="A42" s="14"/>
      <c r="B42" s="14"/>
      <c r="C42" s="14"/>
      <c r="D42" s="19"/>
      <c r="E42" s="14"/>
      <c r="F42" s="18"/>
      <c r="G42" s="19"/>
      <c r="H42" s="300"/>
      <c r="I42" s="287"/>
      <c r="J42" s="287"/>
      <c r="K42" s="281"/>
      <c r="M42" s="143"/>
    </row>
    <row r="43" spans="1:14" x14ac:dyDescent="0.2">
      <c r="A43" s="14"/>
      <c r="B43" s="14" t="s">
        <v>20</v>
      </c>
      <c r="C43" s="14"/>
      <c r="D43" s="19">
        <f>SUM(D21:D41)</f>
        <v>2049969</v>
      </c>
      <c r="E43" s="19">
        <f>SUM(E21:E41)</f>
        <v>-182275.33451909275</v>
      </c>
      <c r="F43" s="18"/>
      <c r="G43" s="19">
        <f>SUM(G21:G41)</f>
        <v>1867693.6654809071</v>
      </c>
      <c r="H43" s="300"/>
      <c r="I43" s="287"/>
      <c r="J43" s="291">
        <f>SUM(J21:J41)</f>
        <v>1574620</v>
      </c>
      <c r="K43" s="281"/>
      <c r="M43" s="291">
        <f>SUM(M21:M41)</f>
        <v>-293073.66548090725</v>
      </c>
      <c r="N43" s="279">
        <f>J43-G43</f>
        <v>-293073.66548090708</v>
      </c>
    </row>
    <row r="44" spans="1:14" x14ac:dyDescent="0.2">
      <c r="A44" s="14"/>
      <c r="B44" s="14"/>
      <c r="C44" s="14"/>
      <c r="D44" s="19"/>
      <c r="E44" s="14"/>
      <c r="F44" s="18"/>
      <c r="G44" s="19"/>
      <c r="H44" s="300"/>
      <c r="I44" s="287"/>
      <c r="J44" s="287"/>
      <c r="K44" s="281"/>
      <c r="M44" s="143"/>
    </row>
    <row r="45" spans="1:14" x14ac:dyDescent="0.2">
      <c r="A45" s="14"/>
      <c r="B45" s="14" t="s">
        <v>21</v>
      </c>
      <c r="C45" s="14"/>
      <c r="D45" s="19">
        <v>771703</v>
      </c>
      <c r="E45" s="98">
        <f>SAO!E45</f>
        <v>-87952.641556450209</v>
      </c>
      <c r="F45" s="18" t="s">
        <v>413</v>
      </c>
      <c r="G45" s="98">
        <f>D45+E45</f>
        <v>683750.35844354983</v>
      </c>
      <c r="H45" s="282"/>
      <c r="I45" s="287">
        <v>-87953</v>
      </c>
      <c r="J45" s="287">
        <f t="shared" ref="J45:J46" si="2">D45+I45</f>
        <v>683750</v>
      </c>
      <c r="K45" s="281"/>
      <c r="M45" s="143"/>
    </row>
    <row r="46" spans="1:14" x14ac:dyDescent="0.2">
      <c r="A46" s="14"/>
      <c r="B46" s="14" t="s">
        <v>22</v>
      </c>
      <c r="C46" s="14"/>
      <c r="D46" s="19">
        <v>46496</v>
      </c>
      <c r="E46" s="98"/>
      <c r="F46" s="18"/>
      <c r="G46" s="98">
        <f>D46+E46</f>
        <v>46496</v>
      </c>
      <c r="H46" s="282"/>
      <c r="I46" s="290">
        <v>-2898</v>
      </c>
      <c r="J46" s="287">
        <f t="shared" si="2"/>
        <v>43598</v>
      </c>
      <c r="K46" s="281"/>
      <c r="M46" s="143"/>
    </row>
    <row r="47" spans="1:14" x14ac:dyDescent="0.2">
      <c r="A47" s="14"/>
      <c r="B47" s="14"/>
      <c r="C47" s="14"/>
      <c r="D47" s="19"/>
      <c r="E47" s="14"/>
      <c r="F47" s="18"/>
      <c r="G47" s="19"/>
      <c r="H47" s="300"/>
      <c r="I47" s="287"/>
      <c r="J47" s="287"/>
      <c r="K47" s="281"/>
      <c r="M47" s="143"/>
    </row>
    <row r="48" spans="1:14" x14ac:dyDescent="0.2">
      <c r="A48" s="20" t="s">
        <v>11</v>
      </c>
      <c r="B48" s="14"/>
      <c r="C48" s="14"/>
      <c r="D48" s="17">
        <f>D43+D45+D46</f>
        <v>2868168</v>
      </c>
      <c r="E48" s="17">
        <f>E43+E45+E46</f>
        <v>-270227.97607554297</v>
      </c>
      <c r="F48" s="18"/>
      <c r="G48" s="17">
        <f>G43+G45+G46</f>
        <v>2597940.0239244569</v>
      </c>
      <c r="H48" s="298"/>
      <c r="I48" s="287"/>
      <c r="J48" s="292">
        <f>J43+J45+J46</f>
        <v>2301968</v>
      </c>
      <c r="K48" s="281"/>
      <c r="M48" s="143"/>
    </row>
    <row r="49" spans="1:13" x14ac:dyDescent="0.2">
      <c r="A49" s="20"/>
      <c r="B49" s="14"/>
      <c r="C49" s="14"/>
      <c r="D49" s="19"/>
      <c r="E49" s="14"/>
      <c r="F49" s="18"/>
      <c r="G49" s="19"/>
      <c r="H49" s="300"/>
      <c r="I49" s="287"/>
      <c r="J49" s="291"/>
      <c r="K49" s="281"/>
      <c r="M49" s="143"/>
    </row>
    <row r="50" spans="1:13" x14ac:dyDescent="0.2">
      <c r="A50" s="20" t="s">
        <v>37</v>
      </c>
      <c r="B50" s="14"/>
      <c r="C50" s="14"/>
      <c r="D50" s="17">
        <f>D17-D48</f>
        <v>-820211</v>
      </c>
      <c r="E50" s="17">
        <f>E17-E48</f>
        <v>330525.98447554297</v>
      </c>
      <c r="F50" s="18"/>
      <c r="G50" s="17">
        <f>G17-G48</f>
        <v>-489685.01552445721</v>
      </c>
      <c r="H50" s="298"/>
      <c r="I50" s="287"/>
      <c r="J50" s="292">
        <f>J17-J48</f>
        <v>-219865</v>
      </c>
      <c r="K50" s="281"/>
      <c r="M50" s="143"/>
    </row>
    <row r="51" spans="1:13" x14ac:dyDescent="0.2">
      <c r="A51" s="14"/>
      <c r="B51" s="14"/>
      <c r="C51" s="14"/>
      <c r="D51" s="19"/>
      <c r="E51" s="14"/>
      <c r="F51" s="18"/>
      <c r="G51" s="19"/>
      <c r="H51" s="300"/>
      <c r="I51" s="287"/>
      <c r="J51" s="287"/>
      <c r="K51" s="281"/>
      <c r="M51" s="143"/>
    </row>
    <row r="52" spans="1:13" ht="18" x14ac:dyDescent="0.2">
      <c r="A52" s="3" t="s">
        <v>50</v>
      </c>
      <c r="B52" s="21"/>
      <c r="C52" s="21"/>
      <c r="D52" s="21"/>
      <c r="E52" s="21"/>
      <c r="F52" s="8"/>
      <c r="G52" s="8"/>
      <c r="H52" s="301"/>
      <c r="I52" s="287"/>
      <c r="J52" s="287"/>
      <c r="K52" s="281"/>
      <c r="M52" s="143"/>
    </row>
    <row r="53" spans="1:13" x14ac:dyDescent="0.2">
      <c r="A53" s="14"/>
      <c r="B53" s="14"/>
      <c r="C53" s="14"/>
      <c r="D53" s="19"/>
      <c r="E53" s="15"/>
      <c r="F53" s="15"/>
      <c r="G53" s="19"/>
      <c r="H53" s="300"/>
      <c r="I53" s="287"/>
      <c r="J53" s="287"/>
      <c r="K53" s="281"/>
      <c r="M53" s="143"/>
    </row>
    <row r="54" spans="1:13" x14ac:dyDescent="0.2">
      <c r="A54" s="20" t="s">
        <v>12</v>
      </c>
      <c r="B54" s="14"/>
      <c r="C54" s="14"/>
      <c r="D54" s="7"/>
      <c r="E54" s="14"/>
      <c r="F54" s="18"/>
      <c r="G54" s="17">
        <f>G48</f>
        <v>2597940.0239244569</v>
      </c>
      <c r="H54" s="298"/>
      <c r="I54" s="287"/>
      <c r="J54" s="287">
        <f>J48</f>
        <v>2301968</v>
      </c>
      <c r="K54" s="281"/>
      <c r="M54" s="143"/>
    </row>
    <row r="55" spans="1:13" x14ac:dyDescent="0.2">
      <c r="A55" s="20"/>
      <c r="B55" s="14"/>
      <c r="C55" s="14"/>
      <c r="D55" s="7"/>
      <c r="E55" s="14"/>
      <c r="F55" s="18"/>
      <c r="G55" s="19"/>
      <c r="H55" s="300"/>
      <c r="I55" s="287"/>
      <c r="J55" s="287"/>
      <c r="K55" s="281"/>
      <c r="M55" s="143"/>
    </row>
    <row r="56" spans="1:13" x14ac:dyDescent="0.2">
      <c r="A56" s="14" t="s">
        <v>13</v>
      </c>
      <c r="B56" s="14"/>
      <c r="C56" s="14" t="s">
        <v>62</v>
      </c>
      <c r="D56" s="7"/>
      <c r="E56" s="14"/>
      <c r="F56" s="18" t="s">
        <v>464</v>
      </c>
      <c r="G56" s="19">
        <f>DSch!J20</f>
        <v>209997.56399999998</v>
      </c>
      <c r="H56" s="300"/>
      <c r="I56" s="287"/>
      <c r="J56" s="287">
        <f>G56</f>
        <v>209997.56399999998</v>
      </c>
      <c r="K56" s="281"/>
      <c r="M56" s="143"/>
    </row>
    <row r="57" spans="1:13" x14ac:dyDescent="0.2">
      <c r="A57" s="14"/>
      <c r="B57" s="14"/>
      <c r="C57" s="14" t="s">
        <v>31</v>
      </c>
      <c r="D57" s="7"/>
      <c r="E57" s="14"/>
      <c r="F57" s="18" t="s">
        <v>464</v>
      </c>
      <c r="G57" s="19">
        <f>DSch!J22</f>
        <v>38822.36</v>
      </c>
      <c r="H57" s="300"/>
      <c r="I57" s="287"/>
      <c r="J57" s="287">
        <f>G57</f>
        <v>38822.36</v>
      </c>
      <c r="K57" s="281"/>
      <c r="M57" s="143"/>
    </row>
    <row r="58" spans="1:13" x14ac:dyDescent="0.2">
      <c r="A58" s="14"/>
      <c r="B58" s="14"/>
      <c r="C58" s="14" t="s">
        <v>515</v>
      </c>
      <c r="D58" s="7"/>
      <c r="E58" s="14"/>
      <c r="F58" s="176" t="s">
        <v>466</v>
      </c>
      <c r="G58" s="19">
        <f>SurCh!Y10*12</f>
        <v>163186.64800478471</v>
      </c>
      <c r="H58" s="300"/>
      <c r="I58" s="287"/>
      <c r="J58" s="288">
        <v>0</v>
      </c>
      <c r="K58" s="281"/>
      <c r="M58" s="143"/>
    </row>
    <row r="59" spans="1:13" x14ac:dyDescent="0.2">
      <c r="A59" s="14"/>
      <c r="B59" s="14"/>
      <c r="C59" s="14"/>
      <c r="D59" s="7"/>
      <c r="E59" s="14"/>
      <c r="F59" s="18"/>
      <c r="G59" s="19"/>
      <c r="H59" s="300"/>
      <c r="I59" s="287"/>
      <c r="J59" s="287"/>
      <c r="K59" s="281"/>
      <c r="M59" s="143"/>
    </row>
    <row r="60" spans="1:13" x14ac:dyDescent="0.2">
      <c r="A60" s="20" t="s">
        <v>38</v>
      </c>
      <c r="B60" s="14"/>
      <c r="C60" s="14"/>
      <c r="D60" s="7"/>
      <c r="E60" s="14"/>
      <c r="F60" s="18"/>
      <c r="G60" s="19">
        <f>SUM(G54:G58)</f>
        <v>3009946.5959292413</v>
      </c>
      <c r="H60" s="300"/>
      <c r="I60" s="287"/>
      <c r="J60" s="287">
        <f>SUM(J54:J58)</f>
        <v>2550787.9239999996</v>
      </c>
      <c r="K60" s="281"/>
      <c r="M60" s="143"/>
    </row>
    <row r="61" spans="1:13" x14ac:dyDescent="0.2">
      <c r="A61" s="20"/>
      <c r="B61" s="14"/>
      <c r="C61" s="14"/>
      <c r="D61" s="7"/>
      <c r="E61" s="14"/>
      <c r="F61" s="18"/>
      <c r="G61" s="19"/>
      <c r="H61" s="300"/>
      <c r="I61" s="287"/>
      <c r="J61" s="287"/>
      <c r="K61" s="281"/>
      <c r="M61" s="143"/>
    </row>
    <row r="62" spans="1:13" x14ac:dyDescent="0.2">
      <c r="A62" s="14" t="s">
        <v>14</v>
      </c>
      <c r="B62" s="14"/>
      <c r="C62" s="14" t="s">
        <v>18</v>
      </c>
      <c r="D62" s="7"/>
      <c r="E62" s="14"/>
      <c r="F62" s="18"/>
      <c r="G62" s="19">
        <f>-(G13+G12+G15)</f>
        <v>-286066</v>
      </c>
      <c r="H62" s="300"/>
      <c r="I62" s="287"/>
      <c r="J62" s="287">
        <f>-J15</f>
        <v>-106066</v>
      </c>
      <c r="K62" s="281"/>
      <c r="M62" s="143"/>
    </row>
    <row r="63" spans="1:13" x14ac:dyDescent="0.2">
      <c r="A63" s="14"/>
      <c r="B63" s="14"/>
      <c r="C63" s="14" t="s">
        <v>144</v>
      </c>
      <c r="D63" s="99">
        <v>22789</v>
      </c>
      <c r="E63" s="98">
        <v>-22789</v>
      </c>
      <c r="F63" s="181" t="s">
        <v>530</v>
      </c>
      <c r="G63" s="98">
        <f>E63+D63</f>
        <v>0</v>
      </c>
      <c r="H63" s="282"/>
      <c r="I63" s="287"/>
      <c r="J63" s="287"/>
      <c r="K63" s="281"/>
      <c r="M63" s="143"/>
    </row>
    <row r="64" spans="1:13" x14ac:dyDescent="0.2">
      <c r="A64" s="14"/>
      <c r="B64" s="14"/>
      <c r="C64" s="14" t="s">
        <v>125</v>
      </c>
      <c r="D64" s="7"/>
      <c r="E64" s="14"/>
      <c r="F64" s="18"/>
      <c r="G64" s="19">
        <v>-293</v>
      </c>
      <c r="H64" s="300"/>
      <c r="I64" s="287"/>
      <c r="J64" s="287">
        <f>G64</f>
        <v>-293</v>
      </c>
      <c r="K64" s="281"/>
      <c r="M64" s="143"/>
    </row>
    <row r="65" spans="1:16" x14ac:dyDescent="0.2">
      <c r="A65" s="14"/>
      <c r="B65" s="14"/>
      <c r="C65" s="14"/>
      <c r="D65" s="7"/>
      <c r="E65" s="14"/>
      <c r="F65" s="18"/>
      <c r="G65" s="19"/>
      <c r="H65" s="300"/>
      <c r="I65" s="287"/>
      <c r="J65" s="287"/>
      <c r="K65" s="281"/>
      <c r="M65" s="143"/>
    </row>
    <row r="66" spans="1:16" x14ac:dyDescent="0.2">
      <c r="A66" s="20" t="s">
        <v>15</v>
      </c>
      <c r="B66" s="14"/>
      <c r="C66" s="14"/>
      <c r="D66" s="7"/>
      <c r="E66" s="14"/>
      <c r="F66" s="18"/>
      <c r="G66" s="19">
        <f>SUM(G60:G64)</f>
        <v>2723587.5959292413</v>
      </c>
      <c r="H66" s="300"/>
      <c r="I66" s="287"/>
      <c r="J66" s="291">
        <f>SUM(J60:J64)</f>
        <v>2444428.9239999996</v>
      </c>
      <c r="K66" s="281"/>
      <c r="M66" s="143"/>
      <c r="P66" s="196">
        <f>J66-D10</f>
        <v>2381636.9239999996</v>
      </c>
    </row>
    <row r="67" spans="1:16" x14ac:dyDescent="0.2">
      <c r="A67" s="20"/>
      <c r="B67" s="14"/>
      <c r="C67" s="14"/>
      <c r="D67" s="7"/>
      <c r="E67" s="14"/>
      <c r="F67" s="18"/>
      <c r="G67" s="19"/>
      <c r="H67" s="300"/>
      <c r="I67" s="287"/>
      <c r="J67" s="287"/>
      <c r="K67" s="281"/>
      <c r="M67" s="143"/>
    </row>
    <row r="68" spans="1:16" x14ac:dyDescent="0.2">
      <c r="A68" s="14" t="s">
        <v>14</v>
      </c>
      <c r="B68" s="14"/>
      <c r="C68" s="14" t="s">
        <v>39</v>
      </c>
      <c r="D68" s="7"/>
      <c r="E68" s="14"/>
      <c r="F68" s="18"/>
      <c r="G68" s="19">
        <f>-SUM(G7:G10)</f>
        <v>-1822189.0083999999</v>
      </c>
      <c r="H68" s="300"/>
      <c r="I68" s="287"/>
      <c r="J68" s="287">
        <f>J10</f>
        <v>1976037</v>
      </c>
      <c r="K68" s="281"/>
      <c r="M68" s="143"/>
      <c r="P68" s="196">
        <f>J10-D10</f>
        <v>1913245</v>
      </c>
    </row>
    <row r="69" spans="1:16" x14ac:dyDescent="0.2">
      <c r="A69" s="14"/>
      <c r="B69" s="14"/>
      <c r="C69" s="14"/>
      <c r="D69" s="7"/>
      <c r="E69" s="14"/>
      <c r="F69" s="18"/>
      <c r="G69" s="19"/>
      <c r="H69" s="300"/>
      <c r="I69" s="287"/>
      <c r="J69" s="287"/>
      <c r="K69" s="281"/>
      <c r="M69" s="143"/>
    </row>
    <row r="70" spans="1:16" x14ac:dyDescent="0.2">
      <c r="A70" s="20" t="s">
        <v>16</v>
      </c>
      <c r="B70" s="14"/>
      <c r="C70" s="14"/>
      <c r="D70" s="7"/>
      <c r="E70" s="14"/>
      <c r="F70" s="18"/>
      <c r="G70" s="17">
        <f>G66+G68</f>
        <v>901398.58752924134</v>
      </c>
      <c r="H70" s="298"/>
      <c r="I70" s="287"/>
      <c r="J70" s="287">
        <f>J66-J68</f>
        <v>468391.92399999965</v>
      </c>
      <c r="K70" s="281"/>
      <c r="M70" s="143"/>
      <c r="P70" s="287">
        <f>P66-P68</f>
        <v>468391.92399999965</v>
      </c>
    </row>
    <row r="71" spans="1:16" x14ac:dyDescent="0.2">
      <c r="A71" s="14"/>
      <c r="B71" s="14"/>
      <c r="C71" s="14"/>
      <c r="D71" s="7"/>
      <c r="E71" s="14"/>
      <c r="F71" s="18"/>
      <c r="G71" s="14"/>
      <c r="H71" s="296"/>
      <c r="I71" s="293"/>
      <c r="J71" s="293"/>
      <c r="K71" s="281"/>
      <c r="M71" s="143"/>
      <c r="P71" s="293"/>
    </row>
    <row r="72" spans="1:16" x14ac:dyDescent="0.2">
      <c r="A72" s="20" t="s">
        <v>17</v>
      </c>
      <c r="B72" s="14"/>
      <c r="C72" s="14"/>
      <c r="D72" s="7"/>
      <c r="E72" s="14"/>
      <c r="F72" s="18"/>
      <c r="G72" s="250">
        <f>ROUND(G70/-G68,3)</f>
        <v>0.495</v>
      </c>
      <c r="H72" s="302"/>
      <c r="I72" s="293"/>
      <c r="J72" s="294">
        <f>J70/J68</f>
        <v>0.23703600894112795</v>
      </c>
      <c r="K72" s="281"/>
      <c r="M72" s="143"/>
      <c r="O72" s="283"/>
      <c r="P72" s="294">
        <f>P70/P68</f>
        <v>0.24481544391857793</v>
      </c>
    </row>
    <row r="73" spans="1:16" x14ac:dyDescent="0.2">
      <c r="I73" s="143"/>
      <c r="J73" s="143"/>
    </row>
    <row r="74" spans="1:16" x14ac:dyDescent="0.2">
      <c r="I74" s="143"/>
      <c r="J74" s="143"/>
    </row>
    <row r="75" spans="1:16" x14ac:dyDescent="0.2">
      <c r="I75" s="143"/>
      <c r="J75" s="143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76"/>
  <sheetViews>
    <sheetView workbookViewId="0">
      <selection activeCell="M36" sqref="M36"/>
    </sheetView>
  </sheetViews>
  <sheetFormatPr defaultRowHeight="15" x14ac:dyDescent="0.2"/>
  <cols>
    <col min="1" max="1" width="1.44140625" customWidth="1"/>
    <col min="2" max="2" width="3.33203125" customWidth="1"/>
    <col min="3" max="3" width="26.77734375" customWidth="1"/>
    <col min="4" max="4" width="10.77734375" customWidth="1"/>
    <col min="5" max="5" width="10.5546875" customWidth="1"/>
    <col min="6" max="6" width="4.33203125" customWidth="1"/>
    <col min="7" max="7" width="10.21875" customWidth="1"/>
    <col min="8" max="8" width="10.44140625" customWidth="1"/>
    <col min="9" max="9" width="10.6640625" customWidth="1"/>
    <col min="10" max="10" width="10.44140625" customWidth="1"/>
    <col min="11" max="11" width="11.109375" customWidth="1"/>
    <col min="12" max="14" width="10.77734375" customWidth="1"/>
    <col min="15" max="15" width="10.109375" bestFit="1" customWidth="1"/>
    <col min="17" max="17" width="10.5546875" bestFit="1" customWidth="1"/>
    <col min="23" max="23" width="11" bestFit="1" customWidth="1"/>
  </cols>
  <sheetData>
    <row r="1" spans="1:14" ht="18" x14ac:dyDescent="0.25">
      <c r="A1" s="379" t="s">
        <v>635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9"/>
      <c r="M1" s="9"/>
      <c r="N1" s="9"/>
    </row>
    <row r="2" spans="1:14" ht="6.95" customHeight="1" x14ac:dyDescent="0.25">
      <c r="A2" s="11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x14ac:dyDescent="0.25">
      <c r="A3" s="380" t="s">
        <v>601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16"/>
      <c r="M3" s="316"/>
      <c r="N3" s="316"/>
    </row>
    <row r="4" spans="1:14" ht="15.75" x14ac:dyDescent="0.25">
      <c r="A4" s="380" t="s">
        <v>602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16"/>
      <c r="M4" s="316"/>
      <c r="N4" s="316"/>
    </row>
    <row r="5" spans="1:14" ht="15.75" x14ac:dyDescent="0.25">
      <c r="A5" s="380" t="s">
        <v>634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16"/>
      <c r="M5" s="316"/>
      <c r="N5" s="316"/>
    </row>
    <row r="7" spans="1:14" ht="15.75" x14ac:dyDescent="0.25">
      <c r="H7" s="315" t="s">
        <v>633</v>
      </c>
      <c r="I7" s="315"/>
      <c r="J7" s="316" t="s">
        <v>631</v>
      </c>
      <c r="K7" s="315"/>
      <c r="L7" s="363"/>
      <c r="M7" s="363"/>
      <c r="N7" s="363"/>
    </row>
    <row r="8" spans="1:14" ht="15.75" x14ac:dyDescent="0.25">
      <c r="E8" s="308" t="s">
        <v>595</v>
      </c>
      <c r="F8" s="307"/>
      <c r="G8" s="307"/>
      <c r="H8" s="315" t="s">
        <v>603</v>
      </c>
      <c r="I8" s="8"/>
      <c r="J8" s="315" t="s">
        <v>632</v>
      </c>
      <c r="K8" s="8"/>
      <c r="L8" s="181"/>
      <c r="M8" s="181"/>
      <c r="N8" s="181"/>
    </row>
    <row r="9" spans="1:14" x14ac:dyDescent="0.2">
      <c r="A9" s="14"/>
      <c r="B9" s="14"/>
      <c r="C9" s="14"/>
      <c r="D9" s="15" t="s">
        <v>32</v>
      </c>
      <c r="E9" s="286" t="s">
        <v>592</v>
      </c>
      <c r="F9" s="286" t="s">
        <v>59</v>
      </c>
      <c r="G9" s="286" t="s">
        <v>596</v>
      </c>
      <c r="H9" s="286" t="s">
        <v>592</v>
      </c>
      <c r="I9" s="286" t="s">
        <v>596</v>
      </c>
      <c r="J9" s="286" t="s">
        <v>592</v>
      </c>
      <c r="K9" s="286" t="s">
        <v>596</v>
      </c>
      <c r="L9" s="286"/>
      <c r="M9" s="286"/>
      <c r="N9" s="286"/>
    </row>
    <row r="10" spans="1:14" x14ac:dyDescent="0.2">
      <c r="A10" s="16" t="s">
        <v>8</v>
      </c>
      <c r="B10" s="14"/>
      <c r="C10" s="14"/>
      <c r="D10" s="14"/>
      <c r="E10" s="283"/>
      <c r="F10" s="283"/>
      <c r="G10" s="283"/>
      <c r="H10" s="144"/>
      <c r="I10" s="144"/>
      <c r="J10" s="144"/>
      <c r="K10" s="144"/>
      <c r="L10" s="144"/>
      <c r="M10" s="144"/>
      <c r="N10" s="144"/>
    </row>
    <row r="11" spans="1:14" x14ac:dyDescent="0.2">
      <c r="A11" s="14"/>
      <c r="B11" s="14"/>
      <c r="C11" s="14" t="s">
        <v>128</v>
      </c>
      <c r="D11" s="17">
        <v>304</v>
      </c>
      <c r="E11" s="287"/>
      <c r="F11" s="287"/>
      <c r="G11" s="287"/>
      <c r="H11" s="144"/>
      <c r="I11" s="144"/>
      <c r="J11" s="144"/>
      <c r="K11" s="144"/>
      <c r="L11" s="144"/>
      <c r="M11" s="144"/>
      <c r="N11" s="144"/>
    </row>
    <row r="12" spans="1:14" x14ac:dyDescent="0.2">
      <c r="A12" s="14"/>
      <c r="B12" s="14"/>
      <c r="C12" s="14" t="s">
        <v>129</v>
      </c>
      <c r="D12" s="98">
        <v>1878795</v>
      </c>
      <c r="E12" s="287">
        <v>34146</v>
      </c>
      <c r="F12" s="304" t="s">
        <v>582</v>
      </c>
      <c r="G12" s="287"/>
      <c r="H12" s="144"/>
      <c r="I12" s="144"/>
      <c r="J12" s="144"/>
      <c r="K12" s="144"/>
      <c r="L12" s="144"/>
      <c r="M12" s="144"/>
      <c r="N12" s="144"/>
    </row>
    <row r="13" spans="1:14" x14ac:dyDescent="0.2">
      <c r="A13" s="14"/>
      <c r="B13" s="14"/>
      <c r="C13" s="14"/>
      <c r="D13" s="98"/>
      <c r="E13" s="303">
        <v>0</v>
      </c>
      <c r="F13" s="305" t="s">
        <v>583</v>
      </c>
      <c r="G13" s="287"/>
      <c r="H13" s="144"/>
      <c r="I13" s="144"/>
      <c r="J13" s="144"/>
      <c r="K13" s="144"/>
      <c r="L13" s="144"/>
      <c r="M13" s="144"/>
      <c r="N13" s="144"/>
    </row>
    <row r="14" spans="1:14" x14ac:dyDescent="0.2">
      <c r="A14" s="14"/>
      <c r="B14" s="14"/>
      <c r="C14" s="14" t="s">
        <v>130</v>
      </c>
      <c r="D14" s="98">
        <v>62792</v>
      </c>
      <c r="E14" s="303">
        <v>0</v>
      </c>
      <c r="F14" s="305" t="s">
        <v>584</v>
      </c>
      <c r="H14" s="144"/>
      <c r="I14" s="144"/>
      <c r="J14" s="144"/>
      <c r="K14" s="144"/>
      <c r="L14" s="144"/>
      <c r="M14" s="144"/>
      <c r="N14" s="144"/>
    </row>
    <row r="15" spans="1:14" x14ac:dyDescent="0.2">
      <c r="A15" s="14"/>
      <c r="B15" s="14" t="s">
        <v>127</v>
      </c>
      <c r="C15" s="14"/>
      <c r="D15" s="98"/>
      <c r="E15" s="303"/>
      <c r="F15" s="305"/>
      <c r="G15" s="287">
        <v>1976037</v>
      </c>
      <c r="H15" s="144">
        <v>0</v>
      </c>
      <c r="I15" s="144">
        <f>G15</f>
        <v>1976037</v>
      </c>
      <c r="J15" s="144"/>
      <c r="K15" s="144">
        <f>G15</f>
        <v>1976037</v>
      </c>
      <c r="L15" s="144"/>
      <c r="M15" s="144"/>
      <c r="N15" s="144"/>
    </row>
    <row r="16" spans="1:14" x14ac:dyDescent="0.2">
      <c r="A16" s="14"/>
      <c r="C16" s="14" t="s">
        <v>41</v>
      </c>
      <c r="D16" s="19">
        <v>28253</v>
      </c>
      <c r="E16" s="287"/>
      <c r="F16" s="287"/>
      <c r="G16" s="287"/>
      <c r="H16" s="144"/>
      <c r="I16" s="144"/>
      <c r="J16" s="144"/>
      <c r="K16" s="144"/>
      <c r="L16" s="144"/>
      <c r="M16" s="144"/>
      <c r="N16" s="144"/>
    </row>
    <row r="17" spans="1:24" x14ac:dyDescent="0.2">
      <c r="A17" s="14"/>
      <c r="B17" s="14"/>
      <c r="C17" s="14" t="s">
        <v>411</v>
      </c>
      <c r="D17" s="287">
        <v>77813</v>
      </c>
      <c r="E17" s="287"/>
      <c r="F17" s="304" t="s">
        <v>584</v>
      </c>
      <c r="H17" s="144"/>
      <c r="I17" s="144"/>
      <c r="J17" s="144"/>
      <c r="K17" s="144"/>
      <c r="L17" s="144"/>
      <c r="M17" s="144"/>
      <c r="N17" s="144"/>
    </row>
    <row r="18" spans="1:24" ht="17.25" x14ac:dyDescent="0.35">
      <c r="A18" s="14"/>
      <c r="B18" s="14" t="s">
        <v>42</v>
      </c>
      <c r="G18" s="306">
        <v>106066</v>
      </c>
      <c r="H18" s="144">
        <v>0</v>
      </c>
      <c r="I18" s="312">
        <f>G18</f>
        <v>106066</v>
      </c>
      <c r="J18" s="312"/>
      <c r="K18" s="312">
        <f>G18</f>
        <v>106066</v>
      </c>
      <c r="L18" s="312"/>
      <c r="M18" s="312"/>
      <c r="N18" s="312"/>
    </row>
    <row r="19" spans="1:24" ht="6.95" customHeight="1" x14ac:dyDescent="0.2">
      <c r="A19" s="14"/>
      <c r="B19" s="14"/>
      <c r="H19" s="144"/>
      <c r="I19" s="144"/>
      <c r="J19" s="144"/>
      <c r="K19" s="144"/>
      <c r="L19" s="144"/>
      <c r="M19" s="144"/>
      <c r="N19" s="144"/>
    </row>
    <row r="20" spans="1:24" x14ac:dyDescent="0.2">
      <c r="A20" s="20" t="s">
        <v>9</v>
      </c>
      <c r="B20" s="14"/>
      <c r="C20" s="14"/>
      <c r="D20" s="17">
        <f>SUM(D11:D18)</f>
        <v>2047957</v>
      </c>
      <c r="E20" s="287"/>
      <c r="F20" s="287"/>
      <c r="G20" s="17">
        <f>SUM(G11:G18)</f>
        <v>2082103</v>
      </c>
      <c r="H20" s="144"/>
      <c r="I20" s="17">
        <f>SUM(I11:I18)</f>
        <v>2082103</v>
      </c>
      <c r="J20" s="17"/>
      <c r="K20" s="17">
        <f>SUM(K11:K18)</f>
        <v>2082103</v>
      </c>
      <c r="L20" s="17"/>
      <c r="M20" s="17"/>
      <c r="N20" s="17"/>
    </row>
    <row r="21" spans="1:24" ht="6.95" customHeight="1" x14ac:dyDescent="0.2">
      <c r="A21" s="14"/>
      <c r="B21" s="14"/>
      <c r="C21" s="14"/>
      <c r="D21" s="19"/>
      <c r="E21" s="287"/>
      <c r="F21" s="287"/>
      <c r="G21" s="287"/>
      <c r="H21" s="144"/>
      <c r="I21" s="144"/>
      <c r="J21" s="144"/>
      <c r="K21" s="144"/>
      <c r="L21" s="144"/>
      <c r="M21" s="144"/>
      <c r="N21" s="144"/>
    </row>
    <row r="22" spans="1:24" x14ac:dyDescent="0.2">
      <c r="A22" s="16" t="s">
        <v>10</v>
      </c>
      <c r="B22" s="14"/>
      <c r="C22" s="14"/>
      <c r="D22" s="19"/>
      <c r="E22" s="287"/>
      <c r="F22" s="287"/>
      <c r="G22" s="287"/>
      <c r="H22" s="144"/>
      <c r="I22" s="144"/>
      <c r="J22" s="144"/>
      <c r="K22" s="144"/>
      <c r="L22" s="144"/>
      <c r="M22" s="144"/>
      <c r="N22" s="144"/>
    </row>
    <row r="23" spans="1:24" x14ac:dyDescent="0.2">
      <c r="A23" s="14"/>
      <c r="B23" s="14" t="s">
        <v>19</v>
      </c>
      <c r="C23" s="14"/>
      <c r="D23" s="19"/>
      <c r="E23" s="287"/>
      <c r="F23" s="287"/>
      <c r="G23" s="287"/>
      <c r="H23" s="144"/>
      <c r="I23" s="144"/>
      <c r="J23" s="144"/>
      <c r="K23" s="144"/>
      <c r="L23" s="144"/>
      <c r="M23" s="144"/>
      <c r="N23" s="144"/>
    </row>
    <row r="24" spans="1:24" x14ac:dyDescent="0.2">
      <c r="A24" s="14"/>
      <c r="B24" s="14"/>
      <c r="C24" s="14" t="s">
        <v>23</v>
      </c>
      <c r="D24" s="17">
        <v>555390</v>
      </c>
      <c r="E24" s="287">
        <v>-6360</v>
      </c>
      <c r="F24" s="304" t="s">
        <v>585</v>
      </c>
      <c r="G24" s="287"/>
      <c r="H24" s="144"/>
      <c r="I24" s="144"/>
      <c r="J24" s="144"/>
      <c r="K24" s="144"/>
      <c r="L24" s="144"/>
      <c r="M24" s="144"/>
      <c r="N24" s="144"/>
    </row>
    <row r="25" spans="1:24" x14ac:dyDescent="0.2">
      <c r="A25" s="14"/>
      <c r="B25" s="14"/>
      <c r="C25" s="14"/>
      <c r="D25" s="19"/>
      <c r="E25" s="287">
        <v>-63206</v>
      </c>
      <c r="F25" s="368" t="s">
        <v>586</v>
      </c>
      <c r="G25" s="287">
        <v>485824</v>
      </c>
      <c r="H25" s="364">
        <v>63206</v>
      </c>
      <c r="I25" s="144">
        <f>G25+H25</f>
        <v>549030</v>
      </c>
      <c r="J25" s="144"/>
      <c r="K25" s="144">
        <f>G25</f>
        <v>485824</v>
      </c>
      <c r="L25" s="144"/>
      <c r="M25" s="144"/>
      <c r="N25" s="144"/>
    </row>
    <row r="26" spans="1:24" x14ac:dyDescent="0.2">
      <c r="A26" s="14"/>
      <c r="B26" s="14"/>
      <c r="C26" s="366" t="s">
        <v>25</v>
      </c>
      <c r="D26" s="19">
        <v>296755</v>
      </c>
      <c r="E26" s="287">
        <v>-116935</v>
      </c>
      <c r="F26" s="304" t="s">
        <v>587</v>
      </c>
      <c r="G26" s="287"/>
      <c r="H26" s="365">
        <v>21275</v>
      </c>
      <c r="I26" s="144"/>
      <c r="J26" s="365">
        <v>23682</v>
      </c>
      <c r="K26" s="144"/>
      <c r="L26" s="144"/>
      <c r="M26" s="144"/>
      <c r="N26" s="144"/>
      <c r="O26" s="239" t="s">
        <v>620</v>
      </c>
      <c r="P26" s="8"/>
    </row>
    <row r="27" spans="1:24" x14ac:dyDescent="0.2">
      <c r="A27" s="14"/>
      <c r="B27" s="14"/>
      <c r="C27" s="14"/>
      <c r="D27" s="19"/>
      <c r="E27" s="287">
        <v>-17945</v>
      </c>
      <c r="F27" s="304" t="s">
        <v>588</v>
      </c>
      <c r="G27" s="287">
        <v>161875</v>
      </c>
      <c r="I27" s="144">
        <f>G27+H26</f>
        <v>183150</v>
      </c>
      <c r="J27" s="144"/>
      <c r="K27" s="144">
        <f>G27+J26</f>
        <v>185557</v>
      </c>
      <c r="L27" s="144"/>
      <c r="M27" s="144"/>
      <c r="N27" s="144"/>
      <c r="O27" s="352" t="s">
        <v>33</v>
      </c>
      <c r="P27" s="8"/>
    </row>
    <row r="28" spans="1:24" x14ac:dyDescent="0.2">
      <c r="A28" s="14"/>
      <c r="B28" s="14"/>
      <c r="C28" s="14" t="s">
        <v>26</v>
      </c>
      <c r="D28" s="19">
        <v>24603</v>
      </c>
      <c r="F28" s="304" t="s">
        <v>584</v>
      </c>
      <c r="H28" s="144"/>
      <c r="I28" s="144"/>
      <c r="J28" s="144"/>
      <c r="K28" s="144"/>
      <c r="L28" s="144"/>
      <c r="M28" s="144"/>
      <c r="N28" s="144"/>
      <c r="Q28" s="310">
        <v>0.64370000000000005</v>
      </c>
      <c r="R28" s="175" t="s">
        <v>597</v>
      </c>
    </row>
    <row r="29" spans="1:24" x14ac:dyDescent="0.2">
      <c r="A29" s="14"/>
      <c r="B29" s="14"/>
      <c r="C29" s="14"/>
      <c r="D29" s="19"/>
      <c r="E29" s="287">
        <v>-12147</v>
      </c>
      <c r="F29" s="368" t="s">
        <v>590</v>
      </c>
      <c r="G29" s="287">
        <v>12456</v>
      </c>
      <c r="H29" s="364">
        <f>I29-G29</f>
        <v>5905.2188999999998</v>
      </c>
      <c r="I29" s="144">
        <f>D28*(1-$Q$30)</f>
        <v>18361.2189</v>
      </c>
      <c r="J29" s="144"/>
      <c r="K29" s="144">
        <f>G29</f>
        <v>12456</v>
      </c>
      <c r="L29" s="144"/>
      <c r="M29" s="144"/>
      <c r="N29" s="144"/>
      <c r="O29" s="144">
        <f>D28-I29</f>
        <v>6241.7811000000002</v>
      </c>
      <c r="Q29" s="310">
        <v>0.39</v>
      </c>
      <c r="R29" t="s">
        <v>121</v>
      </c>
    </row>
    <row r="30" spans="1:24" x14ac:dyDescent="0.2">
      <c r="A30" s="14"/>
      <c r="B30" s="14"/>
      <c r="C30" s="14" t="s">
        <v>589</v>
      </c>
      <c r="D30" s="19">
        <v>373353</v>
      </c>
      <c r="E30" s="303">
        <v>0</v>
      </c>
      <c r="F30" s="305" t="s">
        <v>584</v>
      </c>
      <c r="G30" s="287"/>
      <c r="H30" s="144"/>
      <c r="I30" s="144"/>
      <c r="J30" s="144"/>
      <c r="K30" s="144"/>
      <c r="L30" s="144"/>
      <c r="M30" s="144"/>
      <c r="N30" s="144"/>
      <c r="O30" s="144"/>
      <c r="Q30" s="310">
        <f>Q28-Q29</f>
        <v>0.25370000000000004</v>
      </c>
      <c r="R30" t="s">
        <v>122</v>
      </c>
      <c r="U30" s="311">
        <f>1-Q30</f>
        <v>0.74629999999999996</v>
      </c>
    </row>
    <row r="31" spans="1:24" x14ac:dyDescent="0.2">
      <c r="A31" s="14"/>
      <c r="B31" s="14"/>
      <c r="C31" s="14"/>
      <c r="D31" s="19"/>
      <c r="E31" s="287">
        <v>-184324</v>
      </c>
      <c r="F31" s="368" t="s">
        <v>590</v>
      </c>
      <c r="G31" s="287">
        <v>189029</v>
      </c>
      <c r="H31" s="364">
        <f>I31-G31</f>
        <v>89604.343899999978</v>
      </c>
      <c r="I31" s="144">
        <f>D30*(1-$Q$30)</f>
        <v>278633.34389999998</v>
      </c>
      <c r="J31" s="144"/>
      <c r="K31" s="144">
        <f t="shared" ref="K31:K45" si="0">G31</f>
        <v>189029</v>
      </c>
      <c r="L31" s="144"/>
      <c r="M31" s="144"/>
      <c r="N31" s="144"/>
      <c r="O31" s="144">
        <f>D30-I31</f>
        <v>94719.656100000022</v>
      </c>
    </row>
    <row r="32" spans="1:24" ht="17.25" x14ac:dyDescent="0.35">
      <c r="A32" s="14"/>
      <c r="B32" s="14"/>
      <c r="C32" s="14" t="s">
        <v>102</v>
      </c>
      <c r="D32" s="19">
        <v>115033</v>
      </c>
      <c r="E32" s="287">
        <v>-56792</v>
      </c>
      <c r="F32" s="368" t="s">
        <v>590</v>
      </c>
      <c r="G32" s="287">
        <v>58241</v>
      </c>
      <c r="H32" s="364">
        <f>I32-G32</f>
        <v>27608.127899999992</v>
      </c>
      <c r="I32" s="144">
        <f>D32*(1-$Q$30)</f>
        <v>85849.127899999992</v>
      </c>
      <c r="J32" s="144"/>
      <c r="K32" s="144">
        <f t="shared" si="0"/>
        <v>58241</v>
      </c>
      <c r="L32" s="144"/>
      <c r="M32" s="144"/>
      <c r="N32" s="144"/>
      <c r="O32" s="312">
        <f>D32-I32</f>
        <v>29183.872100000008</v>
      </c>
      <c r="U32" s="39">
        <f>W32</f>
        <v>512989</v>
      </c>
      <c r="W32" s="39">
        <f>SUM(D28:D32)</f>
        <v>512989</v>
      </c>
      <c r="X32" s="30" t="s">
        <v>621</v>
      </c>
    </row>
    <row r="33" spans="1:24" ht="17.25" x14ac:dyDescent="0.35">
      <c r="A33" s="14"/>
      <c r="B33" s="14"/>
      <c r="C33" s="14" t="s">
        <v>28</v>
      </c>
      <c r="D33" s="19">
        <v>156069</v>
      </c>
      <c r="E33" s="287">
        <v>-17640</v>
      </c>
      <c r="F33" s="304" t="s">
        <v>585</v>
      </c>
      <c r="G33" s="287">
        <v>138429</v>
      </c>
      <c r="H33" s="144"/>
      <c r="I33" s="144">
        <f>G33</f>
        <v>138429</v>
      </c>
      <c r="J33" s="144"/>
      <c r="K33" s="144">
        <f t="shared" si="0"/>
        <v>138429</v>
      </c>
      <c r="L33" s="144"/>
      <c r="M33" s="144"/>
      <c r="N33" s="144"/>
      <c r="P33" s="153">
        <f>SUM(O29:O32)</f>
        <v>130145.30930000002</v>
      </c>
      <c r="T33" s="356" t="s">
        <v>624</v>
      </c>
      <c r="U33" s="354">
        <f>SUM(G29:G32)</f>
        <v>259726</v>
      </c>
      <c r="W33" s="354">
        <f>SUM(I29:I32)</f>
        <v>382843.69069999992</v>
      </c>
      <c r="X33" s="30" t="s">
        <v>622</v>
      </c>
    </row>
    <row r="34" spans="1:24" x14ac:dyDescent="0.2">
      <c r="A34" s="14"/>
      <c r="B34" s="14"/>
      <c r="C34" s="14" t="s">
        <v>147</v>
      </c>
      <c r="D34" s="19">
        <v>44844</v>
      </c>
      <c r="E34" s="287"/>
      <c r="F34" s="304"/>
      <c r="G34" s="287">
        <v>44844</v>
      </c>
      <c r="H34" s="144"/>
      <c r="I34" s="144">
        <f t="shared" ref="I34:I45" si="1">G34</f>
        <v>44844</v>
      </c>
      <c r="J34" s="144"/>
      <c r="K34" s="144">
        <f t="shared" si="0"/>
        <v>44844</v>
      </c>
      <c r="L34" s="144"/>
      <c r="M34" s="144"/>
      <c r="N34" s="144"/>
      <c r="T34" s="356" t="s">
        <v>623</v>
      </c>
      <c r="U34" s="355">
        <f>U32-U33</f>
        <v>253263</v>
      </c>
      <c r="W34" s="355">
        <f>W32-W33</f>
        <v>130145.30930000008</v>
      </c>
      <c r="X34" s="30" t="s">
        <v>623</v>
      </c>
    </row>
    <row r="35" spans="1:24" x14ac:dyDescent="0.2">
      <c r="A35" s="14"/>
      <c r="B35" s="14"/>
      <c r="C35" s="14" t="s">
        <v>131</v>
      </c>
      <c r="D35" s="19">
        <v>14709</v>
      </c>
      <c r="E35" s="287"/>
      <c r="F35" s="304"/>
      <c r="G35" s="287">
        <v>14709</v>
      </c>
      <c r="H35" s="144"/>
      <c r="I35" s="144">
        <f t="shared" si="1"/>
        <v>14709</v>
      </c>
      <c r="J35" s="144"/>
      <c r="K35" s="144">
        <f t="shared" si="0"/>
        <v>14709</v>
      </c>
      <c r="L35" s="144"/>
      <c r="M35" s="144"/>
      <c r="N35" s="144"/>
      <c r="W35" s="30"/>
      <c r="X35" s="30"/>
    </row>
    <row r="36" spans="1:24" x14ac:dyDescent="0.2">
      <c r="A36" s="14"/>
      <c r="B36" s="14"/>
      <c r="C36" s="14" t="s">
        <v>132</v>
      </c>
      <c r="D36" s="19">
        <v>154668</v>
      </c>
      <c r="E36" s="287"/>
      <c r="F36" s="304"/>
      <c r="G36" s="287">
        <v>154668</v>
      </c>
      <c r="H36" s="144"/>
      <c r="I36" s="144">
        <f t="shared" si="1"/>
        <v>154668</v>
      </c>
      <c r="J36" s="144"/>
      <c r="K36" s="144">
        <f t="shared" si="0"/>
        <v>154668</v>
      </c>
      <c r="L36" s="144"/>
      <c r="M36" s="144"/>
      <c r="N36" s="144"/>
      <c r="W36" s="30"/>
      <c r="X36" s="30"/>
    </row>
    <row r="37" spans="1:24" x14ac:dyDescent="0.2">
      <c r="A37" s="14"/>
      <c r="B37" s="14"/>
      <c r="C37" s="14" t="s">
        <v>133</v>
      </c>
      <c r="D37" s="19">
        <v>7898</v>
      </c>
      <c r="E37" s="287"/>
      <c r="F37" s="304"/>
      <c r="G37" s="287">
        <v>7898</v>
      </c>
      <c r="H37" s="144"/>
      <c r="I37" s="144">
        <f t="shared" si="1"/>
        <v>7898</v>
      </c>
      <c r="J37" s="144"/>
      <c r="K37" s="144">
        <f t="shared" si="0"/>
        <v>7898</v>
      </c>
      <c r="L37" s="144"/>
      <c r="M37" s="144"/>
      <c r="N37" s="144"/>
      <c r="W37" s="30"/>
      <c r="X37" s="30"/>
    </row>
    <row r="38" spans="1:24" x14ac:dyDescent="0.2">
      <c r="A38" s="14"/>
      <c r="B38" s="14"/>
      <c r="C38" s="14" t="s">
        <v>103</v>
      </c>
      <c r="D38" s="19">
        <v>51314</v>
      </c>
      <c r="E38" s="287"/>
      <c r="F38" s="304"/>
      <c r="G38" s="287">
        <v>51314</v>
      </c>
      <c r="H38" s="144"/>
      <c r="I38" s="144">
        <f t="shared" si="1"/>
        <v>51314</v>
      </c>
      <c r="J38" s="144"/>
      <c r="K38" s="144">
        <f t="shared" si="0"/>
        <v>51314</v>
      </c>
      <c r="L38" s="144"/>
      <c r="M38" s="144"/>
      <c r="N38" s="144"/>
      <c r="W38" s="30"/>
      <c r="X38" s="30"/>
    </row>
    <row r="39" spans="1:24" x14ac:dyDescent="0.2">
      <c r="A39" s="14"/>
      <c r="B39" s="14"/>
      <c r="C39" s="14" t="s">
        <v>36</v>
      </c>
      <c r="D39" s="19">
        <v>75334</v>
      </c>
      <c r="E39" s="287"/>
      <c r="F39" s="304"/>
      <c r="G39" s="287">
        <v>75334</v>
      </c>
      <c r="H39" s="144"/>
      <c r="I39" s="144">
        <f t="shared" si="1"/>
        <v>75334</v>
      </c>
      <c r="J39" s="144"/>
      <c r="K39" s="144">
        <f t="shared" si="0"/>
        <v>75334</v>
      </c>
      <c r="L39" s="144"/>
      <c r="M39" s="144"/>
      <c r="N39" s="144"/>
      <c r="W39" s="30"/>
      <c r="X39" s="30"/>
    </row>
    <row r="40" spans="1:24" x14ac:dyDescent="0.2">
      <c r="A40" s="14"/>
      <c r="B40" s="14"/>
      <c r="C40" s="14" t="s">
        <v>134</v>
      </c>
      <c r="D40" s="19">
        <v>33121</v>
      </c>
      <c r="E40" s="287"/>
      <c r="F40" s="304"/>
      <c r="G40" s="287">
        <v>33121</v>
      </c>
      <c r="H40" s="144"/>
      <c r="I40" s="144">
        <f t="shared" si="1"/>
        <v>33121</v>
      </c>
      <c r="J40" s="144"/>
      <c r="K40" s="144">
        <f t="shared" si="0"/>
        <v>33121</v>
      </c>
      <c r="L40" s="144"/>
      <c r="M40" s="144"/>
      <c r="N40" s="144"/>
      <c r="W40" s="30"/>
      <c r="X40" s="30"/>
    </row>
    <row r="41" spans="1:24" x14ac:dyDescent="0.2">
      <c r="A41" s="14"/>
      <c r="B41" s="14"/>
      <c r="C41" s="14" t="s">
        <v>135</v>
      </c>
      <c r="D41" s="19">
        <v>28737</v>
      </c>
      <c r="E41" s="287"/>
      <c r="F41" s="304"/>
      <c r="G41" s="287">
        <v>28737</v>
      </c>
      <c r="H41" s="144"/>
      <c r="I41" s="144">
        <f t="shared" si="1"/>
        <v>28737</v>
      </c>
      <c r="J41" s="144"/>
      <c r="K41" s="144">
        <f t="shared" si="0"/>
        <v>28737</v>
      </c>
      <c r="L41" s="144"/>
      <c r="M41" s="144"/>
      <c r="N41" s="144"/>
    </row>
    <row r="42" spans="1:24" x14ac:dyDescent="0.2">
      <c r="A42" s="14"/>
      <c r="B42" s="14"/>
      <c r="C42" s="14" t="s">
        <v>136</v>
      </c>
      <c r="D42" s="19">
        <v>7257</v>
      </c>
      <c r="E42" s="287"/>
      <c r="F42" s="304"/>
      <c r="G42" s="287">
        <v>7257</v>
      </c>
      <c r="H42" s="144"/>
      <c r="I42" s="144">
        <f t="shared" si="1"/>
        <v>7257</v>
      </c>
      <c r="J42" s="144"/>
      <c r="K42" s="144">
        <f t="shared" si="0"/>
        <v>7257</v>
      </c>
      <c r="L42" s="144"/>
      <c r="M42" s="144"/>
      <c r="N42" s="144"/>
    </row>
    <row r="43" spans="1:24" x14ac:dyDescent="0.2">
      <c r="A43" s="14"/>
      <c r="B43" s="14"/>
      <c r="C43" s="14" t="s">
        <v>104</v>
      </c>
      <c r="D43" s="19">
        <v>3000</v>
      </c>
      <c r="E43" s="287"/>
      <c r="F43" s="304"/>
      <c r="G43" s="287">
        <v>3000</v>
      </c>
      <c r="H43" s="144"/>
      <c r="I43" s="144">
        <f t="shared" si="1"/>
        <v>3000</v>
      </c>
      <c r="J43" s="144"/>
      <c r="K43" s="144">
        <f t="shared" si="0"/>
        <v>3000</v>
      </c>
      <c r="L43" s="144"/>
      <c r="M43" s="144"/>
      <c r="N43" s="144"/>
    </row>
    <row r="44" spans="1:24" x14ac:dyDescent="0.2">
      <c r="A44" s="14"/>
      <c r="B44" s="14"/>
      <c r="C44" s="14" t="s">
        <v>29</v>
      </c>
      <c r="D44" s="19">
        <v>67543</v>
      </c>
      <c r="E44" s="287"/>
      <c r="F44" s="304"/>
      <c r="G44" s="287">
        <v>67543</v>
      </c>
      <c r="H44" s="144"/>
      <c r="I44" s="144">
        <f t="shared" si="1"/>
        <v>67543</v>
      </c>
      <c r="J44" s="144"/>
      <c r="K44" s="144">
        <f t="shared" si="0"/>
        <v>67543</v>
      </c>
      <c r="L44" s="144"/>
      <c r="M44" s="144"/>
      <c r="N44" s="144"/>
    </row>
    <row r="45" spans="1:24" ht="17.25" x14ac:dyDescent="0.35">
      <c r="A45" s="14"/>
      <c r="B45" s="14"/>
      <c r="C45" s="14" t="s">
        <v>30</v>
      </c>
      <c r="D45" s="309">
        <v>40341</v>
      </c>
      <c r="E45" s="287"/>
      <c r="F45" s="304"/>
      <c r="G45" s="309">
        <v>40341</v>
      </c>
      <c r="H45" s="144"/>
      <c r="I45" s="309">
        <f t="shared" si="1"/>
        <v>40341</v>
      </c>
      <c r="J45" s="309"/>
      <c r="K45" s="312">
        <f t="shared" si="0"/>
        <v>40341</v>
      </c>
      <c r="L45" s="309"/>
      <c r="M45" s="309"/>
      <c r="N45" s="309"/>
    </row>
    <row r="46" spans="1:24" ht="6.95" customHeight="1" x14ac:dyDescent="0.2">
      <c r="A46" s="14"/>
      <c r="B46" s="14"/>
      <c r="C46" s="14"/>
      <c r="D46" s="19"/>
      <c r="E46" s="287"/>
      <c r="F46" s="304"/>
      <c r="G46" s="287"/>
      <c r="H46" s="144"/>
      <c r="I46" s="287"/>
      <c r="J46" s="287"/>
      <c r="K46" s="287"/>
      <c r="L46" s="287"/>
      <c r="M46" s="287"/>
      <c r="N46" s="287"/>
    </row>
    <row r="47" spans="1:24" x14ac:dyDescent="0.2">
      <c r="A47" s="14"/>
      <c r="B47" s="14" t="s">
        <v>20</v>
      </c>
      <c r="C47" s="14"/>
      <c r="D47" s="19">
        <v>2049969</v>
      </c>
      <c r="E47" s="287"/>
      <c r="F47" s="304"/>
      <c r="G47" s="291">
        <f>SUM(G25:G45)</f>
        <v>1574620</v>
      </c>
      <c r="H47" s="144">
        <f>SUM(H25:H32)</f>
        <v>207598.69069999998</v>
      </c>
      <c r="I47" s="291">
        <f>SUM(I25:I45)</f>
        <v>1782218.6906999999</v>
      </c>
      <c r="J47" s="291"/>
      <c r="K47" s="291">
        <f>SUM(K25:K45)</f>
        <v>1598302</v>
      </c>
      <c r="L47" s="291"/>
      <c r="M47" s="291"/>
      <c r="N47" s="291"/>
      <c r="O47" s="54">
        <f>G47+H47</f>
        <v>1782218.6906999999</v>
      </c>
    </row>
    <row r="48" spans="1:24" ht="6.95" customHeight="1" x14ac:dyDescent="0.2">
      <c r="A48" s="14"/>
      <c r="B48" s="14"/>
      <c r="C48" s="14"/>
      <c r="D48" s="19"/>
      <c r="E48" s="287"/>
      <c r="F48" s="304"/>
      <c r="G48" s="287"/>
      <c r="H48" s="144"/>
      <c r="I48" s="287"/>
      <c r="J48" s="287"/>
      <c r="K48" s="287"/>
      <c r="L48" s="287"/>
      <c r="M48" s="287"/>
      <c r="N48" s="287"/>
      <c r="O48" s="30"/>
    </row>
    <row r="49" spans="1:23" x14ac:dyDescent="0.2">
      <c r="A49" s="14"/>
      <c r="B49" s="14" t="s">
        <v>21</v>
      </c>
      <c r="C49" s="14"/>
      <c r="D49" s="19">
        <v>771703</v>
      </c>
      <c r="E49" s="287">
        <v>-87953</v>
      </c>
      <c r="F49" s="304" t="s">
        <v>591</v>
      </c>
      <c r="G49" s="287">
        <v>683750</v>
      </c>
      <c r="H49" s="144"/>
      <c r="I49" s="287">
        <v>683750</v>
      </c>
      <c r="J49" s="287"/>
      <c r="K49" s="144">
        <f t="shared" ref="K49:K50" si="2">G49</f>
        <v>683750</v>
      </c>
      <c r="L49" s="287"/>
      <c r="M49" s="287"/>
      <c r="N49" s="287"/>
      <c r="O49" s="30"/>
    </row>
    <row r="50" spans="1:23" x14ac:dyDescent="0.2">
      <c r="A50" s="14"/>
      <c r="B50" s="14" t="s">
        <v>22</v>
      </c>
      <c r="C50" s="14"/>
      <c r="D50" s="309">
        <v>46496</v>
      </c>
      <c r="E50" s="287">
        <v>-2898</v>
      </c>
      <c r="F50" s="304" t="s">
        <v>586</v>
      </c>
      <c r="G50" s="309">
        <v>43598</v>
      </c>
      <c r="H50" s="144">
        <v>2898</v>
      </c>
      <c r="I50" s="309">
        <f>H50+G50</f>
        <v>46496</v>
      </c>
      <c r="J50" s="309"/>
      <c r="K50" s="144">
        <f t="shared" si="2"/>
        <v>43598</v>
      </c>
      <c r="L50" s="309"/>
      <c r="M50" s="309"/>
      <c r="N50" s="309"/>
      <c r="O50" s="30"/>
    </row>
    <row r="51" spans="1:23" ht="6.95" customHeight="1" x14ac:dyDescent="0.2">
      <c r="A51" s="14"/>
      <c r="B51" s="14"/>
      <c r="C51" s="14"/>
      <c r="D51" s="19"/>
      <c r="E51" s="287"/>
      <c r="F51" s="304"/>
      <c r="G51" s="287"/>
      <c r="H51" s="144"/>
      <c r="I51" s="287"/>
      <c r="J51" s="287"/>
      <c r="K51" s="287"/>
      <c r="L51" s="287"/>
      <c r="M51" s="287"/>
      <c r="N51" s="287"/>
      <c r="O51" s="30"/>
    </row>
    <row r="52" spans="1:23" x14ac:dyDescent="0.2">
      <c r="A52" s="20" t="s">
        <v>11</v>
      </c>
      <c r="B52" s="14"/>
      <c r="C52" s="14"/>
      <c r="D52" s="17">
        <v>2868168</v>
      </c>
      <c r="E52" s="287"/>
      <c r="F52" s="304"/>
      <c r="G52" s="292">
        <f>G47+G49+G50</f>
        <v>2301968</v>
      </c>
      <c r="H52" s="289">
        <f>H50+H47</f>
        <v>210496.69069999998</v>
      </c>
      <c r="I52" s="292">
        <f>I47+I49+I50</f>
        <v>2512464.6907000002</v>
      </c>
      <c r="J52" s="292"/>
      <c r="K52" s="292">
        <f>K47+K49+K50</f>
        <v>2325650</v>
      </c>
      <c r="L52" s="292"/>
      <c r="M52" s="292"/>
      <c r="N52" s="292"/>
      <c r="O52" s="54">
        <f>G52+H52</f>
        <v>2512464.6907000002</v>
      </c>
    </row>
    <row r="53" spans="1:23" ht="6.95" customHeight="1" x14ac:dyDescent="0.2">
      <c r="A53" s="20"/>
      <c r="B53" s="14"/>
      <c r="C53" s="14"/>
      <c r="D53" s="19"/>
      <c r="E53" s="287"/>
      <c r="F53" s="304"/>
      <c r="G53" s="291"/>
      <c r="H53" s="144"/>
      <c r="I53" s="291"/>
      <c r="J53" s="291"/>
      <c r="K53" s="291"/>
      <c r="L53" s="291"/>
      <c r="M53" s="291"/>
      <c r="N53" s="291"/>
    </row>
    <row r="54" spans="1:23" x14ac:dyDescent="0.2">
      <c r="A54" s="20" t="s">
        <v>37</v>
      </c>
      <c r="B54" s="14"/>
      <c r="C54" s="14"/>
      <c r="D54" s="17">
        <v>-820211</v>
      </c>
      <c r="E54" s="287"/>
      <c r="F54" s="304"/>
      <c r="G54" s="292">
        <f>G20-G52</f>
        <v>-219865</v>
      </c>
      <c r="H54" s="144"/>
      <c r="I54" s="292">
        <f>I20-I52</f>
        <v>-430361.69070000015</v>
      </c>
      <c r="J54" s="292"/>
      <c r="K54" s="292">
        <f>K20-K52</f>
        <v>-243547</v>
      </c>
      <c r="L54" s="292"/>
      <c r="M54" s="292"/>
      <c r="N54" s="292"/>
      <c r="O54" s="102">
        <f>G54-H52</f>
        <v>-430361.69069999998</v>
      </c>
    </row>
    <row r="55" spans="1:23" x14ac:dyDescent="0.2">
      <c r="A55" s="14"/>
      <c r="B55" s="14"/>
      <c r="C55" s="14"/>
      <c r="D55" s="19"/>
      <c r="E55" s="287"/>
      <c r="F55" s="287"/>
      <c r="G55" s="287"/>
      <c r="H55" s="144"/>
      <c r="I55" s="144"/>
      <c r="J55" s="144"/>
      <c r="K55" s="144"/>
      <c r="L55" s="144"/>
      <c r="M55" s="144"/>
      <c r="N55" s="144"/>
    </row>
    <row r="56" spans="1:23" ht="15.75" x14ac:dyDescent="0.2">
      <c r="A56" s="381" t="s">
        <v>50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14"/>
      <c r="M56" s="314"/>
      <c r="N56" s="314"/>
    </row>
    <row r="57" spans="1:23" ht="6.95" customHeight="1" x14ac:dyDescent="0.2">
      <c r="A57" s="14"/>
      <c r="B57" s="14"/>
      <c r="C57" s="14"/>
      <c r="D57" s="19"/>
      <c r="E57" s="287"/>
      <c r="F57" s="287"/>
      <c r="G57" s="287"/>
      <c r="H57" s="144"/>
      <c r="I57" s="144"/>
      <c r="J57" s="144"/>
      <c r="K57" s="144"/>
      <c r="L57" s="144"/>
      <c r="M57" s="144"/>
      <c r="N57" s="144"/>
    </row>
    <row r="58" spans="1:23" x14ac:dyDescent="0.2">
      <c r="A58" s="20" t="s">
        <v>12</v>
      </c>
      <c r="B58" s="14"/>
      <c r="C58" s="14"/>
      <c r="D58" s="7"/>
      <c r="E58" s="287"/>
      <c r="F58" s="287"/>
      <c r="G58" s="287">
        <f>G52</f>
        <v>2301968</v>
      </c>
      <c r="H58" s="144"/>
      <c r="I58" s="287">
        <f>I52</f>
        <v>2512464.6907000002</v>
      </c>
      <c r="J58" s="287"/>
      <c r="K58" s="287">
        <f>K52</f>
        <v>2325650</v>
      </c>
      <c r="L58" s="287"/>
      <c r="M58" s="287"/>
      <c r="N58" s="287"/>
    </row>
    <row r="59" spans="1:23" x14ac:dyDescent="0.2">
      <c r="A59" s="14" t="s">
        <v>14</v>
      </c>
      <c r="B59" s="14"/>
      <c r="C59" s="366" t="s">
        <v>600</v>
      </c>
      <c r="D59" s="367"/>
      <c r="E59" s="287"/>
      <c r="F59" s="287"/>
      <c r="G59" s="287">
        <v>0</v>
      </c>
      <c r="H59" s="144"/>
      <c r="I59" s="365">
        <f>-D14</f>
        <v>-62792</v>
      </c>
      <c r="J59" s="365">
        <f>I59</f>
        <v>-62792</v>
      </c>
      <c r="K59" s="287">
        <f>J59</f>
        <v>-62792</v>
      </c>
      <c r="L59" s="287"/>
      <c r="M59" s="287"/>
      <c r="N59" s="287"/>
      <c r="P59" s="287"/>
    </row>
    <row r="60" spans="1:23" x14ac:dyDescent="0.2">
      <c r="A60" s="14" t="s">
        <v>13</v>
      </c>
      <c r="B60" s="14"/>
      <c r="C60" s="14" t="s">
        <v>62</v>
      </c>
      <c r="D60" s="7"/>
      <c r="E60" s="287"/>
      <c r="F60" s="287"/>
      <c r="G60" s="287">
        <v>209997.56399999998</v>
      </c>
      <c r="H60" s="144"/>
      <c r="I60" s="287">
        <v>209997.56399999998</v>
      </c>
      <c r="J60" s="287"/>
      <c r="K60" s="287">
        <v>209997.56399999998</v>
      </c>
      <c r="L60" s="287"/>
      <c r="M60" s="287"/>
      <c r="N60" s="287"/>
    </row>
    <row r="61" spans="1:23" ht="17.25" x14ac:dyDescent="0.35">
      <c r="A61" s="14"/>
      <c r="B61" s="14"/>
      <c r="C61" s="14" t="s">
        <v>31</v>
      </c>
      <c r="D61" s="7"/>
      <c r="E61" s="287"/>
      <c r="F61" s="287"/>
      <c r="G61" s="306">
        <v>38822.36</v>
      </c>
      <c r="H61" s="144"/>
      <c r="I61" s="306">
        <v>38822.36</v>
      </c>
      <c r="J61" s="306"/>
      <c r="K61" s="306">
        <v>38822.36</v>
      </c>
      <c r="L61" s="306"/>
      <c r="M61" s="306"/>
      <c r="N61" s="306"/>
      <c r="V61">
        <v>82039</v>
      </c>
      <c r="W61">
        <f>V61/W65</f>
        <v>480885.11137162952</v>
      </c>
    </row>
    <row r="62" spans="1:23" ht="6.95" customHeight="1" x14ac:dyDescent="0.2">
      <c r="A62" s="14"/>
      <c r="B62" s="14"/>
      <c r="C62" s="14"/>
      <c r="D62" s="7"/>
      <c r="E62" s="287"/>
      <c r="F62" s="287"/>
      <c r="G62" s="287"/>
      <c r="H62" s="144"/>
      <c r="I62" s="287"/>
      <c r="J62" s="287"/>
      <c r="K62" s="287"/>
      <c r="L62" s="287"/>
      <c r="M62" s="287"/>
      <c r="N62" s="287"/>
    </row>
    <row r="63" spans="1:23" x14ac:dyDescent="0.2">
      <c r="A63" s="20" t="s">
        <v>599</v>
      </c>
      <c r="B63" s="14"/>
      <c r="C63" s="14"/>
      <c r="D63" s="7"/>
      <c r="E63" s="287"/>
      <c r="F63" s="287"/>
      <c r="G63" s="287">
        <f>SUM(G58:G61)</f>
        <v>2550787.9239999996</v>
      </c>
      <c r="H63" s="144"/>
      <c r="I63" s="287">
        <f>SUM(I58:I61)</f>
        <v>2698492.6146999998</v>
      </c>
      <c r="J63" s="287"/>
      <c r="K63" s="287">
        <f>SUM(K58:K61)</f>
        <v>2511677.9239999996</v>
      </c>
      <c r="L63" s="287"/>
      <c r="M63" s="287"/>
      <c r="N63" s="287"/>
      <c r="O63" s="143"/>
      <c r="P63" s="143"/>
      <c r="Q63" s="153">
        <f>G63-H70</f>
        <v>2487995.9239999996</v>
      </c>
    </row>
    <row r="64" spans="1:23" x14ac:dyDescent="0.2">
      <c r="A64" s="14" t="s">
        <v>14</v>
      </c>
      <c r="B64" s="14"/>
      <c r="C64" s="14" t="s">
        <v>18</v>
      </c>
      <c r="D64" s="7"/>
      <c r="E64" s="287"/>
      <c r="F64" s="287"/>
      <c r="G64" s="287">
        <v>-106066</v>
      </c>
      <c r="H64" s="144"/>
      <c r="I64" s="287">
        <v>-106066</v>
      </c>
      <c r="J64" s="287"/>
      <c r="K64" s="287">
        <v>-106066</v>
      </c>
      <c r="L64" s="287"/>
      <c r="M64" s="287"/>
      <c r="N64" s="287"/>
      <c r="O64" s="143"/>
      <c r="P64" s="143"/>
      <c r="Q64" s="153">
        <f>I64</f>
        <v>-106066</v>
      </c>
      <c r="T64" s="182"/>
      <c r="U64" s="175"/>
      <c r="W64">
        <v>0.21479999999999999</v>
      </c>
    </row>
    <row r="65" spans="1:24" x14ac:dyDescent="0.2">
      <c r="A65" s="14"/>
      <c r="B65" s="14"/>
      <c r="C65" s="14" t="s">
        <v>144</v>
      </c>
      <c r="D65" s="99">
        <v>22789</v>
      </c>
      <c r="E65" s="287">
        <v>-22789</v>
      </c>
      <c r="F65" s="304" t="s">
        <v>593</v>
      </c>
      <c r="G65" s="287">
        <f>D65+E65</f>
        <v>0</v>
      </c>
      <c r="H65" s="144"/>
      <c r="I65" s="287">
        <v>0</v>
      </c>
      <c r="J65" s="287"/>
      <c r="K65" s="287">
        <v>0</v>
      </c>
      <c r="L65" s="287"/>
      <c r="M65" s="287"/>
      <c r="N65" s="287"/>
      <c r="O65" s="143"/>
      <c r="P65" s="143"/>
      <c r="Q65" s="143"/>
      <c r="V65">
        <v>485824</v>
      </c>
      <c r="W65">
        <v>0.1706</v>
      </c>
    </row>
    <row r="66" spans="1:24" ht="17.25" x14ac:dyDescent="0.35">
      <c r="A66" s="14"/>
      <c r="B66" s="14"/>
      <c r="C66" s="14" t="s">
        <v>125</v>
      </c>
      <c r="D66" s="7"/>
      <c r="E66" s="287"/>
      <c r="F66" s="287"/>
      <c r="G66" s="306">
        <v>-293</v>
      </c>
      <c r="H66" s="144"/>
      <c r="I66" s="306">
        <v>-293</v>
      </c>
      <c r="J66" s="306"/>
      <c r="K66" s="306">
        <v>-293</v>
      </c>
      <c r="L66" s="306"/>
      <c r="M66" s="306"/>
      <c r="N66" s="306"/>
      <c r="O66" s="143"/>
      <c r="P66" s="143"/>
      <c r="Q66" s="353">
        <f>I66</f>
        <v>-293</v>
      </c>
      <c r="W66">
        <f>+W64-W65</f>
        <v>4.4199999999999989E-2</v>
      </c>
      <c r="X66">
        <f>+W66*V65</f>
        <v>21473.420799999996</v>
      </c>
    </row>
    <row r="67" spans="1:24" ht="6.95" customHeight="1" x14ac:dyDescent="0.2">
      <c r="A67" s="14"/>
      <c r="B67" s="14"/>
      <c r="C67" s="14"/>
      <c r="D67" s="7"/>
      <c r="E67" s="287"/>
      <c r="F67" s="287"/>
      <c r="G67" s="287"/>
      <c r="H67" s="144"/>
      <c r="I67" s="287"/>
      <c r="J67" s="287"/>
      <c r="K67" s="287"/>
      <c r="L67" s="287"/>
      <c r="M67" s="287"/>
      <c r="N67" s="287"/>
      <c r="O67" s="143"/>
      <c r="P67" s="143"/>
      <c r="Q67" s="143"/>
    </row>
    <row r="68" spans="1:24" x14ac:dyDescent="0.2">
      <c r="A68" s="20" t="s">
        <v>15</v>
      </c>
      <c r="B68" s="14"/>
      <c r="C68" s="14"/>
      <c r="D68" s="7"/>
      <c r="E68" s="287"/>
      <c r="F68" s="287"/>
      <c r="G68" s="291">
        <f>SUM(G63:G66)</f>
        <v>2444428.9239999996</v>
      </c>
      <c r="H68" s="144"/>
      <c r="I68" s="291">
        <f>SUM(I63:I66)</f>
        <v>2592133.6146999998</v>
      </c>
      <c r="J68" s="291"/>
      <c r="K68" s="291">
        <f>SUM(K63:K66)</f>
        <v>2405318.9239999996</v>
      </c>
      <c r="L68" s="291"/>
      <c r="M68" s="291"/>
      <c r="N68" s="291"/>
      <c r="O68" s="143"/>
      <c r="P68" s="143"/>
      <c r="Q68" s="291">
        <f>SUM(Q63:Q66)</f>
        <v>2381636.9239999996</v>
      </c>
      <c r="U68" s="175"/>
    </row>
    <row r="69" spans="1:24" ht="17.25" x14ac:dyDescent="0.35">
      <c r="A69" s="14" t="s">
        <v>14</v>
      </c>
      <c r="B69" s="14"/>
      <c r="C69" s="14" t="s">
        <v>594</v>
      </c>
      <c r="D69" s="7"/>
      <c r="E69" s="287"/>
      <c r="F69" s="287"/>
      <c r="G69" s="287">
        <v>-1976037</v>
      </c>
      <c r="H69" s="144"/>
      <c r="I69" s="287"/>
      <c r="J69" s="287"/>
      <c r="K69" s="287"/>
      <c r="L69" s="287"/>
      <c r="M69" s="287"/>
      <c r="N69" s="287"/>
      <c r="O69" s="143"/>
      <c r="P69" s="143"/>
      <c r="Q69" s="353">
        <f>G69+H70</f>
        <v>-1913245</v>
      </c>
      <c r="U69" s="175"/>
    </row>
    <row r="70" spans="1:24" ht="17.25" x14ac:dyDescent="0.35">
      <c r="A70" s="14"/>
      <c r="B70" s="14"/>
      <c r="C70" s="366" t="s">
        <v>615</v>
      </c>
      <c r="D70" s="367"/>
      <c r="E70" s="365"/>
      <c r="F70" s="287"/>
      <c r="H70" s="365">
        <f>D14</f>
        <v>62792</v>
      </c>
      <c r="I70" s="306">
        <f>G69+H70</f>
        <v>-1913245</v>
      </c>
      <c r="J70" s="365">
        <f>H70</f>
        <v>62792</v>
      </c>
      <c r="K70" s="306">
        <f>G69+J70</f>
        <v>-1913245</v>
      </c>
      <c r="L70" s="306"/>
      <c r="M70" s="306"/>
      <c r="N70" s="306"/>
      <c r="O70" s="143"/>
      <c r="P70" s="306"/>
      <c r="Q70" s="143"/>
      <c r="T70" s="182"/>
    </row>
    <row r="71" spans="1:24" ht="6.95" customHeight="1" x14ac:dyDescent="0.2">
      <c r="A71" s="14"/>
      <c r="B71" s="14"/>
      <c r="C71" s="14"/>
      <c r="D71" s="7"/>
      <c r="E71" s="287"/>
      <c r="F71" s="287"/>
      <c r="G71" s="287"/>
      <c r="H71" s="144"/>
      <c r="I71" s="287"/>
      <c r="J71" s="287"/>
      <c r="K71" s="287"/>
      <c r="L71" s="287"/>
      <c r="M71" s="287"/>
      <c r="N71" s="287"/>
      <c r="O71" s="143"/>
      <c r="P71" s="143"/>
      <c r="Q71" s="143"/>
    </row>
    <row r="72" spans="1:24" x14ac:dyDescent="0.2">
      <c r="A72" s="20" t="s">
        <v>598</v>
      </c>
      <c r="B72" s="14"/>
      <c r="C72" s="14"/>
      <c r="D72" s="7"/>
      <c r="E72" s="287"/>
      <c r="F72" s="287"/>
      <c r="G72" s="287">
        <f>G68+G69</f>
        <v>468391.92399999965</v>
      </c>
      <c r="H72" s="144"/>
      <c r="I72" s="287">
        <f>SUM(I68:I70)</f>
        <v>678888.6146999998</v>
      </c>
      <c r="J72" s="287"/>
      <c r="K72" s="287">
        <f>SUM(K68:K70)</f>
        <v>492073.92399999965</v>
      </c>
      <c r="L72" s="287"/>
      <c r="M72" s="287"/>
      <c r="N72" s="287"/>
      <c r="O72" s="143"/>
      <c r="P72" s="143"/>
      <c r="Q72" s="287">
        <f>Q68+Q69</f>
        <v>468391.92399999965</v>
      </c>
    </row>
    <row r="73" spans="1:24" ht="6.95" customHeight="1" x14ac:dyDescent="0.2">
      <c r="A73" s="14"/>
      <c r="B73" s="14"/>
      <c r="C73" s="14"/>
      <c r="D73" s="7"/>
      <c r="E73" s="293"/>
      <c r="F73" s="293"/>
      <c r="G73" s="293"/>
      <c r="I73" s="293"/>
      <c r="J73" s="293"/>
      <c r="K73" s="293"/>
      <c r="L73" s="293"/>
      <c r="M73" s="293"/>
      <c r="N73" s="293"/>
      <c r="O73" s="143"/>
      <c r="P73" s="143"/>
      <c r="Q73" s="143"/>
    </row>
    <row r="74" spans="1:24" x14ac:dyDescent="0.2">
      <c r="A74" s="20" t="s">
        <v>17</v>
      </c>
      <c r="B74" s="14"/>
      <c r="C74" s="14"/>
      <c r="D74" s="7"/>
      <c r="E74" s="293"/>
      <c r="F74" s="293"/>
      <c r="G74" s="294">
        <f>ROUND(G72/-G69,4)</f>
        <v>0.23699999999999999</v>
      </c>
      <c r="I74" s="294">
        <f>ROUND(I72/-I70,4)</f>
        <v>0.3548</v>
      </c>
      <c r="J74" s="294"/>
      <c r="K74" s="294">
        <f>ROUND(K72/-K70,4)</f>
        <v>0.25719999999999998</v>
      </c>
      <c r="L74" s="294"/>
      <c r="M74" s="294"/>
      <c r="N74" s="294"/>
      <c r="O74" s="143"/>
      <c r="P74" s="143"/>
      <c r="Q74" s="294">
        <f>ROUND(Q72/-Q69,4)</f>
        <v>0.24479999999999999</v>
      </c>
      <c r="T74" s="313"/>
    </row>
    <row r="75" spans="1:24" x14ac:dyDescent="0.2">
      <c r="T75" s="313"/>
    </row>
    <row r="76" spans="1:24" x14ac:dyDescent="0.2">
      <c r="I76" s="310"/>
      <c r="J76" s="310"/>
      <c r="K76" s="310"/>
      <c r="L76" s="310"/>
      <c r="M76" s="310"/>
      <c r="N76" s="310"/>
    </row>
  </sheetData>
  <mergeCells count="5">
    <mergeCell ref="A1:K1"/>
    <mergeCell ref="A3:K3"/>
    <mergeCell ref="A4:K4"/>
    <mergeCell ref="A5:K5"/>
    <mergeCell ref="A56:K56"/>
  </mergeCells>
  <printOptions horizontalCentered="1"/>
  <pageMargins left="0.45" right="0.45" top="0.35" bottom="0.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L62"/>
  <sheetViews>
    <sheetView topLeftCell="A24" workbookViewId="0">
      <selection activeCell="B32" sqref="B32:H63"/>
    </sheetView>
  </sheetViews>
  <sheetFormatPr defaultColWidth="8.88671875" defaultRowHeight="14.25" x14ac:dyDescent="0.2"/>
  <cols>
    <col min="1" max="1" width="8.88671875" style="143"/>
    <col min="2" max="2" width="6.5546875" style="143" customWidth="1"/>
    <col min="3" max="3" width="11" style="143" customWidth="1"/>
    <col min="4" max="4" width="5.6640625" style="143" customWidth="1"/>
    <col min="5" max="5" width="8.88671875" style="143"/>
    <col min="6" max="6" width="8.44140625" style="143" customWidth="1"/>
    <col min="7" max="16384" width="8.88671875" style="143"/>
  </cols>
  <sheetData>
    <row r="3" spans="1:11" ht="15" x14ac:dyDescent="0.25">
      <c r="A3" s="317"/>
      <c r="B3" s="318" t="s">
        <v>82</v>
      </c>
      <c r="C3" s="318"/>
      <c r="D3" s="319"/>
      <c r="E3" s="319"/>
      <c r="F3" s="319"/>
      <c r="G3" s="319"/>
      <c r="H3" s="319"/>
      <c r="I3" s="319" t="s">
        <v>7</v>
      </c>
      <c r="J3" s="317"/>
      <c r="K3" s="317"/>
    </row>
    <row r="4" spans="1:11" ht="15" x14ac:dyDescent="0.25">
      <c r="A4" s="317"/>
      <c r="B4" s="318" t="s">
        <v>137</v>
      </c>
      <c r="C4" s="318"/>
      <c r="D4" s="319"/>
      <c r="E4" s="319"/>
      <c r="F4" s="319"/>
      <c r="G4" s="319"/>
      <c r="H4" s="319"/>
      <c r="I4" s="319" t="s">
        <v>7</v>
      </c>
      <c r="J4" s="317"/>
      <c r="K4" s="317"/>
    </row>
    <row r="5" spans="1:11" x14ac:dyDescent="0.2">
      <c r="A5" s="317"/>
      <c r="B5" s="319"/>
      <c r="C5" s="319"/>
      <c r="D5" s="319"/>
      <c r="E5" s="319"/>
      <c r="F5" s="319"/>
      <c r="G5" s="319"/>
      <c r="H5" s="319"/>
      <c r="I5" s="319"/>
      <c r="J5" s="317"/>
      <c r="K5" s="317"/>
    </row>
    <row r="6" spans="1:11" x14ac:dyDescent="0.2">
      <c r="A6" s="317"/>
      <c r="B6" s="320"/>
      <c r="C6" s="321"/>
      <c r="D6" s="321"/>
      <c r="E6" s="321"/>
      <c r="F6" s="321"/>
      <c r="G6" s="321"/>
      <c r="H6" s="321"/>
      <c r="I6" s="322"/>
      <c r="J6" s="317"/>
      <c r="K6" s="317"/>
    </row>
    <row r="7" spans="1:11" ht="15" x14ac:dyDescent="0.25">
      <c r="A7" s="317"/>
      <c r="B7" s="323" t="s">
        <v>83</v>
      </c>
      <c r="C7" s="324"/>
      <c r="D7" s="324"/>
      <c r="E7" s="319"/>
      <c r="F7" s="319"/>
      <c r="G7" s="319"/>
      <c r="H7" s="319"/>
      <c r="I7" s="322"/>
      <c r="J7" s="317"/>
      <c r="K7" s="317"/>
    </row>
    <row r="8" spans="1:11" ht="15" x14ac:dyDescent="0.25">
      <c r="A8" s="317"/>
      <c r="B8" s="323"/>
      <c r="C8" s="324"/>
      <c r="D8" s="324"/>
      <c r="E8" s="319"/>
      <c r="F8" s="319"/>
      <c r="G8" s="319"/>
      <c r="H8" s="319"/>
      <c r="I8" s="322"/>
      <c r="J8" s="317"/>
      <c r="K8" s="317"/>
    </row>
    <row r="9" spans="1:11" ht="15" x14ac:dyDescent="0.25">
      <c r="A9" s="317"/>
      <c r="B9" s="325" t="s">
        <v>415</v>
      </c>
      <c r="C9" s="326"/>
      <c r="D9" s="324"/>
      <c r="E9" s="319"/>
      <c r="F9" s="319"/>
      <c r="G9" s="319"/>
      <c r="H9" s="319"/>
      <c r="I9" s="322"/>
      <c r="J9" s="317"/>
      <c r="K9" s="317"/>
    </row>
    <row r="10" spans="1:11" ht="15" x14ac:dyDescent="0.25">
      <c r="A10" s="317"/>
      <c r="B10" s="323"/>
      <c r="C10" s="324"/>
      <c r="D10" s="324"/>
      <c r="E10" s="319"/>
      <c r="F10" s="319"/>
      <c r="G10" s="319"/>
      <c r="H10" s="319"/>
      <c r="I10" s="322"/>
      <c r="J10" s="317"/>
      <c r="K10" s="317"/>
    </row>
    <row r="11" spans="1:11" ht="15" x14ac:dyDescent="0.25">
      <c r="A11" s="317"/>
      <c r="B11" s="323"/>
      <c r="C11" s="327" t="s">
        <v>85</v>
      </c>
      <c r="D11" s="324"/>
      <c r="E11" s="328" t="s">
        <v>416</v>
      </c>
      <c r="F11" s="319"/>
      <c r="G11" s="328" t="s">
        <v>417</v>
      </c>
      <c r="H11" s="319"/>
      <c r="I11" s="322"/>
      <c r="J11" s="317"/>
      <c r="K11" s="317"/>
    </row>
    <row r="12" spans="1:11" ht="15" x14ac:dyDescent="0.25">
      <c r="A12" s="317"/>
      <c r="B12" s="323"/>
      <c r="C12" s="327" t="s">
        <v>86</v>
      </c>
      <c r="D12" s="324"/>
      <c r="E12" s="328" t="s">
        <v>418</v>
      </c>
      <c r="F12" s="319"/>
      <c r="G12" s="328" t="s">
        <v>419</v>
      </c>
      <c r="H12" s="319"/>
      <c r="I12" s="322"/>
      <c r="J12" s="317"/>
      <c r="K12" s="317"/>
    </row>
    <row r="13" spans="1:11" ht="15" x14ac:dyDescent="0.25">
      <c r="A13" s="317"/>
      <c r="B13" s="323"/>
      <c r="C13" s="324"/>
      <c r="D13" s="324"/>
      <c r="E13" s="319"/>
      <c r="F13" s="319"/>
      <c r="G13" s="319"/>
      <c r="H13" s="319"/>
      <c r="I13" s="322"/>
      <c r="J13" s="317"/>
      <c r="K13" s="317"/>
    </row>
    <row r="14" spans="1:11" ht="15" x14ac:dyDescent="0.25">
      <c r="A14" s="317"/>
      <c r="B14" s="323"/>
      <c r="C14" s="329" t="s">
        <v>87</v>
      </c>
      <c r="D14" s="324"/>
      <c r="E14" s="7">
        <v>2000</v>
      </c>
      <c r="F14" s="319"/>
      <c r="G14" s="330">
        <v>26.5</v>
      </c>
      <c r="H14" s="319"/>
      <c r="I14" s="322"/>
      <c r="J14" s="317"/>
      <c r="K14" s="317"/>
    </row>
    <row r="15" spans="1:11" ht="15" x14ac:dyDescent="0.25">
      <c r="A15" s="317"/>
      <c r="B15" s="323"/>
      <c r="C15" s="329" t="s">
        <v>57</v>
      </c>
      <c r="D15" s="324"/>
      <c r="E15" s="7">
        <v>5000</v>
      </c>
      <c r="F15" s="319"/>
      <c r="G15" s="154">
        <v>46.6</v>
      </c>
      <c r="H15" s="319"/>
      <c r="I15" s="322"/>
      <c r="J15" s="317"/>
      <c r="K15" s="317"/>
    </row>
    <row r="16" spans="1:11" ht="15" x14ac:dyDescent="0.25">
      <c r="A16" s="317"/>
      <c r="B16" s="323"/>
      <c r="C16" s="331" t="s">
        <v>67</v>
      </c>
      <c r="D16" s="324"/>
      <c r="E16" s="7">
        <v>10000</v>
      </c>
      <c r="F16" s="319"/>
      <c r="G16" s="154">
        <v>80.099999999999994</v>
      </c>
      <c r="H16" s="319"/>
      <c r="I16" s="322"/>
      <c r="J16" s="317"/>
      <c r="K16" s="317"/>
    </row>
    <row r="17" spans="1:11" ht="15" x14ac:dyDescent="0.25">
      <c r="A17" s="317"/>
      <c r="B17" s="323"/>
      <c r="C17" s="331" t="s">
        <v>58</v>
      </c>
      <c r="D17" s="324"/>
      <c r="E17" s="7">
        <v>20000</v>
      </c>
      <c r="F17" s="319"/>
      <c r="G17" s="154">
        <v>147.1</v>
      </c>
      <c r="H17" s="319"/>
      <c r="I17" s="322"/>
      <c r="J17" s="317"/>
      <c r="K17" s="317"/>
    </row>
    <row r="18" spans="1:11" ht="15" x14ac:dyDescent="0.25">
      <c r="A18" s="317"/>
      <c r="B18" s="323"/>
      <c r="C18" s="331" t="s">
        <v>88</v>
      </c>
      <c r="D18" s="324"/>
      <c r="E18" s="7">
        <v>30000</v>
      </c>
      <c r="F18" s="319"/>
      <c r="G18" s="154">
        <v>214.1</v>
      </c>
      <c r="H18" s="319"/>
      <c r="I18" s="322"/>
      <c r="J18" s="317"/>
      <c r="K18" s="317"/>
    </row>
    <row r="19" spans="1:11" ht="15" x14ac:dyDescent="0.25">
      <c r="A19" s="317"/>
      <c r="B19" s="323"/>
      <c r="C19" s="331" t="s">
        <v>420</v>
      </c>
      <c r="D19" s="324"/>
      <c r="E19" s="7">
        <v>50000</v>
      </c>
      <c r="F19" s="319"/>
      <c r="G19" s="154">
        <v>348.1</v>
      </c>
      <c r="H19" s="319"/>
      <c r="I19" s="322"/>
      <c r="J19" s="317"/>
      <c r="K19" s="317"/>
    </row>
    <row r="20" spans="1:11" ht="15" x14ac:dyDescent="0.25">
      <c r="A20" s="317"/>
      <c r="B20" s="323"/>
      <c r="C20" s="331"/>
      <c r="D20" s="324"/>
      <c r="E20" s="7"/>
      <c r="F20" s="319"/>
      <c r="G20" s="154"/>
      <c r="H20" s="319"/>
      <c r="I20" s="322"/>
      <c r="J20" s="317"/>
      <c r="K20" s="317"/>
    </row>
    <row r="21" spans="1:11" ht="15" x14ac:dyDescent="0.25">
      <c r="A21" s="317"/>
      <c r="B21" s="332" t="s">
        <v>421</v>
      </c>
      <c r="C21" s="324"/>
      <c r="D21" s="324"/>
      <c r="E21" s="319"/>
      <c r="F21" s="319"/>
      <c r="G21" s="319"/>
      <c r="H21" s="319"/>
      <c r="I21" s="322" t="s">
        <v>7</v>
      </c>
      <c r="J21" s="317"/>
      <c r="K21" s="317"/>
    </row>
    <row r="22" spans="1:11" ht="15" x14ac:dyDescent="0.25">
      <c r="A22" s="317"/>
      <c r="B22" s="332"/>
      <c r="C22" s="324"/>
      <c r="D22" s="324"/>
      <c r="E22" s="319"/>
      <c r="F22" s="319"/>
      <c r="G22" s="319"/>
      <c r="H22" s="319"/>
      <c r="I22" s="322"/>
      <c r="J22" s="317"/>
      <c r="K22" s="317"/>
    </row>
    <row r="23" spans="1:11" x14ac:dyDescent="0.2">
      <c r="A23" s="317"/>
      <c r="B23" s="322"/>
      <c r="C23" s="317"/>
      <c r="D23" s="317"/>
      <c r="E23" s="317"/>
      <c r="F23" s="317"/>
      <c r="G23" s="333" t="s">
        <v>89</v>
      </c>
      <c r="H23" s="317"/>
      <c r="I23" s="322"/>
      <c r="J23" s="317"/>
      <c r="K23" s="317"/>
    </row>
    <row r="24" spans="1:11" x14ac:dyDescent="0.2">
      <c r="A24" s="317"/>
      <c r="B24" s="322"/>
      <c r="C24" s="334" t="s">
        <v>120</v>
      </c>
      <c r="D24" s="317"/>
      <c r="E24" s="317"/>
      <c r="F24" s="317"/>
      <c r="G24" s="335" t="s">
        <v>90</v>
      </c>
      <c r="H24" s="317"/>
      <c r="I24" s="322"/>
      <c r="J24" s="317"/>
      <c r="K24" s="317"/>
    </row>
    <row r="25" spans="1:11" x14ac:dyDescent="0.2">
      <c r="A25" s="317"/>
      <c r="B25" s="322"/>
      <c r="C25" s="334"/>
      <c r="D25" s="317"/>
      <c r="E25" s="317"/>
      <c r="F25" s="317"/>
      <c r="G25" s="317"/>
      <c r="H25" s="317"/>
      <c r="I25" s="322"/>
      <c r="J25" s="317"/>
      <c r="K25" s="317"/>
    </row>
    <row r="26" spans="1:11" x14ac:dyDescent="0.2">
      <c r="A26" s="317"/>
      <c r="B26" s="322"/>
      <c r="C26" s="317"/>
      <c r="D26" s="7" t="s">
        <v>422</v>
      </c>
      <c r="E26" s="317"/>
      <c r="F26" s="336"/>
      <c r="G26" s="330">
        <v>6.7</v>
      </c>
      <c r="H26" s="317"/>
      <c r="I26" s="342">
        <f>Except!I74</f>
        <v>0.3548</v>
      </c>
      <c r="J26" s="317" t="s">
        <v>423</v>
      </c>
      <c r="K26" s="317"/>
    </row>
    <row r="27" spans="1:11" x14ac:dyDescent="0.2">
      <c r="A27" s="317"/>
      <c r="B27" s="337"/>
      <c r="C27" s="338"/>
      <c r="D27" s="338"/>
      <c r="E27" s="338"/>
      <c r="F27" s="338"/>
      <c r="G27" s="338"/>
      <c r="H27" s="339"/>
      <c r="I27" s="322"/>
      <c r="J27" s="317"/>
      <c r="K27" s="317"/>
    </row>
    <row r="28" spans="1:11" x14ac:dyDescent="0.2">
      <c r="A28" s="317"/>
      <c r="B28" s="319"/>
      <c r="C28" s="319"/>
      <c r="D28" s="319"/>
      <c r="E28" s="319"/>
      <c r="F28" s="319"/>
      <c r="G28" s="319"/>
      <c r="H28" s="319"/>
      <c r="I28" s="319"/>
      <c r="J28" s="317"/>
      <c r="K28" s="317"/>
    </row>
    <row r="29" spans="1:11" x14ac:dyDescent="0.2">
      <c r="A29" s="317"/>
      <c r="B29" s="319"/>
      <c r="C29" s="319"/>
      <c r="D29" s="319"/>
      <c r="E29" s="319"/>
      <c r="F29" s="319"/>
      <c r="G29" s="319"/>
      <c r="H29" s="319"/>
      <c r="I29" s="319"/>
      <c r="J29" s="317"/>
      <c r="K29" s="317"/>
    </row>
    <row r="30" spans="1:11" x14ac:dyDescent="0.2">
      <c r="A30" s="317"/>
      <c r="B30" s="319"/>
      <c r="C30" s="319"/>
      <c r="D30" s="319"/>
      <c r="E30" s="319"/>
      <c r="F30" s="319"/>
      <c r="G30" s="319"/>
      <c r="H30" s="319"/>
      <c r="I30" s="319"/>
      <c r="J30" s="317"/>
      <c r="K30" s="317"/>
    </row>
    <row r="31" spans="1:11" x14ac:dyDescent="0.2">
      <c r="A31" s="317"/>
      <c r="B31" s="319"/>
      <c r="C31" s="319"/>
      <c r="D31" s="319"/>
      <c r="E31" s="319"/>
      <c r="F31" s="319"/>
      <c r="G31" s="319"/>
      <c r="H31" s="319"/>
      <c r="I31" s="319"/>
      <c r="J31" s="317"/>
      <c r="K31" s="317"/>
    </row>
    <row r="32" spans="1:11" ht="18" x14ac:dyDescent="0.25">
      <c r="A32" s="317"/>
      <c r="B32" s="351" t="s">
        <v>619</v>
      </c>
      <c r="C32" s="319"/>
      <c r="D32" s="319"/>
      <c r="E32" s="319"/>
      <c r="F32" s="319"/>
      <c r="G32" s="319"/>
      <c r="H32" s="319"/>
      <c r="I32" s="319" t="s">
        <v>7</v>
      </c>
      <c r="J32" s="317"/>
      <c r="K32" s="317"/>
    </row>
    <row r="33" spans="1:12" ht="6.95" customHeight="1" x14ac:dyDescent="0.2">
      <c r="A33" s="317"/>
      <c r="B33" s="319"/>
      <c r="C33" s="319"/>
      <c r="D33" s="319"/>
      <c r="E33" s="319"/>
      <c r="F33" s="319"/>
      <c r="G33" s="319"/>
      <c r="H33" s="319"/>
      <c r="I33" s="319"/>
      <c r="J33" s="317"/>
      <c r="K33" s="317"/>
    </row>
    <row r="34" spans="1:12" ht="15.75" x14ac:dyDescent="0.25">
      <c r="A34" s="317"/>
      <c r="B34" s="56" t="s">
        <v>616</v>
      </c>
      <c r="C34" s="319"/>
      <c r="D34" s="319"/>
      <c r="E34" s="319"/>
      <c r="F34" s="319"/>
      <c r="G34" s="319"/>
      <c r="H34" s="319"/>
      <c r="I34" s="319" t="s">
        <v>7</v>
      </c>
      <c r="J34" s="317"/>
      <c r="K34" s="317"/>
    </row>
    <row r="35" spans="1:12" ht="15.75" x14ac:dyDescent="0.25">
      <c r="A35" s="317"/>
      <c r="B35" s="56" t="s">
        <v>137</v>
      </c>
      <c r="C35" s="319"/>
      <c r="D35" s="319"/>
      <c r="E35" s="319"/>
      <c r="F35" s="319"/>
      <c r="G35" s="319"/>
      <c r="H35" s="319"/>
      <c r="I35" s="319" t="s">
        <v>7</v>
      </c>
      <c r="J35" s="317"/>
      <c r="K35" s="317"/>
    </row>
    <row r="36" spans="1:12" ht="15" x14ac:dyDescent="0.25">
      <c r="C36" s="324"/>
      <c r="D36" s="324"/>
      <c r="E36" s="319"/>
      <c r="F36" s="319"/>
      <c r="G36" s="319"/>
      <c r="J36" s="317"/>
      <c r="K36" s="317"/>
    </row>
    <row r="37" spans="1:12" ht="15" x14ac:dyDescent="0.25">
      <c r="C37" s="324"/>
      <c r="D37" s="324"/>
      <c r="E37" s="319"/>
      <c r="F37" s="319"/>
      <c r="G37" s="319"/>
      <c r="J37" s="317"/>
      <c r="K37" s="317"/>
    </row>
    <row r="38" spans="1:12" ht="15" x14ac:dyDescent="0.25">
      <c r="B38" s="341" t="s">
        <v>605</v>
      </c>
      <c r="C38" s="324"/>
    </row>
    <row r="39" spans="1:12" x14ac:dyDescent="0.2">
      <c r="B39" s="188" t="s">
        <v>606</v>
      </c>
      <c r="C39" s="99">
        <v>2000</v>
      </c>
      <c r="D39" s="143" t="s">
        <v>604</v>
      </c>
      <c r="F39" s="343">
        <f>G14*(1+$I$26)</f>
        <v>35.902200000000001</v>
      </c>
      <c r="G39" s="345" t="s">
        <v>613</v>
      </c>
      <c r="K39" s="171">
        <f>G14</f>
        <v>26.5</v>
      </c>
      <c r="L39" s="347">
        <f>(F39-K39)/K39</f>
        <v>0.3548</v>
      </c>
    </row>
    <row r="40" spans="1:12" x14ac:dyDescent="0.2">
      <c r="B40" s="188" t="s">
        <v>607</v>
      </c>
      <c r="C40" s="99">
        <v>2000</v>
      </c>
      <c r="D40" s="143" t="s">
        <v>604</v>
      </c>
      <c r="F40" s="344">
        <f>G26*(1+I26)</f>
        <v>9.077160000000001</v>
      </c>
      <c r="G40" s="346" t="s">
        <v>614</v>
      </c>
      <c r="K40" s="143">
        <v>6.7</v>
      </c>
      <c r="L40" s="347">
        <f>(F40-K40)/K40</f>
        <v>0.35480000000000012</v>
      </c>
    </row>
    <row r="41" spans="1:12" x14ac:dyDescent="0.2">
      <c r="C41" s="144"/>
      <c r="F41" s="319"/>
      <c r="G41" s="154"/>
      <c r="L41" s="340"/>
    </row>
    <row r="42" spans="1:12" ht="15" x14ac:dyDescent="0.25">
      <c r="B42" s="341" t="s">
        <v>608</v>
      </c>
      <c r="C42" s="348"/>
      <c r="F42" s="319"/>
      <c r="G42" s="154"/>
      <c r="L42" s="340"/>
    </row>
    <row r="43" spans="1:12" x14ac:dyDescent="0.2">
      <c r="B43" s="188" t="s">
        <v>606</v>
      </c>
      <c r="C43" s="99">
        <v>5000</v>
      </c>
      <c r="D43" s="143" t="s">
        <v>604</v>
      </c>
      <c r="F43" s="343">
        <f>F39+($F$40*3)</f>
        <v>63.133680000000005</v>
      </c>
      <c r="G43" s="345" t="s">
        <v>613</v>
      </c>
      <c r="K43" s="151">
        <f>G15</f>
        <v>46.6</v>
      </c>
      <c r="L43" s="347">
        <f>(F43-K43)/K43</f>
        <v>0.35480000000000006</v>
      </c>
    </row>
    <row r="44" spans="1:12" x14ac:dyDescent="0.2">
      <c r="B44" s="188" t="s">
        <v>607</v>
      </c>
      <c r="C44" s="349">
        <f>C43</f>
        <v>5000</v>
      </c>
      <c r="D44" s="143" t="s">
        <v>604</v>
      </c>
      <c r="F44" s="344">
        <f>$F$40</f>
        <v>9.077160000000001</v>
      </c>
      <c r="G44" s="346" t="s">
        <v>614</v>
      </c>
      <c r="L44" s="317"/>
    </row>
    <row r="45" spans="1:12" ht="15" x14ac:dyDescent="0.25">
      <c r="C45" s="348"/>
      <c r="F45" s="319"/>
      <c r="G45" s="319"/>
      <c r="K45" s="143" t="s">
        <v>7</v>
      </c>
      <c r="L45" s="317"/>
    </row>
    <row r="46" spans="1:12" x14ac:dyDescent="0.2">
      <c r="B46" s="341" t="s">
        <v>609</v>
      </c>
      <c r="C46" s="99"/>
      <c r="D46" s="317"/>
      <c r="F46" s="317"/>
      <c r="G46" s="335"/>
      <c r="L46" s="317"/>
    </row>
    <row r="47" spans="1:12" x14ac:dyDescent="0.2">
      <c r="B47" s="188" t="s">
        <v>606</v>
      </c>
      <c r="C47" s="99">
        <v>10000</v>
      </c>
      <c r="D47" s="143" t="s">
        <v>604</v>
      </c>
      <c r="F47" s="343">
        <f>F43+($F$40*5)</f>
        <v>108.51948000000002</v>
      </c>
      <c r="G47" s="345" t="s">
        <v>613</v>
      </c>
      <c r="K47" s="151">
        <f>G16</f>
        <v>80.099999999999994</v>
      </c>
      <c r="L47" s="347">
        <f>(F47-K47)/K47</f>
        <v>0.35480000000000028</v>
      </c>
    </row>
    <row r="48" spans="1:12" x14ac:dyDescent="0.2">
      <c r="B48" s="188" t="s">
        <v>607</v>
      </c>
      <c r="C48" s="349">
        <f>C47</f>
        <v>10000</v>
      </c>
      <c r="D48" s="143" t="s">
        <v>604</v>
      </c>
      <c r="F48" s="344">
        <f>$F$40</f>
        <v>9.077160000000001</v>
      </c>
      <c r="G48" s="346" t="s">
        <v>614</v>
      </c>
      <c r="L48" s="317"/>
    </row>
    <row r="49" spans="2:12" x14ac:dyDescent="0.2">
      <c r="C49" s="99"/>
      <c r="D49" s="317"/>
      <c r="F49" s="336"/>
      <c r="G49" s="330"/>
      <c r="L49" s="317"/>
    </row>
    <row r="50" spans="2:12" x14ac:dyDescent="0.2">
      <c r="B50" s="341" t="s">
        <v>610</v>
      </c>
      <c r="C50" s="144"/>
      <c r="D50" s="7"/>
    </row>
    <row r="51" spans="2:12" x14ac:dyDescent="0.2">
      <c r="B51" s="188" t="s">
        <v>606</v>
      </c>
      <c r="C51" s="99">
        <v>20000</v>
      </c>
      <c r="D51" s="143" t="s">
        <v>604</v>
      </c>
      <c r="F51" s="343">
        <f>F47+($F$40*10)</f>
        <v>199.29108000000002</v>
      </c>
      <c r="G51" s="345" t="s">
        <v>613</v>
      </c>
      <c r="K51" s="151">
        <f>G17</f>
        <v>147.1</v>
      </c>
      <c r="L51" s="347">
        <f>(F51-K51)/K51</f>
        <v>0.35480000000000023</v>
      </c>
    </row>
    <row r="52" spans="2:12" x14ac:dyDescent="0.2">
      <c r="B52" s="188" t="s">
        <v>607</v>
      </c>
      <c r="C52" s="349">
        <f>C51</f>
        <v>20000</v>
      </c>
      <c r="D52" s="143" t="s">
        <v>604</v>
      </c>
      <c r="F52" s="344">
        <f>$F$40</f>
        <v>9.077160000000001</v>
      </c>
      <c r="G52" s="346" t="s">
        <v>614</v>
      </c>
    </row>
    <row r="53" spans="2:12" x14ac:dyDescent="0.2">
      <c r="C53" s="144"/>
    </row>
    <row r="54" spans="2:12" x14ac:dyDescent="0.2">
      <c r="B54" s="341" t="s">
        <v>611</v>
      </c>
      <c r="C54" s="144"/>
    </row>
    <row r="55" spans="2:12" x14ac:dyDescent="0.2">
      <c r="B55" s="188" t="s">
        <v>606</v>
      </c>
      <c r="C55" s="99">
        <v>30000</v>
      </c>
      <c r="D55" s="143" t="s">
        <v>604</v>
      </c>
      <c r="F55" s="343">
        <f>F51+($F$40*10)</f>
        <v>290.06268</v>
      </c>
      <c r="G55" s="345" t="s">
        <v>613</v>
      </c>
      <c r="K55" s="151">
        <f>G18</f>
        <v>214.1</v>
      </c>
      <c r="L55" s="347">
        <f>(F55-K55)/K55</f>
        <v>0.35480000000000006</v>
      </c>
    </row>
    <row r="56" spans="2:12" x14ac:dyDescent="0.2">
      <c r="B56" s="188" t="s">
        <v>607</v>
      </c>
      <c r="C56" s="349">
        <f>C55</f>
        <v>30000</v>
      </c>
      <c r="D56" s="143" t="s">
        <v>604</v>
      </c>
      <c r="F56" s="344">
        <f>$F$40</f>
        <v>9.077160000000001</v>
      </c>
      <c r="G56" s="346" t="s">
        <v>614</v>
      </c>
    </row>
    <row r="57" spans="2:12" x14ac:dyDescent="0.2">
      <c r="B57" s="331"/>
      <c r="C57" s="144"/>
    </row>
    <row r="58" spans="2:12" x14ac:dyDescent="0.2">
      <c r="B58" s="341" t="s">
        <v>612</v>
      </c>
      <c r="C58" s="144"/>
      <c r="D58" s="7"/>
    </row>
    <row r="59" spans="2:12" x14ac:dyDescent="0.2">
      <c r="B59" s="188" t="s">
        <v>606</v>
      </c>
      <c r="C59" s="99">
        <v>50000</v>
      </c>
      <c r="D59" s="143" t="s">
        <v>604</v>
      </c>
      <c r="F59" s="343">
        <f>F55+($F$40*20)</f>
        <v>471.60588000000001</v>
      </c>
      <c r="G59" s="345" t="s">
        <v>613</v>
      </c>
      <c r="K59" s="151">
        <f>G19</f>
        <v>348.1</v>
      </c>
      <c r="L59" s="347">
        <f>(F59-K59)/K59</f>
        <v>0.35479999999999995</v>
      </c>
    </row>
    <row r="60" spans="2:12" x14ac:dyDescent="0.2">
      <c r="B60" s="188" t="s">
        <v>607</v>
      </c>
      <c r="C60" s="349">
        <f>C59</f>
        <v>50000</v>
      </c>
      <c r="D60" s="143" t="s">
        <v>604</v>
      </c>
      <c r="F60" s="344">
        <f>$F$40</f>
        <v>9.077160000000001</v>
      </c>
      <c r="G60" s="346" t="s">
        <v>614</v>
      </c>
    </row>
    <row r="62" spans="2:12" x14ac:dyDescent="0.2">
      <c r="B62" s="143" t="s">
        <v>617</v>
      </c>
      <c r="F62" s="350">
        <v>4.1900000000000004</v>
      </c>
      <c r="G62" s="143" t="s">
        <v>618</v>
      </c>
    </row>
  </sheetData>
  <printOptions horizontalCentered="1"/>
  <pageMargins left="1" right="0.7" top="1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5:H35"/>
  <sheetViews>
    <sheetView workbookViewId="0">
      <selection activeCell="F37" sqref="F37"/>
    </sheetView>
  </sheetViews>
  <sheetFormatPr defaultColWidth="8.88671875" defaultRowHeight="15.75" x14ac:dyDescent="0.25"/>
  <cols>
    <col min="1" max="1" width="8.88671875" style="357"/>
    <col min="2" max="2" width="2.6640625" style="357" customWidth="1"/>
    <col min="3" max="3" width="4.109375" style="357" customWidth="1"/>
    <col min="4" max="4" width="6.6640625" style="357" customWidth="1"/>
    <col min="5" max="5" width="8.88671875" style="357"/>
    <col min="6" max="6" width="10.33203125" style="357" customWidth="1"/>
    <col min="7" max="16384" width="8.88671875" style="357"/>
  </cols>
  <sheetData>
    <row r="5" spans="2:8" x14ac:dyDescent="0.25">
      <c r="B5" s="357" t="s">
        <v>625</v>
      </c>
    </row>
    <row r="6" spans="2:8" ht="6" customHeight="1" x14ac:dyDescent="0.25"/>
    <row r="7" spans="2:8" x14ac:dyDescent="0.25">
      <c r="C7" s="358" t="s">
        <v>605</v>
      </c>
    </row>
    <row r="8" spans="2:8" x14ac:dyDescent="0.25">
      <c r="C8" s="357" t="s">
        <v>606</v>
      </c>
      <c r="D8" s="359">
        <v>2000</v>
      </c>
      <c r="E8" s="357" t="s">
        <v>604</v>
      </c>
      <c r="G8" s="360">
        <v>33.32</v>
      </c>
      <c r="H8" s="357" t="s">
        <v>627</v>
      </c>
    </row>
    <row r="9" spans="2:8" x14ac:dyDescent="0.25">
      <c r="C9" s="357" t="s">
        <v>607</v>
      </c>
      <c r="D9" s="359">
        <v>2000</v>
      </c>
      <c r="E9" s="357" t="s">
        <v>604</v>
      </c>
      <c r="G9" s="357">
        <v>8.43</v>
      </c>
      <c r="H9" s="357" t="s">
        <v>628</v>
      </c>
    </row>
    <row r="10" spans="2:8" ht="6" customHeight="1" x14ac:dyDescent="0.25">
      <c r="D10" s="359"/>
    </row>
    <row r="11" spans="2:8" x14ac:dyDescent="0.25">
      <c r="C11" s="358" t="s">
        <v>626</v>
      </c>
      <c r="D11" s="359"/>
    </row>
    <row r="12" spans="2:8" x14ac:dyDescent="0.25">
      <c r="C12" s="357" t="s">
        <v>606</v>
      </c>
      <c r="D12" s="359">
        <v>5000</v>
      </c>
      <c r="E12" s="357" t="s">
        <v>604</v>
      </c>
      <c r="G12" s="360">
        <v>58.59</v>
      </c>
      <c r="H12" s="357" t="s">
        <v>627</v>
      </c>
    </row>
    <row r="13" spans="2:8" x14ac:dyDescent="0.25">
      <c r="C13" s="357" t="s">
        <v>607</v>
      </c>
      <c r="D13" s="359">
        <f>D12</f>
        <v>5000</v>
      </c>
      <c r="E13" s="357" t="s">
        <v>604</v>
      </c>
      <c r="G13" s="357">
        <v>8.43</v>
      </c>
      <c r="H13" s="357" t="s">
        <v>628</v>
      </c>
    </row>
    <row r="14" spans="2:8" ht="6" customHeight="1" x14ac:dyDescent="0.25">
      <c r="D14" s="359"/>
    </row>
    <row r="15" spans="2:8" x14ac:dyDescent="0.25">
      <c r="C15" s="358" t="s">
        <v>609</v>
      </c>
      <c r="D15" s="359"/>
    </row>
    <row r="16" spans="2:8" x14ac:dyDescent="0.25">
      <c r="C16" s="357" t="s">
        <v>606</v>
      </c>
      <c r="D16" s="359">
        <v>10000</v>
      </c>
      <c r="E16" s="357" t="s">
        <v>604</v>
      </c>
      <c r="G16" s="360">
        <v>100.7</v>
      </c>
      <c r="H16" s="357" t="s">
        <v>627</v>
      </c>
    </row>
    <row r="17" spans="3:8" x14ac:dyDescent="0.25">
      <c r="C17" s="357" t="s">
        <v>607</v>
      </c>
      <c r="D17" s="359">
        <f>D16</f>
        <v>10000</v>
      </c>
      <c r="E17" s="357" t="s">
        <v>604</v>
      </c>
      <c r="G17" s="357">
        <v>8.43</v>
      </c>
      <c r="H17" s="357" t="s">
        <v>628</v>
      </c>
    </row>
    <row r="18" spans="3:8" ht="6" customHeight="1" x14ac:dyDescent="0.25">
      <c r="D18" s="359"/>
    </row>
    <row r="19" spans="3:8" x14ac:dyDescent="0.25">
      <c r="C19" s="358" t="s">
        <v>610</v>
      </c>
      <c r="D19" s="359"/>
    </row>
    <row r="20" spans="3:8" x14ac:dyDescent="0.25">
      <c r="C20" s="357" t="s">
        <v>606</v>
      </c>
      <c r="D20" s="359">
        <v>20000</v>
      </c>
      <c r="E20" s="357" t="s">
        <v>604</v>
      </c>
      <c r="G20" s="360">
        <v>184.93</v>
      </c>
      <c r="H20" s="357" t="s">
        <v>627</v>
      </c>
    </row>
    <row r="21" spans="3:8" x14ac:dyDescent="0.25">
      <c r="C21" s="357" t="s">
        <v>607</v>
      </c>
      <c r="D21" s="359">
        <f>D20</f>
        <v>20000</v>
      </c>
      <c r="E21" s="357" t="s">
        <v>604</v>
      </c>
      <c r="G21" s="357">
        <v>8.43</v>
      </c>
      <c r="H21" s="357" t="s">
        <v>628</v>
      </c>
    </row>
    <row r="22" spans="3:8" ht="6" customHeight="1" x14ac:dyDescent="0.25">
      <c r="D22" s="359"/>
    </row>
    <row r="23" spans="3:8" x14ac:dyDescent="0.25">
      <c r="C23" s="358" t="s">
        <v>611</v>
      </c>
      <c r="D23" s="359"/>
    </row>
    <row r="24" spans="3:8" x14ac:dyDescent="0.25">
      <c r="C24" s="357" t="s">
        <v>606</v>
      </c>
      <c r="D24" s="359">
        <v>30000</v>
      </c>
      <c r="E24" s="357" t="s">
        <v>604</v>
      </c>
      <c r="G24" s="360">
        <v>269.17</v>
      </c>
      <c r="H24" s="357" t="s">
        <v>627</v>
      </c>
    </row>
    <row r="25" spans="3:8" x14ac:dyDescent="0.25">
      <c r="C25" s="357" t="s">
        <v>607</v>
      </c>
      <c r="D25" s="359">
        <f>D24</f>
        <v>30000</v>
      </c>
      <c r="E25" s="357" t="s">
        <v>604</v>
      </c>
      <c r="G25" s="357">
        <v>8.43</v>
      </c>
      <c r="H25" s="357" t="s">
        <v>628</v>
      </c>
    </row>
    <row r="26" spans="3:8" ht="6" customHeight="1" x14ac:dyDescent="0.25">
      <c r="D26" s="359"/>
    </row>
    <row r="27" spans="3:8" x14ac:dyDescent="0.25">
      <c r="C27" s="358" t="s">
        <v>612</v>
      </c>
      <c r="D27" s="359"/>
    </row>
    <row r="28" spans="3:8" x14ac:dyDescent="0.25">
      <c r="C28" s="357" t="s">
        <v>606</v>
      </c>
      <c r="D28" s="359">
        <v>50000</v>
      </c>
      <c r="E28" s="357" t="s">
        <v>604</v>
      </c>
      <c r="G28" s="360">
        <v>437.63</v>
      </c>
      <c r="H28" s="357" t="s">
        <v>627</v>
      </c>
    </row>
    <row r="29" spans="3:8" x14ac:dyDescent="0.25">
      <c r="C29" s="357" t="s">
        <v>607</v>
      </c>
      <c r="D29" s="359">
        <f>D28</f>
        <v>50000</v>
      </c>
      <c r="E29" s="357" t="s">
        <v>604</v>
      </c>
      <c r="G29" s="357">
        <v>8.43</v>
      </c>
      <c r="H29" s="357" t="s">
        <v>628</v>
      </c>
    </row>
    <row r="30" spans="3:8" x14ac:dyDescent="0.25">
      <c r="D30" s="359"/>
    </row>
    <row r="31" spans="3:8" x14ac:dyDescent="0.25">
      <c r="C31" s="357" t="s">
        <v>617</v>
      </c>
      <c r="D31" s="359"/>
      <c r="G31" s="361">
        <v>4.1900000000000004</v>
      </c>
      <c r="H31" s="357" t="s">
        <v>629</v>
      </c>
    </row>
    <row r="32" spans="3:8" x14ac:dyDescent="0.25">
      <c r="D32" s="359"/>
    </row>
    <row r="33" spans="4:4" x14ac:dyDescent="0.25">
      <c r="D33" s="359"/>
    </row>
    <row r="34" spans="4:4" x14ac:dyDescent="0.25">
      <c r="D34" s="359"/>
    </row>
    <row r="35" spans="4:4" x14ac:dyDescent="0.25">
      <c r="D35" s="35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1"/>
  <sheetViews>
    <sheetView topLeftCell="A2" workbookViewId="0">
      <selection activeCell="E21" sqref="E21"/>
    </sheetView>
  </sheetViews>
  <sheetFormatPr defaultRowHeight="15" x14ac:dyDescent="0.2"/>
  <cols>
    <col min="1" max="1" width="3.6640625" customWidth="1"/>
    <col min="2" max="2" width="2.6640625" customWidth="1"/>
    <col min="3" max="3" width="34.6640625" customWidth="1"/>
    <col min="4" max="5" width="11.5546875" customWidth="1"/>
    <col min="6" max="6" width="7" customWidth="1"/>
    <col min="7" max="7" width="11.5546875" customWidth="1"/>
    <col min="8" max="8" width="9.6640625" customWidth="1"/>
    <col min="12" max="12" width="11" bestFit="1" customWidth="1"/>
  </cols>
  <sheetData>
    <row r="1" spans="1:12" ht="18" x14ac:dyDescent="0.2">
      <c r="A1" s="238" t="s">
        <v>529</v>
      </c>
      <c r="B1" s="4"/>
      <c r="C1" s="4"/>
      <c r="D1" s="4"/>
      <c r="E1" s="4"/>
      <c r="F1" s="4"/>
      <c r="G1" s="4"/>
      <c r="H1" s="5"/>
    </row>
    <row r="2" spans="1:12" ht="15.75" x14ac:dyDescent="0.2">
      <c r="A2" s="23" t="s">
        <v>137</v>
      </c>
      <c r="B2" s="4"/>
      <c r="C2" s="4"/>
      <c r="D2" s="4"/>
      <c r="E2" s="4"/>
      <c r="F2" s="4"/>
      <c r="G2" s="4"/>
      <c r="H2" s="5"/>
    </row>
    <row r="3" spans="1:12" ht="15.75" x14ac:dyDescent="0.2">
      <c r="A3" s="5"/>
      <c r="B3" s="5"/>
      <c r="C3" s="5"/>
      <c r="D3" s="6"/>
      <c r="E3" s="6"/>
      <c r="F3" s="6"/>
      <c r="G3" s="6"/>
      <c r="H3" s="5"/>
    </row>
    <row r="4" spans="1:12" x14ac:dyDescent="0.2">
      <c r="A4" s="14"/>
      <c r="B4" s="14"/>
      <c r="C4" s="14"/>
      <c r="D4" s="15" t="s">
        <v>32</v>
      </c>
      <c r="E4" s="15" t="s">
        <v>33</v>
      </c>
      <c r="F4" s="15" t="s">
        <v>59</v>
      </c>
      <c r="G4" s="15" t="s">
        <v>34</v>
      </c>
      <c r="H4" s="98"/>
    </row>
    <row r="5" spans="1:12" x14ac:dyDescent="0.2">
      <c r="A5" s="16" t="s">
        <v>8</v>
      </c>
      <c r="B5" s="14"/>
      <c r="C5" s="14"/>
      <c r="D5" s="14"/>
      <c r="E5" s="14"/>
      <c r="F5" s="14"/>
      <c r="G5" s="14"/>
      <c r="H5" s="98"/>
    </row>
    <row r="6" spans="1:12" x14ac:dyDescent="0.2">
      <c r="A6" s="14"/>
      <c r="B6" s="14" t="s">
        <v>127</v>
      </c>
      <c r="C6" s="14"/>
      <c r="D6" s="1"/>
      <c r="E6" s="19"/>
      <c r="F6" s="1"/>
      <c r="G6" s="1"/>
      <c r="H6" s="98"/>
    </row>
    <row r="7" spans="1:12" x14ac:dyDescent="0.2">
      <c r="A7" s="14"/>
      <c r="B7" s="14"/>
      <c r="C7" s="14" t="s">
        <v>128</v>
      </c>
      <c r="D7" s="17">
        <v>304</v>
      </c>
      <c r="E7" s="98"/>
      <c r="F7" s="7"/>
      <c r="G7" s="17">
        <f>D7+E7</f>
        <v>304</v>
      </c>
      <c r="H7" s="98"/>
    </row>
    <row r="8" spans="1:12" x14ac:dyDescent="0.2">
      <c r="A8" s="14"/>
      <c r="B8" s="14"/>
      <c r="C8" s="14" t="s">
        <v>129</v>
      </c>
      <c r="D8" s="98">
        <v>1878795</v>
      </c>
      <c r="E8" s="179">
        <v>34146</v>
      </c>
      <c r="F8" s="18" t="s">
        <v>44</v>
      </c>
      <c r="G8" s="1"/>
      <c r="H8" s="98"/>
      <c r="L8" s="180">
        <v>180000</v>
      </c>
    </row>
    <row r="9" spans="1:12" x14ac:dyDescent="0.2">
      <c r="A9" s="14"/>
      <c r="B9" s="14"/>
      <c r="C9" s="14"/>
      <c r="D9" s="98"/>
      <c r="E9" s="98">
        <f>SAO!E9</f>
        <v>-91055.991600000008</v>
      </c>
      <c r="F9" s="18" t="s">
        <v>45</v>
      </c>
      <c r="G9" s="98">
        <f>D8+E8+E9</f>
        <v>1821885.0083999999</v>
      </c>
      <c r="H9" s="98"/>
      <c r="L9" s="180">
        <f>E10</f>
        <v>-62792</v>
      </c>
    </row>
    <row r="10" spans="1:12" x14ac:dyDescent="0.2">
      <c r="A10" s="14"/>
      <c r="B10" s="14"/>
      <c r="C10" s="14" t="s">
        <v>130</v>
      </c>
      <c r="D10" s="98">
        <v>62792</v>
      </c>
      <c r="E10" s="98">
        <v>-62792</v>
      </c>
      <c r="F10" s="273" t="s">
        <v>51</v>
      </c>
      <c r="G10" s="98">
        <f>D10+E10</f>
        <v>0</v>
      </c>
      <c r="H10" s="98">
        <f>D10+D8+D7</f>
        <v>1941891</v>
      </c>
      <c r="L10" s="180">
        <f>-E24</f>
        <v>24603</v>
      </c>
    </row>
    <row r="11" spans="1:12" ht="17.25" x14ac:dyDescent="0.35">
      <c r="A11" s="14"/>
      <c r="B11" s="14" t="s">
        <v>42</v>
      </c>
      <c r="C11" s="14"/>
      <c r="D11" s="17"/>
      <c r="E11" s="98"/>
      <c r="F11" s="18"/>
      <c r="G11" s="98"/>
      <c r="H11" s="98">
        <f>H10+E8</f>
        <v>1976037</v>
      </c>
      <c r="L11" s="269">
        <f>-E25</f>
        <v>21640.212000000003</v>
      </c>
    </row>
    <row r="12" spans="1:12" x14ac:dyDescent="0.2">
      <c r="A12" s="14"/>
      <c r="B12" s="14"/>
      <c r="C12" s="14" t="s">
        <v>40</v>
      </c>
      <c r="D12" s="19"/>
      <c r="E12" s="98">
        <f>-E14</f>
        <v>72155.490000000005</v>
      </c>
      <c r="F12" s="111" t="s">
        <v>52</v>
      </c>
      <c r="G12" s="98">
        <f>D12+E12</f>
        <v>72155.490000000005</v>
      </c>
      <c r="H12" s="98"/>
      <c r="L12" s="180">
        <f>SUM(L8:L11)</f>
        <v>163451.212</v>
      </c>
    </row>
    <row r="13" spans="1:12" x14ac:dyDescent="0.2">
      <c r="A13" s="14"/>
      <c r="B13" s="14"/>
      <c r="C13" s="14" t="s">
        <v>41</v>
      </c>
      <c r="D13" s="19">
        <v>28253</v>
      </c>
      <c r="E13" s="98"/>
      <c r="F13" s="18"/>
      <c r="G13" s="98">
        <f>D13+E13</f>
        <v>28253</v>
      </c>
      <c r="H13" s="98"/>
    </row>
    <row r="14" spans="1:12" x14ac:dyDescent="0.2">
      <c r="A14" s="14"/>
      <c r="B14" s="14"/>
      <c r="C14" s="14" t="s">
        <v>411</v>
      </c>
      <c r="D14" s="19">
        <v>77813</v>
      </c>
      <c r="E14" s="98">
        <v>-72155.490000000005</v>
      </c>
      <c r="F14" s="111" t="s">
        <v>52</v>
      </c>
      <c r="G14" s="98"/>
      <c r="H14" s="98"/>
      <c r="L14" s="180"/>
    </row>
    <row r="15" spans="1:12" x14ac:dyDescent="0.2">
      <c r="A15" s="14"/>
      <c r="B15" s="7"/>
      <c r="C15" s="1"/>
      <c r="D15" s="7"/>
      <c r="E15" s="7">
        <v>180000</v>
      </c>
      <c r="F15" s="272" t="s">
        <v>54</v>
      </c>
      <c r="G15" s="99">
        <f>D14+E14+E15</f>
        <v>185657.51</v>
      </c>
      <c r="H15" s="98"/>
    </row>
    <row r="16" spans="1:12" ht="3.95" customHeight="1" x14ac:dyDescent="0.2">
      <c r="A16" s="14"/>
      <c r="B16" s="14"/>
      <c r="C16" s="14"/>
      <c r="D16" s="19"/>
      <c r="E16" s="98"/>
      <c r="F16" s="18"/>
      <c r="G16" s="19"/>
      <c r="H16" s="98"/>
    </row>
    <row r="17" spans="1:8" x14ac:dyDescent="0.2">
      <c r="A17" s="20" t="s">
        <v>9</v>
      </c>
      <c r="B17" s="14"/>
      <c r="C17" s="14"/>
      <c r="D17" s="17">
        <f>SUM(D7:D16)</f>
        <v>2047957</v>
      </c>
      <c r="E17" s="98">
        <f>SUM(E6:E16)</f>
        <v>60298.008399999992</v>
      </c>
      <c r="F17" s="18"/>
      <c r="G17" s="17">
        <f>SUM(G7:G16)</f>
        <v>2108255.0083999997</v>
      </c>
      <c r="H17" s="98">
        <f>D17+E17</f>
        <v>2108255.0084000002</v>
      </c>
    </row>
    <row r="18" spans="1:8" ht="3.95" customHeight="1" x14ac:dyDescent="0.2">
      <c r="A18" s="14"/>
      <c r="B18" s="14"/>
      <c r="C18" s="14"/>
      <c r="D18" s="19"/>
      <c r="E18" s="14"/>
      <c r="F18" s="18"/>
      <c r="G18" s="19"/>
      <c r="H18" s="98"/>
    </row>
    <row r="19" spans="1:8" x14ac:dyDescent="0.2">
      <c r="A19" s="16" t="s">
        <v>10</v>
      </c>
      <c r="B19" s="14"/>
      <c r="C19" s="14"/>
      <c r="D19" s="19"/>
      <c r="E19" s="14"/>
      <c r="F19" s="18"/>
      <c r="G19" s="19"/>
      <c r="H19" s="98"/>
    </row>
    <row r="20" spans="1:8" x14ac:dyDescent="0.2">
      <c r="A20" s="14"/>
      <c r="B20" s="14" t="s">
        <v>19</v>
      </c>
      <c r="C20" s="14"/>
      <c r="D20" s="19"/>
      <c r="E20" s="14"/>
      <c r="F20" s="18"/>
      <c r="G20" s="19"/>
      <c r="H20" s="98"/>
    </row>
    <row r="21" spans="1:8" x14ac:dyDescent="0.2">
      <c r="A21" s="14"/>
      <c r="B21" s="14"/>
      <c r="C21" s="14" t="s">
        <v>23</v>
      </c>
      <c r="D21" s="17">
        <v>555390</v>
      </c>
      <c r="E21" s="98">
        <f>SAO!E21</f>
        <v>-6360</v>
      </c>
      <c r="F21" s="111" t="s">
        <v>119</v>
      </c>
      <c r="G21" s="17">
        <f t="shared" ref="G21:G40" si="0">D21+E21</f>
        <v>549030</v>
      </c>
      <c r="H21" s="98"/>
    </row>
    <row r="22" spans="1:8" x14ac:dyDescent="0.2">
      <c r="A22" s="14"/>
      <c r="B22" s="14"/>
      <c r="C22" s="14" t="s">
        <v>24</v>
      </c>
      <c r="D22" s="19">
        <v>0</v>
      </c>
      <c r="E22" s="98"/>
      <c r="F22" s="18"/>
      <c r="G22" s="98">
        <f t="shared" si="0"/>
        <v>0</v>
      </c>
      <c r="H22" s="98"/>
    </row>
    <row r="23" spans="1:8" x14ac:dyDescent="0.2">
      <c r="A23" s="14"/>
      <c r="B23" s="14"/>
      <c r="C23" s="14" t="s">
        <v>25</v>
      </c>
      <c r="D23" s="19">
        <v>296755</v>
      </c>
      <c r="E23" s="98"/>
      <c r="F23" s="18"/>
      <c r="G23" s="98">
        <f t="shared" si="0"/>
        <v>296755</v>
      </c>
      <c r="H23" s="98"/>
    </row>
    <row r="24" spans="1:8" x14ac:dyDescent="0.2">
      <c r="A24" s="14"/>
      <c r="B24" s="14"/>
      <c r="C24" s="14" t="s">
        <v>26</v>
      </c>
      <c r="D24" s="19">
        <v>24603</v>
      </c>
      <c r="E24" s="98">
        <f>SAO!E24</f>
        <v>-24603</v>
      </c>
      <c r="F24" s="272" t="s">
        <v>124</v>
      </c>
      <c r="G24" s="98">
        <f t="shared" si="0"/>
        <v>0</v>
      </c>
      <c r="H24" s="99"/>
    </row>
    <row r="25" spans="1:8" x14ac:dyDescent="0.2">
      <c r="A25" s="14"/>
      <c r="B25" s="14"/>
      <c r="C25" s="14" t="s">
        <v>27</v>
      </c>
      <c r="D25" s="19">
        <v>373353</v>
      </c>
      <c r="E25" s="98">
        <f>SAO!E25</f>
        <v>-21640.212000000003</v>
      </c>
      <c r="F25" s="272" t="s">
        <v>405</v>
      </c>
      <c r="G25" s="1"/>
      <c r="H25" s="99"/>
    </row>
    <row r="26" spans="1:8" x14ac:dyDescent="0.2">
      <c r="A26" s="14"/>
      <c r="B26" s="14"/>
      <c r="C26" s="14"/>
      <c r="D26" s="19"/>
      <c r="E26" s="98">
        <f>SAO!E26</f>
        <v>-84420.965694387138</v>
      </c>
      <c r="F26" s="111" t="s">
        <v>412</v>
      </c>
      <c r="G26" s="98">
        <f>D25+E25+E26</f>
        <v>267291.82230561285</v>
      </c>
      <c r="H26" s="99"/>
    </row>
    <row r="27" spans="1:8" x14ac:dyDescent="0.2">
      <c r="A27" s="14"/>
      <c r="B27" s="14"/>
      <c r="C27" s="14" t="s">
        <v>102</v>
      </c>
      <c r="D27" s="19">
        <v>115033</v>
      </c>
      <c r="E27" s="98">
        <f>SAO!E27</f>
        <v>-27611.156824705606</v>
      </c>
      <c r="F27" s="111" t="s">
        <v>412</v>
      </c>
      <c r="G27" s="98">
        <f t="shared" si="0"/>
        <v>87421.843175294402</v>
      </c>
      <c r="H27" s="99"/>
    </row>
    <row r="28" spans="1:8" x14ac:dyDescent="0.2">
      <c r="A28" s="14"/>
      <c r="B28" s="14"/>
      <c r="C28" s="14" t="s">
        <v>28</v>
      </c>
      <c r="D28" s="19">
        <v>156069</v>
      </c>
      <c r="E28" s="98">
        <f>SAO!E28</f>
        <v>-17640</v>
      </c>
      <c r="F28" s="111" t="s">
        <v>119</v>
      </c>
      <c r="G28" s="98">
        <f t="shared" si="0"/>
        <v>138429</v>
      </c>
      <c r="H28" s="98"/>
    </row>
    <row r="29" spans="1:8" x14ac:dyDescent="0.2">
      <c r="A29" s="14"/>
      <c r="B29" s="14"/>
      <c r="C29" s="14" t="s">
        <v>147</v>
      </c>
      <c r="D29" s="19">
        <f>42000+2844</f>
        <v>44844</v>
      </c>
      <c r="E29" s="98"/>
      <c r="F29" s="178"/>
      <c r="G29" s="98">
        <f t="shared" si="0"/>
        <v>44844</v>
      </c>
      <c r="H29" s="98"/>
    </row>
    <row r="30" spans="1:8" x14ac:dyDescent="0.2">
      <c r="A30" s="14"/>
      <c r="B30" s="14"/>
      <c r="C30" s="14" t="s">
        <v>131</v>
      </c>
      <c r="D30" s="19">
        <v>14709</v>
      </c>
      <c r="E30" s="98"/>
      <c r="F30" s="111"/>
      <c r="G30" s="98">
        <f t="shared" si="0"/>
        <v>14709</v>
      </c>
      <c r="H30" s="98"/>
    </row>
    <row r="31" spans="1:8" x14ac:dyDescent="0.2">
      <c r="A31" s="14"/>
      <c r="B31" s="14"/>
      <c r="C31" s="14" t="s">
        <v>132</v>
      </c>
      <c r="D31" s="19">
        <v>154668</v>
      </c>
      <c r="E31" s="98"/>
      <c r="F31" s="111"/>
      <c r="G31" s="98">
        <f t="shared" si="0"/>
        <v>154668</v>
      </c>
      <c r="H31" s="98"/>
    </row>
    <row r="32" spans="1:8" x14ac:dyDescent="0.2">
      <c r="A32" s="14"/>
      <c r="B32" s="14"/>
      <c r="C32" s="14" t="s">
        <v>133</v>
      </c>
      <c r="D32" s="19">
        <v>7898</v>
      </c>
      <c r="E32" s="14"/>
      <c r="F32" s="18"/>
      <c r="G32" s="98">
        <f t="shared" si="0"/>
        <v>7898</v>
      </c>
      <c r="H32" s="98"/>
    </row>
    <row r="33" spans="1:8" x14ac:dyDescent="0.2">
      <c r="A33" s="14"/>
      <c r="B33" s="14"/>
      <c r="C33" s="14" t="s">
        <v>103</v>
      </c>
      <c r="D33" s="19">
        <v>51314</v>
      </c>
      <c r="E33" s="14"/>
      <c r="F33" s="18"/>
      <c r="G33" s="98">
        <f t="shared" si="0"/>
        <v>51314</v>
      </c>
      <c r="H33" s="98"/>
    </row>
    <row r="34" spans="1:8" x14ac:dyDescent="0.2">
      <c r="A34" s="14"/>
      <c r="B34" s="14"/>
      <c r="C34" s="14" t="s">
        <v>36</v>
      </c>
      <c r="D34" s="19">
        <v>75334</v>
      </c>
      <c r="E34" s="14"/>
      <c r="F34" s="18"/>
      <c r="G34" s="98">
        <f t="shared" si="0"/>
        <v>75334</v>
      </c>
      <c r="H34" s="98"/>
    </row>
    <row r="35" spans="1:8" x14ac:dyDescent="0.2">
      <c r="A35" s="14"/>
      <c r="B35" s="14"/>
      <c r="C35" s="14" t="s">
        <v>134</v>
      </c>
      <c r="D35" s="19">
        <f>8042+25079</f>
        <v>33121</v>
      </c>
      <c r="E35" s="14"/>
      <c r="F35" s="18"/>
      <c r="G35" s="98">
        <f t="shared" si="0"/>
        <v>33121</v>
      </c>
      <c r="H35" s="98"/>
    </row>
    <row r="36" spans="1:8" x14ac:dyDescent="0.2">
      <c r="A36" s="14"/>
      <c r="B36" s="14"/>
      <c r="C36" s="14" t="s">
        <v>135</v>
      </c>
      <c r="D36" s="19">
        <v>28737</v>
      </c>
      <c r="E36" s="14"/>
      <c r="F36" s="18"/>
      <c r="G36" s="98">
        <f t="shared" si="0"/>
        <v>28737</v>
      </c>
      <c r="H36" s="98"/>
    </row>
    <row r="37" spans="1:8" x14ac:dyDescent="0.2">
      <c r="A37" s="14"/>
      <c r="B37" s="14"/>
      <c r="C37" s="14" t="s">
        <v>136</v>
      </c>
      <c r="D37" s="19">
        <v>7257</v>
      </c>
      <c r="E37" s="14"/>
      <c r="F37" s="18"/>
      <c r="G37" s="98">
        <f t="shared" si="0"/>
        <v>7257</v>
      </c>
      <c r="H37" s="98"/>
    </row>
    <row r="38" spans="1:8" x14ac:dyDescent="0.2">
      <c r="A38" s="14"/>
      <c r="B38" s="14"/>
      <c r="C38" s="14" t="s">
        <v>104</v>
      </c>
      <c r="D38" s="19">
        <v>3000</v>
      </c>
      <c r="E38" s="14"/>
      <c r="F38" s="18"/>
      <c r="G38" s="98">
        <f t="shared" si="0"/>
        <v>3000</v>
      </c>
      <c r="H38" s="98"/>
    </row>
    <row r="39" spans="1:8" x14ac:dyDescent="0.2">
      <c r="A39" s="14"/>
      <c r="B39" s="14"/>
      <c r="C39" s="14" t="s">
        <v>29</v>
      </c>
      <c r="D39" s="19">
        <v>67543</v>
      </c>
      <c r="E39" s="14"/>
      <c r="F39" s="18"/>
      <c r="G39" s="98">
        <f t="shared" si="0"/>
        <v>67543</v>
      </c>
      <c r="H39" s="98"/>
    </row>
    <row r="40" spans="1:8" x14ac:dyDescent="0.2">
      <c r="A40" s="14"/>
      <c r="B40" s="14"/>
      <c r="C40" s="14" t="s">
        <v>30</v>
      </c>
      <c r="D40" s="19">
        <v>40341</v>
      </c>
      <c r="E40" s="14"/>
      <c r="F40" s="18"/>
      <c r="G40" s="98">
        <f t="shared" si="0"/>
        <v>40341</v>
      </c>
      <c r="H40" s="98"/>
    </row>
    <row r="41" spans="1:8" ht="3.95" customHeight="1" x14ac:dyDescent="0.2">
      <c r="A41" s="14"/>
      <c r="B41" s="14"/>
      <c r="C41" s="14"/>
      <c r="D41" s="19"/>
      <c r="E41" s="14"/>
      <c r="F41" s="18"/>
      <c r="G41" s="19"/>
      <c r="H41" s="98"/>
    </row>
    <row r="42" spans="1:8" x14ac:dyDescent="0.2">
      <c r="A42" s="14"/>
      <c r="B42" s="14" t="s">
        <v>20</v>
      </c>
      <c r="C42" s="14"/>
      <c r="D42" s="19">
        <f>SUM(D21:D40)</f>
        <v>2049969</v>
      </c>
      <c r="E42" s="19">
        <f>SUM(E21:E40)</f>
        <v>-182275.33451909275</v>
      </c>
      <c r="F42" s="18"/>
      <c r="G42" s="19">
        <f>SUM(G21:G40)</f>
        <v>1867693.6654809071</v>
      </c>
      <c r="H42" s="98">
        <f>D42+E42</f>
        <v>1867693.6654809073</v>
      </c>
    </row>
    <row r="43" spans="1:8" ht="3.95" customHeight="1" x14ac:dyDescent="0.2">
      <c r="A43" s="14"/>
      <c r="B43" s="14"/>
      <c r="C43" s="14"/>
      <c r="D43" s="19"/>
      <c r="E43" s="14"/>
      <c r="F43" s="18"/>
      <c r="G43" s="19"/>
      <c r="H43" s="98"/>
    </row>
    <row r="44" spans="1:8" x14ac:dyDescent="0.2">
      <c r="A44" s="14"/>
      <c r="B44" s="14" t="s">
        <v>21</v>
      </c>
      <c r="C44" s="14"/>
      <c r="D44" s="19">
        <v>771703</v>
      </c>
      <c r="E44" s="98">
        <f>SAO!E45</f>
        <v>-87952.641556450209</v>
      </c>
      <c r="F44" s="18" t="s">
        <v>413</v>
      </c>
      <c r="G44" s="98">
        <f>D44+E44</f>
        <v>683750.35844354983</v>
      </c>
      <c r="H44" s="98"/>
    </row>
    <row r="45" spans="1:8" x14ac:dyDescent="0.2">
      <c r="A45" s="14"/>
      <c r="B45" s="14" t="s">
        <v>22</v>
      </c>
      <c r="C45" s="14"/>
      <c r="D45" s="19">
        <v>46496</v>
      </c>
      <c r="E45" s="98"/>
      <c r="F45" s="18"/>
      <c r="G45" s="98">
        <f>D45+E45</f>
        <v>46496</v>
      </c>
      <c r="H45" s="98"/>
    </row>
    <row r="46" spans="1:8" ht="3.95" customHeight="1" x14ac:dyDescent="0.2">
      <c r="A46" s="14"/>
      <c r="B46" s="14"/>
      <c r="C46" s="14"/>
      <c r="D46" s="19"/>
      <c r="E46" s="14"/>
      <c r="F46" s="18"/>
      <c r="G46" s="19"/>
      <c r="H46" s="98"/>
    </row>
    <row r="47" spans="1:8" x14ac:dyDescent="0.2">
      <c r="A47" s="20" t="s">
        <v>11</v>
      </c>
      <c r="B47" s="14"/>
      <c r="C47" s="14"/>
      <c r="D47" s="17">
        <f>D42+D44+D45</f>
        <v>2868168</v>
      </c>
      <c r="E47" s="17">
        <f>E42+E44+E45</f>
        <v>-270227.97607554297</v>
      </c>
      <c r="F47" s="18"/>
      <c r="G47" s="17">
        <f>G42+G44+G45</f>
        <v>2597940.0239244569</v>
      </c>
      <c r="H47" s="98">
        <f>D47+E47</f>
        <v>2597940.0239244569</v>
      </c>
    </row>
    <row r="48" spans="1:8" ht="3.95" customHeight="1" x14ac:dyDescent="0.2">
      <c r="A48" s="20"/>
      <c r="B48" s="14"/>
      <c r="C48" s="14"/>
      <c r="D48" s="19"/>
      <c r="E48" s="14"/>
      <c r="F48" s="18"/>
      <c r="G48" s="19"/>
      <c r="H48" s="98"/>
    </row>
    <row r="49" spans="1:8" x14ac:dyDescent="0.2">
      <c r="A49" s="20" t="s">
        <v>37</v>
      </c>
      <c r="B49" s="14"/>
      <c r="C49" s="14"/>
      <c r="D49" s="17">
        <f>D17-D47</f>
        <v>-820211</v>
      </c>
      <c r="E49" s="17">
        <f>E17-E47</f>
        <v>330525.98447554297</v>
      </c>
      <c r="F49" s="18"/>
      <c r="G49" s="17">
        <f>G17-G47</f>
        <v>-489685.01552445721</v>
      </c>
      <c r="H49" s="98">
        <f>D49+E49</f>
        <v>-489685.01552445703</v>
      </c>
    </row>
    <row r="50" spans="1:8" x14ac:dyDescent="0.2">
      <c r="A50" s="14"/>
      <c r="B50" s="14"/>
      <c r="C50" s="14"/>
      <c r="D50" s="19"/>
      <c r="E50" s="14"/>
      <c r="F50" s="18"/>
      <c r="G50" s="19"/>
      <c r="H50" s="98"/>
    </row>
    <row r="51" spans="1:8" ht="18" x14ac:dyDescent="0.2">
      <c r="A51" s="3" t="s">
        <v>50</v>
      </c>
      <c r="B51" s="21"/>
      <c r="C51" s="21"/>
      <c r="D51" s="21"/>
      <c r="E51" s="21"/>
      <c r="F51" s="8"/>
      <c r="G51" s="8"/>
      <c r="H51" s="98"/>
    </row>
    <row r="52" spans="1:8" ht="3.95" customHeight="1" x14ac:dyDescent="0.2">
      <c r="A52" s="14"/>
      <c r="B52" s="14"/>
      <c r="C52" s="14"/>
      <c r="D52" s="19"/>
      <c r="E52" s="15"/>
      <c r="F52" s="15"/>
      <c r="G52" s="19"/>
      <c r="H52" s="98"/>
    </row>
    <row r="53" spans="1:8" x14ac:dyDescent="0.2">
      <c r="A53" s="20" t="s">
        <v>12</v>
      </c>
      <c r="B53" s="14"/>
      <c r="C53" s="14"/>
      <c r="D53" s="7"/>
      <c r="E53" s="14"/>
      <c r="F53" s="18"/>
      <c r="G53" s="17">
        <f>G47</f>
        <v>2597940.0239244569</v>
      </c>
      <c r="H53" s="98"/>
    </row>
    <row r="54" spans="1:8" ht="3.95" customHeight="1" x14ac:dyDescent="0.2">
      <c r="A54" s="20"/>
      <c r="B54" s="14"/>
      <c r="C54" s="14"/>
      <c r="D54" s="7"/>
      <c r="E54" s="14"/>
      <c r="F54" s="18"/>
      <c r="G54" s="19"/>
      <c r="H54" s="98"/>
    </row>
    <row r="55" spans="1:8" x14ac:dyDescent="0.2">
      <c r="A55" s="14" t="s">
        <v>13</v>
      </c>
      <c r="B55" s="14"/>
      <c r="C55" s="14" t="s">
        <v>62</v>
      </c>
      <c r="D55" s="7"/>
      <c r="E55" s="14"/>
      <c r="F55" s="18" t="s">
        <v>464</v>
      </c>
      <c r="G55" s="19">
        <f>DSch!J20</f>
        <v>209997.56399999998</v>
      </c>
      <c r="H55" s="98"/>
    </row>
    <row r="56" spans="1:8" x14ac:dyDescent="0.2">
      <c r="A56" s="14"/>
      <c r="B56" s="14"/>
      <c r="C56" s="14" t="s">
        <v>31</v>
      </c>
      <c r="D56" s="7"/>
      <c r="E56" s="14"/>
      <c r="F56" s="18" t="s">
        <v>464</v>
      </c>
      <c r="G56" s="19">
        <f>DSch!J22</f>
        <v>38822.36</v>
      </c>
      <c r="H56" s="98"/>
    </row>
    <row r="57" spans="1:8" x14ac:dyDescent="0.2">
      <c r="A57" s="14"/>
      <c r="B57" s="14"/>
      <c r="C57" s="14" t="s">
        <v>515</v>
      </c>
      <c r="D57" s="7"/>
      <c r="E57" s="14"/>
      <c r="F57" s="176" t="s">
        <v>466</v>
      </c>
      <c r="G57" s="19">
        <f>SurCh!Y10*12</f>
        <v>163186.64800478471</v>
      </c>
      <c r="H57" s="98"/>
    </row>
    <row r="58" spans="1:8" ht="3.95" customHeight="1" x14ac:dyDescent="0.2">
      <c r="A58" s="14"/>
      <c r="B58" s="14"/>
      <c r="C58" s="14"/>
      <c r="D58" s="7"/>
      <c r="E58" s="14"/>
      <c r="F58" s="18"/>
      <c r="G58" s="19"/>
      <c r="H58" s="98"/>
    </row>
    <row r="59" spans="1:8" x14ac:dyDescent="0.2">
      <c r="A59" s="20" t="s">
        <v>38</v>
      </c>
      <c r="B59" s="14"/>
      <c r="C59" s="14"/>
      <c r="D59" s="7"/>
      <c r="E59" s="14"/>
      <c r="F59" s="18"/>
      <c r="G59" s="19">
        <f>SUM(G53:G57)</f>
        <v>3009946.5959292413</v>
      </c>
      <c r="H59" s="98"/>
    </row>
    <row r="60" spans="1:8" ht="3.95" customHeight="1" x14ac:dyDescent="0.2">
      <c r="A60" s="20"/>
      <c r="B60" s="14"/>
      <c r="C60" s="14"/>
      <c r="D60" s="7"/>
      <c r="E60" s="14"/>
      <c r="F60" s="18"/>
      <c r="G60" s="19"/>
      <c r="H60" s="98"/>
    </row>
    <row r="61" spans="1:8" x14ac:dyDescent="0.2">
      <c r="A61" s="14" t="s">
        <v>14</v>
      </c>
      <c r="B61" s="14"/>
      <c r="C61" s="14" t="s">
        <v>18</v>
      </c>
      <c r="D61" s="7"/>
      <c r="E61" s="14"/>
      <c r="F61" s="18"/>
      <c r="G61" s="19">
        <f>-(G13+G12+G15)</f>
        <v>-286066</v>
      </c>
      <c r="H61" s="98"/>
    </row>
    <row r="62" spans="1:8" x14ac:dyDescent="0.2">
      <c r="A62" s="14"/>
      <c r="B62" s="14"/>
      <c r="C62" s="14" t="s">
        <v>144</v>
      </c>
      <c r="D62" s="99">
        <v>22789</v>
      </c>
      <c r="E62" s="98">
        <v>-22789</v>
      </c>
      <c r="F62" s="181" t="s">
        <v>530</v>
      </c>
      <c r="G62" s="98">
        <f>E62+D62</f>
        <v>0</v>
      </c>
      <c r="H62" s="98"/>
    </row>
    <row r="63" spans="1:8" x14ac:dyDescent="0.2">
      <c r="A63" s="14"/>
      <c r="B63" s="14"/>
      <c r="C63" s="14" t="s">
        <v>125</v>
      </c>
      <c r="D63" s="7"/>
      <c r="E63" s="14"/>
      <c r="F63" s="18"/>
      <c r="G63" s="19">
        <v>-293</v>
      </c>
      <c r="H63" s="98"/>
    </row>
    <row r="64" spans="1:8" ht="3.95" customHeight="1" x14ac:dyDescent="0.2">
      <c r="A64" s="14"/>
      <c r="B64" s="14"/>
      <c r="C64" s="14"/>
      <c r="D64" s="7"/>
      <c r="E64" s="14"/>
      <c r="F64" s="18"/>
      <c r="G64" s="19"/>
      <c r="H64" s="98"/>
    </row>
    <row r="65" spans="1:8" x14ac:dyDescent="0.2">
      <c r="A65" s="20" t="s">
        <v>15</v>
      </c>
      <c r="B65" s="14"/>
      <c r="C65" s="14"/>
      <c r="D65" s="7"/>
      <c r="E65" s="14"/>
      <c r="F65" s="18"/>
      <c r="G65" s="19">
        <f>SUM(G59:G63)</f>
        <v>2723587.5959292413</v>
      </c>
      <c r="H65" s="98"/>
    </row>
    <row r="66" spans="1:8" ht="3.95" customHeight="1" x14ac:dyDescent="0.2">
      <c r="A66" s="20"/>
      <c r="B66" s="14"/>
      <c r="C66" s="14"/>
      <c r="D66" s="7"/>
      <c r="E66" s="14"/>
      <c r="F66" s="18"/>
      <c r="G66" s="19"/>
      <c r="H66" s="98"/>
    </row>
    <row r="67" spans="1:8" x14ac:dyDescent="0.2">
      <c r="A67" s="14" t="s">
        <v>14</v>
      </c>
      <c r="B67" s="14"/>
      <c r="C67" s="14" t="s">
        <v>39</v>
      </c>
      <c r="D67" s="7"/>
      <c r="E67" s="14"/>
      <c r="F67" s="18"/>
      <c r="G67" s="19">
        <f>-SUM(G7:G10)</f>
        <v>-1822189.0083999999</v>
      </c>
      <c r="H67" s="98"/>
    </row>
    <row r="68" spans="1:8" ht="3.95" customHeight="1" x14ac:dyDescent="0.2">
      <c r="A68" s="14"/>
      <c r="B68" s="14"/>
      <c r="C68" s="14"/>
      <c r="D68" s="7"/>
      <c r="E68" s="14"/>
      <c r="F68" s="18"/>
      <c r="G68" s="19"/>
      <c r="H68" s="98"/>
    </row>
    <row r="69" spans="1:8" x14ac:dyDescent="0.2">
      <c r="A69" s="20" t="s">
        <v>16</v>
      </c>
      <c r="B69" s="14"/>
      <c r="C69" s="14"/>
      <c r="D69" s="7"/>
      <c r="E69" s="14"/>
      <c r="F69" s="18"/>
      <c r="G69" s="17">
        <f>G65+G67</f>
        <v>901398.58752924134</v>
      </c>
      <c r="H69" s="98"/>
    </row>
    <row r="70" spans="1:8" ht="3.95" customHeight="1" x14ac:dyDescent="0.2">
      <c r="A70" s="14"/>
      <c r="B70" s="14"/>
      <c r="C70" s="14"/>
      <c r="D70" s="7"/>
      <c r="E70" s="14"/>
      <c r="F70" s="18"/>
      <c r="G70" s="14"/>
      <c r="H70" s="5"/>
    </row>
    <row r="71" spans="1:8" x14ac:dyDescent="0.2">
      <c r="A71" s="20" t="s">
        <v>17</v>
      </c>
      <c r="B71" s="14"/>
      <c r="C71" s="14"/>
      <c r="D71" s="7"/>
      <c r="E71" s="14"/>
      <c r="F71" s="18"/>
      <c r="G71" s="250">
        <f>ROUND(G69/-G67,3)</f>
        <v>0.495</v>
      </c>
      <c r="H71" s="5"/>
    </row>
  </sheetData>
  <printOptions horizontalCentered="1"/>
  <pageMargins left="0.2" right="0.2" top="0.25" bottom="0.2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2"/>
  <sheetViews>
    <sheetView zoomScale="85" zoomScaleNormal="85" workbookViewId="0"/>
  </sheetViews>
  <sheetFormatPr defaultRowHeight="15" x14ac:dyDescent="0.2"/>
  <cols>
    <col min="1" max="1" width="3.6640625" customWidth="1"/>
    <col min="2" max="2" width="2.6640625" customWidth="1"/>
    <col min="3" max="3" width="34.6640625" customWidth="1"/>
    <col min="4" max="5" width="11.5546875" customWidth="1"/>
    <col min="6" max="6" width="7" customWidth="1"/>
    <col min="7" max="7" width="11.5546875" customWidth="1"/>
    <col min="8" max="8" width="9.6640625" customWidth="1"/>
    <col min="10" max="10" width="10.21875" customWidth="1"/>
    <col min="12" max="12" width="11" bestFit="1" customWidth="1"/>
  </cols>
  <sheetData>
    <row r="1" spans="1:12" ht="18" x14ac:dyDescent="0.2">
      <c r="A1" s="238" t="s">
        <v>529</v>
      </c>
      <c r="B1" s="4"/>
      <c r="C1" s="4"/>
      <c r="D1" s="4"/>
      <c r="E1" s="4"/>
      <c r="F1" s="4"/>
      <c r="G1" s="4"/>
      <c r="H1" s="5"/>
    </row>
    <row r="2" spans="1:12" ht="15.75" x14ac:dyDescent="0.2">
      <c r="A2" s="23" t="s">
        <v>137</v>
      </c>
      <c r="B2" s="4"/>
      <c r="C2" s="4"/>
      <c r="D2" s="4"/>
      <c r="E2" s="4"/>
      <c r="F2" s="4"/>
      <c r="G2" s="4"/>
      <c r="H2" s="5"/>
    </row>
    <row r="3" spans="1:12" x14ac:dyDescent="0.2">
      <c r="A3" s="277" t="s">
        <v>574</v>
      </c>
      <c r="B3" s="4"/>
      <c r="C3" s="4"/>
      <c r="D3" s="4"/>
      <c r="E3" s="4"/>
      <c r="F3" s="4"/>
      <c r="G3" s="4"/>
      <c r="H3" s="5"/>
    </row>
    <row r="4" spans="1:12" ht="15.75" x14ac:dyDescent="0.2">
      <c r="A4" s="5"/>
      <c r="B4" s="5"/>
      <c r="C4" s="5"/>
      <c r="D4" s="6"/>
      <c r="E4" s="6"/>
      <c r="F4" s="6"/>
      <c r="G4" s="6"/>
      <c r="H4" s="5"/>
    </row>
    <row r="5" spans="1:12" x14ac:dyDescent="0.2">
      <c r="A5" s="14"/>
      <c r="B5" s="14"/>
      <c r="C5" s="14"/>
      <c r="D5" s="15" t="s">
        <v>32</v>
      </c>
      <c r="E5" s="15" t="s">
        <v>33</v>
      </c>
      <c r="F5" s="15" t="s">
        <v>59</v>
      </c>
      <c r="G5" s="15" t="s">
        <v>34</v>
      </c>
      <c r="H5" s="98"/>
    </row>
    <row r="6" spans="1:12" x14ac:dyDescent="0.2">
      <c r="A6" s="16" t="s">
        <v>8</v>
      </c>
      <c r="B6" s="14"/>
      <c r="C6" s="14"/>
      <c r="D6" s="14"/>
      <c r="E6" s="14"/>
      <c r="F6" s="14"/>
      <c r="G6" s="14"/>
      <c r="H6" s="98"/>
    </row>
    <row r="7" spans="1:12" x14ac:dyDescent="0.2">
      <c r="A7" s="14"/>
      <c r="B7" s="14" t="s">
        <v>127</v>
      </c>
      <c r="C7" s="14"/>
      <c r="D7" s="1"/>
      <c r="E7" s="19"/>
      <c r="F7" s="1"/>
      <c r="G7" s="1"/>
      <c r="H7" s="98"/>
    </row>
    <row r="8" spans="1:12" x14ac:dyDescent="0.2">
      <c r="A8" s="14"/>
      <c r="B8" s="14"/>
      <c r="C8" s="14" t="s">
        <v>128</v>
      </c>
      <c r="D8" s="17">
        <v>304</v>
      </c>
      <c r="E8" s="98"/>
      <c r="F8" s="7"/>
      <c r="G8" s="17">
        <f>D8+E8</f>
        <v>304</v>
      </c>
      <c r="H8" s="98"/>
    </row>
    <row r="9" spans="1:12" x14ac:dyDescent="0.2">
      <c r="A9" s="14"/>
      <c r="B9" s="14"/>
      <c r="C9" s="14" t="s">
        <v>129</v>
      </c>
      <c r="D9" s="98">
        <v>1878795</v>
      </c>
      <c r="E9" s="179">
        <v>34146</v>
      </c>
      <c r="F9" s="18" t="s">
        <v>44</v>
      </c>
      <c r="G9" s="1"/>
      <c r="H9" s="98"/>
      <c r="L9" s="180">
        <v>180000</v>
      </c>
    </row>
    <row r="10" spans="1:12" x14ac:dyDescent="0.2">
      <c r="A10" s="14"/>
      <c r="B10" s="14"/>
      <c r="C10" s="14"/>
      <c r="D10" s="98"/>
      <c r="E10" s="98">
        <f>SAO!E9</f>
        <v>-91055.991600000008</v>
      </c>
      <c r="F10" s="18" t="s">
        <v>45</v>
      </c>
      <c r="G10" s="98">
        <f>D9+E9+E10</f>
        <v>1821885.0083999999</v>
      </c>
      <c r="H10" s="98"/>
      <c r="L10" s="180">
        <f>E11</f>
        <v>-62792</v>
      </c>
    </row>
    <row r="11" spans="1:12" x14ac:dyDescent="0.2">
      <c r="A11" s="14"/>
      <c r="B11" s="14"/>
      <c r="C11" s="14" t="s">
        <v>130</v>
      </c>
      <c r="D11" s="98">
        <v>62792</v>
      </c>
      <c r="E11" s="270">
        <v>-62792</v>
      </c>
      <c r="F11" s="273" t="s">
        <v>51</v>
      </c>
      <c r="G11" s="270">
        <f>D11+E11</f>
        <v>0</v>
      </c>
      <c r="H11" s="98"/>
      <c r="L11" s="180">
        <f>-E25</f>
        <v>-26547</v>
      </c>
    </row>
    <row r="12" spans="1:12" ht="17.25" x14ac:dyDescent="0.35">
      <c r="A12" s="14"/>
      <c r="B12" s="14" t="s">
        <v>42</v>
      </c>
      <c r="C12" s="14"/>
      <c r="D12" s="17"/>
      <c r="E12" s="98"/>
      <c r="F12" s="18"/>
      <c r="G12" s="98"/>
      <c r="H12" s="98"/>
      <c r="L12" s="269">
        <f>-E26</f>
        <v>0</v>
      </c>
    </row>
    <row r="13" spans="1:12" x14ac:dyDescent="0.2">
      <c r="A13" s="14"/>
      <c r="B13" s="14"/>
      <c r="C13" s="14" t="s">
        <v>40</v>
      </c>
      <c r="D13" s="19"/>
      <c r="E13" s="98">
        <f>-E15</f>
        <v>72155.490000000005</v>
      </c>
      <c r="F13" s="111" t="s">
        <v>52</v>
      </c>
      <c r="G13" s="98">
        <f>D13+E13</f>
        <v>72155.490000000005</v>
      </c>
      <c r="H13" s="98"/>
      <c r="L13" s="180">
        <f>SUM(L9:L12)</f>
        <v>90661</v>
      </c>
    </row>
    <row r="14" spans="1:12" x14ac:dyDescent="0.2">
      <c r="A14" s="14"/>
      <c r="B14" s="14"/>
      <c r="C14" s="14" t="s">
        <v>41</v>
      </c>
      <c r="D14" s="19">
        <v>28253</v>
      </c>
      <c r="E14" s="98"/>
      <c r="F14" s="18"/>
      <c r="G14" s="98">
        <f>D14+E14</f>
        <v>28253</v>
      </c>
      <c r="H14" s="98"/>
    </row>
    <row r="15" spans="1:12" x14ac:dyDescent="0.2">
      <c r="A15" s="14"/>
      <c r="B15" s="14"/>
      <c r="C15" s="14" t="s">
        <v>411</v>
      </c>
      <c r="D15" s="19">
        <v>77813</v>
      </c>
      <c r="E15" s="98">
        <v>-72155.490000000005</v>
      </c>
      <c r="F15" s="111" t="s">
        <v>52</v>
      </c>
      <c r="G15" s="98"/>
      <c r="H15" s="98"/>
      <c r="L15" s="180"/>
    </row>
    <row r="16" spans="1:12" x14ac:dyDescent="0.2">
      <c r="A16" s="14"/>
      <c r="B16" s="7"/>
      <c r="C16" s="1"/>
      <c r="D16" s="7"/>
      <c r="E16" s="7"/>
      <c r="F16" s="272" t="s">
        <v>54</v>
      </c>
      <c r="G16" s="271">
        <f>D15+E15+E16</f>
        <v>5657.5099999999948</v>
      </c>
      <c r="H16" s="98"/>
    </row>
    <row r="17" spans="1:12" ht="6.95" customHeight="1" x14ac:dyDescent="0.2">
      <c r="A17" s="14"/>
      <c r="B17" s="14"/>
      <c r="C17" s="14"/>
      <c r="D17" s="19"/>
      <c r="E17" s="98"/>
      <c r="F17" s="18"/>
      <c r="G17" s="19"/>
      <c r="H17" s="98"/>
    </row>
    <row r="18" spans="1:12" x14ac:dyDescent="0.2">
      <c r="A18" s="20" t="s">
        <v>9</v>
      </c>
      <c r="B18" s="14"/>
      <c r="C18" s="14"/>
      <c r="D18" s="17">
        <f>SUM(D8:D17)</f>
        <v>2047957</v>
      </c>
      <c r="E18" s="98">
        <f>SUM(E7:E17)</f>
        <v>-119701.99160000001</v>
      </c>
      <c r="F18" s="18"/>
      <c r="G18" s="17">
        <f>SUM(G8:G17)</f>
        <v>1928255.0083999999</v>
      </c>
      <c r="H18" s="98">
        <f>D18+E18</f>
        <v>1928255.0083999999</v>
      </c>
    </row>
    <row r="19" spans="1:12" ht="6.95" customHeight="1" x14ac:dyDescent="0.2">
      <c r="A19" s="14"/>
      <c r="B19" s="14"/>
      <c r="C19" s="14"/>
      <c r="D19" s="19"/>
      <c r="E19" s="14"/>
      <c r="F19" s="18"/>
      <c r="G19" s="19"/>
      <c r="H19" s="98"/>
    </row>
    <row r="20" spans="1:12" x14ac:dyDescent="0.2">
      <c r="A20" s="16" t="s">
        <v>10</v>
      </c>
      <c r="B20" s="14"/>
      <c r="C20" s="14"/>
      <c r="D20" s="19"/>
      <c r="E20" s="14"/>
      <c r="F20" s="18"/>
      <c r="G20" s="19"/>
      <c r="H20" s="98"/>
    </row>
    <row r="21" spans="1:12" x14ac:dyDescent="0.2">
      <c r="A21" s="14"/>
      <c r="B21" s="14" t="s">
        <v>19</v>
      </c>
      <c r="C21" s="14"/>
      <c r="D21" s="19"/>
      <c r="E21" s="14"/>
      <c r="F21" s="18"/>
      <c r="G21" s="19"/>
      <c r="H21" s="98"/>
    </row>
    <row r="22" spans="1:12" x14ac:dyDescent="0.2">
      <c r="A22" s="14"/>
      <c r="B22" s="14"/>
      <c r="C22" s="14" t="s">
        <v>23</v>
      </c>
      <c r="D22" s="17">
        <v>555390</v>
      </c>
      <c r="E22" s="98">
        <f>SAO!E21</f>
        <v>-6360</v>
      </c>
      <c r="F22" s="111" t="s">
        <v>119</v>
      </c>
      <c r="G22" s="17">
        <f t="shared" ref="G22:G41" si="0">D22+E22</f>
        <v>549030</v>
      </c>
      <c r="H22" s="98"/>
    </row>
    <row r="23" spans="1:12" x14ac:dyDescent="0.2">
      <c r="A23" s="14"/>
      <c r="B23" s="14"/>
      <c r="C23" s="14" t="s">
        <v>24</v>
      </c>
      <c r="D23" s="19">
        <v>0</v>
      </c>
      <c r="E23" s="98"/>
      <c r="F23" s="18"/>
      <c r="G23" s="98">
        <f t="shared" si="0"/>
        <v>0</v>
      </c>
      <c r="H23" s="98"/>
    </row>
    <row r="24" spans="1:12" x14ac:dyDescent="0.2">
      <c r="A24" s="14"/>
      <c r="B24" s="14"/>
      <c r="C24" s="14" t="s">
        <v>25</v>
      </c>
      <c r="D24" s="19">
        <v>296755</v>
      </c>
      <c r="E24" s="98"/>
      <c r="F24" s="18"/>
      <c r="G24" s="98">
        <f t="shared" si="0"/>
        <v>296755</v>
      </c>
      <c r="H24" s="98"/>
    </row>
    <row r="25" spans="1:12" x14ac:dyDescent="0.2">
      <c r="A25" s="14"/>
      <c r="B25" s="14"/>
      <c r="C25" s="14" t="s">
        <v>26</v>
      </c>
      <c r="D25" s="19">
        <v>24603</v>
      </c>
      <c r="E25" s="270">
        <f>L27</f>
        <v>26547</v>
      </c>
      <c r="F25" s="272" t="s">
        <v>124</v>
      </c>
      <c r="G25" s="270">
        <f t="shared" si="0"/>
        <v>51150</v>
      </c>
      <c r="H25" s="99"/>
      <c r="L25" s="180">
        <f>7.75*550*12</f>
        <v>51150</v>
      </c>
    </row>
    <row r="26" spans="1:12" x14ac:dyDescent="0.2">
      <c r="A26" s="14"/>
      <c r="B26" s="14"/>
      <c r="C26" s="14" t="s">
        <v>27</v>
      </c>
      <c r="D26" s="19">
        <v>373353</v>
      </c>
      <c r="E26" s="98"/>
      <c r="F26" s="272" t="s">
        <v>405</v>
      </c>
      <c r="G26" s="1"/>
      <c r="H26" s="99"/>
      <c r="L26" s="280">
        <f>D25</f>
        <v>24603</v>
      </c>
    </row>
    <row r="27" spans="1:12" x14ac:dyDescent="0.2">
      <c r="A27" s="14"/>
      <c r="B27" s="14"/>
      <c r="C27" s="14"/>
      <c r="D27" s="19"/>
      <c r="E27" s="98">
        <f>SAO!E26</f>
        <v>-84420.965694387138</v>
      </c>
      <c r="F27" s="111" t="s">
        <v>412</v>
      </c>
      <c r="G27" s="270">
        <f>D26+E26+E27</f>
        <v>288932.03430561285</v>
      </c>
      <c r="H27" s="99"/>
      <c r="L27" s="279">
        <f>L25-L26</f>
        <v>26547</v>
      </c>
    </row>
    <row r="28" spans="1:12" x14ac:dyDescent="0.2">
      <c r="A28" s="14"/>
      <c r="B28" s="14"/>
      <c r="C28" s="14" t="s">
        <v>102</v>
      </c>
      <c r="D28" s="19">
        <v>115033</v>
      </c>
      <c r="E28" s="98">
        <f>SAO!E27</f>
        <v>-27611.156824705606</v>
      </c>
      <c r="F28" s="111" t="s">
        <v>412</v>
      </c>
      <c r="G28" s="98">
        <f t="shared" si="0"/>
        <v>87421.843175294402</v>
      </c>
      <c r="H28" s="99"/>
    </row>
    <row r="29" spans="1:12" x14ac:dyDescent="0.2">
      <c r="A29" s="14"/>
      <c r="B29" s="14"/>
      <c r="C29" s="14" t="s">
        <v>28</v>
      </c>
      <c r="D29" s="19">
        <v>156069</v>
      </c>
      <c r="E29" s="98">
        <f>SAO!E28</f>
        <v>-17640</v>
      </c>
      <c r="F29" s="111" t="s">
        <v>119</v>
      </c>
      <c r="G29" s="98">
        <f t="shared" si="0"/>
        <v>138429</v>
      </c>
      <c r="H29" s="98"/>
    </row>
    <row r="30" spans="1:12" x14ac:dyDescent="0.2">
      <c r="A30" s="14"/>
      <c r="B30" s="14"/>
      <c r="C30" s="14" t="s">
        <v>147</v>
      </c>
      <c r="D30" s="19">
        <f>42000+2844</f>
        <v>44844</v>
      </c>
      <c r="E30" s="98"/>
      <c r="F30" s="178"/>
      <c r="G30" s="98">
        <f t="shared" si="0"/>
        <v>44844</v>
      </c>
      <c r="H30" s="98"/>
    </row>
    <row r="31" spans="1:12" x14ac:dyDescent="0.2">
      <c r="A31" s="14"/>
      <c r="B31" s="14"/>
      <c r="C31" s="14" t="s">
        <v>131</v>
      </c>
      <c r="D31" s="19">
        <v>14709</v>
      </c>
      <c r="E31" s="98"/>
      <c r="F31" s="111"/>
      <c r="G31" s="98">
        <f t="shared" si="0"/>
        <v>14709</v>
      </c>
      <c r="H31" s="98"/>
    </row>
    <row r="32" spans="1:12" x14ac:dyDescent="0.2">
      <c r="A32" s="14"/>
      <c r="B32" s="14"/>
      <c r="C32" s="14" t="s">
        <v>132</v>
      </c>
      <c r="D32" s="19">
        <v>154668</v>
      </c>
      <c r="E32" s="98"/>
      <c r="F32" s="111"/>
      <c r="G32" s="98">
        <f t="shared" si="0"/>
        <v>154668</v>
      </c>
      <c r="H32" s="98"/>
    </row>
    <row r="33" spans="1:8" x14ac:dyDescent="0.2">
      <c r="A33" s="14"/>
      <c r="B33" s="14"/>
      <c r="C33" s="14" t="s">
        <v>133</v>
      </c>
      <c r="D33" s="19">
        <v>7898</v>
      </c>
      <c r="E33" s="14"/>
      <c r="F33" s="18"/>
      <c r="G33" s="98">
        <f t="shared" si="0"/>
        <v>7898</v>
      </c>
      <c r="H33" s="98"/>
    </row>
    <row r="34" spans="1:8" x14ac:dyDescent="0.2">
      <c r="A34" s="14"/>
      <c r="B34" s="14"/>
      <c r="C34" s="14" t="s">
        <v>103</v>
      </c>
      <c r="D34" s="19">
        <v>51314</v>
      </c>
      <c r="E34" s="14"/>
      <c r="F34" s="18"/>
      <c r="G34" s="98">
        <f t="shared" si="0"/>
        <v>51314</v>
      </c>
      <c r="H34" s="98"/>
    </row>
    <row r="35" spans="1:8" x14ac:dyDescent="0.2">
      <c r="A35" s="14"/>
      <c r="B35" s="14"/>
      <c r="C35" s="14" t="s">
        <v>36</v>
      </c>
      <c r="D35" s="19">
        <v>75334</v>
      </c>
      <c r="E35" s="14"/>
      <c r="F35" s="18"/>
      <c r="G35" s="98">
        <f t="shared" si="0"/>
        <v>75334</v>
      </c>
      <c r="H35" s="98"/>
    </row>
    <row r="36" spans="1:8" x14ac:dyDescent="0.2">
      <c r="A36" s="14"/>
      <c r="B36" s="14"/>
      <c r="C36" s="14" t="s">
        <v>134</v>
      </c>
      <c r="D36" s="19">
        <f>8042+25079</f>
        <v>33121</v>
      </c>
      <c r="E36" s="14"/>
      <c r="F36" s="18"/>
      <c r="G36" s="98">
        <f t="shared" si="0"/>
        <v>33121</v>
      </c>
      <c r="H36" s="98"/>
    </row>
    <row r="37" spans="1:8" x14ac:dyDescent="0.2">
      <c r="A37" s="14"/>
      <c r="B37" s="14"/>
      <c r="C37" s="14" t="s">
        <v>135</v>
      </c>
      <c r="D37" s="19">
        <v>28737</v>
      </c>
      <c r="E37" s="14"/>
      <c r="F37" s="18"/>
      <c r="G37" s="98">
        <f t="shared" si="0"/>
        <v>28737</v>
      </c>
      <c r="H37" s="98"/>
    </row>
    <row r="38" spans="1:8" x14ac:dyDescent="0.2">
      <c r="A38" s="14"/>
      <c r="B38" s="14"/>
      <c r="C38" s="14" t="s">
        <v>136</v>
      </c>
      <c r="D38" s="19">
        <v>7257</v>
      </c>
      <c r="E38" s="14"/>
      <c r="F38" s="18"/>
      <c r="G38" s="98">
        <f t="shared" si="0"/>
        <v>7257</v>
      </c>
      <c r="H38" s="98"/>
    </row>
    <row r="39" spans="1:8" x14ac:dyDescent="0.2">
      <c r="A39" s="14"/>
      <c r="B39" s="14"/>
      <c r="C39" s="14" t="s">
        <v>104</v>
      </c>
      <c r="D39" s="19">
        <v>3000</v>
      </c>
      <c r="E39" s="14"/>
      <c r="F39" s="18"/>
      <c r="G39" s="98">
        <f t="shared" si="0"/>
        <v>3000</v>
      </c>
      <c r="H39" s="98"/>
    </row>
    <row r="40" spans="1:8" x14ac:dyDescent="0.2">
      <c r="A40" s="14"/>
      <c r="B40" s="14"/>
      <c r="C40" s="14" t="s">
        <v>29</v>
      </c>
      <c r="D40" s="19">
        <v>67543</v>
      </c>
      <c r="E40" s="14"/>
      <c r="F40" s="18"/>
      <c r="G40" s="98">
        <f t="shared" si="0"/>
        <v>67543</v>
      </c>
      <c r="H40" s="98"/>
    </row>
    <row r="41" spans="1:8" x14ac:dyDescent="0.2">
      <c r="A41" s="14"/>
      <c r="B41" s="14"/>
      <c r="C41" s="14" t="s">
        <v>30</v>
      </c>
      <c r="D41" s="19">
        <v>40341</v>
      </c>
      <c r="E41" s="14"/>
      <c r="F41" s="18"/>
      <c r="G41" s="98">
        <f t="shared" si="0"/>
        <v>40341</v>
      </c>
      <c r="H41" s="98"/>
    </row>
    <row r="42" spans="1:8" ht="6.95" customHeight="1" x14ac:dyDescent="0.2">
      <c r="A42" s="14"/>
      <c r="B42" s="14"/>
      <c r="C42" s="14"/>
      <c r="D42" s="19"/>
      <c r="E42" s="14"/>
      <c r="F42" s="18"/>
      <c r="G42" s="19"/>
      <c r="H42" s="98"/>
    </row>
    <row r="43" spans="1:8" x14ac:dyDescent="0.2">
      <c r="A43" s="14"/>
      <c r="B43" s="14" t="s">
        <v>20</v>
      </c>
      <c r="C43" s="14"/>
      <c r="D43" s="19">
        <f>SUM(D22:D41)</f>
        <v>2049969</v>
      </c>
      <c r="E43" s="19">
        <f>SUM(E22:E41)</f>
        <v>-109485.12251909275</v>
      </c>
      <c r="F43" s="18"/>
      <c r="G43" s="19">
        <f>SUM(G22:G41)</f>
        <v>1940483.8774809071</v>
      </c>
      <c r="H43" s="98">
        <f>D43+E43</f>
        <v>1940483.8774809074</v>
      </c>
    </row>
    <row r="44" spans="1:8" ht="6.95" customHeight="1" x14ac:dyDescent="0.2">
      <c r="A44" s="14"/>
      <c r="B44" s="14"/>
      <c r="C44" s="14"/>
      <c r="D44" s="19"/>
      <c r="E44" s="14"/>
      <c r="F44" s="18"/>
      <c r="G44" s="19"/>
      <c r="H44" s="98"/>
    </row>
    <row r="45" spans="1:8" x14ac:dyDescent="0.2">
      <c r="A45" s="14"/>
      <c r="B45" s="14" t="s">
        <v>21</v>
      </c>
      <c r="C45" s="14"/>
      <c r="D45" s="19">
        <v>771703</v>
      </c>
      <c r="E45" s="98">
        <f>SAO!E45</f>
        <v>-87952.641556450209</v>
      </c>
      <c r="F45" s="18" t="s">
        <v>413</v>
      </c>
      <c r="G45" s="98">
        <f>D45+E45</f>
        <v>683750.35844354983</v>
      </c>
      <c r="H45" s="98"/>
    </row>
    <row r="46" spans="1:8" x14ac:dyDescent="0.2">
      <c r="A46" s="14"/>
      <c r="B46" s="14" t="s">
        <v>22</v>
      </c>
      <c r="C46" s="14"/>
      <c r="D46" s="19">
        <v>46496</v>
      </c>
      <c r="E46" s="98"/>
      <c r="F46" s="18"/>
      <c r="G46" s="98">
        <f>D46+E46</f>
        <v>46496</v>
      </c>
      <c r="H46" s="98"/>
    </row>
    <row r="47" spans="1:8" ht="6.95" customHeight="1" x14ac:dyDescent="0.2">
      <c r="A47" s="14"/>
      <c r="B47" s="14"/>
      <c r="C47" s="14"/>
      <c r="D47" s="19"/>
      <c r="E47" s="14"/>
      <c r="F47" s="18"/>
      <c r="G47" s="19"/>
      <c r="H47" s="98"/>
    </row>
    <row r="48" spans="1:8" x14ac:dyDescent="0.2">
      <c r="A48" s="20" t="s">
        <v>11</v>
      </c>
      <c r="B48" s="14"/>
      <c r="C48" s="14"/>
      <c r="D48" s="17">
        <f>D43+D45+D46</f>
        <v>2868168</v>
      </c>
      <c r="E48" s="17">
        <f>E43+E45+E46</f>
        <v>-197437.76407554297</v>
      </c>
      <c r="F48" s="18"/>
      <c r="G48" s="17">
        <f>G43+G45+G46</f>
        <v>2670730.2359244572</v>
      </c>
      <c r="H48" s="98">
        <f>D48+E48</f>
        <v>2670730.2359244572</v>
      </c>
    </row>
    <row r="49" spans="1:8" ht="6.95" customHeight="1" x14ac:dyDescent="0.2">
      <c r="A49" s="20"/>
      <c r="B49" s="14"/>
      <c r="C49" s="14"/>
      <c r="D49" s="19"/>
      <c r="E49" s="14"/>
      <c r="F49" s="18"/>
      <c r="G49" s="19"/>
      <c r="H49" s="98"/>
    </row>
    <row r="50" spans="1:8" x14ac:dyDescent="0.2">
      <c r="A50" s="20" t="s">
        <v>37</v>
      </c>
      <c r="B50" s="14"/>
      <c r="C50" s="14"/>
      <c r="D50" s="17">
        <f>D18-D48</f>
        <v>-820211</v>
      </c>
      <c r="E50" s="17">
        <f>E18-E48</f>
        <v>77735.772475542966</v>
      </c>
      <c r="F50" s="18"/>
      <c r="G50" s="17">
        <f>G18-G48</f>
        <v>-742475.22752445727</v>
      </c>
      <c r="H50" s="98">
        <f>D50+E50</f>
        <v>-742475.22752445703</v>
      </c>
    </row>
    <row r="51" spans="1:8" x14ac:dyDescent="0.2">
      <c r="A51" s="14"/>
      <c r="B51" s="14"/>
      <c r="C51" s="14"/>
      <c r="D51" s="19"/>
      <c r="E51" s="14"/>
      <c r="F51" s="18"/>
      <c r="G51" s="19"/>
      <c r="H51" s="98"/>
    </row>
    <row r="52" spans="1:8" ht="18" x14ac:dyDescent="0.2">
      <c r="A52" s="3" t="s">
        <v>50</v>
      </c>
      <c r="B52" s="21"/>
      <c r="C52" s="21"/>
      <c r="D52" s="21"/>
      <c r="E52" s="21"/>
      <c r="F52" s="8"/>
      <c r="G52" s="8"/>
      <c r="H52" s="98"/>
    </row>
    <row r="53" spans="1:8" ht="6.95" customHeight="1" x14ac:dyDescent="0.2">
      <c r="A53" s="14"/>
      <c r="B53" s="14"/>
      <c r="C53" s="14"/>
      <c r="D53" s="19"/>
      <c r="E53" s="15"/>
      <c r="F53" s="15"/>
      <c r="G53" s="19"/>
      <c r="H53" s="98"/>
    </row>
    <row r="54" spans="1:8" x14ac:dyDescent="0.2">
      <c r="A54" s="20" t="s">
        <v>12</v>
      </c>
      <c r="B54" s="14"/>
      <c r="C54" s="14"/>
      <c r="D54" s="7"/>
      <c r="E54" s="14"/>
      <c r="F54" s="18"/>
      <c r="G54" s="17">
        <f>G48</f>
        <v>2670730.2359244572</v>
      </c>
      <c r="H54" s="98"/>
    </row>
    <row r="55" spans="1:8" ht="6.95" customHeight="1" x14ac:dyDescent="0.2">
      <c r="A55" s="20"/>
      <c r="B55" s="14"/>
      <c r="C55" s="14"/>
      <c r="D55" s="7"/>
      <c r="E55" s="14"/>
      <c r="F55" s="18"/>
      <c r="G55" s="19"/>
      <c r="H55" s="98"/>
    </row>
    <row r="56" spans="1:8" x14ac:dyDescent="0.2">
      <c r="A56" s="14" t="s">
        <v>13</v>
      </c>
      <c r="B56" s="14"/>
      <c r="C56" s="14" t="s">
        <v>62</v>
      </c>
      <c r="D56" s="7"/>
      <c r="E56" s="14"/>
      <c r="F56" s="18" t="s">
        <v>464</v>
      </c>
      <c r="G56" s="19">
        <f>DSch!J20</f>
        <v>209997.56399999998</v>
      </c>
      <c r="H56" s="98"/>
    </row>
    <row r="57" spans="1:8" x14ac:dyDescent="0.2">
      <c r="A57" s="14"/>
      <c r="B57" s="14"/>
      <c r="C57" s="14" t="s">
        <v>31</v>
      </c>
      <c r="D57" s="7"/>
      <c r="E57" s="14"/>
      <c r="F57" s="18" t="s">
        <v>464</v>
      </c>
      <c r="G57" s="19">
        <f>DSch!J22</f>
        <v>38822.36</v>
      </c>
      <c r="H57" s="98"/>
    </row>
    <row r="58" spans="1:8" x14ac:dyDescent="0.2">
      <c r="A58" s="14"/>
      <c r="B58" s="14"/>
      <c r="C58" s="14" t="s">
        <v>515</v>
      </c>
      <c r="D58" s="7"/>
      <c r="E58" s="14"/>
      <c r="F58" s="275" t="s">
        <v>466</v>
      </c>
      <c r="G58" s="276">
        <f>SurCh!Y38*12</f>
        <v>177417.45804512419</v>
      </c>
      <c r="H58" s="98"/>
    </row>
    <row r="59" spans="1:8" ht="6.95" customHeight="1" x14ac:dyDescent="0.2">
      <c r="A59" s="14"/>
      <c r="B59" s="14"/>
      <c r="C59" s="14"/>
      <c r="D59" s="7"/>
      <c r="E59" s="14"/>
      <c r="F59" s="18"/>
      <c r="G59" s="19"/>
      <c r="H59" s="98"/>
    </row>
    <row r="60" spans="1:8" x14ac:dyDescent="0.2">
      <c r="A60" s="20" t="s">
        <v>38</v>
      </c>
      <c r="B60" s="14"/>
      <c r="C60" s="14"/>
      <c r="D60" s="7"/>
      <c r="E60" s="14"/>
      <c r="F60" s="18"/>
      <c r="G60" s="19">
        <f>SUM(G54:G58)</f>
        <v>3096967.6179695809</v>
      </c>
      <c r="H60" s="98"/>
    </row>
    <row r="61" spans="1:8" ht="6.95" customHeight="1" x14ac:dyDescent="0.2">
      <c r="A61" s="20"/>
      <c r="B61" s="14"/>
      <c r="C61" s="14"/>
      <c r="D61" s="7"/>
      <c r="E61" s="14"/>
      <c r="F61" s="18"/>
      <c r="G61" s="19"/>
      <c r="H61" s="98"/>
    </row>
    <row r="62" spans="1:8" x14ac:dyDescent="0.2">
      <c r="A62" s="14" t="s">
        <v>14</v>
      </c>
      <c r="B62" s="14"/>
      <c r="C62" s="14" t="s">
        <v>18</v>
      </c>
      <c r="D62" s="7"/>
      <c r="E62" s="14"/>
      <c r="F62" s="18"/>
      <c r="G62" s="19">
        <f>-(G14+G13+G16)</f>
        <v>-106066</v>
      </c>
      <c r="H62" s="98"/>
    </row>
    <row r="63" spans="1:8" x14ac:dyDescent="0.2">
      <c r="A63" s="14"/>
      <c r="B63" s="14"/>
      <c r="C63" s="14" t="s">
        <v>144</v>
      </c>
      <c r="D63" s="99">
        <v>22789</v>
      </c>
      <c r="E63" s="98">
        <v>-22789</v>
      </c>
      <c r="F63" s="181" t="s">
        <v>530</v>
      </c>
      <c r="G63" s="98">
        <f>E63+D63</f>
        <v>0</v>
      </c>
      <c r="H63" s="98"/>
    </row>
    <row r="64" spans="1:8" x14ac:dyDescent="0.2">
      <c r="A64" s="14"/>
      <c r="B64" s="14"/>
      <c r="C64" s="14" t="s">
        <v>125</v>
      </c>
      <c r="D64" s="7"/>
      <c r="E64" s="14"/>
      <c r="F64" s="18"/>
      <c r="G64" s="19">
        <v>-293</v>
      </c>
      <c r="H64" s="98"/>
    </row>
    <row r="65" spans="1:10" ht="6.95" customHeight="1" x14ac:dyDescent="0.2">
      <c r="A65" s="14"/>
      <c r="B65" s="14"/>
      <c r="C65" s="14"/>
      <c r="D65" s="7"/>
      <c r="E65" s="14"/>
      <c r="F65" s="18"/>
      <c r="G65" s="19"/>
      <c r="H65" s="98"/>
    </row>
    <row r="66" spans="1:10" x14ac:dyDescent="0.2">
      <c r="A66" s="20" t="s">
        <v>15</v>
      </c>
      <c r="B66" s="14"/>
      <c r="C66" s="14"/>
      <c r="D66" s="7"/>
      <c r="E66" s="14"/>
      <c r="F66" s="18"/>
      <c r="G66" s="19">
        <f>SUM(G60:G64)</f>
        <v>2990608.6179695809</v>
      </c>
      <c r="H66" s="98"/>
    </row>
    <row r="67" spans="1:10" ht="6.95" customHeight="1" x14ac:dyDescent="0.2">
      <c r="A67" s="20"/>
      <c r="B67" s="14"/>
      <c r="C67" s="14"/>
      <c r="D67" s="7"/>
      <c r="E67" s="14"/>
      <c r="F67" s="18"/>
      <c r="G67" s="19"/>
      <c r="H67" s="98"/>
    </row>
    <row r="68" spans="1:10" x14ac:dyDescent="0.2">
      <c r="A68" s="14" t="s">
        <v>14</v>
      </c>
      <c r="B68" s="14"/>
      <c r="C68" s="14" t="s">
        <v>39</v>
      </c>
      <c r="D68" s="7"/>
      <c r="E68" s="14"/>
      <c r="F68" s="18"/>
      <c r="G68" s="19">
        <f>-SUM(G8:G11)</f>
        <v>-1822189.0083999999</v>
      </c>
      <c r="H68" s="98"/>
    </row>
    <row r="69" spans="1:10" ht="6.95" customHeight="1" x14ac:dyDescent="0.2">
      <c r="A69" s="14"/>
      <c r="B69" s="14"/>
      <c r="C69" s="14"/>
      <c r="D69" s="7"/>
      <c r="E69" s="14"/>
      <c r="F69" s="18"/>
      <c r="G69" s="19"/>
      <c r="H69" s="98"/>
    </row>
    <row r="70" spans="1:10" x14ac:dyDescent="0.2">
      <c r="A70" s="20" t="s">
        <v>16</v>
      </c>
      <c r="B70" s="14"/>
      <c r="C70" s="14"/>
      <c r="D70" s="7"/>
      <c r="E70" s="14"/>
      <c r="F70" s="18"/>
      <c r="G70" s="17">
        <f>G66+G68</f>
        <v>1168419.609569581</v>
      </c>
      <c r="H70" s="98"/>
      <c r="J70" s="204">
        <f>G70-'SAO2'!G69</f>
        <v>267021.02204033965</v>
      </c>
    </row>
    <row r="71" spans="1:10" ht="6.95" customHeight="1" x14ac:dyDescent="0.2">
      <c r="A71" s="14"/>
      <c r="B71" s="14"/>
      <c r="C71" s="14"/>
      <c r="D71" s="7"/>
      <c r="E71" s="14"/>
      <c r="F71" s="18"/>
      <c r="G71" s="14"/>
      <c r="H71" s="5"/>
    </row>
    <row r="72" spans="1:10" x14ac:dyDescent="0.2">
      <c r="A72" s="20" t="s">
        <v>17</v>
      </c>
      <c r="B72" s="14"/>
      <c r="C72" s="14"/>
      <c r="D72" s="7"/>
      <c r="E72" s="14"/>
      <c r="F72" s="18"/>
      <c r="G72" s="278">
        <f>ROUND(G70/-G68,3)</f>
        <v>0.64100000000000001</v>
      </c>
      <c r="H72" s="5"/>
    </row>
  </sheetData>
  <printOptions horizontalCentered="1"/>
  <pageMargins left="0.7" right="0.7" top="0.25" bottom="0.2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I60"/>
  <sheetViews>
    <sheetView tabSelected="1" workbookViewId="0">
      <selection activeCell="H11" sqref="H11"/>
    </sheetView>
  </sheetViews>
  <sheetFormatPr defaultRowHeight="15" x14ac:dyDescent="0.2"/>
  <cols>
    <col min="1" max="1" width="1.5546875" customWidth="1"/>
    <col min="2" max="2" width="3.77734375" customWidth="1"/>
    <col min="3" max="3" width="82.33203125" customWidth="1"/>
    <col min="4" max="4" width="5.44140625" customWidth="1"/>
    <col min="5" max="5" width="1.77734375" customWidth="1"/>
  </cols>
  <sheetData>
    <row r="2" spans="2:4" ht="18" x14ac:dyDescent="0.25">
      <c r="B2" s="119" t="s">
        <v>55</v>
      </c>
      <c r="C2" s="8"/>
      <c r="D2" s="8"/>
    </row>
    <row r="3" spans="2:4" ht="15.75" thickBot="1" x14ac:dyDescent="0.25"/>
    <row r="4" spans="2:4" x14ac:dyDescent="0.2">
      <c r="B4" s="254"/>
      <c r="C4" s="255"/>
      <c r="D4" s="264"/>
    </row>
    <row r="5" spans="2:4" ht="12" customHeight="1" x14ac:dyDescent="0.2">
      <c r="B5" s="256" t="s">
        <v>44</v>
      </c>
      <c r="C5" s="257" t="s">
        <v>531</v>
      </c>
      <c r="D5" s="265"/>
    </row>
    <row r="6" spans="2:4" ht="12" customHeight="1" x14ac:dyDescent="0.2">
      <c r="B6" s="256"/>
      <c r="C6" s="257" t="s">
        <v>532</v>
      </c>
      <c r="D6" s="265"/>
    </row>
    <row r="7" spans="2:4" ht="12" customHeight="1" x14ac:dyDescent="0.2">
      <c r="B7" s="256"/>
      <c r="C7" s="257" t="s">
        <v>533</v>
      </c>
      <c r="D7" s="265"/>
    </row>
    <row r="8" spans="2:4" ht="6.95" customHeight="1" x14ac:dyDescent="0.2">
      <c r="B8" s="256"/>
      <c r="C8" s="257"/>
      <c r="D8" s="265"/>
    </row>
    <row r="9" spans="2:4" ht="12" customHeight="1" x14ac:dyDescent="0.2">
      <c r="B9" s="256" t="s">
        <v>45</v>
      </c>
      <c r="C9" s="257" t="s">
        <v>534</v>
      </c>
      <c r="D9" s="265"/>
    </row>
    <row r="10" spans="2:4" ht="12" customHeight="1" x14ac:dyDescent="0.2">
      <c r="B10" s="256"/>
      <c r="C10" s="257" t="s">
        <v>535</v>
      </c>
      <c r="D10" s="265"/>
    </row>
    <row r="11" spans="2:4" ht="12" customHeight="1" x14ac:dyDescent="0.2">
      <c r="B11" s="256"/>
      <c r="C11" s="257" t="s">
        <v>536</v>
      </c>
      <c r="D11" s="265"/>
    </row>
    <row r="12" spans="2:4" ht="6.95" customHeight="1" x14ac:dyDescent="0.2">
      <c r="B12" s="256"/>
      <c r="C12" s="258"/>
      <c r="D12" s="265"/>
    </row>
    <row r="13" spans="2:4" ht="12" customHeight="1" x14ac:dyDescent="0.2">
      <c r="B13" s="256" t="s">
        <v>51</v>
      </c>
      <c r="C13" s="258" t="s">
        <v>537</v>
      </c>
      <c r="D13" s="265"/>
    </row>
    <row r="14" spans="2:4" ht="12" customHeight="1" x14ac:dyDescent="0.2">
      <c r="B14" s="259"/>
      <c r="C14" s="258" t="s">
        <v>538</v>
      </c>
      <c r="D14" s="265"/>
    </row>
    <row r="15" spans="2:4" ht="6.95" customHeight="1" x14ac:dyDescent="0.2">
      <c r="B15" s="259"/>
      <c r="C15" s="258"/>
      <c r="D15" s="265"/>
    </row>
    <row r="16" spans="2:4" ht="12" customHeight="1" x14ac:dyDescent="0.2">
      <c r="B16" s="256" t="s">
        <v>52</v>
      </c>
      <c r="C16" s="258" t="s">
        <v>539</v>
      </c>
      <c r="D16" s="265"/>
    </row>
    <row r="17" spans="2:9" ht="12" customHeight="1" x14ac:dyDescent="0.2">
      <c r="B17" s="256"/>
      <c r="C17" s="258" t="s">
        <v>540</v>
      </c>
      <c r="D17" s="265"/>
    </row>
    <row r="18" spans="2:9" ht="6.95" customHeight="1" x14ac:dyDescent="0.2">
      <c r="B18" s="256"/>
      <c r="C18" s="258"/>
      <c r="D18" s="265"/>
    </row>
    <row r="19" spans="2:9" ht="12" customHeight="1" x14ac:dyDescent="0.2">
      <c r="B19" s="256" t="s">
        <v>54</v>
      </c>
      <c r="C19" s="260" t="s">
        <v>541</v>
      </c>
      <c r="D19" s="265"/>
    </row>
    <row r="20" spans="2:9" ht="12" customHeight="1" x14ac:dyDescent="0.2">
      <c r="B20" s="259"/>
      <c r="C20" s="260" t="s">
        <v>542</v>
      </c>
      <c r="D20" s="265"/>
    </row>
    <row r="21" spans="2:9" ht="6.95" customHeight="1" x14ac:dyDescent="0.2">
      <c r="B21" s="259"/>
      <c r="C21" s="260"/>
      <c r="D21" s="265"/>
    </row>
    <row r="22" spans="2:9" ht="12" customHeight="1" x14ac:dyDescent="0.2">
      <c r="B22" s="256" t="s">
        <v>119</v>
      </c>
      <c r="C22" s="260" t="s">
        <v>543</v>
      </c>
      <c r="D22" s="265"/>
    </row>
    <row r="23" spans="2:9" ht="12" customHeight="1" x14ac:dyDescent="0.2">
      <c r="B23" s="256"/>
      <c r="C23" s="260" t="s">
        <v>544</v>
      </c>
      <c r="D23" s="265"/>
      <c r="I23" s="369">
        <f>6360/24000</f>
        <v>0.26500000000000001</v>
      </c>
    </row>
    <row r="24" spans="2:9" ht="12" customHeight="1" x14ac:dyDescent="0.2">
      <c r="B24" s="256"/>
      <c r="C24" s="260" t="s">
        <v>545</v>
      </c>
      <c r="D24" s="265"/>
    </row>
    <row r="25" spans="2:9" ht="12" customHeight="1" x14ac:dyDescent="0.2">
      <c r="B25" s="256"/>
      <c r="C25" s="260" t="s">
        <v>546</v>
      </c>
      <c r="D25" s="265"/>
    </row>
    <row r="26" spans="2:9" ht="6.95" customHeight="1" x14ac:dyDescent="0.2">
      <c r="B26" s="256"/>
      <c r="C26" s="261"/>
      <c r="D26" s="265"/>
    </row>
    <row r="27" spans="2:9" ht="12" customHeight="1" x14ac:dyDescent="0.2">
      <c r="B27" s="256" t="s">
        <v>124</v>
      </c>
      <c r="C27" s="260" t="s">
        <v>547</v>
      </c>
      <c r="D27" s="265"/>
    </row>
    <row r="28" spans="2:9" ht="12" customHeight="1" x14ac:dyDescent="0.2">
      <c r="B28" s="256"/>
      <c r="C28" s="260" t="s">
        <v>548</v>
      </c>
      <c r="D28" s="265"/>
    </row>
    <row r="29" spans="2:9" ht="6.95" customHeight="1" x14ac:dyDescent="0.2">
      <c r="B29" s="256"/>
      <c r="C29" s="258"/>
      <c r="D29" s="265"/>
    </row>
    <row r="30" spans="2:9" ht="12" customHeight="1" x14ac:dyDescent="0.2">
      <c r="B30" s="256" t="s">
        <v>405</v>
      </c>
      <c r="C30" s="260" t="s">
        <v>549</v>
      </c>
      <c r="D30" s="265"/>
    </row>
    <row r="31" spans="2:9" ht="12" customHeight="1" x14ac:dyDescent="0.2">
      <c r="B31" s="256"/>
      <c r="C31" s="260" t="s">
        <v>550</v>
      </c>
      <c r="D31" s="265"/>
    </row>
    <row r="32" spans="2:9" ht="12" customHeight="1" x14ac:dyDescent="0.2">
      <c r="B32" s="256"/>
      <c r="C32" s="260" t="s">
        <v>568</v>
      </c>
      <c r="D32" s="265"/>
    </row>
    <row r="33" spans="2:4" ht="12" customHeight="1" x14ac:dyDescent="0.2">
      <c r="B33" s="256"/>
      <c r="C33" s="260" t="s">
        <v>569</v>
      </c>
      <c r="D33" s="265"/>
    </row>
    <row r="34" spans="2:4" ht="12" customHeight="1" x14ac:dyDescent="0.2">
      <c r="B34" s="256"/>
      <c r="C34" s="260" t="s">
        <v>570</v>
      </c>
      <c r="D34" s="265"/>
    </row>
    <row r="35" spans="2:4" ht="6.95" customHeight="1" x14ac:dyDescent="0.2">
      <c r="B35" s="256"/>
      <c r="C35" s="260"/>
      <c r="D35" s="265"/>
    </row>
    <row r="36" spans="2:4" ht="12" customHeight="1" x14ac:dyDescent="0.2">
      <c r="B36" s="256" t="s">
        <v>412</v>
      </c>
      <c r="C36" s="260" t="s">
        <v>551</v>
      </c>
      <c r="D36" s="265"/>
    </row>
    <row r="37" spans="2:4" ht="12" customHeight="1" x14ac:dyDescent="0.2">
      <c r="B37" s="256"/>
      <c r="C37" s="260" t="s">
        <v>552</v>
      </c>
      <c r="D37" s="265"/>
    </row>
    <row r="38" spans="2:4" ht="12" customHeight="1" x14ac:dyDescent="0.2">
      <c r="B38" s="256"/>
      <c r="C38" s="260" t="s">
        <v>553</v>
      </c>
      <c r="D38" s="265"/>
    </row>
    <row r="39" spans="2:4" ht="12" customHeight="1" x14ac:dyDescent="0.2">
      <c r="B39" s="256"/>
      <c r="C39" s="260" t="s">
        <v>554</v>
      </c>
      <c r="D39" s="265"/>
    </row>
    <row r="40" spans="2:4" ht="12" customHeight="1" x14ac:dyDescent="0.2">
      <c r="B40" s="256"/>
      <c r="C40" s="260" t="s">
        <v>555</v>
      </c>
      <c r="D40" s="265"/>
    </row>
    <row r="41" spans="2:4" ht="6.95" customHeight="1" x14ac:dyDescent="0.2">
      <c r="B41" s="256"/>
      <c r="C41" s="260"/>
      <c r="D41" s="265"/>
    </row>
    <row r="42" spans="2:4" ht="12" customHeight="1" x14ac:dyDescent="0.2">
      <c r="B42" s="256"/>
      <c r="C42" s="260" t="s">
        <v>409</v>
      </c>
      <c r="D42" s="265"/>
    </row>
    <row r="43" spans="2:4" ht="12" customHeight="1" x14ac:dyDescent="0.2">
      <c r="B43" s="256"/>
      <c r="C43" s="260" t="s">
        <v>410</v>
      </c>
      <c r="D43" s="265"/>
    </row>
    <row r="44" spans="2:4" ht="6.95" customHeight="1" x14ac:dyDescent="0.2">
      <c r="B44" s="256"/>
      <c r="C44" s="260"/>
      <c r="D44" s="265"/>
    </row>
    <row r="45" spans="2:4" ht="12" customHeight="1" x14ac:dyDescent="0.2">
      <c r="B45" s="256" t="s">
        <v>413</v>
      </c>
      <c r="C45" s="258" t="s">
        <v>556</v>
      </c>
      <c r="D45" s="265"/>
    </row>
    <row r="46" spans="2:4" ht="12" customHeight="1" x14ac:dyDescent="0.2">
      <c r="B46" s="256"/>
      <c r="C46" s="258" t="s">
        <v>557</v>
      </c>
      <c r="D46" s="265"/>
    </row>
    <row r="47" spans="2:4" ht="12" customHeight="1" x14ac:dyDescent="0.2">
      <c r="B47" s="256"/>
      <c r="C47" s="258" t="s">
        <v>558</v>
      </c>
      <c r="D47" s="265"/>
    </row>
    <row r="48" spans="2:4" ht="12" customHeight="1" x14ac:dyDescent="0.2">
      <c r="B48" s="256"/>
      <c r="C48" s="260" t="s">
        <v>559</v>
      </c>
      <c r="D48" s="265"/>
    </row>
    <row r="49" spans="2:4" ht="12" customHeight="1" x14ac:dyDescent="0.2">
      <c r="B49" s="256"/>
      <c r="C49" s="258" t="s">
        <v>560</v>
      </c>
      <c r="D49" s="265"/>
    </row>
    <row r="50" spans="2:4" ht="6.95" customHeight="1" x14ac:dyDescent="0.2">
      <c r="B50" s="256"/>
      <c r="C50" s="260"/>
      <c r="D50" s="265"/>
    </row>
    <row r="51" spans="2:4" ht="12" customHeight="1" x14ac:dyDescent="0.2">
      <c r="B51" s="256" t="s">
        <v>464</v>
      </c>
      <c r="C51" s="258" t="s">
        <v>561</v>
      </c>
      <c r="D51" s="265"/>
    </row>
    <row r="52" spans="2:4" ht="12" customHeight="1" x14ac:dyDescent="0.2">
      <c r="B52" s="256"/>
      <c r="C52" s="258" t="s">
        <v>562</v>
      </c>
      <c r="D52" s="265"/>
    </row>
    <row r="53" spans="2:4" ht="6.95" customHeight="1" x14ac:dyDescent="0.2">
      <c r="B53" s="256"/>
      <c r="C53" s="260"/>
      <c r="D53" s="265"/>
    </row>
    <row r="54" spans="2:4" ht="12" customHeight="1" x14ac:dyDescent="0.2">
      <c r="B54" s="256" t="s">
        <v>466</v>
      </c>
      <c r="C54" s="268" t="s">
        <v>565</v>
      </c>
      <c r="D54" s="265"/>
    </row>
    <row r="55" spans="2:4" ht="12" customHeight="1" x14ac:dyDescent="0.2">
      <c r="B55" s="267"/>
      <c r="C55" s="268" t="s">
        <v>566</v>
      </c>
      <c r="D55" s="265"/>
    </row>
    <row r="56" spans="2:4" ht="12" customHeight="1" x14ac:dyDescent="0.2">
      <c r="B56" s="256"/>
      <c r="C56" s="260" t="s">
        <v>567</v>
      </c>
      <c r="D56" s="265"/>
    </row>
    <row r="57" spans="2:4" ht="12" customHeight="1" x14ac:dyDescent="0.2">
      <c r="B57" s="256"/>
      <c r="C57" s="260"/>
      <c r="D57" s="265"/>
    </row>
    <row r="58" spans="2:4" ht="12" customHeight="1" x14ac:dyDescent="0.2">
      <c r="B58" s="256" t="s">
        <v>530</v>
      </c>
      <c r="C58" s="260" t="s">
        <v>563</v>
      </c>
      <c r="D58" s="265"/>
    </row>
    <row r="59" spans="2:4" ht="12" customHeight="1" x14ac:dyDescent="0.2">
      <c r="B59" s="256"/>
      <c r="C59" s="260" t="s">
        <v>564</v>
      </c>
      <c r="D59" s="265"/>
    </row>
    <row r="60" spans="2:4" ht="15.75" thickBot="1" x14ac:dyDescent="0.25">
      <c r="B60" s="262"/>
      <c r="C60" s="263"/>
      <c r="D60" s="266"/>
    </row>
  </sheetData>
  <printOptions horizontalCentered="1"/>
  <pageMargins left="0.15" right="0.15" top="1" bottom="0.2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IT218"/>
  <sheetViews>
    <sheetView workbookViewId="0"/>
  </sheetViews>
  <sheetFormatPr defaultRowHeight="15" x14ac:dyDescent="0.2"/>
  <cols>
    <col min="1" max="1" width="1.88671875" customWidth="1"/>
    <col min="2" max="2" width="2" customWidth="1"/>
    <col min="3" max="3" width="11.33203125" style="1" customWidth="1"/>
    <col min="4" max="4" width="26.77734375" style="1" customWidth="1"/>
    <col min="5" max="5" width="9.21875" style="1" customWidth="1"/>
    <col min="6" max="6" width="12.109375" style="1" customWidth="1"/>
    <col min="7" max="7" width="7.21875" style="1" customWidth="1"/>
    <col min="8" max="8" width="10.88671875" style="1" customWidth="1"/>
    <col min="9" max="9" width="7.21875" style="1" customWidth="1"/>
    <col min="10" max="10" width="10.77734375" style="1" customWidth="1"/>
    <col min="11" max="11" width="10.44140625" style="1" customWidth="1"/>
    <col min="12" max="12" width="2" style="1" customWidth="1"/>
    <col min="13" max="254" width="9.6640625" style="1" customWidth="1"/>
  </cols>
  <sheetData>
    <row r="3" spans="1:12" ht="18" x14ac:dyDescent="0.25">
      <c r="C3" s="96" t="s">
        <v>53</v>
      </c>
      <c r="D3" s="97"/>
      <c r="E3" s="97"/>
      <c r="F3" s="97"/>
      <c r="G3" s="97"/>
      <c r="H3" s="97"/>
      <c r="I3" s="97"/>
      <c r="J3" s="8"/>
      <c r="K3" s="8"/>
    </row>
    <row r="4" spans="1:12" ht="18" x14ac:dyDescent="0.25">
      <c r="C4" s="95" t="s">
        <v>1</v>
      </c>
      <c r="D4" s="97"/>
      <c r="E4" s="97"/>
      <c r="F4" s="97"/>
      <c r="G4" s="97"/>
      <c r="H4" s="97"/>
      <c r="I4" s="97"/>
      <c r="J4" s="8"/>
      <c r="K4" s="8"/>
    </row>
    <row r="5" spans="1:12" x14ac:dyDescent="0.2">
      <c r="C5" s="55"/>
      <c r="D5" s="55"/>
      <c r="E5" s="55"/>
      <c r="F5" s="55"/>
      <c r="G5" s="55"/>
      <c r="H5" s="55"/>
      <c r="I5" s="55"/>
      <c r="J5" s="55"/>
      <c r="K5" s="55"/>
    </row>
    <row r="6" spans="1:12" x14ac:dyDescent="0.2"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x14ac:dyDescent="0.2">
      <c r="C7" s="104" t="s">
        <v>183</v>
      </c>
      <c r="D7" s="104"/>
      <c r="E7" s="104" t="s">
        <v>106</v>
      </c>
      <c r="F7" s="104" t="s">
        <v>4</v>
      </c>
      <c r="G7" s="105" t="s">
        <v>99</v>
      </c>
      <c r="H7" s="105"/>
      <c r="I7" s="105" t="s">
        <v>107</v>
      </c>
      <c r="J7" s="105"/>
      <c r="K7" s="104"/>
      <c r="L7" s="103"/>
    </row>
    <row r="8" spans="1:12" x14ac:dyDescent="0.2">
      <c r="C8" s="104" t="s">
        <v>184</v>
      </c>
      <c r="D8" s="104" t="s">
        <v>108</v>
      </c>
      <c r="E8" s="104" t="s">
        <v>3</v>
      </c>
      <c r="F8" s="104" t="s">
        <v>5</v>
      </c>
      <c r="G8" s="104" t="s">
        <v>6</v>
      </c>
      <c r="H8" s="104" t="s">
        <v>43</v>
      </c>
      <c r="I8" s="104" t="s">
        <v>6</v>
      </c>
      <c r="J8" s="104" t="s">
        <v>43</v>
      </c>
      <c r="K8" s="104" t="s">
        <v>109</v>
      </c>
      <c r="L8" s="103"/>
    </row>
    <row r="9" spans="1:12" x14ac:dyDescent="0.2">
      <c r="C9" s="106"/>
      <c r="D9" s="106"/>
      <c r="E9" s="106"/>
      <c r="F9" s="106"/>
      <c r="G9" s="106"/>
      <c r="H9" s="106"/>
      <c r="I9" s="106"/>
      <c r="J9" s="106"/>
      <c r="K9" s="106"/>
      <c r="L9" s="103"/>
    </row>
    <row r="10" spans="1:12" ht="15" customHeight="1" x14ac:dyDescent="0.2">
      <c r="A10" s="30"/>
      <c r="B10" s="30"/>
      <c r="C10" s="107" t="s">
        <v>185</v>
      </c>
      <c r="D10" s="104"/>
      <c r="E10" s="104"/>
      <c r="F10" s="104"/>
      <c r="G10" s="104"/>
      <c r="H10" s="104"/>
      <c r="I10" s="104"/>
      <c r="J10" s="104"/>
      <c r="K10" s="104"/>
      <c r="L10" s="165"/>
    </row>
    <row r="11" spans="1:12" x14ac:dyDescent="0.2">
      <c r="A11" s="30"/>
      <c r="B11" s="30"/>
      <c r="C11" s="159" t="s">
        <v>186</v>
      </c>
      <c r="D11" s="158" t="s">
        <v>188</v>
      </c>
      <c r="E11" s="159" t="s">
        <v>187</v>
      </c>
      <c r="F11" s="148">
        <v>214713.83</v>
      </c>
      <c r="G11" s="148">
        <v>99</v>
      </c>
      <c r="H11" s="148">
        <v>0</v>
      </c>
      <c r="I11" s="148">
        <v>99</v>
      </c>
      <c r="J11" s="148">
        <v>0</v>
      </c>
      <c r="K11" s="109">
        <v>0</v>
      </c>
      <c r="L11" s="165"/>
    </row>
    <row r="12" spans="1:12" x14ac:dyDescent="0.2">
      <c r="A12" s="30"/>
      <c r="B12" s="30"/>
      <c r="C12" s="159"/>
      <c r="D12" s="158"/>
      <c r="E12" s="158"/>
      <c r="F12" s="148"/>
      <c r="G12" s="148"/>
      <c r="H12" s="148"/>
      <c r="I12" s="148"/>
      <c r="J12" s="148"/>
      <c r="K12" s="109"/>
      <c r="L12" s="165"/>
    </row>
    <row r="13" spans="1:12" x14ac:dyDescent="0.2">
      <c r="A13" s="30"/>
      <c r="B13" s="30"/>
      <c r="C13" s="107" t="s">
        <v>189</v>
      </c>
      <c r="D13" s="158"/>
      <c r="E13" s="158"/>
      <c r="F13" s="148"/>
      <c r="G13" s="148"/>
      <c r="H13" s="148"/>
      <c r="I13" s="148"/>
      <c r="J13" s="148"/>
      <c r="K13" s="109"/>
      <c r="L13" s="165"/>
    </row>
    <row r="14" spans="1:12" x14ac:dyDescent="0.2">
      <c r="A14" s="30"/>
      <c r="B14" s="30"/>
      <c r="C14" s="159" t="s">
        <v>190</v>
      </c>
      <c r="D14" s="158" t="s">
        <v>191</v>
      </c>
      <c r="E14" s="164">
        <v>33970</v>
      </c>
      <c r="F14" s="148">
        <v>15731</v>
      </c>
      <c r="G14" s="148">
        <v>25</v>
      </c>
      <c r="H14" s="148">
        <f>F14/G14</f>
        <v>629.24</v>
      </c>
      <c r="I14" s="148">
        <v>37.5</v>
      </c>
      <c r="J14" s="163">
        <f>F14/I14</f>
        <v>419.49333333333334</v>
      </c>
      <c r="K14" s="109">
        <f>J14-H14</f>
        <v>-209.74666666666667</v>
      </c>
      <c r="L14" s="165"/>
    </row>
    <row r="15" spans="1:12" x14ac:dyDescent="0.2">
      <c r="A15" s="30"/>
      <c r="B15" s="30"/>
      <c r="C15" s="159" t="s">
        <v>192</v>
      </c>
      <c r="D15" s="158"/>
      <c r="E15" s="164"/>
      <c r="F15" s="166">
        <v>493496.89</v>
      </c>
      <c r="G15" s="148">
        <v>50</v>
      </c>
      <c r="H15" s="148">
        <v>9553.76</v>
      </c>
      <c r="I15" s="148">
        <v>37.5</v>
      </c>
      <c r="J15" s="163">
        <f>F15/I15</f>
        <v>13159.917066666667</v>
      </c>
      <c r="K15" s="109">
        <f>J15-H15</f>
        <v>3606.1570666666667</v>
      </c>
      <c r="L15" s="165"/>
    </row>
    <row r="16" spans="1:12" ht="15" customHeight="1" x14ac:dyDescent="0.2">
      <c r="A16" s="30"/>
      <c r="B16" s="30"/>
      <c r="C16" s="159"/>
      <c r="D16" s="158"/>
      <c r="E16" s="164"/>
      <c r="F16" s="148"/>
      <c r="G16" s="148"/>
      <c r="H16" s="148"/>
      <c r="I16" s="148"/>
      <c r="J16" s="148"/>
      <c r="K16" s="109">
        <f>J16-H16</f>
        <v>0</v>
      </c>
      <c r="L16" s="165"/>
    </row>
    <row r="17" spans="1:12" ht="15" customHeight="1" x14ac:dyDescent="0.2">
      <c r="A17" s="30"/>
      <c r="B17" s="30"/>
      <c r="C17" s="107" t="s">
        <v>193</v>
      </c>
      <c r="D17" s="158"/>
      <c r="E17" s="164"/>
      <c r="F17" s="148"/>
      <c r="G17" s="148"/>
      <c r="H17" s="148"/>
      <c r="I17" s="148"/>
      <c r="J17" s="148"/>
      <c r="K17" s="109">
        <v>0</v>
      </c>
      <c r="L17" s="165"/>
    </row>
    <row r="18" spans="1:12" ht="15" customHeight="1" x14ac:dyDescent="0.2">
      <c r="A18" s="30"/>
      <c r="B18" s="30"/>
      <c r="C18" s="159" t="s">
        <v>194</v>
      </c>
      <c r="D18" s="158" t="s">
        <v>197</v>
      </c>
      <c r="E18" s="164">
        <v>25569</v>
      </c>
      <c r="F18" s="148">
        <v>210488</v>
      </c>
      <c r="G18" s="148">
        <v>99</v>
      </c>
      <c r="H18" s="148">
        <v>0</v>
      </c>
      <c r="I18" s="148">
        <v>62.5</v>
      </c>
      <c r="J18" s="163">
        <f>F18/I18</f>
        <v>3367.808</v>
      </c>
      <c r="K18" s="109">
        <f>J18-H18</f>
        <v>3367.808</v>
      </c>
      <c r="L18" s="165"/>
    </row>
    <row r="19" spans="1:12" x14ac:dyDescent="0.2">
      <c r="A19" s="30"/>
      <c r="B19" s="30"/>
      <c r="C19" s="159" t="s">
        <v>195</v>
      </c>
      <c r="D19" s="158" t="s">
        <v>198</v>
      </c>
      <c r="E19" s="164">
        <v>25569</v>
      </c>
      <c r="F19" s="148">
        <v>72180</v>
      </c>
      <c r="G19" s="148">
        <v>50</v>
      </c>
      <c r="H19" s="148">
        <f>F19/G19</f>
        <v>1443.6</v>
      </c>
      <c r="I19" s="148">
        <v>50</v>
      </c>
      <c r="J19" s="163">
        <f>F19/I19</f>
        <v>1443.6</v>
      </c>
      <c r="K19" s="109">
        <f>J19-H19</f>
        <v>0</v>
      </c>
      <c r="L19" s="165"/>
    </row>
    <row r="20" spans="1:12" x14ac:dyDescent="0.2">
      <c r="A20" s="30"/>
      <c r="B20" s="30"/>
      <c r="C20" s="159" t="s">
        <v>196</v>
      </c>
      <c r="D20" s="158" t="s">
        <v>199</v>
      </c>
      <c r="E20" s="164">
        <v>37834</v>
      </c>
      <c r="F20" s="148">
        <v>5534.65</v>
      </c>
      <c r="G20" s="148">
        <v>50</v>
      </c>
      <c r="H20" s="148">
        <f>F20/G20</f>
        <v>110.693</v>
      </c>
      <c r="I20" s="148">
        <v>37.5</v>
      </c>
      <c r="J20" s="163">
        <f>F20/I20</f>
        <v>147.59066666666666</v>
      </c>
      <c r="K20" s="109">
        <f>J20-H20</f>
        <v>36.897666666666666</v>
      </c>
      <c r="L20" s="165"/>
    </row>
    <row r="21" spans="1:12" x14ac:dyDescent="0.2">
      <c r="A21" s="30"/>
      <c r="B21" s="30"/>
      <c r="C21" s="158"/>
      <c r="D21" s="158"/>
      <c r="E21" s="164"/>
      <c r="F21" s="148"/>
      <c r="G21" s="148"/>
      <c r="H21" s="148"/>
      <c r="I21" s="148"/>
      <c r="J21" s="148"/>
      <c r="K21" s="109"/>
      <c r="L21" s="165"/>
    </row>
    <row r="22" spans="1:12" x14ac:dyDescent="0.2">
      <c r="A22" s="30"/>
      <c r="B22" s="30"/>
      <c r="C22" s="107" t="s">
        <v>200</v>
      </c>
      <c r="D22" s="30"/>
      <c r="E22" s="164"/>
      <c r="F22" s="148"/>
      <c r="G22" s="148"/>
      <c r="H22" s="148"/>
      <c r="I22" s="148"/>
      <c r="J22" s="148"/>
      <c r="K22" s="109"/>
      <c r="L22" s="165"/>
    </row>
    <row r="23" spans="1:12" x14ac:dyDescent="0.2">
      <c r="A23" s="30"/>
      <c r="B23" s="30"/>
      <c r="C23" s="159" t="s">
        <v>201</v>
      </c>
      <c r="D23" s="158" t="s">
        <v>211</v>
      </c>
      <c r="E23" s="164">
        <v>32143</v>
      </c>
      <c r="F23" s="148">
        <v>752546</v>
      </c>
      <c r="G23" s="148">
        <v>50</v>
      </c>
      <c r="H23" s="148">
        <f t="shared" ref="H23:H32" si="0">F23/G23</f>
        <v>15050.92</v>
      </c>
      <c r="I23" s="148">
        <v>40</v>
      </c>
      <c r="J23" s="163">
        <f t="shared" ref="J23:J40" si="1">F23/I23</f>
        <v>18813.650000000001</v>
      </c>
      <c r="K23" s="109">
        <f t="shared" ref="K23:K40" si="2">J23-H23</f>
        <v>3762.7300000000014</v>
      </c>
      <c r="L23" s="165"/>
    </row>
    <row r="24" spans="1:12" x14ac:dyDescent="0.2">
      <c r="A24" s="30"/>
      <c r="B24" s="30"/>
      <c r="C24" s="159" t="s">
        <v>202</v>
      </c>
      <c r="D24" s="158" t="s">
        <v>212</v>
      </c>
      <c r="E24" s="164">
        <v>33239</v>
      </c>
      <c r="F24" s="148">
        <v>9822</v>
      </c>
      <c r="G24" s="148">
        <v>50</v>
      </c>
      <c r="H24" s="148">
        <f t="shared" si="0"/>
        <v>196.44</v>
      </c>
      <c r="I24" s="148">
        <v>35</v>
      </c>
      <c r="J24" s="163">
        <f t="shared" si="1"/>
        <v>280.62857142857143</v>
      </c>
      <c r="K24" s="109">
        <f t="shared" si="2"/>
        <v>84.188571428571436</v>
      </c>
      <c r="L24" s="165"/>
    </row>
    <row r="25" spans="1:12" x14ac:dyDescent="0.2">
      <c r="A25" s="30"/>
      <c r="B25" s="30"/>
      <c r="C25" s="159" t="s">
        <v>203</v>
      </c>
      <c r="D25" s="158" t="s">
        <v>212</v>
      </c>
      <c r="E25" s="164">
        <v>33604</v>
      </c>
      <c r="F25" s="148">
        <v>3950</v>
      </c>
      <c r="G25" s="148">
        <v>50</v>
      </c>
      <c r="H25" s="148">
        <f t="shared" si="0"/>
        <v>79</v>
      </c>
      <c r="I25" s="148">
        <v>35</v>
      </c>
      <c r="J25" s="163">
        <f t="shared" si="1"/>
        <v>112.85714285714286</v>
      </c>
      <c r="K25" s="109">
        <f t="shared" si="2"/>
        <v>33.857142857142861</v>
      </c>
      <c r="L25" s="165"/>
    </row>
    <row r="26" spans="1:12" x14ac:dyDescent="0.2">
      <c r="A26" s="30"/>
      <c r="B26" s="30"/>
      <c r="C26" s="159" t="s">
        <v>204</v>
      </c>
      <c r="D26" s="158" t="s">
        <v>213</v>
      </c>
      <c r="E26" s="164">
        <v>35246</v>
      </c>
      <c r="F26" s="148">
        <v>8246</v>
      </c>
      <c r="G26" s="148">
        <v>50</v>
      </c>
      <c r="H26" s="148">
        <f t="shared" si="0"/>
        <v>164.92</v>
      </c>
      <c r="I26" s="148">
        <v>35</v>
      </c>
      <c r="J26" s="163">
        <f t="shared" si="1"/>
        <v>235.6</v>
      </c>
      <c r="K26" s="109">
        <f t="shared" si="2"/>
        <v>70.680000000000007</v>
      </c>
      <c r="L26" s="165"/>
    </row>
    <row r="27" spans="1:12" x14ac:dyDescent="0.2">
      <c r="A27" s="30"/>
      <c r="B27" s="30"/>
      <c r="C27" s="159" t="s">
        <v>205</v>
      </c>
      <c r="D27" s="158" t="s">
        <v>214</v>
      </c>
      <c r="E27" s="164">
        <v>38217</v>
      </c>
      <c r="F27" s="148">
        <v>10297.969999999999</v>
      </c>
      <c r="G27" s="148">
        <v>50</v>
      </c>
      <c r="H27" s="148">
        <f t="shared" si="0"/>
        <v>205.95939999999999</v>
      </c>
      <c r="I27" s="148">
        <v>37.5</v>
      </c>
      <c r="J27" s="163">
        <f t="shared" si="1"/>
        <v>274.61253333333332</v>
      </c>
      <c r="K27" s="109">
        <f t="shared" si="2"/>
        <v>68.653133333333329</v>
      </c>
      <c r="L27" s="165"/>
    </row>
    <row r="28" spans="1:12" x14ac:dyDescent="0.2">
      <c r="A28" s="30"/>
      <c r="B28" s="30"/>
      <c r="C28" s="159" t="s">
        <v>206</v>
      </c>
      <c r="D28" s="158" t="s">
        <v>215</v>
      </c>
      <c r="E28" s="164">
        <v>38455</v>
      </c>
      <c r="F28" s="148">
        <v>3075.86</v>
      </c>
      <c r="G28" s="148">
        <v>50</v>
      </c>
      <c r="H28" s="148">
        <f t="shared" si="0"/>
        <v>61.517200000000003</v>
      </c>
      <c r="I28" s="148">
        <v>40</v>
      </c>
      <c r="J28" s="163">
        <f t="shared" si="1"/>
        <v>76.896500000000003</v>
      </c>
      <c r="K28" s="109">
        <f t="shared" si="2"/>
        <v>15.379300000000001</v>
      </c>
      <c r="L28" s="165"/>
    </row>
    <row r="29" spans="1:12" x14ac:dyDescent="0.2">
      <c r="A29" s="30"/>
      <c r="B29" s="30"/>
      <c r="C29" s="159" t="s">
        <v>207</v>
      </c>
      <c r="D29" s="158" t="s">
        <v>215</v>
      </c>
      <c r="E29" s="164">
        <v>38632</v>
      </c>
      <c r="F29" s="148">
        <v>17256.5</v>
      </c>
      <c r="G29" s="148">
        <v>50</v>
      </c>
      <c r="H29" s="148">
        <f t="shared" si="0"/>
        <v>345.13</v>
      </c>
      <c r="I29" s="148">
        <v>40</v>
      </c>
      <c r="J29" s="163">
        <f t="shared" si="1"/>
        <v>431.41250000000002</v>
      </c>
      <c r="K29" s="109">
        <f t="shared" si="2"/>
        <v>86.282500000000027</v>
      </c>
      <c r="L29" s="165"/>
    </row>
    <row r="30" spans="1:12" x14ac:dyDescent="0.2">
      <c r="A30" s="30"/>
      <c r="B30" s="30"/>
      <c r="C30" s="159" t="s">
        <v>208</v>
      </c>
      <c r="D30" s="158" t="s">
        <v>215</v>
      </c>
      <c r="E30" s="164">
        <v>38707</v>
      </c>
      <c r="F30" s="148">
        <v>32319.3</v>
      </c>
      <c r="G30" s="148">
        <v>50</v>
      </c>
      <c r="H30" s="148">
        <f t="shared" si="0"/>
        <v>646.38599999999997</v>
      </c>
      <c r="I30" s="148">
        <v>40</v>
      </c>
      <c r="J30" s="163">
        <f t="shared" si="1"/>
        <v>807.98249999999996</v>
      </c>
      <c r="K30" s="109">
        <f t="shared" si="2"/>
        <v>161.59649999999999</v>
      </c>
      <c r="L30" s="165"/>
    </row>
    <row r="31" spans="1:12" x14ac:dyDescent="0.2">
      <c r="A31" s="30"/>
      <c r="B31" s="30"/>
      <c r="C31" s="159" t="s">
        <v>209</v>
      </c>
      <c r="D31" s="158" t="s">
        <v>216</v>
      </c>
      <c r="E31" s="164">
        <v>38771</v>
      </c>
      <c r="F31" s="148">
        <v>17585.28</v>
      </c>
      <c r="G31" s="148">
        <v>50</v>
      </c>
      <c r="H31" s="148">
        <f t="shared" si="0"/>
        <v>351.7056</v>
      </c>
      <c r="I31" s="148">
        <v>40</v>
      </c>
      <c r="J31" s="163">
        <f t="shared" si="1"/>
        <v>439.63199999999995</v>
      </c>
      <c r="K31" s="109">
        <f t="shared" si="2"/>
        <v>87.926399999999944</v>
      </c>
      <c r="L31" s="165"/>
    </row>
    <row r="32" spans="1:12" x14ac:dyDescent="0.2">
      <c r="A32" s="30"/>
      <c r="B32" s="30"/>
      <c r="C32" s="159" t="s">
        <v>210</v>
      </c>
      <c r="D32" s="158" t="s">
        <v>216</v>
      </c>
      <c r="E32" s="164">
        <v>38791</v>
      </c>
      <c r="F32" s="148">
        <v>888</v>
      </c>
      <c r="G32" s="148">
        <v>50</v>
      </c>
      <c r="H32" s="148">
        <f t="shared" si="0"/>
        <v>17.760000000000002</v>
      </c>
      <c r="I32" s="148">
        <v>40</v>
      </c>
      <c r="J32" s="163">
        <f t="shared" si="1"/>
        <v>22.2</v>
      </c>
      <c r="K32" s="109">
        <f t="shared" si="2"/>
        <v>4.4399999999999977</v>
      </c>
      <c r="L32" s="165"/>
    </row>
    <row r="33" spans="1:12" x14ac:dyDescent="0.2">
      <c r="A33" s="30"/>
      <c r="B33" s="30"/>
      <c r="C33" s="159" t="s">
        <v>217</v>
      </c>
      <c r="D33" s="158" t="s">
        <v>225</v>
      </c>
      <c r="E33" s="164">
        <v>39083</v>
      </c>
      <c r="F33" s="148">
        <v>9095.76</v>
      </c>
      <c r="G33" s="148">
        <v>50</v>
      </c>
      <c r="H33" s="148">
        <f t="shared" ref="H33:H39" si="3">F33/G33</f>
        <v>181.9152</v>
      </c>
      <c r="I33" s="148">
        <v>35</v>
      </c>
      <c r="J33" s="163">
        <f t="shared" si="1"/>
        <v>259.87885714285716</v>
      </c>
      <c r="K33" s="109">
        <f t="shared" si="2"/>
        <v>77.963657142857159</v>
      </c>
      <c r="L33" s="165"/>
    </row>
    <row r="34" spans="1:12" x14ac:dyDescent="0.2">
      <c r="A34" s="30"/>
      <c r="B34" s="30"/>
      <c r="C34" s="159" t="s">
        <v>218</v>
      </c>
      <c r="D34" s="158" t="s">
        <v>216</v>
      </c>
      <c r="E34" s="164">
        <v>39113</v>
      </c>
      <c r="F34" s="148">
        <v>4228</v>
      </c>
      <c r="G34" s="148">
        <v>50</v>
      </c>
      <c r="H34" s="148">
        <f t="shared" si="3"/>
        <v>84.56</v>
      </c>
      <c r="I34" s="148">
        <v>40</v>
      </c>
      <c r="J34" s="163">
        <f t="shared" si="1"/>
        <v>105.7</v>
      </c>
      <c r="K34" s="109">
        <f t="shared" si="2"/>
        <v>21.14</v>
      </c>
      <c r="L34" s="165"/>
    </row>
    <row r="35" spans="1:12" x14ac:dyDescent="0.2">
      <c r="A35" s="30"/>
      <c r="B35" s="30"/>
      <c r="C35" s="159" t="s">
        <v>219</v>
      </c>
      <c r="D35" s="158" t="s">
        <v>230</v>
      </c>
      <c r="E35" s="164">
        <v>39189</v>
      </c>
      <c r="F35" s="148">
        <v>6731.05</v>
      </c>
      <c r="G35" s="148">
        <v>50</v>
      </c>
      <c r="H35" s="148">
        <f t="shared" si="3"/>
        <v>134.62100000000001</v>
      </c>
      <c r="I35" s="148">
        <v>20</v>
      </c>
      <c r="J35" s="163">
        <f t="shared" si="1"/>
        <v>336.55250000000001</v>
      </c>
      <c r="K35" s="109">
        <f t="shared" si="2"/>
        <v>201.9315</v>
      </c>
      <c r="L35" s="165"/>
    </row>
    <row r="36" spans="1:12" x14ac:dyDescent="0.2">
      <c r="A36" s="30"/>
      <c r="B36" s="30"/>
      <c r="C36" s="159" t="s">
        <v>220</v>
      </c>
      <c r="D36" s="158" t="s">
        <v>216</v>
      </c>
      <c r="E36" s="164">
        <v>39241</v>
      </c>
      <c r="F36" s="148">
        <v>5604.5</v>
      </c>
      <c r="G36" s="148">
        <v>50</v>
      </c>
      <c r="H36" s="148">
        <f t="shared" si="3"/>
        <v>112.09</v>
      </c>
      <c r="I36" s="148">
        <v>40</v>
      </c>
      <c r="J36" s="163">
        <f t="shared" si="1"/>
        <v>140.11250000000001</v>
      </c>
      <c r="K36" s="109">
        <f t="shared" si="2"/>
        <v>28.022500000000008</v>
      </c>
      <c r="L36" s="165"/>
    </row>
    <row r="37" spans="1:12" x14ac:dyDescent="0.2">
      <c r="A37" s="30"/>
      <c r="B37" s="30"/>
      <c r="C37" s="159" t="s">
        <v>221</v>
      </c>
      <c r="D37" s="158" t="s">
        <v>226</v>
      </c>
      <c r="E37" s="164">
        <v>40569</v>
      </c>
      <c r="F37" s="148">
        <v>4557.1400000000003</v>
      </c>
      <c r="G37" s="148">
        <v>50</v>
      </c>
      <c r="H37" s="148">
        <f t="shared" si="3"/>
        <v>91.142800000000008</v>
      </c>
      <c r="I37" s="148">
        <v>20</v>
      </c>
      <c r="J37" s="163">
        <f t="shared" si="1"/>
        <v>227.85700000000003</v>
      </c>
      <c r="K37" s="109">
        <f t="shared" si="2"/>
        <v>136.71420000000001</v>
      </c>
      <c r="L37" s="165"/>
    </row>
    <row r="38" spans="1:12" x14ac:dyDescent="0.2">
      <c r="A38" s="30"/>
      <c r="B38" s="30"/>
      <c r="C38" s="159" t="s">
        <v>222</v>
      </c>
      <c r="D38" s="158" t="s">
        <v>229</v>
      </c>
      <c r="E38" s="164">
        <v>41183</v>
      </c>
      <c r="F38" s="148">
        <v>135199.34</v>
      </c>
      <c r="G38" s="148">
        <v>50</v>
      </c>
      <c r="H38" s="148">
        <f t="shared" si="3"/>
        <v>2703.9868000000001</v>
      </c>
      <c r="I38" s="148">
        <v>20</v>
      </c>
      <c r="J38" s="163">
        <f t="shared" si="1"/>
        <v>6759.9669999999996</v>
      </c>
      <c r="K38" s="109">
        <f t="shared" si="2"/>
        <v>4055.9801999999995</v>
      </c>
      <c r="L38" s="165"/>
    </row>
    <row r="39" spans="1:12" x14ac:dyDescent="0.2">
      <c r="A39" s="30"/>
      <c r="B39" s="30"/>
      <c r="C39" s="159" t="s">
        <v>223</v>
      </c>
      <c r="D39" s="158" t="s">
        <v>227</v>
      </c>
      <c r="E39" s="164">
        <v>41852</v>
      </c>
      <c r="F39" s="148">
        <v>1132350</v>
      </c>
      <c r="G39" s="148">
        <v>50</v>
      </c>
      <c r="H39" s="148">
        <f t="shared" si="3"/>
        <v>22647</v>
      </c>
      <c r="I39" s="148">
        <v>40</v>
      </c>
      <c r="J39" s="163">
        <f t="shared" si="1"/>
        <v>28308.75</v>
      </c>
      <c r="K39" s="109">
        <f t="shared" si="2"/>
        <v>5661.75</v>
      </c>
      <c r="L39" s="165"/>
    </row>
    <row r="40" spans="1:12" x14ac:dyDescent="0.2">
      <c r="A40" s="30"/>
      <c r="B40" s="30"/>
      <c r="C40" s="159" t="s">
        <v>224</v>
      </c>
      <c r="D40" s="158" t="s">
        <v>228</v>
      </c>
      <c r="E40" s="164">
        <v>42719</v>
      </c>
      <c r="F40" s="148">
        <v>19967.63</v>
      </c>
      <c r="G40" s="148">
        <v>50</v>
      </c>
      <c r="H40" s="148">
        <v>33</v>
      </c>
      <c r="I40" s="148">
        <v>37.5</v>
      </c>
      <c r="J40" s="163">
        <f t="shared" si="1"/>
        <v>532.47013333333337</v>
      </c>
      <c r="K40" s="109">
        <f t="shared" si="2"/>
        <v>499.47013333333337</v>
      </c>
      <c r="L40" s="165"/>
    </row>
    <row r="41" spans="1:12" x14ac:dyDescent="0.2">
      <c r="A41" s="30"/>
      <c r="B41" s="30"/>
      <c r="C41" s="158"/>
      <c r="D41" s="158"/>
      <c r="E41" s="164"/>
      <c r="F41" s="148"/>
      <c r="G41" s="148"/>
      <c r="H41" s="148"/>
      <c r="I41" s="148"/>
      <c r="J41" s="148"/>
      <c r="K41" s="109"/>
      <c r="L41" s="165"/>
    </row>
    <row r="42" spans="1:12" x14ac:dyDescent="0.2">
      <c r="A42" s="30"/>
      <c r="B42" s="30"/>
      <c r="C42" s="107" t="s">
        <v>231</v>
      </c>
      <c r="D42" s="158"/>
      <c r="E42" s="164"/>
      <c r="F42" s="148"/>
      <c r="G42" s="148"/>
      <c r="H42" s="148"/>
      <c r="I42" s="148"/>
      <c r="J42" s="148"/>
      <c r="K42" s="109"/>
      <c r="L42" s="165"/>
    </row>
    <row r="43" spans="1:12" x14ac:dyDescent="0.2">
      <c r="A43" s="30"/>
      <c r="B43" s="30"/>
      <c r="C43" s="167" t="s">
        <v>232</v>
      </c>
      <c r="D43" s="158" t="s">
        <v>233</v>
      </c>
      <c r="E43" s="164">
        <v>42926</v>
      </c>
      <c r="F43" s="148">
        <v>15000</v>
      </c>
      <c r="G43" s="148">
        <v>5</v>
      </c>
      <c r="H43" s="148">
        <f>+F43/G43</f>
        <v>3000</v>
      </c>
      <c r="I43" s="148">
        <v>15</v>
      </c>
      <c r="J43" s="163">
        <f>F43/I43</f>
        <v>1000</v>
      </c>
      <c r="K43" s="109">
        <f>J43-H43</f>
        <v>-2000</v>
      </c>
      <c r="L43" s="165"/>
    </row>
    <row r="44" spans="1:12" x14ac:dyDescent="0.2">
      <c r="A44" s="30"/>
      <c r="B44" s="30"/>
      <c r="C44" s="158"/>
      <c r="D44" s="158"/>
      <c r="E44" s="164"/>
      <c r="F44" s="148"/>
      <c r="G44" s="148"/>
      <c r="H44" s="148"/>
      <c r="I44" s="148"/>
      <c r="J44" s="148"/>
      <c r="K44" s="109"/>
      <c r="L44" s="165"/>
    </row>
    <row r="45" spans="1:12" x14ac:dyDescent="0.2">
      <c r="A45" s="30"/>
      <c r="B45" s="30"/>
      <c r="C45" s="107" t="s">
        <v>234</v>
      </c>
      <c r="D45" s="158"/>
      <c r="E45" s="164"/>
      <c r="F45" s="148"/>
      <c r="G45" s="148"/>
      <c r="H45" s="148"/>
      <c r="I45" s="148"/>
      <c r="J45" s="148"/>
      <c r="K45" s="109"/>
      <c r="L45" s="165"/>
    </row>
    <row r="46" spans="1:12" x14ac:dyDescent="0.2">
      <c r="A46" s="30"/>
      <c r="B46" s="30"/>
      <c r="C46" s="159" t="s">
        <v>243</v>
      </c>
      <c r="D46" s="158" t="s">
        <v>235</v>
      </c>
      <c r="E46" s="164">
        <v>40774</v>
      </c>
      <c r="F46" s="148">
        <v>44479</v>
      </c>
      <c r="G46" s="148">
        <v>5</v>
      </c>
      <c r="H46" s="148">
        <v>5930</v>
      </c>
      <c r="I46" s="148">
        <v>20</v>
      </c>
      <c r="J46" s="163">
        <f t="shared" ref="J46:J56" si="4">F46/I46</f>
        <v>2223.9499999999998</v>
      </c>
      <c r="K46" s="109">
        <f t="shared" ref="K46:K56" si="5">J46-H46</f>
        <v>-3706.05</v>
      </c>
      <c r="L46" s="165"/>
    </row>
    <row r="47" spans="1:12" x14ac:dyDescent="0.2">
      <c r="A47" s="30"/>
      <c r="B47" s="30"/>
      <c r="C47" s="159" t="s">
        <v>244</v>
      </c>
      <c r="D47" s="158" t="s">
        <v>236</v>
      </c>
      <c r="E47" s="164">
        <v>40888</v>
      </c>
      <c r="F47" s="148">
        <v>1648.5</v>
      </c>
      <c r="G47" s="148">
        <v>5</v>
      </c>
      <c r="H47" s="148">
        <v>301</v>
      </c>
      <c r="I47" s="148">
        <v>20</v>
      </c>
      <c r="J47" s="163">
        <f t="shared" si="4"/>
        <v>82.424999999999997</v>
      </c>
      <c r="K47" s="109">
        <f t="shared" si="5"/>
        <v>-218.57499999999999</v>
      </c>
      <c r="L47" s="165"/>
    </row>
    <row r="48" spans="1:12" x14ac:dyDescent="0.2">
      <c r="A48" s="30"/>
      <c r="B48" s="30"/>
      <c r="C48" s="159" t="s">
        <v>245</v>
      </c>
      <c r="D48" s="158" t="s">
        <v>237</v>
      </c>
      <c r="E48" s="164">
        <v>41442</v>
      </c>
      <c r="F48" s="148">
        <v>1428</v>
      </c>
      <c r="G48" s="148">
        <v>5</v>
      </c>
      <c r="H48" s="148">
        <v>286</v>
      </c>
      <c r="I48" s="148">
        <v>20</v>
      </c>
      <c r="J48" s="163">
        <f t="shared" si="4"/>
        <v>71.400000000000006</v>
      </c>
      <c r="K48" s="109">
        <f t="shared" si="5"/>
        <v>-214.6</v>
      </c>
      <c r="L48" s="165"/>
    </row>
    <row r="49" spans="1:12" x14ac:dyDescent="0.2">
      <c r="A49" s="30"/>
      <c r="B49" s="30"/>
      <c r="C49" s="159" t="s">
        <v>246</v>
      </c>
      <c r="D49" s="158" t="s">
        <v>236</v>
      </c>
      <c r="E49" s="164">
        <v>41500</v>
      </c>
      <c r="F49" s="148">
        <v>2030.16</v>
      </c>
      <c r="G49" s="148">
        <v>5</v>
      </c>
      <c r="H49" s="148">
        <v>406</v>
      </c>
      <c r="I49" s="148">
        <v>20</v>
      </c>
      <c r="J49" s="163">
        <f t="shared" si="4"/>
        <v>101.50800000000001</v>
      </c>
      <c r="K49" s="109">
        <f t="shared" si="5"/>
        <v>-304.49199999999996</v>
      </c>
      <c r="L49" s="165"/>
    </row>
    <row r="50" spans="1:12" x14ac:dyDescent="0.2">
      <c r="A50" s="30"/>
      <c r="B50" s="30"/>
      <c r="C50" s="168" t="s">
        <v>395</v>
      </c>
      <c r="D50" s="158" t="s">
        <v>238</v>
      </c>
      <c r="E50" s="164">
        <v>41813</v>
      </c>
      <c r="F50" s="148">
        <v>580.99</v>
      </c>
      <c r="G50" s="148">
        <v>5</v>
      </c>
      <c r="H50" s="148">
        <v>116</v>
      </c>
      <c r="I50" s="148">
        <v>20</v>
      </c>
      <c r="J50" s="163">
        <f t="shared" si="4"/>
        <v>29.049500000000002</v>
      </c>
      <c r="K50" s="109">
        <f t="shared" si="5"/>
        <v>-86.950500000000005</v>
      </c>
      <c r="L50" s="165"/>
    </row>
    <row r="51" spans="1:12" x14ac:dyDescent="0.2">
      <c r="A51" s="30"/>
      <c r="B51" s="30"/>
      <c r="C51" s="159" t="s">
        <v>247</v>
      </c>
      <c r="D51" s="158" t="s">
        <v>396</v>
      </c>
      <c r="E51" s="164">
        <v>42356</v>
      </c>
      <c r="F51" s="148">
        <v>1299.99</v>
      </c>
      <c r="G51" s="148">
        <v>5</v>
      </c>
      <c r="H51" s="148">
        <v>260</v>
      </c>
      <c r="I51" s="148">
        <v>20</v>
      </c>
      <c r="J51" s="163">
        <f t="shared" si="4"/>
        <v>64.999499999999998</v>
      </c>
      <c r="K51" s="109">
        <f t="shared" si="5"/>
        <v>-195.00049999999999</v>
      </c>
      <c r="L51" s="165"/>
    </row>
    <row r="52" spans="1:12" x14ac:dyDescent="0.2">
      <c r="A52" s="30"/>
      <c r="B52" s="30"/>
      <c r="C52" s="159" t="s">
        <v>248</v>
      </c>
      <c r="D52" s="158" t="s">
        <v>239</v>
      </c>
      <c r="E52" s="164" t="s">
        <v>253</v>
      </c>
      <c r="F52" s="148">
        <v>5687.3</v>
      </c>
      <c r="G52" s="148">
        <v>5</v>
      </c>
      <c r="H52" s="148">
        <v>948</v>
      </c>
      <c r="I52" s="148">
        <v>20</v>
      </c>
      <c r="J52" s="163">
        <f t="shared" si="4"/>
        <v>284.36500000000001</v>
      </c>
      <c r="K52" s="109">
        <f t="shared" si="5"/>
        <v>-663.63499999999999</v>
      </c>
      <c r="L52" s="165"/>
    </row>
    <row r="53" spans="1:12" x14ac:dyDescent="0.2">
      <c r="A53" s="30"/>
      <c r="B53" s="30"/>
      <c r="C53" s="159" t="s">
        <v>249</v>
      </c>
      <c r="D53" s="158" t="s">
        <v>240</v>
      </c>
      <c r="E53" s="164">
        <v>42452</v>
      </c>
      <c r="F53" s="148">
        <v>19315.63</v>
      </c>
      <c r="G53" s="148">
        <v>5</v>
      </c>
      <c r="H53" s="148">
        <v>2897</v>
      </c>
      <c r="I53" s="148">
        <v>20</v>
      </c>
      <c r="J53" s="163">
        <f t="shared" si="4"/>
        <v>965.78150000000005</v>
      </c>
      <c r="K53" s="109">
        <f t="shared" si="5"/>
        <v>-1931.2184999999999</v>
      </c>
      <c r="L53" s="165"/>
    </row>
    <row r="54" spans="1:12" x14ac:dyDescent="0.2">
      <c r="A54" s="30"/>
      <c r="B54" s="30"/>
      <c r="C54" s="159" t="s">
        <v>250</v>
      </c>
      <c r="D54" s="158" t="s">
        <v>241</v>
      </c>
      <c r="E54" s="164">
        <v>42492</v>
      </c>
      <c r="F54" s="148">
        <v>1658.5</v>
      </c>
      <c r="G54" s="148">
        <v>5</v>
      </c>
      <c r="H54" s="148">
        <v>221</v>
      </c>
      <c r="I54" s="148">
        <v>20</v>
      </c>
      <c r="J54" s="163">
        <f t="shared" si="4"/>
        <v>82.924999999999997</v>
      </c>
      <c r="K54" s="109">
        <f t="shared" si="5"/>
        <v>-138.07499999999999</v>
      </c>
      <c r="L54" s="165"/>
    </row>
    <row r="55" spans="1:12" x14ac:dyDescent="0.2">
      <c r="A55" s="30"/>
      <c r="B55" s="30"/>
      <c r="C55" s="159" t="s">
        <v>251</v>
      </c>
      <c r="D55" s="158" t="s">
        <v>242</v>
      </c>
      <c r="E55" s="164">
        <v>42567</v>
      </c>
      <c r="F55" s="66">
        <v>2209.88</v>
      </c>
      <c r="G55" s="148">
        <v>5</v>
      </c>
      <c r="H55" s="148">
        <v>184</v>
      </c>
      <c r="I55" s="148">
        <v>20</v>
      </c>
      <c r="J55" s="163">
        <f t="shared" si="4"/>
        <v>110.494</v>
      </c>
      <c r="K55" s="109">
        <f t="shared" si="5"/>
        <v>-73.506</v>
      </c>
      <c r="L55" s="165"/>
    </row>
    <row r="56" spans="1:12" x14ac:dyDescent="0.2">
      <c r="A56" s="30"/>
      <c r="B56" s="30"/>
      <c r="C56" s="159" t="s">
        <v>252</v>
      </c>
      <c r="D56" s="158" t="s">
        <v>240</v>
      </c>
      <c r="E56" s="164">
        <v>42622</v>
      </c>
      <c r="F56" s="148">
        <v>19800</v>
      </c>
      <c r="G56" s="148">
        <v>5</v>
      </c>
      <c r="H56" s="148">
        <v>1320</v>
      </c>
      <c r="I56" s="148">
        <v>20</v>
      </c>
      <c r="J56" s="163">
        <f t="shared" si="4"/>
        <v>990</v>
      </c>
      <c r="K56" s="109">
        <f t="shared" si="5"/>
        <v>-330</v>
      </c>
      <c r="L56" s="165"/>
    </row>
    <row r="57" spans="1:12" x14ac:dyDescent="0.2">
      <c r="A57" s="30"/>
      <c r="B57" s="30"/>
      <c r="C57" s="158"/>
      <c r="D57" s="158"/>
      <c r="E57" s="164"/>
      <c r="F57" s="148"/>
      <c r="G57" s="148"/>
      <c r="H57" s="148"/>
      <c r="I57" s="148"/>
      <c r="J57" s="148"/>
      <c r="K57" s="109"/>
      <c r="L57" s="165"/>
    </row>
    <row r="58" spans="1:12" x14ac:dyDescent="0.2">
      <c r="A58" s="30"/>
      <c r="B58" s="30"/>
      <c r="C58" s="107" t="s">
        <v>254</v>
      </c>
      <c r="D58" s="158"/>
      <c r="E58" s="164"/>
      <c r="F58" s="148"/>
      <c r="G58" s="148"/>
      <c r="H58" s="148"/>
      <c r="I58" s="148"/>
      <c r="J58" s="148"/>
      <c r="K58" s="109"/>
      <c r="L58" s="165"/>
    </row>
    <row r="59" spans="1:12" x14ac:dyDescent="0.2">
      <c r="A59" s="30"/>
      <c r="B59" s="30"/>
      <c r="C59" s="159" t="s">
        <v>255</v>
      </c>
      <c r="D59" s="158" t="s">
        <v>269</v>
      </c>
      <c r="E59" s="164">
        <v>32143</v>
      </c>
      <c r="F59" s="148">
        <v>1055302</v>
      </c>
      <c r="G59" s="148">
        <v>50</v>
      </c>
      <c r="H59" s="148">
        <v>21106</v>
      </c>
      <c r="I59" s="148">
        <v>27.5</v>
      </c>
      <c r="J59" s="163">
        <f t="shared" ref="J59:J76" si="6">F59/I59</f>
        <v>38374.618181818179</v>
      </c>
      <c r="K59" s="109">
        <f t="shared" ref="K59:K76" si="7">J59-H59</f>
        <v>17268.618181818179</v>
      </c>
      <c r="L59" s="165"/>
    </row>
    <row r="60" spans="1:12" x14ac:dyDescent="0.2">
      <c r="A60" s="30"/>
      <c r="B60" s="30"/>
      <c r="C60" s="159" t="s">
        <v>256</v>
      </c>
      <c r="D60" s="158" t="s">
        <v>270</v>
      </c>
      <c r="E60" s="164">
        <v>34700</v>
      </c>
      <c r="F60" s="148">
        <v>5871</v>
      </c>
      <c r="G60" s="148">
        <v>50</v>
      </c>
      <c r="H60" s="148">
        <v>117</v>
      </c>
      <c r="I60" s="148">
        <v>27.5</v>
      </c>
      <c r="J60" s="163">
        <f t="shared" si="6"/>
        <v>213.4909090909091</v>
      </c>
      <c r="K60" s="109">
        <f t="shared" si="7"/>
        <v>96.490909090909099</v>
      </c>
      <c r="L60" s="165"/>
    </row>
    <row r="61" spans="1:12" x14ac:dyDescent="0.2">
      <c r="A61" s="30"/>
      <c r="B61" s="30"/>
      <c r="C61" s="159" t="s">
        <v>257</v>
      </c>
      <c r="D61" s="158" t="s">
        <v>271</v>
      </c>
      <c r="E61" s="164">
        <v>37591</v>
      </c>
      <c r="F61" s="148">
        <v>5773.61</v>
      </c>
      <c r="G61" s="148">
        <v>33</v>
      </c>
      <c r="H61" s="148">
        <v>175</v>
      </c>
      <c r="I61" s="148">
        <v>27.5</v>
      </c>
      <c r="J61" s="163">
        <f t="shared" si="6"/>
        <v>209.94945454545453</v>
      </c>
      <c r="K61" s="109">
        <f t="shared" si="7"/>
        <v>34.949454545454529</v>
      </c>
      <c r="L61" s="165"/>
    </row>
    <row r="62" spans="1:12" x14ac:dyDescent="0.2">
      <c r="A62" s="30"/>
      <c r="B62" s="30"/>
      <c r="C62" s="159" t="s">
        <v>258</v>
      </c>
      <c r="D62" s="158" t="s">
        <v>290</v>
      </c>
      <c r="E62" s="164">
        <v>37591</v>
      </c>
      <c r="F62" s="148">
        <v>34641.660000000003</v>
      </c>
      <c r="G62" s="148">
        <v>50</v>
      </c>
      <c r="H62" s="148">
        <v>693</v>
      </c>
      <c r="I62" s="148">
        <v>27.5</v>
      </c>
      <c r="J62" s="163">
        <f t="shared" si="6"/>
        <v>1259.6967272727275</v>
      </c>
      <c r="K62" s="109">
        <f t="shared" si="7"/>
        <v>566.69672727272746</v>
      </c>
      <c r="L62" s="165"/>
    </row>
    <row r="63" spans="1:12" x14ac:dyDescent="0.2">
      <c r="A63" s="30"/>
      <c r="B63" s="30"/>
      <c r="C63" s="159" t="s">
        <v>259</v>
      </c>
      <c r="D63" s="158" t="s">
        <v>272</v>
      </c>
      <c r="E63" s="164">
        <v>37774</v>
      </c>
      <c r="F63" s="148">
        <v>5640.54</v>
      </c>
      <c r="G63" s="148">
        <v>50</v>
      </c>
      <c r="H63" s="148">
        <v>113</v>
      </c>
      <c r="I63" s="148">
        <v>27.5</v>
      </c>
      <c r="J63" s="163">
        <f t="shared" si="6"/>
        <v>205.11054545454544</v>
      </c>
      <c r="K63" s="109">
        <f t="shared" si="7"/>
        <v>92.110545454545445</v>
      </c>
      <c r="L63" s="165"/>
    </row>
    <row r="64" spans="1:12" x14ac:dyDescent="0.2">
      <c r="A64" s="30"/>
      <c r="B64" s="30"/>
      <c r="C64" s="159" t="s">
        <v>260</v>
      </c>
      <c r="D64" s="158" t="s">
        <v>273</v>
      </c>
      <c r="E64" s="164">
        <v>38273</v>
      </c>
      <c r="F64" s="148">
        <v>1997</v>
      </c>
      <c r="G64" s="148">
        <v>50</v>
      </c>
      <c r="H64" s="148">
        <v>40</v>
      </c>
      <c r="I64" s="148">
        <v>27.5</v>
      </c>
      <c r="J64" s="163">
        <f t="shared" si="6"/>
        <v>72.618181818181824</v>
      </c>
      <c r="K64" s="109">
        <f t="shared" si="7"/>
        <v>32.618181818181824</v>
      </c>
      <c r="L64" s="165"/>
    </row>
    <row r="65" spans="1:12" x14ac:dyDescent="0.2">
      <c r="A65" s="30"/>
      <c r="B65" s="30"/>
      <c r="C65" s="159" t="s">
        <v>261</v>
      </c>
      <c r="D65" s="158" t="s">
        <v>274</v>
      </c>
      <c r="E65" s="164">
        <v>38509</v>
      </c>
      <c r="F65" s="148">
        <v>17764</v>
      </c>
      <c r="G65" s="148">
        <v>50</v>
      </c>
      <c r="H65" s="148">
        <v>355</v>
      </c>
      <c r="I65" s="148">
        <v>27.5</v>
      </c>
      <c r="J65" s="163">
        <f t="shared" si="6"/>
        <v>645.9636363636364</v>
      </c>
      <c r="K65" s="109">
        <f t="shared" si="7"/>
        <v>290.9636363636364</v>
      </c>
      <c r="L65" s="165"/>
    </row>
    <row r="66" spans="1:12" x14ac:dyDescent="0.2">
      <c r="A66" s="30"/>
      <c r="B66" s="30"/>
      <c r="C66" s="159" t="s">
        <v>262</v>
      </c>
      <c r="D66" s="158" t="s">
        <v>275</v>
      </c>
      <c r="E66" s="164">
        <v>38846</v>
      </c>
      <c r="F66" s="148">
        <v>30125</v>
      </c>
      <c r="G66" s="148">
        <v>50</v>
      </c>
      <c r="H66" s="148">
        <v>602</v>
      </c>
      <c r="I66" s="148">
        <v>27.5</v>
      </c>
      <c r="J66" s="163">
        <f t="shared" si="6"/>
        <v>1095.4545454545455</v>
      </c>
      <c r="K66" s="109">
        <f t="shared" si="7"/>
        <v>493.4545454545455</v>
      </c>
      <c r="L66" s="165"/>
    </row>
    <row r="67" spans="1:12" x14ac:dyDescent="0.2">
      <c r="A67" s="30"/>
      <c r="B67" s="30"/>
      <c r="C67" s="159" t="s">
        <v>263</v>
      </c>
      <c r="D67" s="158" t="s">
        <v>276</v>
      </c>
      <c r="E67" s="164">
        <v>38846</v>
      </c>
      <c r="F67" s="148">
        <v>5000</v>
      </c>
      <c r="G67" s="148">
        <v>50</v>
      </c>
      <c r="H67" s="148">
        <v>100</v>
      </c>
      <c r="I67" s="148">
        <v>27.5</v>
      </c>
      <c r="J67" s="163">
        <f t="shared" si="6"/>
        <v>181.81818181818181</v>
      </c>
      <c r="K67" s="109">
        <f t="shared" si="7"/>
        <v>81.818181818181813</v>
      </c>
      <c r="L67" s="165"/>
    </row>
    <row r="68" spans="1:12" x14ac:dyDescent="0.2">
      <c r="A68" s="30"/>
      <c r="B68" s="30"/>
      <c r="C68" s="159" t="s">
        <v>264</v>
      </c>
      <c r="D68" s="158" t="s">
        <v>277</v>
      </c>
      <c r="E68" s="164">
        <v>39252</v>
      </c>
      <c r="F68" s="148">
        <v>12328</v>
      </c>
      <c r="G68" s="148">
        <v>50</v>
      </c>
      <c r="H68" s="148">
        <v>247</v>
      </c>
      <c r="I68" s="148">
        <v>27.5</v>
      </c>
      <c r="J68" s="163">
        <f t="shared" si="6"/>
        <v>448.29090909090911</v>
      </c>
      <c r="K68" s="109">
        <f t="shared" si="7"/>
        <v>201.29090909090911</v>
      </c>
      <c r="L68" s="165"/>
    </row>
    <row r="69" spans="1:12" x14ac:dyDescent="0.2">
      <c r="A69" s="30"/>
      <c r="B69" s="30"/>
      <c r="C69" s="159" t="s">
        <v>265</v>
      </c>
      <c r="D69" s="158" t="s">
        <v>278</v>
      </c>
      <c r="E69" s="164">
        <v>39449</v>
      </c>
      <c r="F69" s="148">
        <v>40878</v>
      </c>
      <c r="G69" s="148">
        <v>50</v>
      </c>
      <c r="H69" s="148">
        <v>818</v>
      </c>
      <c r="I69" s="148">
        <v>27.5</v>
      </c>
      <c r="J69" s="163">
        <f t="shared" si="6"/>
        <v>1486.4727272727273</v>
      </c>
      <c r="K69" s="109">
        <f t="shared" si="7"/>
        <v>668.4727272727273</v>
      </c>
      <c r="L69" s="165"/>
    </row>
    <row r="70" spans="1:12" x14ac:dyDescent="0.2">
      <c r="A70" s="30"/>
      <c r="B70" s="30"/>
      <c r="C70" s="159" t="s">
        <v>266</v>
      </c>
      <c r="D70" s="158" t="s">
        <v>279</v>
      </c>
      <c r="E70" s="164">
        <v>40473</v>
      </c>
      <c r="F70" s="148">
        <v>3386415.79</v>
      </c>
      <c r="G70" s="148">
        <v>50</v>
      </c>
      <c r="H70" s="148">
        <v>67728</v>
      </c>
      <c r="I70" s="148">
        <v>37.5</v>
      </c>
      <c r="J70" s="163">
        <f t="shared" si="6"/>
        <v>90304.421066666662</v>
      </c>
      <c r="K70" s="109">
        <f t="shared" si="7"/>
        <v>22576.421066666662</v>
      </c>
      <c r="L70" s="165"/>
    </row>
    <row r="71" spans="1:12" x14ac:dyDescent="0.2">
      <c r="A71" s="30"/>
      <c r="B71" s="30"/>
      <c r="C71" s="159" t="s">
        <v>267</v>
      </c>
      <c r="D71" s="158" t="s">
        <v>254</v>
      </c>
      <c r="E71" s="164">
        <v>40798</v>
      </c>
      <c r="F71" s="148">
        <v>259.98</v>
      </c>
      <c r="G71" s="148">
        <v>50</v>
      </c>
      <c r="H71" s="148">
        <v>5</v>
      </c>
      <c r="I71" s="148">
        <v>27.5</v>
      </c>
      <c r="J71" s="163">
        <f t="shared" si="6"/>
        <v>9.4538181818181819</v>
      </c>
      <c r="K71" s="109">
        <f t="shared" si="7"/>
        <v>4.4538181818181819</v>
      </c>
      <c r="L71" s="165"/>
    </row>
    <row r="72" spans="1:12" x14ac:dyDescent="0.2">
      <c r="A72" s="30"/>
      <c r="B72" s="30"/>
      <c r="C72" s="159" t="s">
        <v>268</v>
      </c>
      <c r="D72" s="158" t="s">
        <v>280</v>
      </c>
      <c r="E72" s="164">
        <v>40843</v>
      </c>
      <c r="F72" s="148">
        <v>4042.5</v>
      </c>
      <c r="G72" s="148">
        <v>50</v>
      </c>
      <c r="H72" s="148">
        <v>81</v>
      </c>
      <c r="I72" s="148">
        <v>27.5</v>
      </c>
      <c r="J72" s="163">
        <f t="shared" si="6"/>
        <v>147</v>
      </c>
      <c r="K72" s="109">
        <f t="shared" si="7"/>
        <v>66</v>
      </c>
      <c r="L72" s="165"/>
    </row>
    <row r="73" spans="1:12" x14ac:dyDescent="0.2">
      <c r="A73" s="30"/>
      <c r="B73" s="30"/>
      <c r="C73" s="159" t="s">
        <v>281</v>
      </c>
      <c r="D73" s="158" t="s">
        <v>285</v>
      </c>
      <c r="E73" s="164">
        <v>40843</v>
      </c>
      <c r="F73" s="148">
        <v>1709.8</v>
      </c>
      <c r="G73" s="148">
        <v>50</v>
      </c>
      <c r="H73" s="148">
        <v>34</v>
      </c>
      <c r="I73" s="148">
        <v>20</v>
      </c>
      <c r="J73" s="163">
        <f t="shared" si="6"/>
        <v>85.49</v>
      </c>
      <c r="K73" s="109">
        <f t="shared" si="7"/>
        <v>51.489999999999995</v>
      </c>
      <c r="L73" s="165"/>
    </row>
    <row r="74" spans="1:12" x14ac:dyDescent="0.2">
      <c r="A74" s="30"/>
      <c r="B74" s="30"/>
      <c r="C74" s="159" t="s">
        <v>282</v>
      </c>
      <c r="D74" s="158" t="s">
        <v>286</v>
      </c>
      <c r="E74" s="164">
        <v>41396</v>
      </c>
      <c r="F74" s="148">
        <v>1930.29</v>
      </c>
      <c r="G74" s="148">
        <v>50</v>
      </c>
      <c r="H74" s="148">
        <v>39</v>
      </c>
      <c r="I74" s="148">
        <v>27.5</v>
      </c>
      <c r="J74" s="163">
        <f t="shared" si="6"/>
        <v>70.192363636363638</v>
      </c>
      <c r="K74" s="109">
        <f t="shared" si="7"/>
        <v>31.192363636363638</v>
      </c>
      <c r="L74" s="165"/>
    </row>
    <row r="75" spans="1:12" x14ac:dyDescent="0.2">
      <c r="A75" s="30"/>
      <c r="B75" s="30"/>
      <c r="C75" s="159" t="s">
        <v>283</v>
      </c>
      <c r="D75" s="158" t="s">
        <v>287</v>
      </c>
      <c r="E75" s="164">
        <v>42276</v>
      </c>
      <c r="F75" s="148">
        <v>64449</v>
      </c>
      <c r="G75" s="148">
        <v>50</v>
      </c>
      <c r="H75" s="148">
        <v>1289</v>
      </c>
      <c r="I75" s="148">
        <v>27.5</v>
      </c>
      <c r="J75" s="163">
        <f t="shared" si="6"/>
        <v>2343.6</v>
      </c>
      <c r="K75" s="109">
        <f t="shared" si="7"/>
        <v>1054.5999999999999</v>
      </c>
      <c r="L75" s="165"/>
    </row>
    <row r="76" spans="1:12" x14ac:dyDescent="0.2">
      <c r="A76" s="30"/>
      <c r="B76" s="30"/>
      <c r="C76" s="159" t="s">
        <v>284</v>
      </c>
      <c r="D76" s="158" t="s">
        <v>288</v>
      </c>
      <c r="E76" s="164">
        <v>42501</v>
      </c>
      <c r="F76" s="148">
        <v>52449</v>
      </c>
      <c r="G76" s="148">
        <v>50</v>
      </c>
      <c r="H76" s="148">
        <v>699</v>
      </c>
      <c r="I76" s="148">
        <v>27.5</v>
      </c>
      <c r="J76" s="163">
        <f t="shared" si="6"/>
        <v>1907.2363636363636</v>
      </c>
      <c r="K76" s="109">
        <f t="shared" si="7"/>
        <v>1208.2363636363636</v>
      </c>
      <c r="L76" s="165"/>
    </row>
    <row r="77" spans="1:12" x14ac:dyDescent="0.2">
      <c r="A77" s="30"/>
      <c r="B77" s="30"/>
      <c r="C77" s="158"/>
      <c r="D77" s="158"/>
      <c r="E77" s="164"/>
      <c r="F77" s="148"/>
      <c r="G77" s="148"/>
      <c r="H77" s="148"/>
      <c r="I77" s="148"/>
      <c r="J77" s="148"/>
      <c r="K77" s="109"/>
      <c r="L77" s="165"/>
    </row>
    <row r="78" spans="1:12" x14ac:dyDescent="0.2">
      <c r="A78" s="30"/>
      <c r="B78" s="30"/>
      <c r="C78" s="107" t="s">
        <v>289</v>
      </c>
      <c r="D78" s="158"/>
      <c r="E78" s="164"/>
      <c r="F78" s="148"/>
      <c r="G78" s="148"/>
      <c r="H78" s="148"/>
      <c r="I78" s="148"/>
      <c r="J78" s="148"/>
      <c r="K78" s="109"/>
      <c r="L78" s="165"/>
    </row>
    <row r="79" spans="1:12" x14ac:dyDescent="0.2">
      <c r="A79" s="30"/>
      <c r="B79" s="30"/>
      <c r="C79" s="159" t="s">
        <v>186</v>
      </c>
      <c r="D79" s="158" t="s">
        <v>314</v>
      </c>
      <c r="E79" s="164" t="s">
        <v>187</v>
      </c>
      <c r="F79" s="148">
        <v>4071501.55</v>
      </c>
      <c r="G79" s="148">
        <v>50</v>
      </c>
      <c r="H79" s="148">
        <v>81505</v>
      </c>
      <c r="I79" s="148">
        <v>45</v>
      </c>
      <c r="J79" s="163">
        <f>F79/I79</f>
        <v>90477.812222222215</v>
      </c>
      <c r="K79" s="109">
        <f>J79-H79</f>
        <v>8972.8122222222155</v>
      </c>
      <c r="L79" s="165"/>
    </row>
    <row r="80" spans="1:12" x14ac:dyDescent="0.2">
      <c r="A80" s="30"/>
      <c r="B80" s="30"/>
      <c r="C80" s="158"/>
      <c r="D80" s="158"/>
      <c r="E80" s="164"/>
      <c r="F80" s="148"/>
      <c r="G80" s="148"/>
      <c r="H80" s="148"/>
      <c r="I80" s="148"/>
      <c r="J80" s="148"/>
      <c r="K80" s="109"/>
      <c r="L80" s="165"/>
    </row>
    <row r="81" spans="1:12" x14ac:dyDescent="0.2">
      <c r="A81" s="30"/>
      <c r="B81" s="30"/>
      <c r="C81" s="107" t="s">
        <v>315</v>
      </c>
      <c r="D81" s="158"/>
      <c r="E81" s="164"/>
      <c r="F81" s="148"/>
      <c r="G81" s="148"/>
      <c r="H81" s="148"/>
      <c r="I81" s="148"/>
      <c r="J81" s="148"/>
      <c r="K81" s="109"/>
      <c r="L81" s="165"/>
    </row>
    <row r="82" spans="1:12" x14ac:dyDescent="0.2">
      <c r="A82" s="30"/>
      <c r="B82" s="30"/>
      <c r="C82" s="159" t="s">
        <v>187</v>
      </c>
      <c r="D82" s="158" t="s">
        <v>301</v>
      </c>
      <c r="E82" s="164" t="s">
        <v>187</v>
      </c>
      <c r="F82" s="148">
        <v>12466039.66</v>
      </c>
      <c r="G82" s="148">
        <v>33</v>
      </c>
      <c r="H82" s="148">
        <f>373737+81</f>
        <v>373818</v>
      </c>
      <c r="I82" s="148">
        <v>62.5</v>
      </c>
      <c r="J82" s="163">
        <f t="shared" ref="J82:J95" si="8">F82/I82</f>
        <v>199456.63456000001</v>
      </c>
      <c r="K82" s="109">
        <f>J82-H82</f>
        <v>-174361.36543999999</v>
      </c>
      <c r="L82" s="165"/>
    </row>
    <row r="83" spans="1:12" x14ac:dyDescent="0.2">
      <c r="A83" s="30"/>
      <c r="B83" s="30"/>
      <c r="C83" s="159" t="s">
        <v>187</v>
      </c>
      <c r="D83" s="158" t="s">
        <v>313</v>
      </c>
      <c r="E83" s="164" t="s">
        <v>187</v>
      </c>
      <c r="F83" s="148">
        <v>3450631.92</v>
      </c>
      <c r="G83" s="148">
        <v>50</v>
      </c>
      <c r="H83" s="148">
        <f>F83/G83</f>
        <v>69012.638399999996</v>
      </c>
      <c r="I83" s="148">
        <v>62.5</v>
      </c>
      <c r="J83" s="163">
        <f t="shared" si="8"/>
        <v>55210.110719999997</v>
      </c>
      <c r="K83" s="109">
        <f>J83-H83</f>
        <v>-13802.527679999999</v>
      </c>
      <c r="L83" s="165"/>
    </row>
    <row r="84" spans="1:12" x14ac:dyDescent="0.2">
      <c r="A84" s="30"/>
      <c r="B84" s="30"/>
      <c r="C84" s="159" t="s">
        <v>291</v>
      </c>
      <c r="D84" s="158" t="s">
        <v>292</v>
      </c>
      <c r="E84" s="164">
        <v>32874</v>
      </c>
      <c r="F84" s="148">
        <v>23810</v>
      </c>
      <c r="G84" s="148">
        <v>33.299999999999997</v>
      </c>
      <c r="H84" s="148">
        <v>715</v>
      </c>
      <c r="I84" s="148">
        <v>50</v>
      </c>
      <c r="J84" s="163">
        <f t="shared" si="8"/>
        <v>476.2</v>
      </c>
      <c r="K84" s="109">
        <f>J84-H84</f>
        <v>-238.8</v>
      </c>
      <c r="L84" s="165"/>
    </row>
    <row r="85" spans="1:12" x14ac:dyDescent="0.2">
      <c r="A85" s="30"/>
      <c r="B85" s="30"/>
      <c r="C85" s="159" t="s">
        <v>293</v>
      </c>
      <c r="D85" s="158" t="s">
        <v>292</v>
      </c>
      <c r="E85" s="164">
        <v>33970</v>
      </c>
      <c r="F85" s="148">
        <v>34990</v>
      </c>
      <c r="G85" s="148">
        <v>33.299999999999997</v>
      </c>
      <c r="H85" s="148">
        <v>1051</v>
      </c>
      <c r="I85" s="148">
        <v>50</v>
      </c>
      <c r="J85" s="163">
        <f t="shared" si="8"/>
        <v>699.8</v>
      </c>
      <c r="K85" s="109">
        <f t="shared" ref="K85:K90" si="9">J85-H85</f>
        <v>-351.20000000000005</v>
      </c>
      <c r="L85" s="165"/>
    </row>
    <row r="86" spans="1:12" x14ac:dyDescent="0.2">
      <c r="A86" s="30"/>
      <c r="B86" s="30"/>
      <c r="C86" s="159" t="s">
        <v>294</v>
      </c>
      <c r="D86" s="158" t="s">
        <v>295</v>
      </c>
      <c r="E86" s="164">
        <v>35611</v>
      </c>
      <c r="F86" s="148">
        <v>162716.81</v>
      </c>
      <c r="G86" s="148">
        <v>50</v>
      </c>
      <c r="H86" s="148">
        <v>3254</v>
      </c>
      <c r="I86" s="148">
        <v>45</v>
      </c>
      <c r="J86" s="163">
        <f t="shared" si="8"/>
        <v>3615.9291111111111</v>
      </c>
      <c r="K86" s="109">
        <f t="shared" si="9"/>
        <v>361.92911111111107</v>
      </c>
      <c r="L86" s="165"/>
    </row>
    <row r="87" spans="1:12" x14ac:dyDescent="0.2">
      <c r="A87" s="30"/>
      <c r="B87" s="30"/>
      <c r="C87" s="159" t="s">
        <v>296</v>
      </c>
      <c r="D87" s="158" t="s">
        <v>297</v>
      </c>
      <c r="E87" s="164">
        <v>37072</v>
      </c>
      <c r="F87" s="148">
        <v>1665131</v>
      </c>
      <c r="G87" s="148">
        <v>50</v>
      </c>
      <c r="H87" s="148">
        <v>33303</v>
      </c>
      <c r="I87" s="148">
        <v>40</v>
      </c>
      <c r="J87" s="163">
        <f t="shared" si="8"/>
        <v>41628.275000000001</v>
      </c>
      <c r="K87" s="109">
        <f t="shared" si="9"/>
        <v>8325.2750000000015</v>
      </c>
      <c r="L87" s="165"/>
    </row>
    <row r="88" spans="1:12" x14ac:dyDescent="0.2">
      <c r="A88" s="30"/>
      <c r="B88" s="30"/>
      <c r="C88" s="159" t="s">
        <v>298</v>
      </c>
      <c r="D88" s="158" t="s">
        <v>299</v>
      </c>
      <c r="E88" s="164">
        <v>37575</v>
      </c>
      <c r="F88" s="148">
        <v>3343.5</v>
      </c>
      <c r="G88" s="148">
        <v>33</v>
      </c>
      <c r="H88" s="148">
        <v>101</v>
      </c>
      <c r="I88" s="148">
        <v>17.5</v>
      </c>
      <c r="J88" s="163">
        <f t="shared" si="8"/>
        <v>191.05714285714285</v>
      </c>
      <c r="K88" s="109">
        <f t="shared" si="9"/>
        <v>90.05714285714285</v>
      </c>
      <c r="L88" s="165"/>
    </row>
    <row r="89" spans="1:12" x14ac:dyDescent="0.2">
      <c r="A89" s="30"/>
      <c r="B89" s="30"/>
      <c r="C89" s="159" t="s">
        <v>300</v>
      </c>
      <c r="D89" s="158" t="s">
        <v>302</v>
      </c>
      <c r="E89" s="164">
        <v>38135</v>
      </c>
      <c r="F89" s="148">
        <v>318951.75</v>
      </c>
      <c r="G89" s="148">
        <v>33</v>
      </c>
      <c r="H89" s="148">
        <v>9665</v>
      </c>
      <c r="I89" s="148">
        <v>10</v>
      </c>
      <c r="J89" s="163">
        <f t="shared" si="8"/>
        <v>31895.174999999999</v>
      </c>
      <c r="K89" s="109">
        <f t="shared" si="9"/>
        <v>22230.174999999999</v>
      </c>
      <c r="L89" s="165"/>
    </row>
    <row r="90" spans="1:12" x14ac:dyDescent="0.2">
      <c r="A90" s="30"/>
      <c r="B90" s="30"/>
      <c r="C90" s="159" t="s">
        <v>303</v>
      </c>
      <c r="D90" s="158" t="s">
        <v>304</v>
      </c>
      <c r="E90" s="164">
        <v>38244</v>
      </c>
      <c r="F90" s="148">
        <v>1847.75</v>
      </c>
      <c r="G90" s="148">
        <v>33</v>
      </c>
      <c r="H90" s="148">
        <v>56</v>
      </c>
      <c r="I90" s="148">
        <v>17.5</v>
      </c>
      <c r="J90" s="163">
        <f t="shared" si="8"/>
        <v>105.58571428571429</v>
      </c>
      <c r="K90" s="109">
        <f t="shared" si="9"/>
        <v>49.585714285714289</v>
      </c>
      <c r="L90" s="165"/>
    </row>
    <row r="91" spans="1:12" x14ac:dyDescent="0.2">
      <c r="A91" s="30"/>
      <c r="B91" s="30"/>
      <c r="C91" s="159" t="s">
        <v>305</v>
      </c>
      <c r="D91" s="158" t="s">
        <v>306</v>
      </c>
      <c r="E91" s="164">
        <v>38533</v>
      </c>
      <c r="F91" s="148">
        <v>2158</v>
      </c>
      <c r="G91" s="148">
        <v>33</v>
      </c>
      <c r="H91" s="148">
        <v>65</v>
      </c>
      <c r="I91" s="148">
        <v>62.5</v>
      </c>
      <c r="J91" s="163">
        <f t="shared" si="8"/>
        <v>34.527999999999999</v>
      </c>
      <c r="K91" s="109">
        <f>J91-H91</f>
        <v>-30.472000000000001</v>
      </c>
      <c r="L91" s="165"/>
    </row>
    <row r="92" spans="1:12" x14ac:dyDescent="0.2">
      <c r="A92" s="30"/>
      <c r="B92" s="30"/>
      <c r="C92" s="159" t="s">
        <v>307</v>
      </c>
      <c r="D92" s="158" t="s">
        <v>302</v>
      </c>
      <c r="E92" s="164">
        <v>38551</v>
      </c>
      <c r="F92" s="148">
        <v>69587.78</v>
      </c>
      <c r="G92" s="148">
        <v>33</v>
      </c>
      <c r="H92" s="148">
        <v>2109</v>
      </c>
      <c r="I92" s="148">
        <v>10</v>
      </c>
      <c r="J92" s="163">
        <f t="shared" si="8"/>
        <v>6958.7780000000002</v>
      </c>
      <c r="K92" s="109">
        <f>J92-H92</f>
        <v>4849.7780000000002</v>
      </c>
      <c r="L92" s="165"/>
    </row>
    <row r="93" spans="1:12" x14ac:dyDescent="0.2">
      <c r="A93" s="30"/>
      <c r="B93" s="30"/>
      <c r="C93" s="159" t="s">
        <v>308</v>
      </c>
      <c r="D93" s="158" t="s">
        <v>309</v>
      </c>
      <c r="E93" s="164">
        <v>38718</v>
      </c>
      <c r="F93" s="148">
        <v>2016</v>
      </c>
      <c r="G93" s="148">
        <v>33</v>
      </c>
      <c r="H93" s="148">
        <v>61</v>
      </c>
      <c r="I93" s="148">
        <v>40</v>
      </c>
      <c r="J93" s="163">
        <f t="shared" si="8"/>
        <v>50.4</v>
      </c>
      <c r="K93" s="109">
        <f>J93-H93</f>
        <v>-10.600000000000001</v>
      </c>
      <c r="L93" s="165"/>
    </row>
    <row r="94" spans="1:12" x14ac:dyDescent="0.2">
      <c r="A94" s="30"/>
      <c r="B94" s="30"/>
      <c r="C94" s="159" t="s">
        <v>310</v>
      </c>
      <c r="D94" s="158" t="s">
        <v>302</v>
      </c>
      <c r="E94" s="164">
        <v>38805</v>
      </c>
      <c r="F94" s="148">
        <v>48881.97</v>
      </c>
      <c r="G94" s="148">
        <v>33</v>
      </c>
      <c r="H94" s="148">
        <v>1481</v>
      </c>
      <c r="I94" s="148">
        <v>10</v>
      </c>
      <c r="J94" s="163">
        <f t="shared" si="8"/>
        <v>4888.1970000000001</v>
      </c>
      <c r="K94" s="109">
        <f>J94-H94</f>
        <v>3407.1970000000001</v>
      </c>
      <c r="L94" s="165"/>
    </row>
    <row r="95" spans="1:12" x14ac:dyDescent="0.2">
      <c r="A95" s="30"/>
      <c r="B95" s="30"/>
      <c r="C95" s="159" t="s">
        <v>311</v>
      </c>
      <c r="D95" s="158" t="s">
        <v>312</v>
      </c>
      <c r="E95" s="164">
        <v>39083</v>
      </c>
      <c r="F95" s="148">
        <v>2765</v>
      </c>
      <c r="G95" s="148">
        <v>33</v>
      </c>
      <c r="H95" s="148">
        <v>84</v>
      </c>
      <c r="I95" s="148">
        <v>20</v>
      </c>
      <c r="J95" s="163">
        <f t="shared" si="8"/>
        <v>138.25</v>
      </c>
      <c r="K95" s="109">
        <f>J95-H95</f>
        <v>54.25</v>
      </c>
      <c r="L95" s="165"/>
    </row>
    <row r="96" spans="1:12" x14ac:dyDescent="0.2">
      <c r="A96" s="30"/>
      <c r="B96" s="30"/>
      <c r="C96" s="158"/>
      <c r="D96" s="158"/>
      <c r="E96" s="164"/>
      <c r="F96" s="148"/>
      <c r="G96" s="148"/>
      <c r="H96" s="148"/>
      <c r="I96" s="148"/>
      <c r="J96" s="148"/>
      <c r="K96" s="109"/>
      <c r="L96" s="165"/>
    </row>
    <row r="97" spans="1:12" x14ac:dyDescent="0.2">
      <c r="A97" s="30"/>
      <c r="B97" s="30"/>
      <c r="C97" s="107" t="s">
        <v>316</v>
      </c>
      <c r="D97" s="158"/>
      <c r="E97" s="164"/>
      <c r="F97" s="148"/>
      <c r="G97" s="148"/>
      <c r="H97" s="148"/>
      <c r="I97" s="148"/>
      <c r="J97" s="148"/>
      <c r="K97" s="109"/>
      <c r="L97" s="165"/>
    </row>
    <row r="98" spans="1:12" x14ac:dyDescent="0.2">
      <c r="A98" s="30"/>
      <c r="B98" s="30"/>
      <c r="C98" s="159" t="s">
        <v>186</v>
      </c>
      <c r="D98" s="158" t="s">
        <v>309</v>
      </c>
      <c r="E98" s="164" t="s">
        <v>187</v>
      </c>
      <c r="F98" s="148">
        <v>462216.32</v>
      </c>
      <c r="G98" s="148">
        <v>33</v>
      </c>
      <c r="H98" s="148">
        <v>13999</v>
      </c>
      <c r="I98" s="148">
        <v>35</v>
      </c>
      <c r="J98" s="163">
        <f>F98/I98</f>
        <v>13206.180571428571</v>
      </c>
      <c r="K98" s="109">
        <f>J98-H98</f>
        <v>-792.81942857142894</v>
      </c>
      <c r="L98" s="165"/>
    </row>
    <row r="99" spans="1:12" x14ac:dyDescent="0.2">
      <c r="A99" s="30"/>
      <c r="B99" s="30"/>
      <c r="C99" s="158"/>
      <c r="D99" s="158"/>
      <c r="E99" s="164"/>
      <c r="F99" s="148"/>
      <c r="G99" s="148"/>
      <c r="H99" s="148"/>
      <c r="I99" s="148"/>
      <c r="J99" s="163"/>
      <c r="K99" s="109"/>
      <c r="L99" s="165"/>
    </row>
    <row r="100" spans="1:12" x14ac:dyDescent="0.2">
      <c r="A100" s="30"/>
      <c r="B100" s="30"/>
      <c r="C100" s="107" t="s">
        <v>292</v>
      </c>
      <c r="D100" s="158"/>
      <c r="E100" s="164"/>
      <c r="F100" s="148"/>
      <c r="G100" s="148"/>
      <c r="H100" s="148"/>
      <c r="I100" s="148"/>
      <c r="J100" s="163"/>
      <c r="K100" s="109"/>
      <c r="L100" s="165"/>
    </row>
    <row r="101" spans="1:12" x14ac:dyDescent="0.2">
      <c r="A101" s="30"/>
      <c r="B101" s="30"/>
      <c r="C101" s="159" t="s">
        <v>317</v>
      </c>
      <c r="D101" s="158" t="s">
        <v>292</v>
      </c>
      <c r="E101" s="164">
        <v>33970</v>
      </c>
      <c r="F101" s="148">
        <v>2969</v>
      </c>
      <c r="G101" s="148">
        <v>33.299999999999997</v>
      </c>
      <c r="H101" s="148">
        <v>89</v>
      </c>
      <c r="I101" s="148">
        <v>50</v>
      </c>
      <c r="J101" s="163">
        <f>F101/I101</f>
        <v>59.38</v>
      </c>
      <c r="K101" s="109">
        <f>J101-H101</f>
        <v>-29.619999999999997</v>
      </c>
      <c r="L101" s="165"/>
    </row>
    <row r="102" spans="1:12" x14ac:dyDescent="0.2">
      <c r="A102" s="30"/>
      <c r="B102" s="30"/>
      <c r="C102" s="158"/>
      <c r="D102" s="158"/>
      <c r="E102" s="164"/>
      <c r="F102" s="148"/>
      <c r="G102" s="148"/>
      <c r="H102" s="148"/>
      <c r="I102" s="148"/>
      <c r="J102" s="148"/>
      <c r="K102" s="109"/>
      <c r="L102" s="165"/>
    </row>
    <row r="103" spans="1:12" x14ac:dyDescent="0.2">
      <c r="A103" s="30"/>
      <c r="B103" s="30"/>
      <c r="C103" s="107" t="s">
        <v>318</v>
      </c>
      <c r="D103" s="158"/>
      <c r="E103" s="164"/>
      <c r="F103" s="148"/>
      <c r="G103" s="148"/>
      <c r="H103" s="148"/>
      <c r="I103" s="148"/>
      <c r="J103" s="148"/>
      <c r="K103" s="109"/>
      <c r="L103" s="165"/>
    </row>
    <row r="104" spans="1:12" x14ac:dyDescent="0.2">
      <c r="A104" s="30"/>
      <c r="B104" s="30"/>
      <c r="C104" s="159" t="s">
        <v>319</v>
      </c>
      <c r="D104" s="158" t="s">
        <v>320</v>
      </c>
      <c r="E104" s="164">
        <v>28126</v>
      </c>
      <c r="F104" s="148">
        <v>28818</v>
      </c>
      <c r="G104" s="148">
        <v>50</v>
      </c>
      <c r="H104" s="148">
        <v>576</v>
      </c>
      <c r="I104" s="148">
        <v>37.5</v>
      </c>
      <c r="J104" s="163">
        <f t="shared" ref="J104:J137" si="10">F104/I104</f>
        <v>768.48</v>
      </c>
      <c r="K104" s="109">
        <f t="shared" ref="K104:K137" si="11">J104-H104</f>
        <v>192.48000000000002</v>
      </c>
      <c r="L104" s="165"/>
    </row>
    <row r="105" spans="1:12" x14ac:dyDescent="0.2">
      <c r="A105" s="30"/>
      <c r="B105" s="30"/>
      <c r="C105" s="159" t="s">
        <v>321</v>
      </c>
      <c r="D105" s="158" t="s">
        <v>322</v>
      </c>
      <c r="E105" s="164">
        <v>35431</v>
      </c>
      <c r="F105" s="148">
        <v>4389.01</v>
      </c>
      <c r="G105" s="148">
        <v>50</v>
      </c>
      <c r="H105" s="148">
        <v>88</v>
      </c>
      <c r="I105" s="148">
        <v>62.5</v>
      </c>
      <c r="J105" s="163">
        <f t="shared" si="10"/>
        <v>70.224159999999998</v>
      </c>
      <c r="K105" s="109">
        <f t="shared" si="11"/>
        <v>-17.775840000000002</v>
      </c>
      <c r="L105" s="165"/>
    </row>
    <row r="106" spans="1:12" x14ac:dyDescent="0.2">
      <c r="A106" s="30"/>
      <c r="B106" s="30"/>
      <c r="C106" s="159" t="s">
        <v>323</v>
      </c>
      <c r="D106" s="158" t="s">
        <v>322</v>
      </c>
      <c r="E106" s="164">
        <v>29221</v>
      </c>
      <c r="F106" s="148">
        <v>3328.92</v>
      </c>
      <c r="G106" s="148">
        <v>50</v>
      </c>
      <c r="H106" s="148">
        <v>67</v>
      </c>
      <c r="I106" s="148">
        <v>62.5</v>
      </c>
      <c r="J106" s="163">
        <f t="shared" si="10"/>
        <v>53.262720000000002</v>
      </c>
      <c r="K106" s="109">
        <f t="shared" si="11"/>
        <v>-13.737279999999998</v>
      </c>
      <c r="L106" s="165"/>
    </row>
    <row r="107" spans="1:12" x14ac:dyDescent="0.2">
      <c r="A107" s="30"/>
      <c r="B107" s="30"/>
      <c r="C107" s="169" t="s">
        <v>324</v>
      </c>
      <c r="D107" s="158" t="s">
        <v>322</v>
      </c>
      <c r="E107" s="164">
        <v>29587</v>
      </c>
      <c r="F107" s="148">
        <v>6366.45</v>
      </c>
      <c r="G107" s="148">
        <v>50</v>
      </c>
      <c r="H107" s="148">
        <v>127</v>
      </c>
      <c r="I107" s="148">
        <v>62.5</v>
      </c>
      <c r="J107" s="163">
        <f t="shared" si="10"/>
        <v>101.86319999999999</v>
      </c>
      <c r="K107" s="109">
        <f t="shared" si="11"/>
        <v>-25.136800000000008</v>
      </c>
      <c r="L107" s="165"/>
    </row>
    <row r="108" spans="1:12" x14ac:dyDescent="0.2">
      <c r="A108" s="30"/>
      <c r="B108" s="30"/>
      <c r="C108" s="159" t="s">
        <v>325</v>
      </c>
      <c r="D108" s="158" t="s">
        <v>322</v>
      </c>
      <c r="E108" s="164">
        <v>30317</v>
      </c>
      <c r="F108" s="148">
        <v>16091.46</v>
      </c>
      <c r="G108" s="148">
        <v>50</v>
      </c>
      <c r="H108" s="148">
        <v>322</v>
      </c>
      <c r="I108" s="148">
        <v>62.5</v>
      </c>
      <c r="J108" s="163">
        <f t="shared" si="10"/>
        <v>257.46335999999997</v>
      </c>
      <c r="K108" s="109">
        <f t="shared" si="11"/>
        <v>-64.536640000000034</v>
      </c>
      <c r="L108" s="165"/>
    </row>
    <row r="109" spans="1:12" x14ac:dyDescent="0.2">
      <c r="A109" s="30"/>
      <c r="B109" s="30"/>
      <c r="C109" s="159" t="s">
        <v>326</v>
      </c>
      <c r="D109" s="158" t="s">
        <v>236</v>
      </c>
      <c r="E109" s="164">
        <v>30799</v>
      </c>
      <c r="F109" s="148">
        <v>1807</v>
      </c>
      <c r="G109" s="148">
        <v>50</v>
      </c>
      <c r="H109" s="148">
        <v>36</v>
      </c>
      <c r="I109" s="148">
        <v>20</v>
      </c>
      <c r="J109" s="163">
        <f t="shared" si="10"/>
        <v>90.35</v>
      </c>
      <c r="K109" s="109">
        <f t="shared" si="11"/>
        <v>54.349999999999994</v>
      </c>
      <c r="L109" s="165"/>
    </row>
    <row r="110" spans="1:12" x14ac:dyDescent="0.2">
      <c r="A110" s="30"/>
      <c r="B110" s="30"/>
      <c r="C110" s="159" t="s">
        <v>327</v>
      </c>
      <c r="D110" s="158" t="s">
        <v>236</v>
      </c>
      <c r="E110" s="164">
        <v>30799</v>
      </c>
      <c r="F110" s="148">
        <v>1649</v>
      </c>
      <c r="G110" s="148">
        <v>50</v>
      </c>
      <c r="H110" s="148">
        <v>33</v>
      </c>
      <c r="I110" s="148">
        <v>20</v>
      </c>
      <c r="J110" s="163">
        <f t="shared" si="10"/>
        <v>82.45</v>
      </c>
      <c r="K110" s="109">
        <f t="shared" si="11"/>
        <v>49.45</v>
      </c>
      <c r="L110" s="165"/>
    </row>
    <row r="111" spans="1:12" x14ac:dyDescent="0.2">
      <c r="A111" s="30"/>
      <c r="B111" s="30"/>
      <c r="C111" s="159" t="s">
        <v>328</v>
      </c>
      <c r="D111" s="158" t="s">
        <v>329</v>
      </c>
      <c r="E111" s="164">
        <v>31048</v>
      </c>
      <c r="F111" s="148">
        <v>4800</v>
      </c>
      <c r="G111" s="148">
        <v>33</v>
      </c>
      <c r="H111" s="148">
        <v>145</v>
      </c>
      <c r="I111" s="148">
        <v>62.5</v>
      </c>
      <c r="J111" s="163">
        <f t="shared" si="10"/>
        <v>76.8</v>
      </c>
      <c r="K111" s="109">
        <f t="shared" si="11"/>
        <v>-68.2</v>
      </c>
      <c r="L111" s="165"/>
    </row>
    <row r="112" spans="1:12" x14ac:dyDescent="0.2">
      <c r="A112" s="30"/>
      <c r="B112" s="30"/>
      <c r="C112" s="159" t="s">
        <v>330</v>
      </c>
      <c r="D112" s="158" t="s">
        <v>309</v>
      </c>
      <c r="E112" s="164">
        <v>31413</v>
      </c>
      <c r="F112" s="148">
        <v>759</v>
      </c>
      <c r="G112" s="148">
        <v>33</v>
      </c>
      <c r="H112" s="148">
        <v>23</v>
      </c>
      <c r="I112" s="148">
        <v>35</v>
      </c>
      <c r="J112" s="163">
        <f t="shared" si="10"/>
        <v>21.685714285714287</v>
      </c>
      <c r="K112" s="109">
        <f t="shared" si="11"/>
        <v>-1.3142857142857132</v>
      </c>
      <c r="L112" s="165"/>
    </row>
    <row r="113" spans="1:12" x14ac:dyDescent="0.2">
      <c r="A113" s="30"/>
      <c r="B113" s="30"/>
      <c r="C113" s="159" t="s">
        <v>331</v>
      </c>
      <c r="D113" s="158" t="s">
        <v>338</v>
      </c>
      <c r="E113" s="164">
        <v>32143</v>
      </c>
      <c r="F113" s="148">
        <v>585</v>
      </c>
      <c r="G113" s="148">
        <v>50</v>
      </c>
      <c r="H113" s="148">
        <v>12</v>
      </c>
      <c r="I113" s="148">
        <v>62.5</v>
      </c>
      <c r="J113" s="163">
        <f t="shared" si="10"/>
        <v>9.36</v>
      </c>
      <c r="K113" s="109">
        <f t="shared" si="11"/>
        <v>-2.6400000000000006</v>
      </c>
      <c r="L113" s="165"/>
    </row>
    <row r="114" spans="1:12" x14ac:dyDescent="0.2">
      <c r="A114" s="30"/>
      <c r="B114" s="30"/>
      <c r="C114" s="159" t="s">
        <v>332</v>
      </c>
      <c r="D114" s="158" t="s">
        <v>339</v>
      </c>
      <c r="E114" s="164">
        <v>32324</v>
      </c>
      <c r="F114" s="148">
        <v>984</v>
      </c>
      <c r="G114" s="148">
        <v>33</v>
      </c>
      <c r="H114" s="148">
        <v>30</v>
      </c>
      <c r="I114" s="148">
        <v>50</v>
      </c>
      <c r="J114" s="163">
        <f t="shared" si="10"/>
        <v>19.68</v>
      </c>
      <c r="K114" s="109">
        <f t="shared" si="11"/>
        <v>-10.32</v>
      </c>
      <c r="L114" s="165"/>
    </row>
    <row r="115" spans="1:12" x14ac:dyDescent="0.2">
      <c r="A115" s="30"/>
      <c r="B115" s="30"/>
      <c r="C115" s="159" t="s">
        <v>333</v>
      </c>
      <c r="D115" s="158" t="s">
        <v>340</v>
      </c>
      <c r="E115" s="164">
        <v>32422</v>
      </c>
      <c r="F115" s="148">
        <v>935</v>
      </c>
      <c r="G115" s="148">
        <v>33</v>
      </c>
      <c r="H115" s="148">
        <v>28</v>
      </c>
      <c r="I115" s="148">
        <v>50</v>
      </c>
      <c r="J115" s="163">
        <f t="shared" si="10"/>
        <v>18.7</v>
      </c>
      <c r="K115" s="109">
        <f t="shared" si="11"/>
        <v>-9.3000000000000007</v>
      </c>
      <c r="L115" s="165"/>
    </row>
    <row r="116" spans="1:12" x14ac:dyDescent="0.2">
      <c r="A116" s="30"/>
      <c r="B116" s="30"/>
      <c r="C116" s="159" t="s">
        <v>334</v>
      </c>
      <c r="D116" s="158" t="s">
        <v>341</v>
      </c>
      <c r="E116" s="164">
        <v>32433</v>
      </c>
      <c r="F116" s="148">
        <v>700</v>
      </c>
      <c r="G116" s="148">
        <v>50</v>
      </c>
      <c r="H116" s="148">
        <v>14</v>
      </c>
      <c r="I116" s="148">
        <v>62.5</v>
      </c>
      <c r="J116" s="163">
        <f t="shared" si="10"/>
        <v>11.2</v>
      </c>
      <c r="K116" s="109">
        <f t="shared" si="11"/>
        <v>-2.8000000000000007</v>
      </c>
      <c r="L116" s="165"/>
    </row>
    <row r="117" spans="1:12" x14ac:dyDescent="0.2">
      <c r="A117" s="30"/>
      <c r="B117" s="30"/>
      <c r="C117" s="159" t="s">
        <v>335</v>
      </c>
      <c r="D117" s="158" t="s">
        <v>342</v>
      </c>
      <c r="E117" s="164">
        <v>32509</v>
      </c>
      <c r="F117" s="148">
        <v>1647.5</v>
      </c>
      <c r="G117" s="148">
        <v>33</v>
      </c>
      <c r="H117" s="148">
        <v>50</v>
      </c>
      <c r="I117" s="148">
        <v>45</v>
      </c>
      <c r="J117" s="163">
        <f t="shared" si="10"/>
        <v>36.611111111111114</v>
      </c>
      <c r="K117" s="109">
        <f t="shared" si="11"/>
        <v>-13.388888888888886</v>
      </c>
      <c r="L117" s="165"/>
    </row>
    <row r="118" spans="1:12" x14ac:dyDescent="0.2">
      <c r="A118" s="30"/>
      <c r="B118" s="30"/>
      <c r="C118" s="159" t="s">
        <v>336</v>
      </c>
      <c r="D118" s="158" t="s">
        <v>343</v>
      </c>
      <c r="E118" s="164">
        <v>32920</v>
      </c>
      <c r="F118" s="148">
        <v>90</v>
      </c>
      <c r="G118" s="148">
        <v>33</v>
      </c>
      <c r="H118" s="148">
        <v>3</v>
      </c>
      <c r="I118" s="148">
        <v>50</v>
      </c>
      <c r="J118" s="163">
        <f t="shared" si="10"/>
        <v>1.8</v>
      </c>
      <c r="K118" s="109">
        <f t="shared" si="11"/>
        <v>-1.2</v>
      </c>
      <c r="L118" s="165"/>
    </row>
    <row r="119" spans="1:12" x14ac:dyDescent="0.2">
      <c r="A119" s="30"/>
      <c r="B119" s="30"/>
      <c r="C119" s="159" t="s">
        <v>337</v>
      </c>
      <c r="D119" s="158" t="s">
        <v>342</v>
      </c>
      <c r="E119" s="164">
        <v>33054</v>
      </c>
      <c r="F119" s="148">
        <v>1680</v>
      </c>
      <c r="G119" s="148">
        <v>33</v>
      </c>
      <c r="H119" s="148">
        <v>51</v>
      </c>
      <c r="I119" s="148">
        <v>45</v>
      </c>
      <c r="J119" s="163">
        <f t="shared" si="10"/>
        <v>37.333333333333336</v>
      </c>
      <c r="K119" s="109">
        <f t="shared" si="11"/>
        <v>-13.666666666666664</v>
      </c>
      <c r="L119" s="165"/>
    </row>
    <row r="120" spans="1:12" x14ac:dyDescent="0.2">
      <c r="A120" s="30"/>
      <c r="B120" s="30"/>
      <c r="C120" s="159" t="s">
        <v>344</v>
      </c>
      <c r="D120" s="158" t="s">
        <v>350</v>
      </c>
      <c r="E120" s="164">
        <v>33284</v>
      </c>
      <c r="F120" s="148">
        <v>120</v>
      </c>
      <c r="G120" s="148">
        <v>33</v>
      </c>
      <c r="H120" s="148">
        <v>4</v>
      </c>
      <c r="I120" s="148">
        <v>50</v>
      </c>
      <c r="J120" s="163">
        <f t="shared" si="10"/>
        <v>2.4</v>
      </c>
      <c r="K120" s="109">
        <f t="shared" si="11"/>
        <v>-1.6</v>
      </c>
      <c r="L120" s="165"/>
    </row>
    <row r="121" spans="1:12" x14ac:dyDescent="0.2">
      <c r="A121" s="30"/>
      <c r="B121" s="30"/>
      <c r="C121" s="159" t="s">
        <v>345</v>
      </c>
      <c r="D121" s="158" t="s">
        <v>351</v>
      </c>
      <c r="E121" s="164">
        <v>33785</v>
      </c>
      <c r="F121" s="148">
        <v>3360</v>
      </c>
      <c r="G121" s="148">
        <v>33</v>
      </c>
      <c r="H121" s="148">
        <v>102</v>
      </c>
      <c r="I121" s="148">
        <v>45</v>
      </c>
      <c r="J121" s="163">
        <f t="shared" si="10"/>
        <v>74.666666666666671</v>
      </c>
      <c r="K121" s="109">
        <f t="shared" si="11"/>
        <v>-27.333333333333329</v>
      </c>
      <c r="L121" s="165"/>
    </row>
    <row r="122" spans="1:12" x14ac:dyDescent="0.2">
      <c r="A122" s="30"/>
      <c r="B122" s="30"/>
      <c r="C122" s="159" t="s">
        <v>346</v>
      </c>
      <c r="D122" s="158" t="s">
        <v>352</v>
      </c>
      <c r="E122" s="164">
        <v>34150</v>
      </c>
      <c r="F122" s="148">
        <v>4420</v>
      </c>
      <c r="G122" s="148">
        <v>33</v>
      </c>
      <c r="H122" s="148">
        <v>134</v>
      </c>
      <c r="I122" s="148">
        <v>45</v>
      </c>
      <c r="J122" s="163">
        <f t="shared" si="10"/>
        <v>98.222222222222229</v>
      </c>
      <c r="K122" s="109">
        <f t="shared" si="11"/>
        <v>-35.777777777777771</v>
      </c>
      <c r="L122" s="165"/>
    </row>
    <row r="123" spans="1:12" x14ac:dyDescent="0.2">
      <c r="A123" s="30"/>
      <c r="B123" s="30"/>
      <c r="C123" s="159" t="s">
        <v>347</v>
      </c>
      <c r="D123" s="158" t="s">
        <v>353</v>
      </c>
      <c r="E123" s="164">
        <v>34683</v>
      </c>
      <c r="F123" s="148">
        <v>59814.6</v>
      </c>
      <c r="G123" s="148">
        <v>33</v>
      </c>
      <c r="H123" s="148">
        <v>1813</v>
      </c>
      <c r="I123" s="148">
        <v>35</v>
      </c>
      <c r="J123" s="163">
        <f t="shared" si="10"/>
        <v>1708.9885714285713</v>
      </c>
      <c r="K123" s="109">
        <f t="shared" si="11"/>
        <v>-104.01142857142872</v>
      </c>
      <c r="L123" s="165"/>
    </row>
    <row r="124" spans="1:12" x14ac:dyDescent="0.2">
      <c r="A124" s="30"/>
      <c r="B124" s="30"/>
      <c r="C124" s="159" t="s">
        <v>348</v>
      </c>
      <c r="D124" s="158" t="s">
        <v>354</v>
      </c>
      <c r="E124" s="164">
        <v>34700</v>
      </c>
      <c r="F124" s="148">
        <v>19865.79</v>
      </c>
      <c r="G124" s="148">
        <v>50</v>
      </c>
      <c r="H124" s="148">
        <v>397</v>
      </c>
      <c r="I124" s="148">
        <v>62.5</v>
      </c>
      <c r="J124" s="163">
        <f t="shared" si="10"/>
        <v>317.85264000000001</v>
      </c>
      <c r="K124" s="109">
        <f t="shared" si="11"/>
        <v>-79.147359999999992</v>
      </c>
      <c r="L124" s="165"/>
    </row>
    <row r="125" spans="1:12" x14ac:dyDescent="0.2">
      <c r="A125" s="30"/>
      <c r="B125" s="30"/>
      <c r="C125" s="159" t="s">
        <v>349</v>
      </c>
      <c r="D125" s="158" t="s">
        <v>355</v>
      </c>
      <c r="E125" s="164">
        <v>35246</v>
      </c>
      <c r="F125" s="148">
        <v>5211.8999999999996</v>
      </c>
      <c r="G125" s="148">
        <v>50</v>
      </c>
      <c r="H125" s="148">
        <v>104</v>
      </c>
      <c r="I125" s="148">
        <v>62.5</v>
      </c>
      <c r="J125" s="163">
        <f t="shared" si="10"/>
        <v>83.3904</v>
      </c>
      <c r="K125" s="109">
        <f t="shared" si="11"/>
        <v>-20.6096</v>
      </c>
      <c r="L125" s="165"/>
    </row>
    <row r="126" spans="1:12" x14ac:dyDescent="0.2">
      <c r="A126" s="30"/>
      <c r="B126" s="30"/>
      <c r="C126" s="159" t="s">
        <v>356</v>
      </c>
      <c r="D126" s="158" t="s">
        <v>236</v>
      </c>
      <c r="E126" s="164">
        <v>36207</v>
      </c>
      <c r="F126" s="148">
        <v>7349.33</v>
      </c>
      <c r="G126" s="148">
        <v>50</v>
      </c>
      <c r="H126" s="148">
        <v>147</v>
      </c>
      <c r="I126" s="148">
        <v>20</v>
      </c>
      <c r="J126" s="163">
        <f t="shared" si="10"/>
        <v>367.4665</v>
      </c>
      <c r="K126" s="109">
        <f t="shared" si="11"/>
        <v>220.4665</v>
      </c>
      <c r="L126" s="165"/>
    </row>
    <row r="127" spans="1:12" x14ac:dyDescent="0.2">
      <c r="A127" s="30"/>
      <c r="B127" s="30"/>
      <c r="C127" s="159" t="s">
        <v>357</v>
      </c>
      <c r="D127" s="158" t="s">
        <v>360</v>
      </c>
      <c r="E127" s="164">
        <v>36207</v>
      </c>
      <c r="F127" s="148">
        <v>2614</v>
      </c>
      <c r="G127" s="148">
        <v>33.299999999999997</v>
      </c>
      <c r="H127" s="148">
        <v>78</v>
      </c>
      <c r="I127" s="148">
        <v>35</v>
      </c>
      <c r="J127" s="163">
        <f t="shared" si="10"/>
        <v>74.685714285714283</v>
      </c>
      <c r="K127" s="109">
        <f t="shared" si="11"/>
        <v>-3.3142857142857167</v>
      </c>
      <c r="L127" s="165"/>
    </row>
    <row r="128" spans="1:12" x14ac:dyDescent="0.2">
      <c r="A128" s="30"/>
      <c r="B128" s="30"/>
      <c r="C128" s="159" t="s">
        <v>358</v>
      </c>
      <c r="D128" s="158" t="s">
        <v>309</v>
      </c>
      <c r="E128" s="164">
        <v>36799</v>
      </c>
      <c r="F128" s="148">
        <v>4712</v>
      </c>
      <c r="G128" s="148">
        <v>33.299999999999997</v>
      </c>
      <c r="H128" s="148">
        <v>142</v>
      </c>
      <c r="I128" s="148">
        <v>35</v>
      </c>
      <c r="J128" s="163">
        <f t="shared" si="10"/>
        <v>134.62857142857143</v>
      </c>
      <c r="K128" s="109">
        <f t="shared" si="11"/>
        <v>-7.3714285714285666</v>
      </c>
      <c r="L128" s="165"/>
    </row>
    <row r="129" spans="1:14" x14ac:dyDescent="0.2">
      <c r="A129" s="30"/>
      <c r="B129" s="30"/>
      <c r="C129" s="159" t="s">
        <v>359</v>
      </c>
      <c r="D129" s="158" t="s">
        <v>361</v>
      </c>
      <c r="E129" s="164">
        <v>37226</v>
      </c>
      <c r="F129" s="148">
        <v>5427.79</v>
      </c>
      <c r="G129" s="148">
        <v>33</v>
      </c>
      <c r="H129" s="148">
        <v>164</v>
      </c>
      <c r="I129" s="148">
        <v>35</v>
      </c>
      <c r="J129" s="163">
        <f t="shared" si="10"/>
        <v>155.07971428571429</v>
      </c>
      <c r="K129" s="109">
        <f t="shared" si="11"/>
        <v>-8.9202857142857113</v>
      </c>
      <c r="L129" s="165"/>
    </row>
    <row r="130" spans="1:14" x14ac:dyDescent="0.2">
      <c r="A130" s="30"/>
      <c r="B130" s="30"/>
      <c r="C130" s="159" t="s">
        <v>362</v>
      </c>
      <c r="D130" s="158" t="s">
        <v>370</v>
      </c>
      <c r="E130" s="164">
        <v>41177</v>
      </c>
      <c r="F130" s="148">
        <v>8290.92</v>
      </c>
      <c r="G130" s="148">
        <v>5</v>
      </c>
      <c r="H130" s="148">
        <f t="shared" ref="H130:H135" si="12">F130/G130</f>
        <v>1658.184</v>
      </c>
      <c r="I130" s="148">
        <v>10</v>
      </c>
      <c r="J130" s="163">
        <f t="shared" si="10"/>
        <v>829.09199999999998</v>
      </c>
      <c r="K130" s="109">
        <f t="shared" si="11"/>
        <v>-829.09199999999998</v>
      </c>
      <c r="L130" s="165"/>
    </row>
    <row r="131" spans="1:14" x14ac:dyDescent="0.2">
      <c r="A131" s="30"/>
      <c r="B131" s="30"/>
      <c r="C131" s="159" t="s">
        <v>363</v>
      </c>
      <c r="D131" s="158" t="s">
        <v>371</v>
      </c>
      <c r="E131" s="164">
        <v>41472</v>
      </c>
      <c r="F131" s="148">
        <v>7064</v>
      </c>
      <c r="G131" s="148">
        <v>5</v>
      </c>
      <c r="H131" s="148">
        <f t="shared" si="12"/>
        <v>1412.8</v>
      </c>
      <c r="I131" s="148">
        <v>17.5</v>
      </c>
      <c r="J131" s="163">
        <f t="shared" si="10"/>
        <v>403.65714285714284</v>
      </c>
      <c r="K131" s="109">
        <f t="shared" si="11"/>
        <v>-1009.1428571428571</v>
      </c>
      <c r="L131" s="165"/>
    </row>
    <row r="132" spans="1:14" x14ac:dyDescent="0.2">
      <c r="A132" s="30"/>
      <c r="B132" s="30"/>
      <c r="C132" s="159" t="s">
        <v>364</v>
      </c>
      <c r="D132" s="158" t="s">
        <v>397</v>
      </c>
      <c r="E132" s="164">
        <v>42066</v>
      </c>
      <c r="F132" s="148">
        <v>5220</v>
      </c>
      <c r="G132" s="148">
        <v>5</v>
      </c>
      <c r="H132" s="148">
        <f t="shared" si="12"/>
        <v>1044</v>
      </c>
      <c r="I132" s="148">
        <v>15</v>
      </c>
      <c r="J132" s="163">
        <f t="shared" si="10"/>
        <v>348</v>
      </c>
      <c r="K132" s="109">
        <f t="shared" si="11"/>
        <v>-696</v>
      </c>
      <c r="L132" s="165"/>
    </row>
    <row r="133" spans="1:14" x14ac:dyDescent="0.2">
      <c r="A133" s="30"/>
      <c r="B133" s="30"/>
      <c r="C133" s="159" t="s">
        <v>365</v>
      </c>
      <c r="D133" s="158" t="s">
        <v>398</v>
      </c>
      <c r="E133" s="164">
        <v>42109</v>
      </c>
      <c r="F133" s="148">
        <v>4200</v>
      </c>
      <c r="G133" s="148">
        <v>5</v>
      </c>
      <c r="H133" s="148">
        <f t="shared" si="12"/>
        <v>840</v>
      </c>
      <c r="I133" s="148">
        <v>12.5</v>
      </c>
      <c r="J133" s="163">
        <f t="shared" si="10"/>
        <v>336</v>
      </c>
      <c r="K133" s="109">
        <f t="shared" si="11"/>
        <v>-504</v>
      </c>
      <c r="L133" s="165"/>
    </row>
    <row r="134" spans="1:14" x14ac:dyDescent="0.2">
      <c r="A134" s="30"/>
      <c r="B134" s="30"/>
      <c r="C134" s="159" t="s">
        <v>366</v>
      </c>
      <c r="D134" s="158" t="s">
        <v>399</v>
      </c>
      <c r="E134" s="164">
        <v>42234</v>
      </c>
      <c r="F134" s="148">
        <v>6000</v>
      </c>
      <c r="G134" s="148">
        <v>5</v>
      </c>
      <c r="H134" s="148">
        <f t="shared" si="12"/>
        <v>1200</v>
      </c>
      <c r="I134" s="148">
        <v>12.5</v>
      </c>
      <c r="J134" s="163">
        <f t="shared" si="10"/>
        <v>480</v>
      </c>
      <c r="K134" s="109">
        <f t="shared" si="11"/>
        <v>-720</v>
      </c>
      <c r="L134" s="165"/>
    </row>
    <row r="135" spans="1:14" x14ac:dyDescent="0.2">
      <c r="A135" s="30"/>
      <c r="B135" s="30"/>
      <c r="C135" s="159" t="s">
        <v>367</v>
      </c>
      <c r="D135" s="158" t="s">
        <v>400</v>
      </c>
      <c r="E135" s="164">
        <v>42359</v>
      </c>
      <c r="F135" s="148">
        <v>1264</v>
      </c>
      <c r="G135" s="148">
        <v>5</v>
      </c>
      <c r="H135" s="148">
        <f t="shared" si="12"/>
        <v>252.8</v>
      </c>
      <c r="I135" s="148">
        <v>17.5</v>
      </c>
      <c r="J135" s="163">
        <f t="shared" si="10"/>
        <v>72.228571428571428</v>
      </c>
      <c r="K135" s="109">
        <f t="shared" si="11"/>
        <v>-180.57142857142858</v>
      </c>
      <c r="L135" s="165"/>
    </row>
    <row r="136" spans="1:14" x14ac:dyDescent="0.2">
      <c r="A136" s="30"/>
      <c r="B136" s="30"/>
      <c r="C136" s="159" t="s">
        <v>368</v>
      </c>
      <c r="D136" s="158" t="s">
        <v>372</v>
      </c>
      <c r="E136" s="164">
        <v>42422</v>
      </c>
      <c r="F136" s="148">
        <v>4000</v>
      </c>
      <c r="G136" s="148">
        <v>5</v>
      </c>
      <c r="H136" s="148">
        <v>667</v>
      </c>
      <c r="I136" s="148">
        <v>17.5</v>
      </c>
      <c r="J136" s="163">
        <f t="shared" si="10"/>
        <v>228.57142857142858</v>
      </c>
      <c r="K136" s="109">
        <f t="shared" si="11"/>
        <v>-438.42857142857144</v>
      </c>
      <c r="L136" s="165"/>
    </row>
    <row r="137" spans="1:14" x14ac:dyDescent="0.2">
      <c r="A137" s="30"/>
      <c r="B137" s="30"/>
      <c r="C137" s="159" t="s">
        <v>369</v>
      </c>
      <c r="D137" s="158" t="s">
        <v>372</v>
      </c>
      <c r="E137" s="164">
        <v>42703</v>
      </c>
      <c r="F137" s="148">
        <v>725</v>
      </c>
      <c r="G137" s="148">
        <v>5</v>
      </c>
      <c r="H137" s="148">
        <v>12</v>
      </c>
      <c r="I137" s="148">
        <v>17.5</v>
      </c>
      <c r="J137" s="163">
        <f t="shared" si="10"/>
        <v>41.428571428571431</v>
      </c>
      <c r="K137" s="109">
        <f t="shared" si="11"/>
        <v>29.428571428571431</v>
      </c>
      <c r="L137" s="165"/>
    </row>
    <row r="138" spans="1:14" x14ac:dyDescent="0.2">
      <c r="A138" s="30"/>
      <c r="B138" s="30"/>
      <c r="C138" s="158"/>
      <c r="D138" s="158"/>
      <c r="E138" s="164"/>
      <c r="F138" s="148"/>
      <c r="G138" s="148"/>
      <c r="H138" s="148"/>
      <c r="I138" s="148"/>
      <c r="J138" s="148"/>
      <c r="K138" s="109"/>
      <c r="L138" s="165"/>
      <c r="N138" s="170"/>
    </row>
    <row r="139" spans="1:14" x14ac:dyDescent="0.2">
      <c r="A139" s="30"/>
      <c r="B139" s="30"/>
      <c r="C139" s="107" t="s">
        <v>373</v>
      </c>
      <c r="D139" s="64"/>
      <c r="E139" s="164"/>
      <c r="F139" s="148"/>
      <c r="G139" s="148"/>
      <c r="H139" s="148"/>
      <c r="I139" s="148"/>
      <c r="J139" s="148"/>
      <c r="K139" s="109"/>
      <c r="L139" s="165"/>
    </row>
    <row r="140" spans="1:14" x14ac:dyDescent="0.2">
      <c r="A140" s="30"/>
      <c r="B140" s="30"/>
      <c r="C140" s="159" t="s">
        <v>374</v>
      </c>
      <c r="D140" s="158" t="s">
        <v>377</v>
      </c>
      <c r="E140" s="164">
        <v>40803</v>
      </c>
      <c r="F140" s="148">
        <v>805.59</v>
      </c>
      <c r="G140" s="148">
        <v>5</v>
      </c>
      <c r="H140" s="148">
        <v>121</v>
      </c>
      <c r="I140" s="148">
        <v>10</v>
      </c>
      <c r="J140" s="163">
        <f>F140/I140</f>
        <v>80.558999999999997</v>
      </c>
      <c r="K140" s="109">
        <f>J140-H140</f>
        <v>-40.441000000000003</v>
      </c>
      <c r="L140" s="165"/>
    </row>
    <row r="141" spans="1:14" x14ac:dyDescent="0.2">
      <c r="A141" s="30"/>
      <c r="B141" s="30"/>
      <c r="C141" s="159" t="s">
        <v>375</v>
      </c>
      <c r="D141" s="158" t="s">
        <v>378</v>
      </c>
      <c r="E141" s="164">
        <v>40803</v>
      </c>
      <c r="F141" s="148">
        <v>634.94000000000005</v>
      </c>
      <c r="G141" s="148">
        <v>5</v>
      </c>
      <c r="H141" s="148">
        <v>94</v>
      </c>
      <c r="I141" s="148">
        <v>10</v>
      </c>
      <c r="J141" s="163">
        <f>F141/I141</f>
        <v>63.494000000000007</v>
      </c>
      <c r="K141" s="109">
        <f>J141-H141</f>
        <v>-30.505999999999993</v>
      </c>
      <c r="L141" s="165"/>
    </row>
    <row r="142" spans="1:14" x14ac:dyDescent="0.2">
      <c r="A142" s="30"/>
      <c r="B142" s="30"/>
      <c r="C142" s="159" t="s">
        <v>376</v>
      </c>
      <c r="D142" s="158" t="s">
        <v>379</v>
      </c>
      <c r="E142" s="164">
        <v>40967</v>
      </c>
      <c r="F142" s="148">
        <v>1868.5</v>
      </c>
      <c r="G142" s="148">
        <v>5</v>
      </c>
      <c r="H142" s="148">
        <v>374</v>
      </c>
      <c r="I142" s="148">
        <v>10</v>
      </c>
      <c r="J142" s="163">
        <f>F142/I142</f>
        <v>186.85</v>
      </c>
      <c r="K142" s="109">
        <f>J142-H142</f>
        <v>-187.15</v>
      </c>
      <c r="L142" s="165"/>
    </row>
    <row r="143" spans="1:14" x14ac:dyDescent="0.2">
      <c r="A143" s="30"/>
      <c r="B143" s="30"/>
      <c r="C143" s="159" t="s">
        <v>380</v>
      </c>
      <c r="D143" s="158" t="s">
        <v>382</v>
      </c>
      <c r="E143" s="164">
        <v>41229</v>
      </c>
      <c r="F143" s="148">
        <v>482.37</v>
      </c>
      <c r="G143" s="148">
        <v>5</v>
      </c>
      <c r="H143" s="148">
        <v>96</v>
      </c>
      <c r="I143" s="148">
        <v>10</v>
      </c>
      <c r="J143" s="163">
        <f>F143/I143</f>
        <v>48.237000000000002</v>
      </c>
      <c r="K143" s="109">
        <f>J143-H143</f>
        <v>-47.762999999999998</v>
      </c>
      <c r="L143" s="165"/>
    </row>
    <row r="144" spans="1:14" x14ac:dyDescent="0.2">
      <c r="A144" s="30"/>
      <c r="B144" s="30"/>
      <c r="C144" s="159" t="s">
        <v>381</v>
      </c>
      <c r="D144" s="158" t="s">
        <v>383</v>
      </c>
      <c r="E144" s="164">
        <v>42436</v>
      </c>
      <c r="F144" s="148">
        <v>2045</v>
      </c>
      <c r="G144" s="148">
        <v>5</v>
      </c>
      <c r="H144" s="148">
        <v>341</v>
      </c>
      <c r="I144" s="148">
        <v>10</v>
      </c>
      <c r="J144" s="163">
        <f>F144/I144</f>
        <v>204.5</v>
      </c>
      <c r="K144" s="109">
        <f>J144-H144</f>
        <v>-136.5</v>
      </c>
      <c r="L144" s="165"/>
    </row>
    <row r="145" spans="1:12" x14ac:dyDescent="0.2">
      <c r="A145" s="30"/>
      <c r="B145" s="30"/>
      <c r="C145" s="158"/>
      <c r="D145" s="158"/>
      <c r="E145" s="164"/>
      <c r="F145" s="148"/>
      <c r="G145" s="148"/>
      <c r="H145" s="148"/>
      <c r="I145" s="148"/>
      <c r="J145" s="148"/>
      <c r="K145" s="109"/>
      <c r="L145" s="165"/>
    </row>
    <row r="146" spans="1:12" x14ac:dyDescent="0.2">
      <c r="A146" s="30"/>
      <c r="B146" s="30"/>
      <c r="C146" s="107" t="s">
        <v>384</v>
      </c>
      <c r="D146" s="158"/>
      <c r="E146" s="164"/>
      <c r="F146" s="148"/>
      <c r="G146" s="148"/>
      <c r="H146" s="148"/>
      <c r="I146" s="148"/>
      <c r="J146" s="148"/>
      <c r="K146" s="109"/>
      <c r="L146" s="165"/>
    </row>
    <row r="147" spans="1:12" x14ac:dyDescent="0.2">
      <c r="A147" s="30"/>
      <c r="B147" s="30"/>
      <c r="C147" s="159" t="s">
        <v>385</v>
      </c>
      <c r="D147" s="158" t="s">
        <v>388</v>
      </c>
      <c r="E147" s="164">
        <v>40850</v>
      </c>
      <c r="F147" s="148">
        <v>1653.4</v>
      </c>
      <c r="G147" s="148">
        <v>5</v>
      </c>
      <c r="H147" s="148">
        <v>274</v>
      </c>
      <c r="I147" s="148">
        <v>7</v>
      </c>
      <c r="J147" s="163">
        <f>F147/I147</f>
        <v>236.20000000000002</v>
      </c>
      <c r="K147" s="109">
        <f>J147-H147</f>
        <v>-37.799999999999983</v>
      </c>
      <c r="L147" s="165"/>
    </row>
    <row r="148" spans="1:12" x14ac:dyDescent="0.2">
      <c r="A148" s="30"/>
      <c r="B148" s="30"/>
      <c r="C148" s="159" t="s">
        <v>386</v>
      </c>
      <c r="D148" s="158" t="s">
        <v>389</v>
      </c>
      <c r="E148" s="164">
        <v>40987</v>
      </c>
      <c r="F148" s="148">
        <v>760</v>
      </c>
      <c r="G148" s="148">
        <v>5</v>
      </c>
      <c r="H148" s="148">
        <v>152</v>
      </c>
      <c r="I148" s="148">
        <v>7</v>
      </c>
      <c r="J148" s="163">
        <f>F148/I148</f>
        <v>108.57142857142857</v>
      </c>
      <c r="K148" s="109">
        <f>J148-H148</f>
        <v>-43.428571428571431</v>
      </c>
      <c r="L148" s="165"/>
    </row>
    <row r="149" spans="1:12" x14ac:dyDescent="0.2">
      <c r="A149" s="30"/>
      <c r="B149" s="30"/>
      <c r="C149" s="159" t="s">
        <v>387</v>
      </c>
      <c r="D149" s="158" t="s">
        <v>390</v>
      </c>
      <c r="E149" s="164">
        <v>42466</v>
      </c>
      <c r="F149" s="148">
        <v>3500</v>
      </c>
      <c r="G149" s="148">
        <v>5</v>
      </c>
      <c r="H149" s="148">
        <v>525</v>
      </c>
      <c r="I149" s="148">
        <v>7</v>
      </c>
      <c r="J149" s="163">
        <f>F149/I149</f>
        <v>500</v>
      </c>
      <c r="K149" s="109">
        <f>J149-H149</f>
        <v>-25</v>
      </c>
      <c r="L149" s="165"/>
    </row>
    <row r="150" spans="1:12" x14ac:dyDescent="0.2">
      <c r="A150" s="30"/>
      <c r="B150" s="30"/>
      <c r="C150" s="159" t="s">
        <v>391</v>
      </c>
      <c r="D150" s="158" t="s">
        <v>393</v>
      </c>
      <c r="E150" s="164">
        <v>42467</v>
      </c>
      <c r="F150" s="148">
        <v>5500</v>
      </c>
      <c r="G150" s="148">
        <v>5</v>
      </c>
      <c r="H150" s="148">
        <v>825</v>
      </c>
      <c r="I150" s="148">
        <v>7</v>
      </c>
      <c r="J150" s="163">
        <f>F150/I150</f>
        <v>785.71428571428567</v>
      </c>
      <c r="K150" s="109">
        <f>J150-H150</f>
        <v>-39.285714285714334</v>
      </c>
      <c r="L150" s="165"/>
    </row>
    <row r="151" spans="1:12" x14ac:dyDescent="0.2">
      <c r="A151" s="30"/>
      <c r="B151" s="30"/>
      <c r="C151" s="159" t="s">
        <v>392</v>
      </c>
      <c r="D151" s="158" t="s">
        <v>394</v>
      </c>
      <c r="E151" s="164">
        <v>42542</v>
      </c>
      <c r="F151" s="148">
        <v>18000</v>
      </c>
      <c r="G151" s="148">
        <v>5</v>
      </c>
      <c r="H151" s="148">
        <v>1800</v>
      </c>
      <c r="I151" s="148">
        <v>7</v>
      </c>
      <c r="J151" s="163">
        <f>F151/I151</f>
        <v>2571.4285714285716</v>
      </c>
      <c r="K151" s="109">
        <f>J151-H151</f>
        <v>771.42857142857156</v>
      </c>
      <c r="L151" s="165"/>
    </row>
    <row r="152" spans="1:12" x14ac:dyDescent="0.2">
      <c r="A152" s="30"/>
      <c r="B152" s="30"/>
      <c r="C152" s="159"/>
      <c r="D152" s="158"/>
      <c r="E152" s="164"/>
      <c r="F152" s="148"/>
      <c r="G152" s="148"/>
      <c r="H152" s="148"/>
      <c r="I152" s="148"/>
      <c r="J152" s="163"/>
      <c r="K152" s="109"/>
      <c r="L152" s="165"/>
    </row>
    <row r="153" spans="1:12" x14ac:dyDescent="0.2">
      <c r="A153" s="30"/>
      <c r="B153" s="30"/>
      <c r="C153" s="107" t="s">
        <v>455</v>
      </c>
      <c r="D153" s="158"/>
      <c r="E153" s="164"/>
      <c r="F153" s="148"/>
      <c r="G153" s="148"/>
      <c r="H153" s="148"/>
      <c r="I153" s="148"/>
      <c r="J153" s="163"/>
      <c r="K153" s="109"/>
      <c r="L153" s="165"/>
    </row>
    <row r="154" spans="1:12" x14ac:dyDescent="0.2">
      <c r="A154" s="30"/>
      <c r="B154" s="30"/>
      <c r="C154" s="159"/>
      <c r="D154" s="158" t="s">
        <v>456</v>
      </c>
      <c r="E154" s="164">
        <v>42551</v>
      </c>
      <c r="F154" s="148">
        <v>24000</v>
      </c>
      <c r="G154" s="148"/>
      <c r="H154" s="148"/>
      <c r="I154" s="148">
        <v>35</v>
      </c>
      <c r="J154" s="163">
        <f>F154/I154</f>
        <v>685.71428571428567</v>
      </c>
      <c r="K154" s="109">
        <f>J154-H154</f>
        <v>685.71428571428567</v>
      </c>
      <c r="L154" s="109">
        <f>K154-I154</f>
        <v>650.71428571428567</v>
      </c>
    </row>
    <row r="155" spans="1:12" x14ac:dyDescent="0.2">
      <c r="C155" s="108"/>
      <c r="D155" s="108"/>
      <c r="E155" s="160"/>
      <c r="F155" s="109"/>
      <c r="G155" s="109"/>
      <c r="H155" s="109"/>
      <c r="I155" s="109"/>
      <c r="J155" s="109"/>
      <c r="K155" s="109"/>
      <c r="L155" s="103"/>
    </row>
    <row r="156" spans="1:12" x14ac:dyDescent="0.2">
      <c r="C156" s="108"/>
      <c r="D156" s="110" t="s">
        <v>2</v>
      </c>
      <c r="E156" s="160"/>
      <c r="F156" s="109"/>
      <c r="G156" s="109"/>
      <c r="H156" s="162">
        <f>SUM(H11:H155)</f>
        <v>771702.76940000022</v>
      </c>
      <c r="I156" s="22"/>
      <c r="J156" s="162">
        <f>SUM(J11:J155)</f>
        <v>683750.12784354994</v>
      </c>
      <c r="K156" s="162">
        <f>SUM(K11:K155)</f>
        <v>-87952.641556450209</v>
      </c>
      <c r="L156" s="103"/>
    </row>
    <row r="157" spans="1:12" x14ac:dyDescent="0.2">
      <c r="C157" s="64"/>
      <c r="D157" s="64"/>
      <c r="E157" s="161"/>
      <c r="F157" s="163"/>
      <c r="G157" s="163"/>
      <c r="H157" s="163"/>
      <c r="I157" s="163"/>
      <c r="J157" s="163"/>
      <c r="K157" s="163"/>
    </row>
    <row r="158" spans="1:12" x14ac:dyDescent="0.2">
      <c r="C158" s="64"/>
      <c r="D158" s="64"/>
      <c r="E158" s="161"/>
      <c r="F158" s="163"/>
      <c r="G158" s="163"/>
      <c r="H158" s="163"/>
      <c r="I158" s="163"/>
      <c r="J158" s="163"/>
      <c r="K158" s="163"/>
    </row>
    <row r="159" spans="1:12" x14ac:dyDescent="0.2">
      <c r="C159" s="64"/>
      <c r="D159" s="64"/>
      <c r="E159" s="161"/>
      <c r="F159" s="163"/>
      <c r="G159" s="163"/>
      <c r="H159" s="163"/>
      <c r="I159" s="163"/>
      <c r="J159" s="163"/>
      <c r="K159" s="163"/>
    </row>
    <row r="160" spans="1:12" x14ac:dyDescent="0.2">
      <c r="C160" s="64"/>
      <c r="D160" s="64"/>
      <c r="E160" s="161"/>
      <c r="F160" s="163"/>
      <c r="G160" s="163"/>
      <c r="H160" s="163"/>
      <c r="I160" s="163"/>
      <c r="J160" s="163"/>
      <c r="K160" s="163"/>
    </row>
    <row r="161" spans="3:11" x14ac:dyDescent="0.2">
      <c r="C161" s="64"/>
      <c r="D161" s="64"/>
      <c r="E161" s="161"/>
      <c r="F161" s="163"/>
      <c r="G161" s="163"/>
      <c r="H161" s="163"/>
      <c r="I161" s="163"/>
      <c r="J161" s="163"/>
      <c r="K161" s="163"/>
    </row>
    <row r="162" spans="3:11" x14ac:dyDescent="0.2">
      <c r="C162" s="64"/>
      <c r="D162" s="64"/>
      <c r="E162" s="161"/>
      <c r="F162" s="163"/>
      <c r="G162" s="163"/>
      <c r="H162" s="163"/>
      <c r="I162" s="163"/>
      <c r="J162" s="163"/>
      <c r="K162" s="163"/>
    </row>
    <row r="163" spans="3:11" x14ac:dyDescent="0.2">
      <c r="C163" s="64"/>
      <c r="D163" s="64"/>
      <c r="E163" s="161"/>
      <c r="F163" s="163"/>
      <c r="G163" s="163"/>
      <c r="H163" s="163"/>
      <c r="I163" s="163"/>
      <c r="J163" s="163"/>
      <c r="K163" s="163"/>
    </row>
    <row r="164" spans="3:11" x14ac:dyDescent="0.2">
      <c r="C164" s="64"/>
      <c r="D164" s="64"/>
      <c r="E164" s="161"/>
      <c r="F164" s="163"/>
      <c r="G164" s="163"/>
      <c r="H164" s="163"/>
      <c r="I164" s="163"/>
      <c r="J164" s="163"/>
      <c r="K164" s="163"/>
    </row>
    <row r="165" spans="3:11" x14ac:dyDescent="0.2">
      <c r="C165" s="64"/>
      <c r="D165" s="64"/>
      <c r="E165" s="161"/>
      <c r="F165" s="163"/>
      <c r="G165" s="163"/>
      <c r="H165" s="163"/>
      <c r="I165" s="163"/>
      <c r="J165" s="163"/>
      <c r="K165" s="163"/>
    </row>
    <row r="166" spans="3:11" x14ac:dyDescent="0.2">
      <c r="C166" s="64"/>
      <c r="D166" s="64"/>
      <c r="E166" s="161"/>
      <c r="F166" s="163"/>
      <c r="G166" s="163"/>
      <c r="H166" s="163"/>
      <c r="I166" s="163"/>
      <c r="J166" s="163"/>
      <c r="K166" s="163"/>
    </row>
    <row r="167" spans="3:11" x14ac:dyDescent="0.2">
      <c r="C167" s="64"/>
      <c r="D167" s="64"/>
      <c r="E167" s="161"/>
      <c r="F167" s="163"/>
      <c r="G167" s="163"/>
      <c r="H167" s="163"/>
      <c r="I167" s="163"/>
      <c r="J167" s="163"/>
      <c r="K167" s="163"/>
    </row>
    <row r="168" spans="3:11" x14ac:dyDescent="0.2">
      <c r="C168" s="64"/>
      <c r="D168" s="64"/>
      <c r="E168" s="161"/>
      <c r="F168" s="163"/>
      <c r="G168" s="163"/>
      <c r="H168" s="163"/>
      <c r="I168" s="163"/>
      <c r="J168" s="163"/>
      <c r="K168" s="163"/>
    </row>
    <row r="169" spans="3:11" x14ac:dyDescent="0.2">
      <c r="C169" s="64"/>
      <c r="D169" s="64"/>
      <c r="E169" s="161"/>
      <c r="F169" s="163"/>
      <c r="G169" s="163"/>
      <c r="H169" s="163"/>
      <c r="I169" s="163"/>
      <c r="J169" s="163"/>
      <c r="K169" s="163"/>
    </row>
    <row r="170" spans="3:11" x14ac:dyDescent="0.2">
      <c r="C170" s="64"/>
      <c r="D170" s="64"/>
      <c r="E170" s="161"/>
      <c r="F170" s="163"/>
      <c r="G170" s="163"/>
      <c r="H170" s="163"/>
      <c r="I170" s="163"/>
      <c r="J170" s="163"/>
      <c r="K170" s="163"/>
    </row>
    <row r="171" spans="3:11" x14ac:dyDescent="0.2">
      <c r="C171" s="64"/>
      <c r="D171" s="64"/>
      <c r="E171" s="161"/>
      <c r="F171" s="163"/>
      <c r="G171" s="163"/>
      <c r="H171" s="163"/>
      <c r="I171" s="163"/>
      <c r="J171" s="163"/>
      <c r="K171" s="163"/>
    </row>
    <row r="172" spans="3:11" x14ac:dyDescent="0.2">
      <c r="C172" s="64"/>
      <c r="D172" s="64"/>
      <c r="E172" s="161"/>
      <c r="F172" s="163"/>
      <c r="G172" s="163"/>
      <c r="H172" s="163"/>
      <c r="I172" s="163"/>
      <c r="J172" s="163"/>
      <c r="K172" s="163"/>
    </row>
    <row r="173" spans="3:11" x14ac:dyDescent="0.2">
      <c r="C173" s="64"/>
      <c r="D173" s="64"/>
      <c r="E173" s="161"/>
      <c r="F173" s="163"/>
      <c r="G173" s="163"/>
      <c r="H173" s="163"/>
      <c r="I173" s="163"/>
      <c r="J173" s="163"/>
      <c r="K173" s="163"/>
    </row>
    <row r="174" spans="3:11" x14ac:dyDescent="0.2">
      <c r="C174" s="64"/>
      <c r="D174" s="64"/>
      <c r="E174" s="161"/>
      <c r="F174" s="163"/>
      <c r="G174" s="163"/>
      <c r="H174" s="163"/>
      <c r="I174" s="163"/>
      <c r="J174" s="163"/>
      <c r="K174" s="163"/>
    </row>
    <row r="175" spans="3:11" x14ac:dyDescent="0.2">
      <c r="C175" s="64"/>
      <c r="D175" s="64"/>
      <c r="E175" s="161"/>
      <c r="F175" s="163"/>
      <c r="G175" s="163"/>
      <c r="H175" s="163"/>
      <c r="I175" s="163"/>
      <c r="J175" s="163"/>
      <c r="K175" s="163"/>
    </row>
    <row r="176" spans="3:11" x14ac:dyDescent="0.2">
      <c r="C176" s="64"/>
      <c r="D176" s="64"/>
      <c r="E176" s="161"/>
      <c r="F176" s="163"/>
      <c r="G176" s="163"/>
      <c r="H176" s="163"/>
      <c r="I176" s="163"/>
      <c r="J176" s="163"/>
      <c r="K176" s="163"/>
    </row>
    <row r="177" spans="3:11" x14ac:dyDescent="0.2">
      <c r="C177" s="64"/>
      <c r="D177" s="64"/>
      <c r="E177" s="161"/>
      <c r="F177" s="163"/>
      <c r="G177" s="163"/>
      <c r="H177" s="163"/>
      <c r="I177" s="163"/>
      <c r="J177" s="163"/>
      <c r="K177" s="163"/>
    </row>
    <row r="178" spans="3:11" x14ac:dyDescent="0.2">
      <c r="C178" s="64"/>
      <c r="D178" s="64"/>
      <c r="E178" s="161"/>
      <c r="F178" s="163"/>
      <c r="G178" s="163"/>
      <c r="H178" s="163"/>
      <c r="I178" s="163"/>
      <c r="J178" s="163"/>
      <c r="K178" s="163"/>
    </row>
    <row r="179" spans="3:11" x14ac:dyDescent="0.2">
      <c r="C179" s="64"/>
      <c r="D179" s="64"/>
      <c r="E179" s="161"/>
      <c r="F179" s="163"/>
      <c r="G179" s="163"/>
      <c r="H179" s="163"/>
      <c r="I179" s="163"/>
      <c r="J179" s="163"/>
      <c r="K179" s="163"/>
    </row>
    <row r="180" spans="3:11" x14ac:dyDescent="0.2">
      <c r="C180" s="64"/>
      <c r="D180" s="64"/>
      <c r="E180" s="161"/>
      <c r="F180" s="163"/>
      <c r="G180" s="163"/>
      <c r="H180" s="163"/>
      <c r="I180" s="163"/>
      <c r="J180" s="163"/>
      <c r="K180" s="163"/>
    </row>
    <row r="181" spans="3:11" x14ac:dyDescent="0.2">
      <c r="C181" s="64"/>
      <c r="D181" s="64"/>
      <c r="E181" s="161"/>
      <c r="F181" s="163"/>
      <c r="G181" s="163"/>
      <c r="H181" s="163"/>
      <c r="I181" s="163"/>
      <c r="J181" s="163"/>
      <c r="K181" s="163"/>
    </row>
    <row r="182" spans="3:11" x14ac:dyDescent="0.2">
      <c r="C182" s="64"/>
      <c r="D182" s="64"/>
      <c r="E182" s="161"/>
      <c r="F182" s="163"/>
      <c r="G182" s="163"/>
      <c r="H182" s="163"/>
      <c r="I182" s="163"/>
      <c r="J182" s="163"/>
      <c r="K182" s="163"/>
    </row>
    <row r="183" spans="3:11" x14ac:dyDescent="0.2">
      <c r="C183" s="64"/>
      <c r="D183" s="64"/>
      <c r="E183" s="161"/>
      <c r="F183" s="163"/>
      <c r="G183" s="163"/>
      <c r="H183" s="163"/>
      <c r="I183" s="163"/>
      <c r="J183" s="163"/>
      <c r="K183" s="163"/>
    </row>
    <row r="184" spans="3:11" x14ac:dyDescent="0.2">
      <c r="C184" s="64"/>
      <c r="D184" s="64"/>
      <c r="E184" s="161"/>
      <c r="F184" s="163"/>
      <c r="G184" s="163"/>
      <c r="H184" s="163"/>
      <c r="I184" s="163"/>
      <c r="J184" s="163"/>
      <c r="K184" s="163"/>
    </row>
    <row r="185" spans="3:11" x14ac:dyDescent="0.2">
      <c r="C185" s="64"/>
      <c r="D185" s="64"/>
      <c r="E185" s="161"/>
      <c r="F185" s="163"/>
      <c r="G185" s="163"/>
      <c r="H185" s="163"/>
      <c r="I185" s="163"/>
      <c r="J185" s="163"/>
      <c r="K185" s="163"/>
    </row>
    <row r="186" spans="3:11" x14ac:dyDescent="0.2">
      <c r="C186" s="64"/>
      <c r="D186" s="64"/>
      <c r="E186" s="161"/>
      <c r="F186" s="163"/>
      <c r="G186" s="163"/>
      <c r="H186" s="163"/>
      <c r="I186" s="163"/>
      <c r="J186" s="163"/>
      <c r="K186" s="163"/>
    </row>
    <row r="187" spans="3:11" x14ac:dyDescent="0.2">
      <c r="C187" s="64"/>
      <c r="D187" s="64"/>
      <c r="E187" s="161"/>
      <c r="F187" s="163"/>
      <c r="G187" s="163"/>
      <c r="H187" s="163"/>
      <c r="I187" s="163"/>
      <c r="J187" s="163"/>
      <c r="K187" s="163"/>
    </row>
    <row r="188" spans="3:11" x14ac:dyDescent="0.2">
      <c r="C188" s="64"/>
      <c r="D188" s="64"/>
      <c r="E188" s="161"/>
      <c r="F188" s="163"/>
      <c r="G188" s="163"/>
      <c r="H188" s="163"/>
      <c r="I188" s="163"/>
      <c r="J188" s="163"/>
      <c r="K188" s="163"/>
    </row>
    <row r="189" spans="3:11" x14ac:dyDescent="0.2">
      <c r="C189" s="64"/>
      <c r="D189" s="64"/>
      <c r="E189" s="161"/>
      <c r="F189" s="163"/>
      <c r="G189" s="163"/>
      <c r="H189" s="163"/>
      <c r="I189" s="163"/>
      <c r="J189" s="163"/>
      <c r="K189" s="163"/>
    </row>
    <row r="190" spans="3:11" x14ac:dyDescent="0.2">
      <c r="C190" s="64"/>
      <c r="D190" s="64"/>
      <c r="E190" s="161"/>
      <c r="F190" s="163"/>
      <c r="G190" s="163"/>
      <c r="H190" s="163"/>
      <c r="I190" s="163"/>
      <c r="J190" s="163"/>
      <c r="K190" s="163"/>
    </row>
    <row r="191" spans="3:11" x14ac:dyDescent="0.2">
      <c r="C191" s="64"/>
      <c r="D191" s="64"/>
      <c r="E191" s="161"/>
      <c r="F191" s="163"/>
      <c r="G191" s="163"/>
      <c r="H191" s="163"/>
      <c r="I191" s="163"/>
      <c r="J191" s="163"/>
      <c r="K191" s="163"/>
    </row>
    <row r="192" spans="3:11" x14ac:dyDescent="0.2">
      <c r="C192" s="64"/>
      <c r="D192" s="64"/>
      <c r="E192" s="161"/>
      <c r="F192" s="163"/>
      <c r="G192" s="163"/>
      <c r="H192" s="163"/>
      <c r="I192" s="163"/>
      <c r="J192" s="163"/>
      <c r="K192" s="163"/>
    </row>
    <row r="193" spans="3:11" x14ac:dyDescent="0.2">
      <c r="C193" s="64"/>
      <c r="D193" s="64"/>
      <c r="E193" s="161"/>
      <c r="F193" s="163"/>
      <c r="G193" s="163"/>
      <c r="H193" s="163"/>
      <c r="I193" s="163"/>
      <c r="J193" s="163"/>
      <c r="K193" s="163"/>
    </row>
    <row r="194" spans="3:11" x14ac:dyDescent="0.2">
      <c r="C194" s="64"/>
      <c r="D194" s="64"/>
      <c r="E194" s="161"/>
      <c r="F194" s="163"/>
      <c r="G194" s="163"/>
      <c r="H194" s="163"/>
      <c r="I194" s="163"/>
      <c r="J194" s="163"/>
      <c r="K194" s="163"/>
    </row>
    <row r="195" spans="3:11" x14ac:dyDescent="0.2">
      <c r="C195" s="64"/>
      <c r="D195" s="64"/>
      <c r="E195" s="161"/>
      <c r="F195" s="163"/>
      <c r="G195" s="163"/>
      <c r="H195" s="163"/>
      <c r="I195" s="163"/>
      <c r="J195" s="163"/>
      <c r="K195" s="163"/>
    </row>
    <row r="196" spans="3:11" x14ac:dyDescent="0.2">
      <c r="C196" s="64"/>
      <c r="D196" s="64"/>
      <c r="E196" s="161"/>
      <c r="F196" s="163"/>
      <c r="G196" s="163"/>
      <c r="H196" s="163"/>
      <c r="I196" s="163"/>
      <c r="J196" s="163"/>
      <c r="K196" s="163"/>
    </row>
    <row r="197" spans="3:11" x14ac:dyDescent="0.2">
      <c r="C197" s="64"/>
      <c r="D197" s="64"/>
      <c r="E197" s="161"/>
      <c r="F197" s="163"/>
      <c r="G197" s="163"/>
      <c r="H197" s="163"/>
      <c r="I197" s="163"/>
      <c r="J197" s="163"/>
      <c r="K197" s="163"/>
    </row>
    <row r="198" spans="3:11" x14ac:dyDescent="0.2">
      <c r="C198" s="64"/>
      <c r="D198" s="64"/>
      <c r="E198" s="161"/>
      <c r="F198" s="163"/>
      <c r="G198" s="163"/>
      <c r="H198" s="163"/>
      <c r="I198" s="163"/>
      <c r="J198" s="163"/>
      <c r="K198" s="163"/>
    </row>
    <row r="199" spans="3:11" x14ac:dyDescent="0.2">
      <c r="C199" s="64"/>
      <c r="D199" s="64"/>
      <c r="E199" s="161"/>
      <c r="F199" s="163"/>
      <c r="G199" s="163"/>
      <c r="H199" s="163"/>
      <c r="I199" s="163"/>
      <c r="J199" s="163"/>
      <c r="K199" s="163"/>
    </row>
    <row r="200" spans="3:11" x14ac:dyDescent="0.2">
      <c r="C200" s="64"/>
      <c r="D200" s="64"/>
      <c r="E200" s="161"/>
      <c r="F200" s="163"/>
      <c r="G200" s="163"/>
      <c r="H200" s="163"/>
      <c r="I200" s="163"/>
      <c r="J200" s="163"/>
      <c r="K200" s="163"/>
    </row>
    <row r="201" spans="3:11" x14ac:dyDescent="0.2">
      <c r="C201" s="64"/>
      <c r="D201" s="64"/>
      <c r="E201" s="161"/>
      <c r="F201" s="163"/>
      <c r="G201" s="163"/>
      <c r="H201" s="163"/>
      <c r="I201" s="163"/>
      <c r="J201" s="163"/>
      <c r="K201" s="163"/>
    </row>
    <row r="202" spans="3:11" x14ac:dyDescent="0.2">
      <c r="C202" s="64"/>
      <c r="D202" s="64"/>
      <c r="E202" s="161"/>
      <c r="F202" s="163"/>
      <c r="G202" s="163"/>
      <c r="H202" s="163"/>
      <c r="I202" s="163"/>
      <c r="J202" s="163"/>
      <c r="K202" s="163"/>
    </row>
    <row r="203" spans="3:11" x14ac:dyDescent="0.2">
      <c r="C203" s="64"/>
      <c r="D203" s="64"/>
      <c r="E203" s="161"/>
      <c r="F203" s="163"/>
      <c r="G203" s="163"/>
      <c r="H203" s="163"/>
      <c r="I203" s="163"/>
      <c r="J203" s="163"/>
      <c r="K203" s="163"/>
    </row>
    <row r="204" spans="3:11" x14ac:dyDescent="0.2">
      <c r="C204" s="64"/>
      <c r="D204" s="64"/>
      <c r="E204" s="161"/>
      <c r="F204" s="163"/>
      <c r="G204" s="163"/>
      <c r="H204" s="163"/>
      <c r="I204" s="163"/>
      <c r="J204" s="163"/>
      <c r="K204" s="163"/>
    </row>
    <row r="205" spans="3:11" x14ac:dyDescent="0.2">
      <c r="C205" s="64"/>
      <c r="D205" s="64"/>
      <c r="E205" s="161"/>
      <c r="F205" s="163"/>
      <c r="G205" s="163"/>
      <c r="H205" s="163"/>
      <c r="I205" s="163"/>
      <c r="J205" s="163"/>
      <c r="K205" s="163"/>
    </row>
    <row r="206" spans="3:11" x14ac:dyDescent="0.2">
      <c r="C206" s="64"/>
      <c r="D206" s="64"/>
      <c r="E206" s="161"/>
      <c r="F206" s="163"/>
      <c r="G206" s="163"/>
      <c r="H206" s="163"/>
      <c r="I206" s="163"/>
      <c r="J206" s="163"/>
      <c r="K206" s="163"/>
    </row>
    <row r="207" spans="3:11" x14ac:dyDescent="0.2">
      <c r="C207" s="64"/>
      <c r="D207" s="64"/>
      <c r="E207" s="161"/>
      <c r="F207" s="163"/>
      <c r="G207" s="163"/>
      <c r="H207" s="163"/>
      <c r="I207" s="163"/>
      <c r="J207" s="163"/>
      <c r="K207" s="163"/>
    </row>
    <row r="208" spans="3:11" x14ac:dyDescent="0.2">
      <c r="C208" s="64"/>
      <c r="D208" s="64"/>
      <c r="E208" s="161"/>
      <c r="F208" s="163"/>
      <c r="G208" s="163"/>
      <c r="H208" s="163"/>
      <c r="I208" s="163"/>
      <c r="J208" s="163"/>
      <c r="K208" s="163"/>
    </row>
    <row r="209" spans="3:11" x14ac:dyDescent="0.2">
      <c r="C209" s="64"/>
      <c r="D209" s="64"/>
      <c r="E209" s="161"/>
      <c r="F209" s="163"/>
      <c r="G209" s="163"/>
      <c r="H209" s="163"/>
      <c r="I209" s="163"/>
      <c r="J209" s="163"/>
      <c r="K209" s="163"/>
    </row>
    <row r="210" spans="3:11" x14ac:dyDescent="0.2">
      <c r="C210" s="64"/>
      <c r="D210" s="64"/>
      <c r="E210" s="161"/>
      <c r="F210" s="163"/>
      <c r="G210" s="163"/>
      <c r="H210" s="163"/>
      <c r="I210" s="163"/>
      <c r="J210" s="163"/>
      <c r="K210" s="163"/>
    </row>
    <row r="211" spans="3:11" x14ac:dyDescent="0.2">
      <c r="C211" s="64"/>
      <c r="D211" s="64"/>
      <c r="E211" s="161"/>
      <c r="F211" s="64"/>
      <c r="G211" s="64"/>
      <c r="H211" s="64"/>
      <c r="I211" s="64"/>
      <c r="J211" s="64"/>
      <c r="K211" s="64"/>
    </row>
    <row r="212" spans="3:11" x14ac:dyDescent="0.2">
      <c r="C212" s="64"/>
      <c r="D212" s="64"/>
      <c r="E212" s="161"/>
      <c r="F212" s="64"/>
      <c r="G212" s="64"/>
      <c r="H212" s="64"/>
      <c r="I212" s="64"/>
      <c r="J212" s="64"/>
      <c r="K212" s="64"/>
    </row>
    <row r="213" spans="3:11" x14ac:dyDescent="0.2">
      <c r="C213" s="64"/>
      <c r="D213" s="64"/>
      <c r="E213" s="161"/>
      <c r="F213" s="64"/>
      <c r="G213" s="64"/>
      <c r="H213" s="64"/>
      <c r="I213" s="64"/>
      <c r="J213" s="64"/>
      <c r="K213" s="64"/>
    </row>
    <row r="214" spans="3:11" x14ac:dyDescent="0.2">
      <c r="C214" s="64"/>
      <c r="D214" s="64"/>
      <c r="E214" s="161"/>
      <c r="F214" s="64"/>
      <c r="G214" s="64"/>
      <c r="H214" s="64"/>
      <c r="I214" s="64"/>
      <c r="J214" s="64"/>
      <c r="K214" s="64"/>
    </row>
    <row r="215" spans="3:11" x14ac:dyDescent="0.2">
      <c r="C215" s="64"/>
      <c r="D215" s="64"/>
      <c r="E215" s="161"/>
      <c r="F215" s="64"/>
      <c r="G215" s="64"/>
      <c r="H215" s="64"/>
      <c r="I215" s="64"/>
      <c r="J215" s="64"/>
      <c r="K215" s="64"/>
    </row>
    <row r="216" spans="3:11" x14ac:dyDescent="0.2">
      <c r="C216" s="64"/>
      <c r="D216" s="64"/>
      <c r="E216" s="161"/>
      <c r="F216" s="64"/>
      <c r="G216" s="64"/>
      <c r="H216" s="64"/>
      <c r="I216" s="64"/>
      <c r="J216" s="64"/>
      <c r="K216" s="64"/>
    </row>
    <row r="217" spans="3:11" x14ac:dyDescent="0.2">
      <c r="C217" s="64"/>
      <c r="D217" s="64"/>
      <c r="E217" s="161"/>
      <c r="F217" s="64"/>
      <c r="G217" s="64"/>
      <c r="H217" s="64"/>
      <c r="I217" s="64"/>
      <c r="J217" s="64"/>
      <c r="K217" s="64"/>
    </row>
    <row r="218" spans="3:11" x14ac:dyDescent="0.2">
      <c r="C218" s="64"/>
      <c r="D218" s="64"/>
      <c r="E218" s="161"/>
      <c r="F218" s="64"/>
      <c r="G218" s="64"/>
      <c r="H218" s="64"/>
      <c r="I218" s="64"/>
      <c r="J218" s="64"/>
      <c r="K218" s="64"/>
    </row>
  </sheetData>
  <printOptions horizontalCentered="1"/>
  <pageMargins left="0.65" right="0.55000000000000004" top="0.75" bottom="0.65" header="0" footer="0"/>
  <pageSetup scale="72" fitToHeight="4" orientation="portrait" r:id="rId1"/>
  <headerFooter differentFirst="1">
    <oddHeader>&amp;L
Table A, 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P26"/>
  <sheetViews>
    <sheetView workbookViewId="0">
      <selection activeCell="J22" sqref="J22"/>
    </sheetView>
  </sheetViews>
  <sheetFormatPr defaultRowHeight="15" x14ac:dyDescent="0.2"/>
  <cols>
    <col min="1" max="1" width="1.6640625" customWidth="1"/>
    <col min="2" max="2" width="11.6640625" customWidth="1"/>
    <col min="3" max="3" width="9.33203125" customWidth="1"/>
    <col min="4" max="4" width="9.5546875" customWidth="1"/>
    <col min="5" max="5" width="6.88671875" customWidth="1"/>
    <col min="6" max="6" width="8.6640625" customWidth="1"/>
    <col min="7" max="7" width="8.77734375" customWidth="1"/>
    <col min="9" max="9" width="6.88671875" customWidth="1"/>
    <col min="10" max="10" width="9.77734375" customWidth="1"/>
    <col min="14" max="14" width="1.6640625" customWidth="1"/>
    <col min="15" max="15" width="2.21875" customWidth="1"/>
  </cols>
  <sheetData>
    <row r="2" spans="2:16" x14ac:dyDescent="0.2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2:16" ht="15.75" x14ac:dyDescent="0.25">
      <c r="B3" s="77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5"/>
    </row>
    <row r="4" spans="2:16" ht="18" x14ac:dyDescent="0.25">
      <c r="B4" s="78" t="s">
        <v>46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75"/>
    </row>
    <row r="5" spans="2:16" ht="18" x14ac:dyDescent="0.25">
      <c r="B5" s="122" t="s">
        <v>137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75"/>
      <c r="O5" s="22"/>
    </row>
    <row r="6" spans="2:16" x14ac:dyDescent="0.2">
      <c r="B6" s="79" t="s">
        <v>118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75"/>
    </row>
    <row r="7" spans="2:16" x14ac:dyDescent="0.2">
      <c r="B7" s="79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75"/>
    </row>
    <row r="8" spans="2:16" x14ac:dyDescent="0.2">
      <c r="B8" s="87"/>
      <c r="C8" s="123"/>
      <c r="D8" s="124"/>
      <c r="E8" s="124"/>
      <c r="F8" s="125"/>
      <c r="G8" s="89"/>
      <c r="H8" s="90"/>
      <c r="I8" s="90"/>
      <c r="J8" s="90"/>
      <c r="K8" s="89"/>
      <c r="L8" s="90"/>
      <c r="M8" s="90"/>
      <c r="N8" s="74"/>
      <c r="O8" s="22"/>
    </row>
    <row r="9" spans="2:16" ht="15.75" customHeight="1" x14ac:dyDescent="0.2">
      <c r="B9" s="372"/>
      <c r="C9" s="373" t="s">
        <v>140</v>
      </c>
      <c r="D9" s="371"/>
      <c r="E9" s="371"/>
      <c r="F9" s="374"/>
      <c r="G9" s="370" t="s">
        <v>142</v>
      </c>
      <c r="H9" s="371"/>
      <c r="I9" s="371"/>
      <c r="J9" s="371"/>
      <c r="K9" s="370" t="s">
        <v>141</v>
      </c>
      <c r="L9" s="371"/>
      <c r="M9" s="371"/>
      <c r="N9" s="75"/>
    </row>
    <row r="10" spans="2:16" ht="17.25" x14ac:dyDescent="0.2">
      <c r="B10" s="372"/>
      <c r="C10" s="93" t="s">
        <v>47</v>
      </c>
      <c r="D10" s="94" t="s">
        <v>48</v>
      </c>
      <c r="E10" s="94" t="s">
        <v>138</v>
      </c>
      <c r="F10" s="126" t="s">
        <v>49</v>
      </c>
      <c r="G10" s="93" t="s">
        <v>47</v>
      </c>
      <c r="H10" s="94" t="s">
        <v>48</v>
      </c>
      <c r="I10" s="94" t="s">
        <v>138</v>
      </c>
      <c r="J10" s="94" t="s">
        <v>49</v>
      </c>
      <c r="K10" s="93" t="s">
        <v>47</v>
      </c>
      <c r="L10" s="94" t="s">
        <v>48</v>
      </c>
      <c r="M10" s="94" t="s">
        <v>49</v>
      </c>
      <c r="N10" s="75"/>
    </row>
    <row r="11" spans="2:16" ht="15.75" x14ac:dyDescent="0.25">
      <c r="B11" s="80">
        <v>2017</v>
      </c>
      <c r="C11" s="82">
        <v>49924</v>
      </c>
      <c r="D11" s="70">
        <v>17523</v>
      </c>
      <c r="E11" s="70">
        <v>1168</v>
      </c>
      <c r="F11" s="127">
        <v>68615</v>
      </c>
      <c r="G11" s="82">
        <v>50000</v>
      </c>
      <c r="H11" s="70">
        <v>73973.759999999995</v>
      </c>
      <c r="I11" s="70">
        <v>450</v>
      </c>
      <c r="J11" s="70">
        <v>124423.76</v>
      </c>
      <c r="K11" s="82">
        <v>10000</v>
      </c>
      <c r="L11" s="70">
        <v>4834.29</v>
      </c>
      <c r="M11" s="70">
        <v>14834.29</v>
      </c>
      <c r="N11" s="75"/>
      <c r="P11">
        <f>37249.38+36724.38</f>
        <v>73973.759999999995</v>
      </c>
    </row>
    <row r="12" spans="2:16" ht="15.75" x14ac:dyDescent="0.25">
      <c r="B12" s="81">
        <v>2018</v>
      </c>
      <c r="C12" s="82">
        <v>51443</v>
      </c>
      <c r="D12" s="70">
        <v>16004.34</v>
      </c>
      <c r="E12" s="70">
        <v>1067</v>
      </c>
      <c r="F12" s="127">
        <v>68514.34</v>
      </c>
      <c r="G12" s="82">
        <v>55000</v>
      </c>
      <c r="H12" s="70">
        <v>72321.259999999995</v>
      </c>
      <c r="I12" s="70">
        <v>450</v>
      </c>
      <c r="J12" s="70">
        <v>127771.26</v>
      </c>
      <c r="K12" s="82">
        <v>10000</v>
      </c>
      <c r="L12" s="70">
        <v>4413</v>
      </c>
      <c r="M12" s="70">
        <v>14413</v>
      </c>
      <c r="N12" s="75"/>
    </row>
    <row r="13" spans="2:16" ht="15.75" x14ac:dyDescent="0.25">
      <c r="B13" s="81">
        <v>2019</v>
      </c>
      <c r="C13" s="82">
        <v>53007</v>
      </c>
      <c r="D13" s="70">
        <v>14440</v>
      </c>
      <c r="E13" s="70">
        <v>963</v>
      </c>
      <c r="F13" s="127">
        <v>68410</v>
      </c>
      <c r="G13" s="82">
        <v>55000</v>
      </c>
      <c r="H13" s="70">
        <v>70066.259999999995</v>
      </c>
      <c r="I13" s="70">
        <v>450</v>
      </c>
      <c r="J13" s="70">
        <v>125516.26</v>
      </c>
      <c r="K13" s="82">
        <v>10000</v>
      </c>
      <c r="L13" s="70">
        <v>3986</v>
      </c>
      <c r="M13" s="70">
        <v>13986</v>
      </c>
      <c r="N13" s="75"/>
    </row>
    <row r="14" spans="2:16" ht="15.75" x14ac:dyDescent="0.25">
      <c r="B14" s="81">
        <v>2020</v>
      </c>
      <c r="C14" s="82">
        <v>54620</v>
      </c>
      <c r="D14" s="70">
        <v>12827</v>
      </c>
      <c r="E14" s="70">
        <v>855</v>
      </c>
      <c r="F14" s="127">
        <v>68302</v>
      </c>
      <c r="G14" s="82">
        <v>55000</v>
      </c>
      <c r="H14" s="70">
        <v>68361.259999999995</v>
      </c>
      <c r="I14" s="70">
        <v>450</v>
      </c>
      <c r="J14" s="70">
        <v>123811.26</v>
      </c>
      <c r="K14" s="82">
        <v>15000</v>
      </c>
      <c r="L14" s="70">
        <v>3417</v>
      </c>
      <c r="M14" s="70">
        <v>18417</v>
      </c>
      <c r="N14" s="75"/>
    </row>
    <row r="15" spans="2:16" ht="15.75" x14ac:dyDescent="0.25">
      <c r="B15" s="81">
        <v>2021</v>
      </c>
      <c r="C15" s="82">
        <v>56281.02</v>
      </c>
      <c r="D15" s="70">
        <v>11165.94</v>
      </c>
      <c r="E15" s="70">
        <v>744.4</v>
      </c>
      <c r="F15" s="70">
        <f>SUM(C15:E15)</f>
        <v>68191.359999999986</v>
      </c>
      <c r="G15" s="82">
        <v>60000</v>
      </c>
      <c r="H15" s="70">
        <f>33891.88+32661.88</f>
        <v>66553.759999999995</v>
      </c>
      <c r="I15" s="70">
        <v>450</v>
      </c>
      <c r="J15" s="70">
        <f>SUM(G15:I15)</f>
        <v>127003.76</v>
      </c>
      <c r="K15" s="82">
        <v>15000</v>
      </c>
      <c r="L15" s="70">
        <v>2778.53</v>
      </c>
      <c r="M15" s="70">
        <f>SUM(K15:L15)</f>
        <v>17778.53</v>
      </c>
      <c r="N15" s="75"/>
    </row>
    <row r="16" spans="2:16" ht="15.75" x14ac:dyDescent="0.25">
      <c r="B16" s="81"/>
      <c r="C16" s="83"/>
      <c r="D16" s="69"/>
      <c r="E16" s="69"/>
      <c r="F16" s="128"/>
      <c r="G16" s="83"/>
      <c r="H16" s="69"/>
      <c r="I16" s="69"/>
      <c r="J16" s="69"/>
      <c r="K16" s="83"/>
      <c r="L16" s="69"/>
      <c r="M16" s="69"/>
      <c r="N16" s="75"/>
    </row>
    <row r="17" spans="2:14" ht="15.75" x14ac:dyDescent="0.25">
      <c r="B17" s="84" t="s">
        <v>139</v>
      </c>
      <c r="C17" s="129"/>
      <c r="D17" s="24"/>
      <c r="E17" s="24"/>
      <c r="F17" s="24">
        <f>AVERAGE(F11:F15)</f>
        <v>68406.539999999994</v>
      </c>
      <c r="G17" s="91"/>
      <c r="H17" s="24"/>
      <c r="I17" s="24"/>
      <c r="J17" s="24">
        <f>AVERAGE(J11:J15)</f>
        <v>125705.25999999998</v>
      </c>
      <c r="K17" s="91"/>
      <c r="L17" s="24"/>
      <c r="M17" s="24">
        <f>AVERAGE(M11:M15)</f>
        <v>15885.764000000001</v>
      </c>
      <c r="N17" s="76"/>
    </row>
    <row r="18" spans="2:14" ht="15.75" x14ac:dyDescent="0.25">
      <c r="B18" s="88"/>
      <c r="C18" s="85"/>
      <c r="D18" s="86"/>
      <c r="E18" s="86"/>
      <c r="F18" s="130"/>
      <c r="G18" s="85"/>
      <c r="H18" s="86"/>
      <c r="I18" s="86"/>
      <c r="J18" s="86"/>
      <c r="K18" s="85"/>
      <c r="L18" s="86"/>
      <c r="M18" s="86"/>
      <c r="N18" s="92"/>
    </row>
    <row r="19" spans="2:14" ht="15.75" x14ac:dyDescent="0.25">
      <c r="B19" s="131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76"/>
    </row>
    <row r="20" spans="2:14" ht="15.75" x14ac:dyDescent="0.25">
      <c r="B20" s="129"/>
      <c r="C20" s="69"/>
      <c r="D20" s="69"/>
      <c r="E20" s="69"/>
      <c r="F20" s="132" t="s">
        <v>143</v>
      </c>
      <c r="G20" s="69"/>
      <c r="H20" s="69"/>
      <c r="J20" s="24">
        <f>F17+J17+M17</f>
        <v>209997.56399999998</v>
      </c>
      <c r="K20" s="24"/>
      <c r="L20" s="24"/>
      <c r="M20" s="24"/>
      <c r="N20" s="76"/>
    </row>
    <row r="21" spans="2:14" ht="15.75" x14ac:dyDescent="0.25">
      <c r="B21" s="129"/>
      <c r="C21" s="24"/>
      <c r="D21" s="24"/>
      <c r="E21" s="24"/>
      <c r="F21" s="133"/>
      <c r="G21" s="24"/>
      <c r="H21" s="24"/>
      <c r="I21" s="24"/>
      <c r="K21" s="24"/>
      <c r="L21" s="24"/>
      <c r="M21" s="24"/>
      <c r="N21" s="76"/>
    </row>
    <row r="22" spans="2:14" ht="15.75" x14ac:dyDescent="0.25">
      <c r="B22" s="129"/>
      <c r="C22" s="69"/>
      <c r="D22" s="69"/>
      <c r="E22" s="69"/>
      <c r="F22" s="132" t="s">
        <v>414</v>
      </c>
      <c r="G22" s="69"/>
      <c r="H22" s="69"/>
      <c r="J22" s="24">
        <f>(F17+J17)*0.2</f>
        <v>38822.36</v>
      </c>
      <c r="K22" s="24"/>
      <c r="L22" s="24"/>
      <c r="M22" s="24"/>
      <c r="N22" s="76"/>
    </row>
    <row r="23" spans="2:14" ht="15.75" x14ac:dyDescent="0.25">
      <c r="B23" s="134"/>
      <c r="C23" s="135"/>
      <c r="D23" s="135"/>
      <c r="E23" s="135"/>
      <c r="F23" s="136"/>
      <c r="G23" s="137"/>
      <c r="H23" s="137"/>
      <c r="I23" s="137"/>
      <c r="J23" s="137"/>
      <c r="K23" s="137"/>
      <c r="L23" s="137"/>
      <c r="M23" s="137"/>
      <c r="N23" s="138"/>
    </row>
    <row r="24" spans="2:14" ht="15.75" x14ac:dyDescent="0.25">
      <c r="B24" s="139"/>
      <c r="C24" s="70"/>
      <c r="D24" s="70"/>
      <c r="E24" s="70"/>
      <c r="F24" s="70"/>
      <c r="G24" s="140"/>
      <c r="H24" s="140"/>
      <c r="I24" s="140"/>
      <c r="J24" s="140"/>
      <c r="K24" s="140"/>
      <c r="L24" s="140"/>
      <c r="M24" s="140"/>
    </row>
    <row r="25" spans="2:14" ht="15.75" x14ac:dyDescent="0.25">
      <c r="B25" s="10"/>
      <c r="C25" s="12"/>
      <c r="D25" s="12"/>
      <c r="E25" s="12"/>
      <c r="F25" s="12"/>
      <c r="G25" s="13"/>
      <c r="H25" s="13"/>
      <c r="I25" s="13"/>
      <c r="J25" s="13"/>
      <c r="K25" s="13"/>
      <c r="L25" s="13"/>
      <c r="M25" s="13"/>
    </row>
    <row r="26" spans="2:14" ht="15.75" x14ac:dyDescent="0.25">
      <c r="B26" s="10"/>
      <c r="C26" s="141"/>
      <c r="D26" s="141"/>
      <c r="E26" s="141"/>
      <c r="F26" s="141"/>
      <c r="G26" s="11"/>
      <c r="H26" s="11"/>
      <c r="I26" s="11"/>
      <c r="J26" s="11"/>
      <c r="K26" s="11"/>
      <c r="L26" s="11"/>
      <c r="M26" s="11"/>
    </row>
  </sheetData>
  <mergeCells count="4">
    <mergeCell ref="K9:M9"/>
    <mergeCell ref="B9:B10"/>
    <mergeCell ref="C9:F9"/>
    <mergeCell ref="G9:J9"/>
  </mergeCells>
  <printOptions horizontalCentered="1"/>
  <pageMargins left="0.2" right="0.1" top="1.75" bottom="0.75" header="0.3" footer="0.3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R66"/>
  <sheetViews>
    <sheetView topLeftCell="A7" zoomScale="85" zoomScaleNormal="85" workbookViewId="0">
      <selection activeCell="J14" sqref="J14"/>
    </sheetView>
  </sheetViews>
  <sheetFormatPr defaultColWidth="8.88671875" defaultRowHeight="12.75" x14ac:dyDescent="0.2"/>
  <cols>
    <col min="1" max="1" width="2.6640625" style="30" customWidth="1"/>
    <col min="2" max="2" width="3.77734375" style="30" customWidth="1"/>
    <col min="3" max="3" width="13.6640625" style="30" customWidth="1"/>
    <col min="4" max="4" width="5.88671875" style="30" customWidth="1"/>
    <col min="5" max="5" width="7.6640625" style="30" customWidth="1"/>
    <col min="6" max="6" width="5.88671875" style="30" customWidth="1"/>
    <col min="7" max="7" width="9.6640625" style="30" customWidth="1"/>
    <col min="8" max="8" width="3.77734375" style="30" customWidth="1"/>
    <col min="9" max="9" width="2.6640625" style="118" customWidth="1"/>
    <col min="10" max="14" width="9.6640625" style="118" customWidth="1"/>
    <col min="15" max="15" width="2.6640625" style="118" customWidth="1"/>
    <col min="16" max="16" width="3.77734375" style="118" customWidth="1"/>
    <col min="17" max="17" width="3.5546875" style="118" customWidth="1"/>
    <col min="18" max="18" width="16.109375" style="118" customWidth="1"/>
    <col min="19" max="19" width="9.109375" style="118" customWidth="1"/>
    <col min="20" max="20" width="8.33203125" style="118" customWidth="1"/>
    <col min="21" max="21" width="9.6640625" style="118" customWidth="1"/>
    <col min="22" max="22" width="3.77734375" style="118" customWidth="1"/>
    <col min="23" max="23" width="2.6640625" style="118" customWidth="1"/>
    <col min="24" max="24" width="9.6640625" style="118" customWidth="1"/>
    <col min="25" max="25" width="2.6640625" style="118" customWidth="1"/>
    <col min="26" max="26" width="3.77734375" style="118" customWidth="1"/>
    <col min="27" max="27" width="3.5546875" style="118" customWidth="1"/>
    <col min="28" max="28" width="16.109375" style="118" customWidth="1"/>
    <col min="29" max="29" width="9.109375" style="118" customWidth="1"/>
    <col min="30" max="30" width="8.33203125" style="118" customWidth="1"/>
    <col min="31" max="31" width="9.6640625" style="118" customWidth="1"/>
    <col min="32" max="32" width="3.77734375" style="118" customWidth="1"/>
    <col min="33" max="33" width="2.6640625" style="118" customWidth="1"/>
    <col min="34" max="34" width="9.6640625" style="118" customWidth="1"/>
    <col min="35" max="35" width="2.6640625" style="118" customWidth="1"/>
    <col min="36" max="36" width="3.77734375" style="118" customWidth="1"/>
    <col min="37" max="37" width="3.5546875" style="118" customWidth="1"/>
    <col min="38" max="38" width="14.109375" style="118" customWidth="1"/>
    <col min="39" max="39" width="9.109375" style="118" customWidth="1"/>
    <col min="40" max="40" width="8.33203125" style="118" customWidth="1"/>
    <col min="41" max="41" width="9.6640625" style="118" customWidth="1"/>
    <col min="42" max="42" width="3.77734375" style="118" customWidth="1"/>
    <col min="43" max="43" width="2.6640625" style="118" customWidth="1"/>
    <col min="44" max="46" width="9.6640625" style="118" customWidth="1"/>
    <col min="47" max="48" width="2.6640625" style="118" customWidth="1"/>
    <col min="49" max="49" width="3.77734375" style="118" customWidth="1"/>
    <col min="50" max="50" width="3.5546875" style="118" customWidth="1"/>
    <col min="51" max="51" width="14.109375" style="118" customWidth="1"/>
    <col min="52" max="52" width="9.109375" style="118" customWidth="1"/>
    <col min="53" max="53" width="8.33203125" style="118" customWidth="1"/>
    <col min="54" max="54" width="9.6640625" style="118" customWidth="1"/>
    <col min="55" max="55" width="3.77734375" style="118" customWidth="1"/>
    <col min="56" max="56" width="2.6640625" style="118" customWidth="1"/>
    <col min="57" max="226" width="9.6640625" style="118" customWidth="1"/>
    <col min="227" max="16384" width="8.88671875" style="30"/>
  </cols>
  <sheetData>
    <row r="1" spans="1:9" ht="18" x14ac:dyDescent="0.25">
      <c r="A1" s="58" t="s">
        <v>91</v>
      </c>
      <c r="B1" s="214"/>
      <c r="C1" s="214"/>
      <c r="D1" s="214"/>
      <c r="E1" s="214"/>
      <c r="F1" s="214"/>
      <c r="G1" s="214"/>
      <c r="H1" s="214"/>
      <c r="I1" s="214"/>
    </row>
    <row r="2" spans="1:9" x14ac:dyDescent="0.2">
      <c r="A2" s="118"/>
      <c r="B2" s="118"/>
      <c r="C2" s="118"/>
      <c r="D2" s="118"/>
      <c r="E2" s="118"/>
      <c r="F2" s="118"/>
      <c r="G2" s="118"/>
      <c r="H2" s="118"/>
    </row>
    <row r="3" spans="1:9" ht="15.75" x14ac:dyDescent="0.25">
      <c r="A3" s="2"/>
      <c r="B3" s="56" t="s">
        <v>82</v>
      </c>
      <c r="C3" s="215"/>
      <c r="D3" s="62"/>
      <c r="E3" s="62"/>
      <c r="F3" s="62"/>
      <c r="G3" s="62"/>
      <c r="H3" s="62"/>
      <c r="I3" s="62" t="s">
        <v>7</v>
      </c>
    </row>
    <row r="4" spans="1:9" ht="15" x14ac:dyDescent="0.2">
      <c r="A4" s="2"/>
      <c r="B4" s="215" t="s">
        <v>137</v>
      </c>
      <c r="C4" s="215"/>
      <c r="D4" s="62"/>
      <c r="E4" s="62"/>
      <c r="F4" s="62"/>
      <c r="G4" s="62"/>
      <c r="H4" s="62"/>
      <c r="I4" s="62" t="s">
        <v>7</v>
      </c>
    </row>
    <row r="5" spans="1:9" x14ac:dyDescent="0.2">
      <c r="A5" s="118"/>
      <c r="B5" s="62"/>
      <c r="C5" s="62"/>
      <c r="D5" s="62"/>
      <c r="E5" s="62"/>
      <c r="F5" s="62"/>
      <c r="G5" s="62"/>
      <c r="H5" s="62"/>
      <c r="I5" s="62"/>
    </row>
    <row r="6" spans="1:9" ht="6.95" customHeight="1" x14ac:dyDescent="0.2">
      <c r="A6" s="118"/>
      <c r="B6" s="216"/>
      <c r="C6" s="217"/>
      <c r="D6" s="217"/>
      <c r="E6" s="217"/>
      <c r="F6" s="217"/>
      <c r="G6" s="217"/>
      <c r="H6" s="217"/>
      <c r="I6" s="218"/>
    </row>
    <row r="7" spans="1:9" ht="15.75" x14ac:dyDescent="0.25">
      <c r="A7" s="118"/>
      <c r="B7" s="57" t="s">
        <v>83</v>
      </c>
      <c r="C7" s="61"/>
      <c r="D7" s="61"/>
      <c r="E7" s="62"/>
      <c r="F7" s="62"/>
      <c r="G7" s="62"/>
      <c r="H7" s="62"/>
      <c r="I7" s="218"/>
    </row>
    <row r="8" spans="1:9" x14ac:dyDescent="0.2">
      <c r="A8" s="118"/>
      <c r="B8" s="219"/>
      <c r="C8" s="61"/>
      <c r="D8" s="61"/>
      <c r="E8" s="62"/>
      <c r="F8" s="62"/>
      <c r="G8" s="62"/>
      <c r="H8" s="62"/>
      <c r="I8" s="218"/>
    </row>
    <row r="9" spans="1:9" x14ac:dyDescent="0.2">
      <c r="A9" s="118"/>
      <c r="B9" s="220" t="s">
        <v>415</v>
      </c>
      <c r="C9" s="221"/>
      <c r="D9" s="61"/>
      <c r="E9" s="62"/>
      <c r="F9" s="62"/>
      <c r="G9" s="62"/>
      <c r="H9" s="62"/>
      <c r="I9" s="218"/>
    </row>
    <row r="10" spans="1:9" ht="6.95" customHeight="1" x14ac:dyDescent="0.2">
      <c r="A10" s="118"/>
      <c r="B10" s="219"/>
      <c r="C10" s="61"/>
      <c r="D10" s="61"/>
      <c r="E10" s="62"/>
      <c r="F10" s="62"/>
      <c r="G10" s="62"/>
      <c r="H10" s="62"/>
      <c r="I10" s="218"/>
    </row>
    <row r="11" spans="1:9" x14ac:dyDescent="0.2">
      <c r="A11" s="118"/>
      <c r="B11" s="219"/>
      <c r="C11" s="59" t="s">
        <v>85</v>
      </c>
      <c r="D11" s="61"/>
      <c r="E11" s="200" t="s">
        <v>416</v>
      </c>
      <c r="F11" s="62"/>
      <c r="G11" s="200" t="s">
        <v>417</v>
      </c>
      <c r="H11" s="62"/>
      <c r="I11" s="218"/>
    </row>
    <row r="12" spans="1:9" x14ac:dyDescent="0.2">
      <c r="A12" s="118"/>
      <c r="B12" s="219"/>
      <c r="C12" s="59" t="s">
        <v>86</v>
      </c>
      <c r="D12" s="61"/>
      <c r="E12" s="200" t="s">
        <v>418</v>
      </c>
      <c r="F12" s="62"/>
      <c r="G12" s="200" t="s">
        <v>419</v>
      </c>
      <c r="H12" s="62"/>
      <c r="I12" s="218"/>
    </row>
    <row r="13" spans="1:9" ht="6.95" customHeight="1" x14ac:dyDescent="0.2">
      <c r="A13" s="118"/>
      <c r="B13" s="219"/>
      <c r="C13" s="61"/>
      <c r="D13" s="61"/>
      <c r="E13" s="62"/>
      <c r="F13" s="62"/>
      <c r="G13" s="62"/>
      <c r="H13" s="62"/>
      <c r="I13" s="218"/>
    </row>
    <row r="14" spans="1:9" x14ac:dyDescent="0.2">
      <c r="A14" s="118"/>
      <c r="B14" s="219"/>
      <c r="C14" s="63" t="s">
        <v>87</v>
      </c>
      <c r="D14" s="61"/>
      <c r="E14" s="64">
        <v>2000</v>
      </c>
      <c r="F14" s="62"/>
      <c r="G14" s="65">
        <v>26.5</v>
      </c>
      <c r="H14" s="62"/>
      <c r="I14" s="218"/>
    </row>
    <row r="15" spans="1:9" x14ac:dyDescent="0.2">
      <c r="A15" s="118"/>
      <c r="B15" s="219"/>
      <c r="C15" s="63" t="s">
        <v>57</v>
      </c>
      <c r="D15" s="61"/>
      <c r="E15" s="64">
        <v>5000</v>
      </c>
      <c r="F15" s="62"/>
      <c r="G15" s="66">
        <v>46.6</v>
      </c>
      <c r="H15" s="62"/>
      <c r="I15" s="218"/>
    </row>
    <row r="16" spans="1:9" x14ac:dyDescent="0.2">
      <c r="A16" s="118"/>
      <c r="B16" s="219"/>
      <c r="C16" s="210" t="s">
        <v>67</v>
      </c>
      <c r="D16" s="61"/>
      <c r="E16" s="64">
        <v>10000</v>
      </c>
      <c r="F16" s="62"/>
      <c r="G16" s="66">
        <v>80.099999999999994</v>
      </c>
      <c r="H16" s="62"/>
      <c r="I16" s="218"/>
    </row>
    <row r="17" spans="1:56" x14ac:dyDescent="0.2">
      <c r="A17" s="118"/>
      <c r="B17" s="219"/>
      <c r="C17" s="210" t="s">
        <v>58</v>
      </c>
      <c r="D17" s="61"/>
      <c r="E17" s="64">
        <v>20000</v>
      </c>
      <c r="F17" s="62"/>
      <c r="G17" s="66">
        <v>147.1</v>
      </c>
      <c r="H17" s="62"/>
      <c r="I17" s="218"/>
    </row>
    <row r="18" spans="1:56" x14ac:dyDescent="0.2">
      <c r="A18" s="118"/>
      <c r="B18" s="219"/>
      <c r="C18" s="210" t="s">
        <v>88</v>
      </c>
      <c r="D18" s="61"/>
      <c r="E18" s="64">
        <v>30000</v>
      </c>
      <c r="F18" s="62"/>
      <c r="G18" s="66">
        <v>214.1</v>
      </c>
      <c r="H18" s="62"/>
      <c r="I18" s="218"/>
    </row>
    <row r="19" spans="1:56" x14ac:dyDescent="0.2">
      <c r="A19" s="118"/>
      <c r="B19" s="219"/>
      <c r="C19" s="210" t="s">
        <v>420</v>
      </c>
      <c r="D19" s="61"/>
      <c r="E19" s="64">
        <v>50000</v>
      </c>
      <c r="F19" s="62"/>
      <c r="G19" s="66">
        <v>348.1</v>
      </c>
      <c r="H19" s="62"/>
      <c r="I19" s="218"/>
    </row>
    <row r="20" spans="1:56" x14ac:dyDescent="0.2">
      <c r="A20" s="118"/>
      <c r="B20" s="219"/>
      <c r="C20" s="210"/>
      <c r="D20" s="61"/>
      <c r="E20" s="64"/>
      <c r="F20" s="62"/>
      <c r="G20" s="66"/>
      <c r="H20" s="62"/>
      <c r="I20" s="218"/>
    </row>
    <row r="21" spans="1:56" x14ac:dyDescent="0.2">
      <c r="A21" s="118"/>
      <c r="B21" s="222" t="s">
        <v>421</v>
      </c>
      <c r="C21" s="61"/>
      <c r="D21" s="61"/>
      <c r="E21" s="62"/>
      <c r="F21" s="62"/>
      <c r="G21" s="62"/>
      <c r="H21" s="62"/>
      <c r="I21" s="218" t="s">
        <v>7</v>
      </c>
    </row>
    <row r="22" spans="1:56" ht="6.95" customHeight="1" x14ac:dyDescent="0.2">
      <c r="A22" s="118"/>
      <c r="B22" s="222"/>
      <c r="C22" s="61"/>
      <c r="D22" s="61"/>
      <c r="E22" s="62"/>
      <c r="F22" s="62"/>
      <c r="G22" s="62"/>
      <c r="H22" s="62"/>
      <c r="I22" s="218"/>
    </row>
    <row r="23" spans="1:56" x14ac:dyDescent="0.2">
      <c r="A23" s="118"/>
      <c r="B23" s="218"/>
      <c r="C23" s="118"/>
      <c r="D23" s="118"/>
      <c r="E23" s="118"/>
      <c r="F23" s="118"/>
      <c r="G23" s="223" t="s">
        <v>89</v>
      </c>
      <c r="H23" s="118"/>
      <c r="I23" s="218"/>
    </row>
    <row r="24" spans="1:56" x14ac:dyDescent="0.2">
      <c r="A24" s="118"/>
      <c r="B24" s="218"/>
      <c r="C24" s="117" t="s">
        <v>120</v>
      </c>
      <c r="D24" s="118"/>
      <c r="E24" s="118"/>
      <c r="F24" s="118"/>
      <c r="G24" s="224" t="s">
        <v>90</v>
      </c>
      <c r="H24" s="118"/>
      <c r="I24" s="218"/>
    </row>
    <row r="25" spans="1:56" ht="6.95" customHeight="1" x14ac:dyDescent="0.2">
      <c r="A25" s="118"/>
      <c r="B25" s="218"/>
      <c r="C25" s="117"/>
      <c r="D25" s="118"/>
      <c r="E25" s="118"/>
      <c r="F25" s="118"/>
      <c r="G25" s="118"/>
      <c r="H25" s="118"/>
      <c r="I25" s="218"/>
    </row>
    <row r="26" spans="1:56" x14ac:dyDescent="0.2">
      <c r="A26" s="118"/>
      <c r="B26" s="218"/>
      <c r="C26" s="118"/>
      <c r="D26" s="64" t="s">
        <v>422</v>
      </c>
      <c r="E26" s="118"/>
      <c r="F26" s="225"/>
      <c r="G26" s="65">
        <v>6.7</v>
      </c>
      <c r="H26" s="118"/>
      <c r="I26" s="218"/>
    </row>
    <row r="27" spans="1:56" ht="6.95" customHeight="1" x14ac:dyDescent="0.2">
      <c r="A27" s="118"/>
      <c r="B27" s="226"/>
      <c r="C27" s="227"/>
      <c r="D27" s="227"/>
      <c r="E27" s="227"/>
      <c r="F27" s="227"/>
      <c r="G27" s="227"/>
      <c r="H27" s="228"/>
      <c r="I27" s="218"/>
    </row>
    <row r="28" spans="1:56" x14ac:dyDescent="0.2">
      <c r="A28" s="118"/>
      <c r="B28" s="62"/>
      <c r="C28" s="62"/>
      <c r="D28" s="62"/>
      <c r="E28" s="62"/>
      <c r="F28" s="62"/>
      <c r="G28" s="62"/>
      <c r="H28" s="62"/>
      <c r="I28" s="62"/>
      <c r="AJ28" s="62"/>
      <c r="AK28" s="62"/>
      <c r="AL28" s="62"/>
      <c r="AM28" s="62"/>
      <c r="AN28" s="62"/>
      <c r="AO28" s="62"/>
      <c r="AP28" s="62"/>
      <c r="AQ28" s="62"/>
      <c r="AW28" s="62"/>
      <c r="AX28" s="62"/>
      <c r="AY28" s="62"/>
      <c r="AZ28" s="62"/>
      <c r="BA28" s="62"/>
      <c r="BB28" s="62"/>
      <c r="BC28" s="62"/>
      <c r="BD28" s="62"/>
    </row>
    <row r="29" spans="1:56" ht="12" customHeight="1" x14ac:dyDescent="0.2">
      <c r="A29" s="118"/>
      <c r="B29" s="216"/>
      <c r="C29" s="217"/>
      <c r="D29" s="217"/>
      <c r="E29" s="217"/>
      <c r="F29" s="217"/>
      <c r="G29" s="217"/>
      <c r="H29" s="217"/>
      <c r="I29" s="218"/>
      <c r="P29" s="216"/>
      <c r="Q29" s="217"/>
      <c r="R29" s="217"/>
      <c r="S29" s="217"/>
      <c r="T29" s="217"/>
      <c r="U29" s="217"/>
      <c r="V29" s="217"/>
      <c r="W29" s="218"/>
      <c r="Z29" s="216"/>
      <c r="AA29" s="217"/>
      <c r="AB29" s="217"/>
      <c r="AC29" s="217"/>
      <c r="AD29" s="217"/>
      <c r="AE29" s="217"/>
      <c r="AF29" s="217"/>
      <c r="AG29" s="218"/>
      <c r="AJ29" s="216"/>
      <c r="AK29" s="217"/>
      <c r="AL29" s="217"/>
      <c r="AM29" s="217"/>
      <c r="AN29" s="217"/>
      <c r="AO29" s="217"/>
      <c r="AP29" s="217"/>
      <c r="AQ29" s="218"/>
      <c r="AW29" s="216"/>
      <c r="AX29" s="217"/>
      <c r="AY29" s="217"/>
      <c r="AZ29" s="217"/>
      <c r="BA29" s="217"/>
      <c r="BB29" s="217"/>
      <c r="BC29" s="217"/>
      <c r="BD29" s="218"/>
    </row>
    <row r="30" spans="1:56" ht="15.75" x14ac:dyDescent="0.25">
      <c r="A30" s="118"/>
      <c r="B30" s="57" t="s">
        <v>84</v>
      </c>
      <c r="C30" s="61"/>
      <c r="D30" s="61"/>
      <c r="E30" s="62"/>
      <c r="F30" s="62"/>
      <c r="G30" s="62"/>
      <c r="H30" s="62"/>
      <c r="I30" s="218"/>
      <c r="P30" s="57" t="s">
        <v>519</v>
      </c>
      <c r="Q30" s="61"/>
      <c r="R30" s="61"/>
      <c r="S30" s="62"/>
      <c r="T30" s="62"/>
      <c r="U30" s="62"/>
      <c r="V30" s="62"/>
      <c r="W30" s="218"/>
      <c r="Z30" s="57" t="s">
        <v>525</v>
      </c>
      <c r="AA30" s="61"/>
      <c r="AB30" s="61"/>
      <c r="AC30" s="62"/>
      <c r="AD30" s="62"/>
      <c r="AE30" s="62"/>
      <c r="AF30" s="62"/>
      <c r="AG30" s="218"/>
      <c r="AJ30" s="57" t="s">
        <v>527</v>
      </c>
      <c r="AK30" s="61"/>
      <c r="AL30" s="61"/>
      <c r="AM30" s="62"/>
      <c r="AN30" s="62"/>
      <c r="AO30" s="62"/>
      <c r="AP30" s="62"/>
      <c r="AQ30" s="218"/>
      <c r="AW30" s="57" t="s">
        <v>575</v>
      </c>
      <c r="AX30" s="61"/>
      <c r="AY30" s="61"/>
      <c r="AZ30" s="62"/>
      <c r="BA30" s="62"/>
      <c r="BB30" s="62"/>
      <c r="BC30" s="62"/>
      <c r="BD30" s="218"/>
    </row>
    <row r="31" spans="1:56" x14ac:dyDescent="0.2">
      <c r="A31" s="118"/>
      <c r="B31" s="219"/>
      <c r="C31" s="61"/>
      <c r="D31" s="61"/>
      <c r="E31" s="62"/>
      <c r="F31" s="62"/>
      <c r="G31" s="62"/>
      <c r="H31" s="62"/>
      <c r="I31" s="218"/>
      <c r="P31" s="219"/>
      <c r="Q31" s="61"/>
      <c r="R31" s="61"/>
      <c r="S31" s="62"/>
      <c r="T31" s="62"/>
      <c r="U31" s="62"/>
      <c r="V31" s="62"/>
      <c r="W31" s="218"/>
      <c r="Z31" s="219"/>
      <c r="AA31" s="61"/>
      <c r="AB31" s="61"/>
      <c r="AC31" s="62"/>
      <c r="AD31" s="62"/>
      <c r="AE31" s="62"/>
      <c r="AF31" s="62"/>
      <c r="AG31" s="218"/>
      <c r="AJ31" s="219"/>
      <c r="AK31" s="61"/>
      <c r="AL31" s="61"/>
      <c r="AM31" s="62"/>
      <c r="AN31" s="62"/>
      <c r="AO31" s="62"/>
      <c r="AP31" s="62"/>
      <c r="AQ31" s="218"/>
      <c r="AW31" s="219"/>
      <c r="AX31" s="61"/>
      <c r="AY31" s="61"/>
      <c r="AZ31" s="62"/>
      <c r="BA31" s="62"/>
      <c r="BB31" s="62"/>
      <c r="BC31" s="62"/>
      <c r="BD31" s="218"/>
    </row>
    <row r="32" spans="1:56" x14ac:dyDescent="0.2">
      <c r="A32" s="118"/>
      <c r="B32" s="220" t="s">
        <v>415</v>
      </c>
      <c r="C32" s="221"/>
      <c r="D32" s="61"/>
      <c r="E32" s="62"/>
      <c r="F32" s="62"/>
      <c r="G32" s="62"/>
      <c r="H32" s="62"/>
      <c r="I32" s="218"/>
      <c r="P32" s="220" t="s">
        <v>415</v>
      </c>
      <c r="Q32" s="221"/>
      <c r="R32" s="61"/>
      <c r="S32" s="62"/>
      <c r="T32" s="62"/>
      <c r="U32" s="62"/>
      <c r="V32" s="62"/>
      <c r="W32" s="218"/>
      <c r="Z32" s="220" t="s">
        <v>415</v>
      </c>
      <c r="AA32" s="221"/>
      <c r="AB32" s="61"/>
      <c r="AC32" s="62"/>
      <c r="AD32" s="62"/>
      <c r="AE32" s="62"/>
      <c r="AF32" s="62"/>
      <c r="AG32" s="218"/>
      <c r="AJ32" s="220" t="s">
        <v>415</v>
      </c>
      <c r="AK32" s="221"/>
      <c r="AL32" s="61"/>
      <c r="AM32" s="62"/>
      <c r="AN32" s="62"/>
      <c r="AO32" s="62"/>
      <c r="AP32" s="62"/>
      <c r="AQ32" s="218"/>
      <c r="AW32" s="220" t="s">
        <v>415</v>
      </c>
      <c r="AX32" s="221"/>
      <c r="AY32" s="61"/>
      <c r="AZ32" s="62"/>
      <c r="BA32" s="62"/>
      <c r="BB32" s="62"/>
      <c r="BC32" s="62"/>
      <c r="BD32" s="218"/>
    </row>
    <row r="33" spans="1:58" ht="6.95" customHeight="1" x14ac:dyDescent="0.2">
      <c r="A33" s="118"/>
      <c r="B33" s="219"/>
      <c r="C33" s="61"/>
      <c r="D33" s="61"/>
      <c r="E33" s="62"/>
      <c r="F33" s="62"/>
      <c r="G33" s="62"/>
      <c r="H33" s="62"/>
      <c r="I33" s="218"/>
      <c r="P33" s="219"/>
      <c r="Q33" s="61"/>
      <c r="R33" s="61"/>
      <c r="S33" s="62"/>
      <c r="T33" s="62"/>
      <c r="U33" s="62"/>
      <c r="V33" s="62"/>
      <c r="W33" s="218"/>
      <c r="Z33" s="219"/>
      <c r="AA33" s="61"/>
      <c r="AB33" s="61"/>
      <c r="AC33" s="62"/>
      <c r="AD33" s="62"/>
      <c r="AE33" s="62"/>
      <c r="AF33" s="62"/>
      <c r="AG33" s="218"/>
      <c r="AJ33" s="219"/>
      <c r="AK33" s="61"/>
      <c r="AL33" s="61"/>
      <c r="AM33" s="62"/>
      <c r="AN33" s="62"/>
      <c r="AO33" s="62"/>
      <c r="AP33" s="62"/>
      <c r="AQ33" s="218"/>
      <c r="AW33" s="219"/>
      <c r="AX33" s="61"/>
      <c r="AY33" s="61"/>
      <c r="AZ33" s="62"/>
      <c r="BA33" s="62"/>
      <c r="BB33" s="62"/>
      <c r="BC33" s="62"/>
      <c r="BD33" s="218"/>
    </row>
    <row r="34" spans="1:58" x14ac:dyDescent="0.2">
      <c r="A34" s="118"/>
      <c r="B34" s="219"/>
      <c r="C34" s="59" t="s">
        <v>85</v>
      </c>
      <c r="D34" s="61"/>
      <c r="E34" s="200" t="s">
        <v>416</v>
      </c>
      <c r="F34" s="62"/>
      <c r="G34" s="200" t="s">
        <v>417</v>
      </c>
      <c r="H34" s="62"/>
      <c r="I34" s="218"/>
      <c r="P34" s="219"/>
      <c r="Q34" s="59" t="s">
        <v>85</v>
      </c>
      <c r="R34" s="61"/>
      <c r="S34" s="240" t="s">
        <v>416</v>
      </c>
      <c r="T34" s="62"/>
      <c r="U34" s="240" t="s">
        <v>417</v>
      </c>
      <c r="V34" s="62"/>
      <c r="W34" s="218"/>
      <c r="Z34" s="219"/>
      <c r="AA34" s="59" t="s">
        <v>85</v>
      </c>
      <c r="AB34" s="61"/>
      <c r="AC34" s="240" t="s">
        <v>416</v>
      </c>
      <c r="AD34" s="62"/>
      <c r="AE34" s="240" t="s">
        <v>417</v>
      </c>
      <c r="AF34" s="62"/>
      <c r="AG34" s="218"/>
      <c r="AJ34" s="219"/>
      <c r="AK34" s="59" t="s">
        <v>85</v>
      </c>
      <c r="AL34" s="61"/>
      <c r="AM34" s="240" t="s">
        <v>416</v>
      </c>
      <c r="AN34" s="62"/>
      <c r="AO34" s="240" t="s">
        <v>417</v>
      </c>
      <c r="AP34" s="62"/>
      <c r="AQ34" s="218"/>
      <c r="AW34" s="219"/>
      <c r="AX34" s="59" t="s">
        <v>85</v>
      </c>
      <c r="AY34" s="61"/>
      <c r="AZ34" s="253" t="s">
        <v>416</v>
      </c>
      <c r="BA34" s="62"/>
      <c r="BB34" s="253" t="s">
        <v>417</v>
      </c>
      <c r="BC34" s="62"/>
      <c r="BD34" s="218"/>
    </row>
    <row r="35" spans="1:58" x14ac:dyDescent="0.2">
      <c r="A35" s="118"/>
      <c r="B35" s="219"/>
      <c r="C35" s="59" t="s">
        <v>86</v>
      </c>
      <c r="D35" s="61"/>
      <c r="E35" s="200" t="s">
        <v>418</v>
      </c>
      <c r="F35" s="62"/>
      <c r="G35" s="200" t="s">
        <v>419</v>
      </c>
      <c r="H35" s="62"/>
      <c r="I35" s="218"/>
      <c r="P35" s="219"/>
      <c r="Q35" s="59" t="s">
        <v>86</v>
      </c>
      <c r="R35" s="61"/>
      <c r="S35" s="240" t="s">
        <v>418</v>
      </c>
      <c r="T35" s="62"/>
      <c r="U35" s="240" t="s">
        <v>419</v>
      </c>
      <c r="V35" s="62"/>
      <c r="W35" s="218"/>
      <c r="Z35" s="219"/>
      <c r="AA35" s="59" t="s">
        <v>86</v>
      </c>
      <c r="AB35" s="61"/>
      <c r="AC35" s="240" t="s">
        <v>418</v>
      </c>
      <c r="AD35" s="62"/>
      <c r="AE35" s="240" t="s">
        <v>419</v>
      </c>
      <c r="AF35" s="62"/>
      <c r="AG35" s="218"/>
      <c r="AJ35" s="219"/>
      <c r="AK35" s="59" t="s">
        <v>86</v>
      </c>
      <c r="AL35" s="61"/>
      <c r="AM35" s="240" t="s">
        <v>418</v>
      </c>
      <c r="AN35" s="62"/>
      <c r="AO35" s="240" t="s">
        <v>419</v>
      </c>
      <c r="AP35" s="62"/>
      <c r="AQ35" s="218"/>
      <c r="AW35" s="219"/>
      <c r="AX35" s="59" t="s">
        <v>86</v>
      </c>
      <c r="AY35" s="61"/>
      <c r="AZ35" s="253" t="s">
        <v>418</v>
      </c>
      <c r="BA35" s="62"/>
      <c r="BB35" s="253" t="s">
        <v>419</v>
      </c>
      <c r="BC35" s="62"/>
      <c r="BD35" s="218"/>
    </row>
    <row r="36" spans="1:58" ht="6.95" customHeight="1" x14ac:dyDescent="0.2">
      <c r="A36" s="118"/>
      <c r="B36" s="219"/>
      <c r="C36" s="61"/>
      <c r="D36" s="61"/>
      <c r="E36" s="62"/>
      <c r="F36" s="62"/>
      <c r="G36" s="62"/>
      <c r="H36" s="62"/>
      <c r="I36" s="218"/>
      <c r="P36" s="219"/>
      <c r="Q36" s="61"/>
      <c r="R36" s="61"/>
      <c r="S36" s="62"/>
      <c r="T36" s="62"/>
      <c r="U36" s="62"/>
      <c r="V36" s="62"/>
      <c r="W36" s="218"/>
      <c r="Z36" s="219"/>
      <c r="AA36" s="61"/>
      <c r="AB36" s="61"/>
      <c r="AC36" s="62"/>
      <c r="AD36" s="62"/>
      <c r="AE36" s="62"/>
      <c r="AF36" s="62"/>
      <c r="AG36" s="218"/>
      <c r="AJ36" s="219"/>
      <c r="AK36" s="61"/>
      <c r="AL36" s="61"/>
      <c r="AM36" s="62"/>
      <c r="AN36" s="62"/>
      <c r="AO36" s="62"/>
      <c r="AP36" s="62"/>
      <c r="AQ36" s="218"/>
      <c r="AW36" s="219"/>
      <c r="AX36" s="61"/>
      <c r="AY36" s="61"/>
      <c r="AZ36" s="62"/>
      <c r="BA36" s="62"/>
      <c r="BB36" s="62"/>
      <c r="BC36" s="62"/>
      <c r="BD36" s="218"/>
    </row>
    <row r="37" spans="1:58" x14ac:dyDescent="0.2">
      <c r="A37" s="118"/>
      <c r="B37" s="219"/>
      <c r="C37" s="63" t="s">
        <v>87</v>
      </c>
      <c r="D37" s="61"/>
      <c r="E37" s="64">
        <v>2000</v>
      </c>
      <c r="F37" s="62"/>
      <c r="G37" s="65">
        <f>$G14*(1+$J$37)</f>
        <v>39.6175</v>
      </c>
      <c r="H37" s="62"/>
      <c r="I37" s="218"/>
      <c r="J37" s="229">
        <f>'SAO2'!G71</f>
        <v>0.495</v>
      </c>
      <c r="K37" s="118" t="s">
        <v>423</v>
      </c>
      <c r="M37" s="230">
        <f t="shared" ref="M37:M42" si="0">(G37-G14)/G14</f>
        <v>0.495</v>
      </c>
      <c r="P37" s="219"/>
      <c r="Q37" s="63" t="s">
        <v>87</v>
      </c>
      <c r="R37" s="61"/>
      <c r="S37" s="64">
        <v>2000</v>
      </c>
      <c r="T37" s="62"/>
      <c r="U37" s="65">
        <f>G37</f>
        <v>39.6175</v>
      </c>
      <c r="V37" s="62"/>
      <c r="W37" s="218"/>
      <c r="Z37" s="219"/>
      <c r="AA37" s="63" t="s">
        <v>87</v>
      </c>
      <c r="AB37" s="61"/>
      <c r="AC37" s="64">
        <v>2000</v>
      </c>
      <c r="AD37" s="62"/>
      <c r="AE37" s="65">
        <f>U37</f>
        <v>39.6175</v>
      </c>
      <c r="AF37" s="62"/>
      <c r="AG37" s="218"/>
      <c r="AJ37" s="219"/>
      <c r="AK37" s="63" t="s">
        <v>87</v>
      </c>
      <c r="AL37" s="61"/>
      <c r="AM37" s="64">
        <v>2000</v>
      </c>
      <c r="AN37" s="62"/>
      <c r="AO37" s="65">
        <f>$G14*(1+$AR$38)</f>
        <v>39.6175</v>
      </c>
      <c r="AP37" s="62"/>
      <c r="AQ37" s="218"/>
      <c r="AW37" s="219"/>
      <c r="AX37" s="63" t="s">
        <v>87</v>
      </c>
      <c r="AY37" s="61"/>
      <c r="AZ37" s="64">
        <v>2000</v>
      </c>
      <c r="BA37" s="62"/>
      <c r="BB37" s="65">
        <f>$G14*(1+$BE$38)</f>
        <v>43.486499999999999</v>
      </c>
      <c r="BC37" s="62"/>
      <c r="BD37" s="218"/>
    </row>
    <row r="38" spans="1:58" x14ac:dyDescent="0.2">
      <c r="A38" s="118"/>
      <c r="B38" s="219"/>
      <c r="C38" s="63" t="s">
        <v>57</v>
      </c>
      <c r="D38" s="61"/>
      <c r="E38" s="64">
        <v>5000</v>
      </c>
      <c r="F38" s="62"/>
      <c r="G38" s="66">
        <f>G37+3*$G$49</f>
        <v>69.677499999999995</v>
      </c>
      <c r="H38" s="62"/>
      <c r="I38" s="218"/>
      <c r="J38" s="231"/>
      <c r="M38" s="230">
        <f t="shared" si="0"/>
        <v>0.49522532188841184</v>
      </c>
      <c r="P38" s="219"/>
      <c r="Q38" s="63" t="s">
        <v>57</v>
      </c>
      <c r="R38" s="61"/>
      <c r="S38" s="64">
        <v>5000</v>
      </c>
      <c r="T38" s="62"/>
      <c r="U38" s="66">
        <f>U37+3*$G$49</f>
        <v>69.677499999999995</v>
      </c>
      <c r="V38" s="62"/>
      <c r="W38" s="218"/>
      <c r="Z38" s="219"/>
      <c r="AA38" s="63" t="s">
        <v>57</v>
      </c>
      <c r="AB38" s="61"/>
      <c r="AC38" s="64">
        <v>5000</v>
      </c>
      <c r="AD38" s="62"/>
      <c r="AE38" s="66">
        <f>AE37+3*$G$49</f>
        <v>69.677499999999995</v>
      </c>
      <c r="AF38" s="62"/>
      <c r="AG38" s="218"/>
      <c r="AJ38" s="219"/>
      <c r="AK38" s="63" t="s">
        <v>57</v>
      </c>
      <c r="AL38" s="61"/>
      <c r="AM38" s="64">
        <v>5000</v>
      </c>
      <c r="AN38" s="62"/>
      <c r="AO38" s="66">
        <f>AO37+3*$AO$49</f>
        <v>69.667000000000002</v>
      </c>
      <c r="AP38" s="62"/>
      <c r="AQ38" s="218"/>
      <c r="AR38" s="229">
        <v>0.495</v>
      </c>
      <c r="AS38" s="118" t="s">
        <v>423</v>
      </c>
      <c r="AW38" s="219"/>
      <c r="AX38" s="63" t="s">
        <v>57</v>
      </c>
      <c r="AY38" s="61"/>
      <c r="AZ38" s="64">
        <v>5000</v>
      </c>
      <c r="BA38" s="62"/>
      <c r="BB38" s="66">
        <f>BB37+3*$AO$49</f>
        <v>73.536000000000001</v>
      </c>
      <c r="BC38" s="62"/>
      <c r="BD38" s="218"/>
      <c r="BE38" s="229">
        <f>'SAO3'!G72</f>
        <v>0.64100000000000001</v>
      </c>
      <c r="BF38" s="118" t="s">
        <v>423</v>
      </c>
    </row>
    <row r="39" spans="1:58" x14ac:dyDescent="0.2">
      <c r="A39" s="118"/>
      <c r="B39" s="219"/>
      <c r="C39" s="210" t="s">
        <v>67</v>
      </c>
      <c r="D39" s="61"/>
      <c r="E39" s="64">
        <v>10000</v>
      </c>
      <c r="F39" s="62"/>
      <c r="G39" s="66">
        <f>G38+5*$G$49</f>
        <v>119.77749999999999</v>
      </c>
      <c r="H39" s="62"/>
      <c r="I39" s="218"/>
      <c r="J39" s="231"/>
      <c r="M39" s="230">
        <f t="shared" si="0"/>
        <v>0.49534956304619221</v>
      </c>
      <c r="P39" s="219"/>
      <c r="Q39" s="210" t="s">
        <v>67</v>
      </c>
      <c r="R39" s="61"/>
      <c r="S39" s="64">
        <v>10000</v>
      </c>
      <c r="T39" s="62"/>
      <c r="U39" s="66">
        <f>U38+5*$G$49</f>
        <v>119.77749999999999</v>
      </c>
      <c r="V39" s="62"/>
      <c r="W39" s="218"/>
      <c r="Z39" s="219"/>
      <c r="AA39" s="210" t="s">
        <v>67</v>
      </c>
      <c r="AB39" s="61"/>
      <c r="AC39" s="64">
        <v>10000</v>
      </c>
      <c r="AD39" s="62"/>
      <c r="AE39" s="66">
        <f>AE38+5*$G$49</f>
        <v>119.77749999999999</v>
      </c>
      <c r="AF39" s="62"/>
      <c r="AG39" s="218"/>
      <c r="AJ39" s="219"/>
      <c r="AK39" s="210" t="s">
        <v>67</v>
      </c>
      <c r="AL39" s="61"/>
      <c r="AM39" s="64">
        <v>10000</v>
      </c>
      <c r="AN39" s="62"/>
      <c r="AO39" s="66">
        <f>AO38+5*$AO$49</f>
        <v>119.74950000000001</v>
      </c>
      <c r="AP39" s="62"/>
      <c r="AQ39" s="218"/>
      <c r="AR39" s="231"/>
      <c r="AW39" s="219"/>
      <c r="AX39" s="210" t="s">
        <v>67</v>
      </c>
      <c r="AY39" s="61"/>
      <c r="AZ39" s="64">
        <v>10000</v>
      </c>
      <c r="BA39" s="62"/>
      <c r="BB39" s="66">
        <f>BB38+5*$AO$49</f>
        <v>123.61850000000001</v>
      </c>
      <c r="BC39" s="62"/>
      <c r="BD39" s="218"/>
      <c r="BE39" s="231"/>
    </row>
    <row r="40" spans="1:58" x14ac:dyDescent="0.2">
      <c r="A40" s="118"/>
      <c r="B40" s="219"/>
      <c r="C40" s="210" t="s">
        <v>58</v>
      </c>
      <c r="D40" s="61"/>
      <c r="E40" s="64">
        <v>20000</v>
      </c>
      <c r="F40" s="62"/>
      <c r="G40" s="66">
        <f>G39+10*$G$49</f>
        <v>219.97749999999996</v>
      </c>
      <c r="H40" s="62"/>
      <c r="I40" s="218"/>
      <c r="J40" s="231"/>
      <c r="M40" s="230">
        <f t="shared" si="0"/>
        <v>0.49542828008157697</v>
      </c>
      <c r="P40" s="219"/>
      <c r="Q40" s="210" t="s">
        <v>58</v>
      </c>
      <c r="R40" s="61"/>
      <c r="S40" s="64">
        <v>20000</v>
      </c>
      <c r="T40" s="62"/>
      <c r="U40" s="66">
        <f>U39+10*$G$49</f>
        <v>219.97749999999996</v>
      </c>
      <c r="V40" s="62"/>
      <c r="W40" s="218"/>
      <c r="Z40" s="219"/>
      <c r="AA40" s="210" t="s">
        <v>58</v>
      </c>
      <c r="AB40" s="61"/>
      <c r="AC40" s="64">
        <v>20000</v>
      </c>
      <c r="AD40" s="62"/>
      <c r="AE40" s="66">
        <f>AE39+10*$G$49</f>
        <v>219.97749999999996</v>
      </c>
      <c r="AF40" s="62"/>
      <c r="AG40" s="218"/>
      <c r="AJ40" s="219"/>
      <c r="AK40" s="210" t="s">
        <v>58</v>
      </c>
      <c r="AL40" s="61"/>
      <c r="AM40" s="64">
        <v>20000</v>
      </c>
      <c r="AN40" s="62"/>
      <c r="AO40" s="66">
        <f>AO39+10*$AO$49</f>
        <v>219.91450000000003</v>
      </c>
      <c r="AP40" s="62"/>
      <c r="AQ40" s="218"/>
      <c r="AR40" s="231"/>
      <c r="AW40" s="219"/>
      <c r="AX40" s="210" t="s">
        <v>58</v>
      </c>
      <c r="AY40" s="61"/>
      <c r="AZ40" s="64">
        <v>20000</v>
      </c>
      <c r="BA40" s="62"/>
      <c r="BB40" s="66">
        <f>BB39+10*$AO$49</f>
        <v>223.7835</v>
      </c>
      <c r="BC40" s="62"/>
      <c r="BD40" s="218"/>
      <c r="BE40" s="231"/>
    </row>
    <row r="41" spans="1:58" x14ac:dyDescent="0.2">
      <c r="A41" s="118"/>
      <c r="B41" s="219"/>
      <c r="C41" s="210" t="s">
        <v>88</v>
      </c>
      <c r="D41" s="61"/>
      <c r="E41" s="64">
        <v>30000</v>
      </c>
      <c r="F41" s="62"/>
      <c r="G41" s="66">
        <f>G40+10*$G$49</f>
        <v>320.17749999999995</v>
      </c>
      <c r="H41" s="62"/>
      <c r="I41" s="218"/>
      <c r="J41" s="231"/>
      <c r="M41" s="230">
        <f t="shared" si="0"/>
        <v>0.49545773003269483</v>
      </c>
      <c r="P41" s="219"/>
      <c r="Q41" s="210" t="s">
        <v>88</v>
      </c>
      <c r="R41" s="61"/>
      <c r="S41" s="64">
        <v>30000</v>
      </c>
      <c r="T41" s="62"/>
      <c r="U41" s="66">
        <f>U40+10*$G$49</f>
        <v>320.17749999999995</v>
      </c>
      <c r="V41" s="62"/>
      <c r="W41" s="218"/>
      <c r="Z41" s="219"/>
      <c r="AA41" s="210" t="s">
        <v>88</v>
      </c>
      <c r="AB41" s="61"/>
      <c r="AC41" s="64">
        <v>30000</v>
      </c>
      <c r="AD41" s="62"/>
      <c r="AE41" s="66">
        <f>AE40+10*$G$49</f>
        <v>320.17749999999995</v>
      </c>
      <c r="AF41" s="62"/>
      <c r="AG41" s="218"/>
      <c r="AJ41" s="219"/>
      <c r="AK41" s="210" t="s">
        <v>88</v>
      </c>
      <c r="AL41" s="61"/>
      <c r="AM41" s="64">
        <v>30000</v>
      </c>
      <c r="AN41" s="62"/>
      <c r="AO41" s="66">
        <f>AO40+10*$AO$49</f>
        <v>320.07950000000005</v>
      </c>
      <c r="AP41" s="62"/>
      <c r="AQ41" s="218"/>
      <c r="AR41" s="231"/>
      <c r="AW41" s="219"/>
      <c r="AX41" s="210" t="s">
        <v>88</v>
      </c>
      <c r="AY41" s="61"/>
      <c r="AZ41" s="64">
        <v>30000</v>
      </c>
      <c r="BA41" s="62"/>
      <c r="BB41" s="66">
        <f>BB40+10*$AO$49</f>
        <v>323.94850000000002</v>
      </c>
      <c r="BC41" s="62"/>
      <c r="BD41" s="218"/>
      <c r="BE41" s="231"/>
    </row>
    <row r="42" spans="1:58" x14ac:dyDescent="0.2">
      <c r="A42" s="118"/>
      <c r="B42" s="219"/>
      <c r="C42" s="210" t="s">
        <v>420</v>
      </c>
      <c r="D42" s="61"/>
      <c r="E42" s="64">
        <v>50000</v>
      </c>
      <c r="F42" s="62"/>
      <c r="G42" s="66">
        <f>G41+20*$G$49</f>
        <v>520.57749999999987</v>
      </c>
      <c r="H42" s="62"/>
      <c r="I42" s="218"/>
      <c r="J42" s="231"/>
      <c r="M42" s="230">
        <f t="shared" si="0"/>
        <v>0.49548261993679932</v>
      </c>
      <c r="P42" s="219"/>
      <c r="Q42" s="210" t="s">
        <v>420</v>
      </c>
      <c r="R42" s="61"/>
      <c r="S42" s="64">
        <v>50000</v>
      </c>
      <c r="T42" s="62"/>
      <c r="U42" s="66">
        <f>U41+20*$G$49</f>
        <v>520.57749999999987</v>
      </c>
      <c r="V42" s="62"/>
      <c r="W42" s="218"/>
      <c r="Z42" s="219"/>
      <c r="AA42" s="210" t="s">
        <v>420</v>
      </c>
      <c r="AB42" s="61"/>
      <c r="AC42" s="64">
        <v>50000</v>
      </c>
      <c r="AD42" s="62"/>
      <c r="AE42" s="66">
        <f>AE41+20*$G$49</f>
        <v>520.57749999999987</v>
      </c>
      <c r="AF42" s="62"/>
      <c r="AG42" s="218"/>
      <c r="AJ42" s="219"/>
      <c r="AK42" s="210" t="s">
        <v>420</v>
      </c>
      <c r="AL42" s="61"/>
      <c r="AM42" s="64">
        <v>50000</v>
      </c>
      <c r="AN42" s="62"/>
      <c r="AO42" s="66">
        <f>AO41+20*$AO$49</f>
        <v>520.40950000000009</v>
      </c>
      <c r="AP42" s="62"/>
      <c r="AQ42" s="218"/>
      <c r="AR42" s="231"/>
      <c r="AW42" s="219"/>
      <c r="AX42" s="210" t="s">
        <v>420</v>
      </c>
      <c r="AY42" s="61"/>
      <c r="AZ42" s="64">
        <v>50000</v>
      </c>
      <c r="BA42" s="62"/>
      <c r="BB42" s="66">
        <f>BB41+20*$AO$49</f>
        <v>524.27850000000001</v>
      </c>
      <c r="BC42" s="62"/>
      <c r="BD42" s="218"/>
      <c r="BE42" s="231"/>
    </row>
    <row r="43" spans="1:58" x14ac:dyDescent="0.2">
      <c r="A43" s="118"/>
      <c r="B43" s="219"/>
      <c r="C43" s="210"/>
      <c r="D43" s="61"/>
      <c r="E43" s="64"/>
      <c r="F43" s="62"/>
      <c r="G43" s="66"/>
      <c r="H43" s="62"/>
      <c r="I43" s="218"/>
      <c r="P43" s="219"/>
      <c r="Q43" s="210"/>
      <c r="R43" s="61"/>
      <c r="S43" s="64"/>
      <c r="T43" s="62"/>
      <c r="U43" s="66"/>
      <c r="V43" s="62"/>
      <c r="W43" s="218"/>
      <c r="Z43" s="219"/>
      <c r="AA43" s="210"/>
      <c r="AB43" s="61"/>
      <c r="AC43" s="64"/>
      <c r="AD43" s="62"/>
      <c r="AE43" s="66"/>
      <c r="AF43" s="62"/>
      <c r="AG43" s="218"/>
      <c r="AJ43" s="219"/>
      <c r="AK43" s="210"/>
      <c r="AL43" s="61"/>
      <c r="AM43" s="64"/>
      <c r="AN43" s="62"/>
      <c r="AO43" s="66"/>
      <c r="AP43" s="62"/>
      <c r="AQ43" s="218"/>
      <c r="AR43" s="231"/>
      <c r="AW43" s="219"/>
      <c r="AX43" s="210"/>
      <c r="AY43" s="61"/>
      <c r="AZ43" s="64"/>
      <c r="BA43" s="62"/>
      <c r="BB43" s="66"/>
      <c r="BC43" s="62"/>
      <c r="BD43" s="218"/>
      <c r="BE43" s="231"/>
    </row>
    <row r="44" spans="1:58" x14ac:dyDescent="0.2">
      <c r="A44" s="118"/>
      <c r="B44" s="222" t="s">
        <v>421</v>
      </c>
      <c r="C44" s="61"/>
      <c r="D44" s="61"/>
      <c r="E44" s="62"/>
      <c r="F44" s="62"/>
      <c r="G44" s="62"/>
      <c r="H44" s="62"/>
      <c r="I44" s="218" t="s">
        <v>7</v>
      </c>
      <c r="P44" s="222" t="s">
        <v>421</v>
      </c>
      <c r="Q44" s="61"/>
      <c r="R44" s="61"/>
      <c r="S44" s="62"/>
      <c r="T44" s="62"/>
      <c r="U44" s="62"/>
      <c r="V44" s="62"/>
      <c r="W44" s="218" t="s">
        <v>7</v>
      </c>
      <c r="Z44" s="222" t="s">
        <v>421</v>
      </c>
      <c r="AA44" s="61"/>
      <c r="AB44" s="61"/>
      <c r="AC44" s="62"/>
      <c r="AD44" s="62"/>
      <c r="AE44" s="62"/>
      <c r="AF44" s="62"/>
      <c r="AG44" s="218" t="s">
        <v>7</v>
      </c>
      <c r="AJ44" s="222" t="s">
        <v>421</v>
      </c>
      <c r="AK44" s="61"/>
      <c r="AL44" s="61"/>
      <c r="AM44" s="62"/>
      <c r="AN44" s="62"/>
      <c r="AO44" s="62"/>
      <c r="AP44" s="62"/>
      <c r="AQ44" s="218" t="s">
        <v>7</v>
      </c>
      <c r="AW44" s="222" t="s">
        <v>421</v>
      </c>
      <c r="AX44" s="61"/>
      <c r="AY44" s="61"/>
      <c r="AZ44" s="62"/>
      <c r="BA44" s="62"/>
      <c r="BB44" s="62"/>
      <c r="BC44" s="62"/>
      <c r="BD44" s="218" t="s">
        <v>7</v>
      </c>
    </row>
    <row r="45" spans="1:58" ht="6.95" customHeight="1" x14ac:dyDescent="0.2">
      <c r="A45" s="118"/>
      <c r="B45" s="222"/>
      <c r="C45" s="61"/>
      <c r="D45" s="61"/>
      <c r="E45" s="62"/>
      <c r="F45" s="62"/>
      <c r="G45" s="62"/>
      <c r="H45" s="62"/>
      <c r="I45" s="218"/>
      <c r="P45" s="222"/>
      <c r="Q45" s="61"/>
      <c r="R45" s="61"/>
      <c r="S45" s="62"/>
      <c r="T45" s="62"/>
      <c r="U45" s="62"/>
      <c r="V45" s="62"/>
      <c r="W45" s="218"/>
      <c r="Z45" s="222"/>
      <c r="AA45" s="61"/>
      <c r="AB45" s="61"/>
      <c r="AC45" s="62"/>
      <c r="AD45" s="62"/>
      <c r="AE45" s="62"/>
      <c r="AF45" s="62"/>
      <c r="AG45" s="218"/>
      <c r="AJ45" s="222"/>
      <c r="AK45" s="61"/>
      <c r="AL45" s="61"/>
      <c r="AM45" s="62"/>
      <c r="AN45" s="62"/>
      <c r="AO45" s="62"/>
      <c r="AP45" s="62"/>
      <c r="AQ45" s="218"/>
      <c r="AW45" s="222"/>
      <c r="AX45" s="61"/>
      <c r="AY45" s="61"/>
      <c r="AZ45" s="62"/>
      <c r="BA45" s="62"/>
      <c r="BB45" s="62"/>
      <c r="BC45" s="62"/>
      <c r="BD45" s="218"/>
    </row>
    <row r="46" spans="1:58" x14ac:dyDescent="0.2">
      <c r="A46" s="118"/>
      <c r="B46" s="218"/>
      <c r="C46" s="118"/>
      <c r="D46" s="118"/>
      <c r="E46" s="118"/>
      <c r="F46" s="118"/>
      <c r="G46" s="223" t="s">
        <v>89</v>
      </c>
      <c r="H46" s="118"/>
      <c r="I46" s="218"/>
      <c r="P46" s="218"/>
      <c r="U46" s="223" t="s">
        <v>89</v>
      </c>
      <c r="W46" s="218"/>
      <c r="Z46" s="218"/>
      <c r="AE46" s="223" t="s">
        <v>89</v>
      </c>
      <c r="AG46" s="218"/>
      <c r="AJ46" s="218"/>
      <c r="AO46" s="223" t="s">
        <v>89</v>
      </c>
      <c r="AQ46" s="218"/>
      <c r="AW46" s="218"/>
      <c r="BB46" s="223" t="s">
        <v>89</v>
      </c>
      <c r="BD46" s="218"/>
    </row>
    <row r="47" spans="1:58" x14ac:dyDescent="0.2">
      <c r="A47" s="118"/>
      <c r="B47" s="218"/>
      <c r="C47" s="117" t="s">
        <v>120</v>
      </c>
      <c r="D47" s="118"/>
      <c r="E47" s="118"/>
      <c r="F47" s="118"/>
      <c r="G47" s="224" t="s">
        <v>90</v>
      </c>
      <c r="H47" s="118"/>
      <c r="I47" s="218"/>
      <c r="P47" s="218"/>
      <c r="Q47" s="117" t="s">
        <v>120</v>
      </c>
      <c r="U47" s="224" t="s">
        <v>90</v>
      </c>
      <c r="W47" s="218"/>
      <c r="Z47" s="218"/>
      <c r="AA47" s="117" t="s">
        <v>120</v>
      </c>
      <c r="AE47" s="224" t="s">
        <v>90</v>
      </c>
      <c r="AG47" s="218"/>
      <c r="AJ47" s="218"/>
      <c r="AK47" s="117" t="s">
        <v>120</v>
      </c>
      <c r="AO47" s="224" t="s">
        <v>90</v>
      </c>
      <c r="AQ47" s="218"/>
      <c r="AW47" s="218"/>
      <c r="AX47" s="117" t="s">
        <v>120</v>
      </c>
      <c r="BB47" s="224" t="s">
        <v>90</v>
      </c>
      <c r="BD47" s="218"/>
    </row>
    <row r="48" spans="1:58" ht="6.95" customHeight="1" x14ac:dyDescent="0.2">
      <c r="A48" s="118"/>
      <c r="B48" s="218"/>
      <c r="C48" s="117"/>
      <c r="D48" s="118"/>
      <c r="E48" s="118"/>
      <c r="F48" s="118"/>
      <c r="G48" s="118"/>
      <c r="H48" s="118"/>
      <c r="I48" s="218"/>
      <c r="P48" s="218"/>
      <c r="Q48" s="117"/>
      <c r="W48" s="218"/>
      <c r="Z48" s="218"/>
      <c r="AA48" s="117"/>
      <c r="AG48" s="218"/>
      <c r="AJ48" s="218"/>
      <c r="AK48" s="117"/>
      <c r="AQ48" s="218"/>
      <c r="AW48" s="218"/>
      <c r="AX48" s="117"/>
      <c r="BD48" s="218"/>
    </row>
    <row r="49" spans="1:56" x14ac:dyDescent="0.2">
      <c r="A49" s="118"/>
      <c r="B49" s="218"/>
      <c r="C49" s="118"/>
      <c r="D49" s="64" t="s">
        <v>422</v>
      </c>
      <c r="E49" s="118"/>
      <c r="F49" s="225"/>
      <c r="G49" s="65">
        <f>ROUND(G26*(1+$J$37),2)</f>
        <v>10.02</v>
      </c>
      <c r="H49" s="118"/>
      <c r="I49" s="218"/>
      <c r="M49" s="230">
        <f>(G49-G26)/G26</f>
        <v>0.49552238805970139</v>
      </c>
      <c r="P49" s="218"/>
      <c r="R49" s="64" t="s">
        <v>422</v>
      </c>
      <c r="T49" s="225"/>
      <c r="U49" s="65">
        <f>G49</f>
        <v>10.02</v>
      </c>
      <c r="W49" s="218"/>
      <c r="Z49" s="218"/>
      <c r="AB49" s="64" t="s">
        <v>422</v>
      </c>
      <c r="AD49" s="225"/>
      <c r="AE49" s="65">
        <f>U49</f>
        <v>10.02</v>
      </c>
      <c r="AG49" s="218"/>
      <c r="AJ49" s="218"/>
      <c r="AL49" s="64" t="s">
        <v>422</v>
      </c>
      <c r="AN49" s="225"/>
      <c r="AO49" s="65">
        <f>G26*(1+AR38)</f>
        <v>10.016500000000001</v>
      </c>
      <c r="AQ49" s="218"/>
      <c r="AW49" s="218"/>
      <c r="AY49" s="64" t="s">
        <v>422</v>
      </c>
      <c r="BA49" s="225"/>
      <c r="BB49" s="65">
        <f>G26*(1+BE38)</f>
        <v>10.9947</v>
      </c>
      <c r="BD49" s="218"/>
    </row>
    <row r="50" spans="1:56" x14ac:dyDescent="0.2">
      <c r="A50" s="118"/>
      <c r="B50" s="218"/>
      <c r="C50" s="118"/>
      <c r="D50" s="64"/>
      <c r="E50" s="118"/>
      <c r="F50" s="225"/>
      <c r="G50" s="65"/>
      <c r="H50" s="118"/>
      <c r="I50" s="218"/>
      <c r="M50" s="230"/>
      <c r="P50" s="218"/>
      <c r="R50" s="64"/>
      <c r="T50" s="225"/>
      <c r="U50" s="65"/>
      <c r="W50" s="218"/>
      <c r="Z50" s="218"/>
      <c r="AB50" s="64"/>
      <c r="AD50" s="225"/>
      <c r="AE50" s="65"/>
      <c r="AG50" s="218"/>
      <c r="AJ50" s="226"/>
      <c r="AK50" s="227"/>
      <c r="AL50" s="245"/>
      <c r="AM50" s="227"/>
      <c r="AN50" s="246"/>
      <c r="AO50" s="247"/>
      <c r="AP50" s="228"/>
      <c r="AQ50" s="218"/>
      <c r="AW50" s="226"/>
      <c r="AX50" s="227"/>
      <c r="AY50" s="245"/>
      <c r="AZ50" s="227"/>
      <c r="BA50" s="246"/>
      <c r="BB50" s="247"/>
      <c r="BC50" s="228"/>
      <c r="BD50" s="218"/>
    </row>
    <row r="51" spans="1:56" ht="15" x14ac:dyDescent="0.2">
      <c r="A51" s="118"/>
      <c r="B51" s="226"/>
      <c r="C51" s="227"/>
      <c r="D51" s="245"/>
      <c r="E51" s="227"/>
      <c r="F51" s="246"/>
      <c r="G51" s="247"/>
      <c r="H51" s="228"/>
      <c r="I51" s="218"/>
      <c r="M51" s="230"/>
      <c r="P51" s="218"/>
      <c r="R51" s="64"/>
      <c r="T51" s="225"/>
      <c r="U51" s="65"/>
      <c r="W51" s="218"/>
      <c r="Z51" s="218"/>
      <c r="AB51" s="64"/>
      <c r="AD51" s="225"/>
      <c r="AE51" s="65"/>
      <c r="AG51" s="218"/>
      <c r="AI51"/>
      <c r="AJ51"/>
      <c r="AK51"/>
      <c r="AL51"/>
      <c r="AM51"/>
      <c r="AN51"/>
      <c r="AO51"/>
      <c r="AP51"/>
      <c r="AQ51"/>
      <c r="AV51"/>
      <c r="AW51"/>
      <c r="AX51"/>
      <c r="AY51"/>
      <c r="AZ51"/>
      <c r="BA51"/>
      <c r="BB51"/>
      <c r="BC51"/>
      <c r="BD51"/>
    </row>
    <row r="52" spans="1:56" ht="15" x14ac:dyDescent="0.2">
      <c r="A52" s="118"/>
      <c r="B52"/>
      <c r="C52"/>
      <c r="D52"/>
      <c r="E52"/>
      <c r="F52"/>
      <c r="G52"/>
      <c r="H52"/>
      <c r="I52"/>
      <c r="M52" s="230"/>
      <c r="P52" s="222" t="s">
        <v>509</v>
      </c>
      <c r="Q52" s="232"/>
      <c r="R52" s="62"/>
      <c r="S52" s="232"/>
      <c r="T52" s="233"/>
      <c r="U52" s="234"/>
      <c r="V52" s="232"/>
      <c r="W52" s="218"/>
      <c r="Z52" s="222" t="s">
        <v>509</v>
      </c>
      <c r="AA52" s="232"/>
      <c r="AB52" s="62"/>
      <c r="AC52" s="232"/>
      <c r="AD52" s="233"/>
      <c r="AE52" s="234"/>
      <c r="AF52" s="232"/>
      <c r="AG52" s="218"/>
      <c r="AI52"/>
      <c r="AJ52"/>
      <c r="AK52"/>
      <c r="AL52"/>
      <c r="AM52"/>
      <c r="AN52"/>
      <c r="AO52"/>
      <c r="AP52"/>
      <c r="AQ52"/>
      <c r="AV52"/>
      <c r="AW52"/>
      <c r="AX52"/>
      <c r="AY52"/>
      <c r="AZ52"/>
      <c r="BA52"/>
      <c r="BB52"/>
      <c r="BC52"/>
      <c r="BD52"/>
    </row>
    <row r="53" spans="1:56" ht="6.95" customHeight="1" x14ac:dyDescent="0.2">
      <c r="A53" s="118"/>
      <c r="B53"/>
      <c r="C53"/>
      <c r="D53"/>
      <c r="E53"/>
      <c r="F53"/>
      <c r="G53"/>
      <c r="H53"/>
      <c r="I53"/>
      <c r="M53" s="230"/>
      <c r="P53" s="218"/>
      <c r="R53" s="64"/>
      <c r="T53" s="225"/>
      <c r="U53" s="65"/>
      <c r="W53" s="218"/>
      <c r="Z53" s="218"/>
      <c r="AB53" s="64"/>
      <c r="AD53" s="225"/>
      <c r="AE53" s="65"/>
      <c r="AG53" s="218"/>
      <c r="AI53"/>
      <c r="AJ53"/>
      <c r="AK53"/>
      <c r="AL53"/>
      <c r="AM53"/>
      <c r="AN53"/>
      <c r="AO53"/>
      <c r="AP53"/>
      <c r="AQ53"/>
      <c r="AV53"/>
      <c r="AW53"/>
      <c r="AX53"/>
      <c r="AY53"/>
      <c r="AZ53"/>
      <c r="BA53"/>
      <c r="BB53"/>
      <c r="BC53"/>
      <c r="BD53"/>
    </row>
    <row r="54" spans="1:56" ht="15" x14ac:dyDescent="0.2">
      <c r="A54" s="118"/>
      <c r="B54"/>
      <c r="C54"/>
      <c r="D54"/>
      <c r="E54"/>
      <c r="F54"/>
      <c r="G54"/>
      <c r="H54"/>
      <c r="I54"/>
      <c r="M54" s="230"/>
      <c r="P54" s="218"/>
      <c r="Q54" s="118" t="s">
        <v>510</v>
      </c>
      <c r="R54" s="64"/>
      <c r="T54" s="225"/>
      <c r="U54" s="65">
        <f>G54</f>
        <v>0</v>
      </c>
      <c r="W54" s="218"/>
      <c r="Z54" s="218"/>
      <c r="AA54" s="118" t="s">
        <v>526</v>
      </c>
      <c r="AB54" s="64"/>
      <c r="AD54" s="225"/>
      <c r="AE54" s="65">
        <f>SurCh!Y14</f>
        <v>0.85</v>
      </c>
      <c r="AG54" s="218"/>
      <c r="AI54"/>
      <c r="AJ54"/>
      <c r="AK54"/>
      <c r="AL54"/>
      <c r="AM54"/>
      <c r="AN54"/>
      <c r="AO54"/>
      <c r="AP54"/>
      <c r="AQ54"/>
      <c r="AV54"/>
      <c r="AW54"/>
      <c r="AX54"/>
      <c r="AY54"/>
      <c r="AZ54"/>
      <c r="BA54"/>
      <c r="BB54"/>
      <c r="BC54"/>
      <c r="BD54"/>
    </row>
    <row r="55" spans="1:56" ht="15.75" x14ac:dyDescent="0.25">
      <c r="A55"/>
      <c r="B55"/>
      <c r="C55"/>
      <c r="D55"/>
      <c r="E55"/>
      <c r="F55"/>
      <c r="G55"/>
      <c r="H55"/>
      <c r="I55"/>
      <c r="J55" s="243">
        <f>G14+2*G26</f>
        <v>39.9</v>
      </c>
      <c r="M55" s="230"/>
      <c r="P55" s="218"/>
      <c r="R55" s="64"/>
      <c r="T55" s="225"/>
      <c r="U55" s="65"/>
      <c r="W55" s="218"/>
      <c r="Z55" s="218"/>
      <c r="AB55" s="64"/>
      <c r="AD55" s="225"/>
      <c r="AE55" s="65"/>
      <c r="AG55" s="218"/>
      <c r="AI55"/>
      <c r="AJ55"/>
      <c r="AK55" s="244" t="s">
        <v>524</v>
      </c>
      <c r="AP55"/>
      <c r="AQ55"/>
      <c r="AV55"/>
      <c r="AW55"/>
      <c r="AX55" s="244" t="s">
        <v>524</v>
      </c>
      <c r="BC55"/>
      <c r="BD55"/>
    </row>
    <row r="56" spans="1:56" ht="6.95" customHeight="1" x14ac:dyDescent="0.2">
      <c r="A56"/>
      <c r="B56"/>
      <c r="C56"/>
      <c r="D56"/>
      <c r="E56"/>
      <c r="F56"/>
      <c r="G56"/>
      <c r="H56"/>
      <c r="I56"/>
      <c r="P56" s="218"/>
      <c r="W56" s="218"/>
      <c r="Z56" s="218"/>
      <c r="AG56" s="218"/>
      <c r="AI56"/>
      <c r="AJ56"/>
      <c r="AP56"/>
      <c r="AQ56"/>
      <c r="AV56"/>
      <c r="AW56"/>
      <c r="BC56"/>
      <c r="BD56"/>
    </row>
    <row r="57" spans="1:56" ht="15" x14ac:dyDescent="0.2">
      <c r="A57"/>
      <c r="B57"/>
      <c r="C57"/>
      <c r="D57"/>
      <c r="E57"/>
      <c r="F57"/>
      <c r="G57"/>
      <c r="H57"/>
      <c r="I57"/>
      <c r="J57" s="243">
        <f>G37+2*G49</f>
        <v>59.657499999999999</v>
      </c>
      <c r="P57" s="217"/>
      <c r="Q57" s="217"/>
      <c r="R57" s="217"/>
      <c r="S57" s="217"/>
      <c r="T57" s="217"/>
      <c r="U57" s="217"/>
      <c r="V57" s="217"/>
      <c r="Z57" s="217"/>
      <c r="AA57" s="217"/>
      <c r="AB57" s="217"/>
      <c r="AC57" s="217"/>
      <c r="AD57" s="217"/>
      <c r="AE57" s="217"/>
      <c r="AF57" s="217"/>
      <c r="AI57"/>
      <c r="AJ57"/>
      <c r="AM57" s="241" t="s">
        <v>520</v>
      </c>
      <c r="AN57" s="241" t="s">
        <v>523</v>
      </c>
      <c r="AO57" s="241" t="s">
        <v>97</v>
      </c>
      <c r="AP57"/>
      <c r="AQ57"/>
      <c r="AV57"/>
      <c r="AW57"/>
      <c r="AZ57" s="241" t="s">
        <v>520</v>
      </c>
      <c r="BA57" s="241" t="s">
        <v>523</v>
      </c>
      <c r="BB57" s="241" t="s">
        <v>97</v>
      </c>
      <c r="BC57"/>
      <c r="BD57"/>
    </row>
    <row r="58" spans="1:56" ht="15" x14ac:dyDescent="0.2">
      <c r="A58" s="118"/>
      <c r="B58" s="235"/>
      <c r="D58" s="118"/>
      <c r="E58" s="118"/>
      <c r="F58" s="118"/>
      <c r="G58" s="118"/>
      <c r="H58" s="118"/>
      <c r="AI58"/>
      <c r="AJ58"/>
      <c r="AM58" s="241" t="s">
        <v>460</v>
      </c>
      <c r="AN58" s="241" t="s">
        <v>96</v>
      </c>
      <c r="AO58" s="241" t="s">
        <v>96</v>
      </c>
      <c r="AP58"/>
      <c r="AQ58"/>
      <c r="AV58"/>
      <c r="AW58"/>
      <c r="AZ58" s="241" t="s">
        <v>460</v>
      </c>
      <c r="BA58" s="241" t="s">
        <v>96</v>
      </c>
      <c r="BB58" s="241" t="s">
        <v>96</v>
      </c>
      <c r="BC58"/>
      <c r="BD58"/>
    </row>
    <row r="59" spans="1:56" ht="15.75" x14ac:dyDescent="0.25">
      <c r="A59" s="118"/>
      <c r="B59" s="118"/>
      <c r="C59" s="118"/>
      <c r="D59" s="118"/>
      <c r="E59" s="118"/>
      <c r="F59" s="118"/>
      <c r="G59" s="118"/>
      <c r="H59" s="118"/>
      <c r="J59" s="243">
        <f>J57-J55</f>
        <v>19.7575</v>
      </c>
      <c r="Q59" s="244" t="s">
        <v>524</v>
      </c>
      <c r="AA59" s="244" t="s">
        <v>524</v>
      </c>
      <c r="AL59" s="118" t="s">
        <v>521</v>
      </c>
      <c r="AM59" s="242">
        <v>39.9</v>
      </c>
      <c r="AY59" s="118" t="s">
        <v>521</v>
      </c>
      <c r="AZ59" s="242">
        <v>39.9</v>
      </c>
    </row>
    <row r="60" spans="1:56" x14ac:dyDescent="0.2">
      <c r="A60" s="118"/>
      <c r="B60" s="118"/>
      <c r="C60" s="118"/>
      <c r="D60" s="118"/>
      <c r="E60" s="118"/>
      <c r="F60" s="118"/>
      <c r="G60" s="118"/>
      <c r="H60" s="118"/>
      <c r="S60" s="241" t="s">
        <v>520</v>
      </c>
      <c r="T60" s="241" t="s">
        <v>523</v>
      </c>
      <c r="U60" s="241" t="s">
        <v>97</v>
      </c>
      <c r="AC60" s="241" t="s">
        <v>520</v>
      </c>
      <c r="AD60" s="241" t="s">
        <v>523</v>
      </c>
      <c r="AE60" s="241" t="s">
        <v>97</v>
      </c>
      <c r="AL60" s="118" t="s">
        <v>94</v>
      </c>
      <c r="AM60" s="242">
        <f>AO37+2*AO49</f>
        <v>59.650500000000001</v>
      </c>
      <c r="AN60" s="243">
        <f>AM60-AM59</f>
        <v>19.750500000000002</v>
      </c>
      <c r="AO60" s="248">
        <f>AN60/$S$62</f>
        <v>0.49500000000000005</v>
      </c>
      <c r="AY60" s="118" t="s">
        <v>94</v>
      </c>
      <c r="AZ60" s="242">
        <f>BB37+2*BB49</f>
        <v>65.475899999999996</v>
      </c>
      <c r="BA60" s="243">
        <f>AZ60-AZ59</f>
        <v>25.575899999999997</v>
      </c>
      <c r="BB60" s="248">
        <f>BA60/$S$62</f>
        <v>0.6409999999999999</v>
      </c>
    </row>
    <row r="61" spans="1:56" x14ac:dyDescent="0.2">
      <c r="A61" s="118"/>
      <c r="B61" s="118"/>
      <c r="C61" s="118"/>
      <c r="D61" s="118"/>
      <c r="E61" s="118"/>
      <c r="F61" s="118"/>
      <c r="G61" s="118"/>
      <c r="H61" s="118"/>
      <c r="J61" s="252">
        <f>J59/J55</f>
        <v>0.49517543859649127</v>
      </c>
      <c r="S61" s="241" t="s">
        <v>460</v>
      </c>
      <c r="T61" s="241" t="s">
        <v>96</v>
      </c>
      <c r="U61" s="241" t="s">
        <v>96</v>
      </c>
      <c r="AC61" s="241" t="s">
        <v>460</v>
      </c>
      <c r="AD61" s="241" t="s">
        <v>96</v>
      </c>
      <c r="AE61" s="241" t="s">
        <v>96</v>
      </c>
    </row>
    <row r="62" spans="1:56" ht="18" customHeight="1" x14ac:dyDescent="0.2">
      <c r="R62" s="118" t="s">
        <v>521</v>
      </c>
      <c r="S62" s="242">
        <v>39.9</v>
      </c>
      <c r="AB62" s="118" t="s">
        <v>521</v>
      </c>
      <c r="AC62" s="242">
        <v>39.9</v>
      </c>
      <c r="AL62" s="30" t="s">
        <v>465</v>
      </c>
      <c r="AY62" s="30" t="s">
        <v>465</v>
      </c>
    </row>
    <row r="63" spans="1:56" x14ac:dyDescent="0.2">
      <c r="R63" s="118" t="s">
        <v>94</v>
      </c>
      <c r="S63" s="242">
        <f>U37+2*U49</f>
        <v>59.657499999999999</v>
      </c>
      <c r="T63" s="243">
        <f>S63-S62</f>
        <v>19.7575</v>
      </c>
      <c r="U63" s="248">
        <f>T63/$S$62</f>
        <v>0.49517543859649127</v>
      </c>
      <c r="AB63" s="118" t="s">
        <v>94</v>
      </c>
      <c r="AC63" s="242">
        <v>56.06</v>
      </c>
      <c r="AD63" s="243">
        <f>AC63-AC62</f>
        <v>16.160000000000004</v>
      </c>
      <c r="AE63" s="248">
        <f>AD63/$S$62</f>
        <v>0.40501253132832093</v>
      </c>
      <c r="AY63" s="242"/>
      <c r="AZ63" s="243"/>
      <c r="BA63" s="248"/>
    </row>
    <row r="64" spans="1:56" x14ac:dyDescent="0.2">
      <c r="R64" s="118" t="s">
        <v>522</v>
      </c>
      <c r="S64" s="242">
        <f>+S63+3.87</f>
        <v>63.527499999999996</v>
      </c>
      <c r="T64" s="243">
        <f>S64-S62</f>
        <v>23.627499999999998</v>
      </c>
      <c r="U64" s="248">
        <f>T64/$S$62</f>
        <v>0.59216791979949868</v>
      </c>
      <c r="AB64" s="118" t="s">
        <v>522</v>
      </c>
      <c r="AC64" s="242">
        <f>+AC63+(4*AE54)</f>
        <v>59.46</v>
      </c>
      <c r="AD64" s="243">
        <f>AC64-AC62</f>
        <v>19.560000000000002</v>
      </c>
      <c r="AE64" s="248">
        <f>AD64/$S$62</f>
        <v>0.49022556390977451</v>
      </c>
      <c r="AY64" s="242"/>
      <c r="AZ64" s="243"/>
      <c r="BA64" s="248"/>
    </row>
    <row r="66" spans="18:50" x14ac:dyDescent="0.2">
      <c r="R66" s="30" t="s">
        <v>465</v>
      </c>
      <c r="AB66" s="30" t="s">
        <v>465</v>
      </c>
      <c r="AX66" s="30"/>
    </row>
  </sheetData>
  <printOptions horizontalCentered="1"/>
  <pageMargins left="0.3" right="0.3" top="1.2" bottom="0.5" header="0" footer="0"/>
  <pageSetup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39"/>
  <sheetViews>
    <sheetView workbookViewId="0"/>
  </sheetViews>
  <sheetFormatPr defaultColWidth="8.88671875" defaultRowHeight="14.25" x14ac:dyDescent="0.2"/>
  <cols>
    <col min="1" max="1" width="8.88671875" style="143"/>
    <col min="2" max="2" width="27.6640625" style="143" customWidth="1"/>
    <col min="3" max="16384" width="8.88671875" style="143"/>
  </cols>
  <sheetData>
    <row r="2" spans="1:6" ht="15.75" x14ac:dyDescent="0.25">
      <c r="A2" s="197" t="s">
        <v>479</v>
      </c>
      <c r="B2" s="197"/>
      <c r="C2" s="197"/>
      <c r="D2" s="197"/>
      <c r="E2" s="197"/>
      <c r="F2" s="197"/>
    </row>
    <row r="5" spans="1:6" x14ac:dyDescent="0.2">
      <c r="D5" s="189"/>
      <c r="E5" s="189" t="s">
        <v>450</v>
      </c>
      <c r="F5" s="189" t="s">
        <v>153</v>
      </c>
    </row>
    <row r="6" spans="1:6" x14ac:dyDescent="0.2">
      <c r="D6" s="189" t="s">
        <v>473</v>
      </c>
      <c r="E6" s="189" t="s">
        <v>444</v>
      </c>
      <c r="F6" s="189" t="s">
        <v>96</v>
      </c>
    </row>
    <row r="8" spans="1:6" ht="15" x14ac:dyDescent="0.25">
      <c r="A8" s="191" t="s">
        <v>477</v>
      </c>
      <c r="D8" s="201">
        <f>C30</f>
        <v>59.657499999999999</v>
      </c>
      <c r="E8" s="201">
        <v>59.93</v>
      </c>
      <c r="F8" s="190">
        <f>(E8-C23)/C23</f>
        <v>0.50200501253132834</v>
      </c>
    </row>
    <row r="9" spans="1:6" x14ac:dyDescent="0.2">
      <c r="D9" s="201"/>
      <c r="E9" s="201"/>
      <c r="F9" s="190"/>
    </row>
    <row r="10" spans="1:6" ht="15" x14ac:dyDescent="0.25">
      <c r="A10" s="191" t="s">
        <v>478</v>
      </c>
      <c r="D10" s="201">
        <v>53.4</v>
      </c>
      <c r="E10" s="201">
        <f>D10+SurCh!O16</f>
        <v>57.266615676352586</v>
      </c>
      <c r="F10" s="190">
        <f>(E10-C23)/C23</f>
        <v>0.43525352572312254</v>
      </c>
    </row>
    <row r="11" spans="1:6" ht="15" x14ac:dyDescent="0.25">
      <c r="A11" s="191"/>
      <c r="D11" s="201"/>
      <c r="E11" s="201"/>
      <c r="F11" s="190"/>
    </row>
    <row r="12" spans="1:6" ht="15" x14ac:dyDescent="0.25">
      <c r="A12" s="191"/>
      <c r="D12" s="201"/>
      <c r="E12" s="201"/>
      <c r="F12" s="190"/>
    </row>
    <row r="14" spans="1:6" ht="15.75" x14ac:dyDescent="0.25">
      <c r="A14" s="26" t="s">
        <v>458</v>
      </c>
    </row>
    <row r="15" spans="1:6" x14ac:dyDescent="0.2">
      <c r="C15" s="189"/>
      <c r="D15" s="189" t="s">
        <v>461</v>
      </c>
    </row>
    <row r="16" spans="1:6" x14ac:dyDescent="0.2">
      <c r="C16" s="189" t="s">
        <v>459</v>
      </c>
      <c r="D16" s="189" t="s">
        <v>462</v>
      </c>
    </row>
    <row r="17" spans="2:6" x14ac:dyDescent="0.2">
      <c r="C17" s="189" t="s">
        <v>460</v>
      </c>
      <c r="D17" s="189" t="s">
        <v>463</v>
      </c>
    </row>
    <row r="18" spans="2:6" x14ac:dyDescent="0.2">
      <c r="B18" s="143" t="s">
        <v>429</v>
      </c>
      <c r="C18" s="150">
        <f>18.25+5.63*2</f>
        <v>29.509999999999998</v>
      </c>
      <c r="D18" s="187">
        <v>2011</v>
      </c>
    </row>
    <row r="19" spans="2:6" x14ac:dyDescent="0.2">
      <c r="B19" s="143" t="s">
        <v>425</v>
      </c>
      <c r="C19" s="150">
        <f>20.24+2*5.62</f>
        <v>31.479999999999997</v>
      </c>
      <c r="D19" s="188">
        <v>2010</v>
      </c>
    </row>
    <row r="20" spans="2:6" x14ac:dyDescent="0.2">
      <c r="B20" s="143" t="s">
        <v>426</v>
      </c>
      <c r="C20" s="150">
        <f>22+2*6</f>
        <v>34</v>
      </c>
      <c r="D20" s="188">
        <v>2012</v>
      </c>
    </row>
    <row r="21" spans="2:6" x14ac:dyDescent="0.2">
      <c r="B21" s="143" t="s">
        <v>430</v>
      </c>
      <c r="C21" s="150">
        <f>18.45+2*8.23</f>
        <v>34.909999999999997</v>
      </c>
      <c r="D21" s="188">
        <v>2016</v>
      </c>
    </row>
    <row r="22" spans="2:6" x14ac:dyDescent="0.2">
      <c r="B22" s="143" t="s">
        <v>427</v>
      </c>
      <c r="C22" s="150">
        <f>23.35+8.18*2</f>
        <v>39.71</v>
      </c>
      <c r="D22" s="188">
        <v>2017</v>
      </c>
    </row>
    <row r="23" spans="2:6" ht="15" x14ac:dyDescent="0.25">
      <c r="B23" s="191" t="s">
        <v>424</v>
      </c>
      <c r="C23" s="150">
        <f>Rates!G14+2*Rates!G26</f>
        <v>39.9</v>
      </c>
      <c r="D23" s="188">
        <v>2011</v>
      </c>
    </row>
    <row r="24" spans="2:6" x14ac:dyDescent="0.2">
      <c r="B24" s="143" t="s">
        <v>433</v>
      </c>
      <c r="C24" s="150">
        <v>40.36</v>
      </c>
      <c r="D24" s="188">
        <v>2017</v>
      </c>
    </row>
    <row r="25" spans="2:6" x14ac:dyDescent="0.2">
      <c r="B25" s="143" t="s">
        <v>428</v>
      </c>
      <c r="C25" s="150">
        <f>24.6+2*8.4</f>
        <v>41.400000000000006</v>
      </c>
      <c r="D25" s="188">
        <v>2015</v>
      </c>
    </row>
    <row r="26" spans="2:6" x14ac:dyDescent="0.2">
      <c r="B26" s="143" t="s">
        <v>431</v>
      </c>
      <c r="C26" s="150">
        <f>25.22+2*9.31</f>
        <v>43.84</v>
      </c>
      <c r="D26" s="188">
        <v>2017</v>
      </c>
    </row>
    <row r="27" spans="2:6" x14ac:dyDescent="0.2">
      <c r="B27" s="143" t="s">
        <v>434</v>
      </c>
      <c r="C27" s="150">
        <f>22.5+0.63*40</f>
        <v>47.7</v>
      </c>
      <c r="D27" s="188">
        <v>2009</v>
      </c>
    </row>
    <row r="28" spans="2:6" x14ac:dyDescent="0.2">
      <c r="B28" s="143" t="s">
        <v>432</v>
      </c>
      <c r="C28" s="150">
        <f>24.4+2*12.2</f>
        <v>48.8</v>
      </c>
      <c r="D28" s="188">
        <v>2017</v>
      </c>
    </row>
    <row r="29" spans="2:6" x14ac:dyDescent="0.2">
      <c r="B29" s="143" t="s">
        <v>435</v>
      </c>
      <c r="C29" s="150">
        <f>28.57+2*11.19</f>
        <v>50.95</v>
      </c>
      <c r="D29" s="188">
        <v>2017</v>
      </c>
    </row>
    <row r="30" spans="2:6" ht="15" x14ac:dyDescent="0.25">
      <c r="B30" s="191" t="s">
        <v>480</v>
      </c>
      <c r="C30" s="150">
        <f>Rates!G37+2*Rates!G49</f>
        <v>59.657499999999999</v>
      </c>
      <c r="D30" s="188">
        <v>2017</v>
      </c>
      <c r="F30" s="151"/>
    </row>
    <row r="31" spans="2:6" x14ac:dyDescent="0.2">
      <c r="C31" s="150"/>
    </row>
    <row r="39" spans="2:2" x14ac:dyDescent="0.2">
      <c r="B39" s="143" t="s">
        <v>465</v>
      </c>
    </row>
  </sheetData>
  <sortState xmlns:xlrd2="http://schemas.microsoft.com/office/spreadsheetml/2017/richdata2" ref="B11:D23">
    <sortCondition ref="C4:C16"/>
  </sortState>
  <pageMargins left="0.7" right="0.7" top="1.25" bottom="0.75" header="0.3" footer="0.3"/>
  <pageSetup orientation="portrait" r:id="rId1"/>
  <headerFooter>
    <oddHeader>&amp;C&amp;"Arial,Bold Italic"&amp;14&amp;KFF0000
DRAFT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Z38"/>
  <sheetViews>
    <sheetView topLeftCell="H3" workbookViewId="0">
      <selection activeCell="R12" sqref="R12"/>
    </sheetView>
  </sheetViews>
  <sheetFormatPr defaultRowHeight="15" x14ac:dyDescent="0.2"/>
  <cols>
    <col min="1" max="1" width="2.21875" customWidth="1"/>
    <col min="2" max="2" width="12.44140625" customWidth="1"/>
    <col min="3" max="6" width="12.77734375" customWidth="1"/>
    <col min="9" max="9" width="3.109375" customWidth="1"/>
    <col min="10" max="10" width="3.6640625" customWidth="1"/>
    <col min="14" max="14" width="10.5546875" customWidth="1"/>
    <col min="15" max="15" width="10.109375" customWidth="1"/>
    <col min="16" max="16" width="5" customWidth="1"/>
    <col min="17" max="17" width="3.33203125" customWidth="1"/>
    <col min="19" max="19" width="3.109375" customWidth="1"/>
    <col min="20" max="20" width="3.6640625" customWidth="1"/>
    <col min="24" max="24" width="10.5546875" customWidth="1"/>
    <col min="25" max="25" width="10.109375" customWidth="1"/>
    <col min="26" max="26" width="5" customWidth="1"/>
    <col min="27" max="27" width="3.33203125" customWidth="1"/>
  </cols>
  <sheetData>
    <row r="2" spans="1:26" ht="15.75" x14ac:dyDescent="0.25">
      <c r="J2" s="197" t="s">
        <v>467</v>
      </c>
      <c r="K2" s="8"/>
      <c r="L2" s="8"/>
      <c r="M2" s="8"/>
      <c r="N2" s="8"/>
      <c r="O2" s="8"/>
      <c r="P2" s="8"/>
      <c r="T2" s="197" t="s">
        <v>467</v>
      </c>
      <c r="U2" s="8"/>
      <c r="V2" s="8"/>
      <c r="W2" s="8"/>
      <c r="X2" s="8"/>
      <c r="Y2" s="8"/>
      <c r="Z2" s="209" t="s">
        <v>7</v>
      </c>
    </row>
    <row r="3" spans="1:26" ht="15.75" x14ac:dyDescent="0.25">
      <c r="A3" s="185" t="s">
        <v>457</v>
      </c>
      <c r="B3" s="186"/>
      <c r="C3" s="186"/>
      <c r="D3" s="186"/>
      <c r="E3" s="186"/>
      <c r="J3" s="185" t="s">
        <v>511</v>
      </c>
      <c r="K3" s="8"/>
      <c r="L3" s="8"/>
      <c r="M3" s="8"/>
      <c r="N3" s="8"/>
      <c r="O3" s="8"/>
      <c r="P3" s="8"/>
      <c r="T3" s="185" t="s">
        <v>511</v>
      </c>
      <c r="U3" s="8"/>
      <c r="V3" s="8"/>
      <c r="W3" s="8"/>
      <c r="X3" s="8"/>
      <c r="Y3" s="8"/>
      <c r="Z3" s="209" t="s">
        <v>7</v>
      </c>
    </row>
    <row r="4" spans="1:26" ht="15.75" x14ac:dyDescent="0.25">
      <c r="T4" s="197" t="s">
        <v>516</v>
      </c>
      <c r="U4" s="239"/>
      <c r="V4" s="239"/>
      <c r="W4" s="239"/>
      <c r="X4" s="239"/>
      <c r="Y4" s="239"/>
    </row>
    <row r="6" spans="1:26" ht="15.75" x14ac:dyDescent="0.25">
      <c r="A6" s="26" t="s">
        <v>454</v>
      </c>
      <c r="J6" s="197" t="s">
        <v>517</v>
      </c>
      <c r="K6" s="8"/>
      <c r="L6" s="8"/>
      <c r="M6" s="8"/>
      <c r="N6" s="8"/>
      <c r="O6" s="8"/>
      <c r="P6" s="8"/>
      <c r="T6" s="175" t="s">
        <v>468</v>
      </c>
    </row>
    <row r="7" spans="1:26" x14ac:dyDescent="0.2">
      <c r="C7" s="182"/>
      <c r="D7" s="182"/>
      <c r="E7" s="174" t="s">
        <v>445</v>
      </c>
    </row>
    <row r="8" spans="1:26" x14ac:dyDescent="0.2">
      <c r="B8" s="174" t="s">
        <v>446</v>
      </c>
      <c r="C8" s="174" t="s">
        <v>439</v>
      </c>
      <c r="D8" s="174" t="s">
        <v>445</v>
      </c>
      <c r="E8" s="174" t="s">
        <v>443</v>
      </c>
      <c r="F8" s="181"/>
      <c r="J8" s="175" t="s">
        <v>468</v>
      </c>
      <c r="U8" s="175" t="s">
        <v>469</v>
      </c>
      <c r="Y8" s="195">
        <f>O10</f>
        <v>733902.5</v>
      </c>
    </row>
    <row r="9" spans="1:26" x14ac:dyDescent="0.2">
      <c r="B9" s="174" t="s">
        <v>447</v>
      </c>
      <c r="C9" s="174" t="s">
        <v>440</v>
      </c>
      <c r="D9" s="174" t="s">
        <v>442</v>
      </c>
      <c r="E9" s="174" t="s">
        <v>444</v>
      </c>
      <c r="F9" s="181"/>
    </row>
    <row r="10" spans="1:26" x14ac:dyDescent="0.2">
      <c r="C10" s="181"/>
      <c r="D10" s="181"/>
      <c r="E10" s="181"/>
      <c r="F10" s="181"/>
      <c r="G10" s="184">
        <f>4.25%/12</f>
        <v>3.5416666666666669E-3</v>
      </c>
      <c r="K10" s="175" t="s">
        <v>469</v>
      </c>
      <c r="O10" s="195">
        <f>C14</f>
        <v>733902.5</v>
      </c>
      <c r="U10" s="175" t="s">
        <v>470</v>
      </c>
      <c r="Y10" s="196">
        <f>O12</f>
        <v>13598.887333732058</v>
      </c>
    </row>
    <row r="11" spans="1:26" x14ac:dyDescent="0.2">
      <c r="B11" s="143" t="s">
        <v>436</v>
      </c>
      <c r="C11" s="144">
        <v>610013.94999999995</v>
      </c>
      <c r="D11" s="144">
        <f>-PMT($G$10,$G$11,C11)</f>
        <v>11303.287532137936</v>
      </c>
      <c r="E11" s="183">
        <f>D11/3517</f>
        <v>3.2139003503377697</v>
      </c>
      <c r="F11" s="180"/>
      <c r="G11" s="143">
        <f>5*12</f>
        <v>60</v>
      </c>
    </row>
    <row r="12" spans="1:26" x14ac:dyDescent="0.2">
      <c r="B12" s="143" t="s">
        <v>437</v>
      </c>
      <c r="C12" s="144">
        <f>+C11+34750.25</f>
        <v>644764.19999999995</v>
      </c>
      <c r="D12" s="144">
        <f>-PMT($G$10,$G$11,C12)</f>
        <v>11947.194228966224</v>
      </c>
      <c r="E12" s="183">
        <f t="shared" ref="E12:E14" si="0">D12/3517</f>
        <v>3.3969844267745875</v>
      </c>
      <c r="F12" s="180"/>
      <c r="K12" s="175" t="s">
        <v>470</v>
      </c>
      <c r="O12" s="196">
        <f>D14</f>
        <v>13598.887333732058</v>
      </c>
      <c r="U12" s="175" t="s">
        <v>513</v>
      </c>
      <c r="Y12" s="180">
        <v>191752</v>
      </c>
    </row>
    <row r="13" spans="1:26" x14ac:dyDescent="0.2">
      <c r="B13" s="143" t="s">
        <v>438</v>
      </c>
      <c r="C13" s="144">
        <f>+C12+33090.12</f>
        <v>677854.32</v>
      </c>
      <c r="D13" s="144">
        <f>-PMT($G$10,$G$11,C13)</f>
        <v>12560.339454305658</v>
      </c>
      <c r="E13" s="183">
        <f t="shared" si="0"/>
        <v>3.5713219944002441</v>
      </c>
      <c r="F13" s="180"/>
    </row>
    <row r="14" spans="1:26" x14ac:dyDescent="0.2">
      <c r="B14" s="143" t="s">
        <v>449</v>
      </c>
      <c r="C14" s="153">
        <f>C13+56048.18</f>
        <v>733902.5</v>
      </c>
      <c r="D14" s="144">
        <f>-PMT($G$10,$G$11,C14)</f>
        <v>13598.887333732058</v>
      </c>
      <c r="E14" s="183">
        <f t="shared" si="0"/>
        <v>3.8666156763525898</v>
      </c>
      <c r="K14" s="175" t="s">
        <v>471</v>
      </c>
      <c r="O14" s="180">
        <v>3517</v>
      </c>
      <c r="U14" s="175" t="s">
        <v>514</v>
      </c>
      <c r="Y14" s="194">
        <f>ROUND(Y10/(Y12/12),2)</f>
        <v>0.85</v>
      </c>
    </row>
    <row r="15" spans="1:26" x14ac:dyDescent="0.2">
      <c r="B15" s="143"/>
      <c r="C15" s="143"/>
      <c r="D15" s="143"/>
      <c r="E15" s="143"/>
    </row>
    <row r="16" spans="1:26" ht="15.75" x14ac:dyDescent="0.25">
      <c r="A16" s="26" t="s">
        <v>451</v>
      </c>
      <c r="K16" s="175" t="s">
        <v>472</v>
      </c>
      <c r="O16" s="194">
        <f>O12/O14</f>
        <v>3.8666156763525898</v>
      </c>
    </row>
    <row r="17" spans="1:26" x14ac:dyDescent="0.2">
      <c r="C17" s="182"/>
      <c r="D17" s="182"/>
      <c r="E17" s="174" t="s">
        <v>445</v>
      </c>
    </row>
    <row r="18" spans="1:26" x14ac:dyDescent="0.2">
      <c r="B18" s="174" t="s">
        <v>446</v>
      </c>
      <c r="C18" s="174" t="s">
        <v>439</v>
      </c>
      <c r="D18" s="174" t="s">
        <v>441</v>
      </c>
      <c r="E18" s="174" t="s">
        <v>443</v>
      </c>
      <c r="W18">
        <v>2000</v>
      </c>
      <c r="Y18" s="237">
        <f>$Y$14*W18/1000</f>
        <v>1.7</v>
      </c>
    </row>
    <row r="19" spans="1:26" ht="15.75" x14ac:dyDescent="0.25">
      <c r="B19" s="174" t="s">
        <v>447</v>
      </c>
      <c r="C19" s="174" t="s">
        <v>440</v>
      </c>
      <c r="D19" s="174" t="s">
        <v>453</v>
      </c>
      <c r="E19" s="174" t="s">
        <v>444</v>
      </c>
      <c r="J19" s="197" t="s">
        <v>516</v>
      </c>
      <c r="K19" s="239"/>
      <c r="L19" s="239"/>
      <c r="M19" s="239"/>
      <c r="N19" s="239"/>
      <c r="O19" s="239"/>
      <c r="P19" s="8"/>
    </row>
    <row r="20" spans="1:26" x14ac:dyDescent="0.2">
      <c r="C20" s="181"/>
      <c r="D20" s="181"/>
      <c r="E20" s="181"/>
    </row>
    <row r="21" spans="1:26" x14ac:dyDescent="0.2">
      <c r="B21" s="143" t="s">
        <v>436</v>
      </c>
      <c r="C21" s="144">
        <v>610013.94999999995</v>
      </c>
      <c r="D21" s="144">
        <f>C21/2</f>
        <v>305006.97499999998</v>
      </c>
      <c r="E21" s="183">
        <f>D21/(3517*12)</f>
        <v>7.2269684153160831</v>
      </c>
      <c r="J21" s="175" t="s">
        <v>468</v>
      </c>
      <c r="W21">
        <v>4000</v>
      </c>
      <c r="Y21" s="237">
        <f>$Y$14*W21/1000</f>
        <v>3.4</v>
      </c>
    </row>
    <row r="22" spans="1:26" x14ac:dyDescent="0.2">
      <c r="B22" s="143" t="s">
        <v>437</v>
      </c>
      <c r="C22" s="144">
        <f>+C21+34750.25</f>
        <v>644764.19999999995</v>
      </c>
      <c r="D22" s="144">
        <f t="shared" ref="D22:D24" si="1">C22/2</f>
        <v>322382.09999999998</v>
      </c>
      <c r="E22" s="183">
        <f t="shared" ref="E22:E24" si="2">D22/(3517*12)</f>
        <v>7.6386622121125951</v>
      </c>
    </row>
    <row r="23" spans="1:26" x14ac:dyDescent="0.2">
      <c r="B23" s="143" t="s">
        <v>438</v>
      </c>
      <c r="C23" s="144">
        <f>+C22+33090.12</f>
        <v>677854.32</v>
      </c>
      <c r="D23" s="144">
        <f t="shared" si="1"/>
        <v>338927.16</v>
      </c>
      <c r="E23" s="183">
        <f t="shared" si="2"/>
        <v>8.0306880864373031</v>
      </c>
      <c r="K23" s="175" t="s">
        <v>469</v>
      </c>
      <c r="O23" s="195">
        <v>733902.5</v>
      </c>
    </row>
    <row r="24" spans="1:26" x14ac:dyDescent="0.2">
      <c r="B24" s="143" t="s">
        <v>449</v>
      </c>
      <c r="C24" s="153">
        <f>C23+56048.18</f>
        <v>733902.5</v>
      </c>
      <c r="D24" s="144">
        <f t="shared" si="1"/>
        <v>366951.25</v>
      </c>
      <c r="E24" s="183">
        <f t="shared" si="2"/>
        <v>8.6947031087100743</v>
      </c>
    </row>
    <row r="25" spans="1:26" x14ac:dyDescent="0.2">
      <c r="K25" s="175" t="s">
        <v>470</v>
      </c>
      <c r="O25" s="196">
        <v>13598.887333731651</v>
      </c>
    </row>
    <row r="26" spans="1:26" ht="15.75" x14ac:dyDescent="0.25">
      <c r="A26" s="26" t="s">
        <v>452</v>
      </c>
      <c r="T26" s="197" t="s">
        <v>467</v>
      </c>
      <c r="U26" s="8"/>
      <c r="V26" s="8"/>
      <c r="W26" s="8"/>
      <c r="X26" s="8"/>
      <c r="Y26" s="8"/>
      <c r="Z26" s="209" t="s">
        <v>7</v>
      </c>
    </row>
    <row r="27" spans="1:26" ht="15.75" x14ac:dyDescent="0.25">
      <c r="C27" s="182"/>
      <c r="D27" s="182"/>
      <c r="E27" s="174" t="s">
        <v>445</v>
      </c>
      <c r="K27" s="175" t="s">
        <v>513</v>
      </c>
      <c r="O27" s="180">
        <v>191752</v>
      </c>
      <c r="T27" s="185" t="s">
        <v>511</v>
      </c>
      <c r="U27" s="8"/>
      <c r="V27" s="8"/>
      <c r="W27" s="8"/>
      <c r="X27" s="8"/>
      <c r="Y27" s="8"/>
      <c r="Z27" s="209" t="s">
        <v>7</v>
      </c>
    </row>
    <row r="28" spans="1:26" ht="15.75" x14ac:dyDescent="0.25">
      <c r="B28" s="174" t="s">
        <v>446</v>
      </c>
      <c r="C28" s="174" t="s">
        <v>439</v>
      </c>
      <c r="D28" s="174" t="s">
        <v>441</v>
      </c>
      <c r="E28" s="174" t="s">
        <v>443</v>
      </c>
      <c r="T28" s="197" t="s">
        <v>571</v>
      </c>
      <c r="U28" s="239"/>
      <c r="V28" s="239"/>
      <c r="W28" s="239"/>
      <c r="X28" s="239"/>
      <c r="Y28" s="239"/>
    </row>
    <row r="29" spans="1:26" x14ac:dyDescent="0.2">
      <c r="B29" s="174" t="s">
        <v>447</v>
      </c>
      <c r="C29" s="174" t="s">
        <v>440</v>
      </c>
      <c r="D29" s="174" t="s">
        <v>453</v>
      </c>
      <c r="E29" s="174" t="s">
        <v>444</v>
      </c>
      <c r="K29" s="175" t="s">
        <v>514</v>
      </c>
      <c r="O29" s="194">
        <v>0.85</v>
      </c>
    </row>
    <row r="30" spans="1:26" x14ac:dyDescent="0.2">
      <c r="C30" s="181"/>
      <c r="D30" s="181"/>
      <c r="E30" s="181"/>
      <c r="T30" s="175" t="s">
        <v>468</v>
      </c>
    </row>
    <row r="31" spans="1:26" x14ac:dyDescent="0.2">
      <c r="B31" s="143" t="s">
        <v>436</v>
      </c>
      <c r="C31" s="144">
        <v>610013.94999999995</v>
      </c>
      <c r="D31" s="144">
        <f>C31/3</f>
        <v>203337.98333333331</v>
      </c>
      <c r="E31" s="183">
        <f>D31/(3517*12)</f>
        <v>4.8179789435440554</v>
      </c>
    </row>
    <row r="32" spans="1:26" x14ac:dyDescent="0.2">
      <c r="B32" s="143" t="s">
        <v>437</v>
      </c>
      <c r="C32" s="144">
        <f>+C31+34750.25</f>
        <v>644764.19999999995</v>
      </c>
      <c r="D32" s="144">
        <f t="shared" ref="D32:D34" si="3">C32/3</f>
        <v>214921.4</v>
      </c>
      <c r="E32" s="183">
        <f t="shared" ref="E32:E34" si="4">D32/(3517*12)</f>
        <v>5.0924414747417304</v>
      </c>
      <c r="U32" s="175" t="s">
        <v>469</v>
      </c>
      <c r="Y32" s="195">
        <v>733903</v>
      </c>
    </row>
    <row r="33" spans="2:25" x14ac:dyDescent="0.2">
      <c r="B33" s="143" t="s">
        <v>438</v>
      </c>
      <c r="C33" s="144">
        <f>+C32+33090.12</f>
        <v>677854.32</v>
      </c>
      <c r="D33" s="144">
        <f t="shared" si="3"/>
        <v>225951.43999999997</v>
      </c>
      <c r="E33" s="183">
        <f t="shared" si="4"/>
        <v>5.3537920576248688</v>
      </c>
    </row>
    <row r="34" spans="2:25" ht="17.25" x14ac:dyDescent="0.35">
      <c r="B34" s="143" t="s">
        <v>449</v>
      </c>
      <c r="C34" s="153">
        <f>C33+56048.18</f>
        <v>733902.5</v>
      </c>
      <c r="D34" s="144">
        <f t="shared" si="3"/>
        <v>244634.16666666666</v>
      </c>
      <c r="E34" s="183">
        <f t="shared" si="4"/>
        <v>5.7964687391400496</v>
      </c>
      <c r="U34" s="175" t="s">
        <v>572</v>
      </c>
      <c r="Y34" s="269">
        <v>64000</v>
      </c>
    </row>
    <row r="36" spans="2:25" x14ac:dyDescent="0.2">
      <c r="U36" s="175" t="s">
        <v>573</v>
      </c>
      <c r="Y36" s="195">
        <f>Y32+Y34</f>
        <v>797903</v>
      </c>
    </row>
    <row r="38" spans="2:25" x14ac:dyDescent="0.2">
      <c r="B38" s="175" t="s">
        <v>448</v>
      </c>
      <c r="U38" s="175" t="s">
        <v>470</v>
      </c>
      <c r="Y38" s="274">
        <f>-PMT($G$10,$G$11,Y36)</f>
        <v>14784.788170427015</v>
      </c>
    </row>
  </sheetData>
  <printOptions horizontalCentered="1"/>
  <pageMargins left="0.7" right="0.7" top="1.25" bottom="0.75" header="0.3" footer="0.3"/>
  <pageSetup orientation="portrait" r:id="rId1"/>
  <headerFooter>
    <oddHeader xml:space="preserve">&amp;C&amp;"Arial,Bold Italic"&amp;14&amp;KFF0000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A45613B72AB24DB4C1F8F198B29469" ma:contentTypeVersion="10" ma:contentTypeDescription="Create a new document." ma:contentTypeScope="" ma:versionID="2672eb8176f9b684a5bbc7cab3d396ac">
  <xsd:schema xmlns:xsd="http://www.w3.org/2001/XMLSchema" xmlns:xs="http://www.w3.org/2001/XMLSchema" xmlns:p="http://schemas.microsoft.com/office/2006/metadata/properties" xmlns:ns2="06027351-e105-424c-a391-3ef8a5424289" targetNamespace="http://schemas.microsoft.com/office/2006/metadata/properties" ma:root="true" ma:fieldsID="3feaa56d5e7f163bff88f1dfb4b8c472" ns2:_="">
    <xsd:import namespace="06027351-e105-424c-a391-3ef8a54242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027351-e105-424c-a391-3ef8a542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39EFAD-2900-4E54-BAB3-0AD8DF2539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F89452-889A-4C0D-A46B-86FCE0AD4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45DDF6-BDC6-4E94-98B7-A9ACB0DB9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027351-e105-424c-a391-3ef8a5424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13</vt:i4>
      </vt:variant>
    </vt:vector>
  </HeadingPairs>
  <TitlesOfParts>
    <vt:vector size="31" baseType="lpstr">
      <vt:lpstr>SAO</vt:lpstr>
      <vt:lpstr>SAO2</vt:lpstr>
      <vt:lpstr>SAO3</vt:lpstr>
      <vt:lpstr>Ref</vt:lpstr>
      <vt:lpstr>DeprAdj</vt:lpstr>
      <vt:lpstr>DSch</vt:lpstr>
      <vt:lpstr>Rates</vt:lpstr>
      <vt:lpstr>Bills</vt:lpstr>
      <vt:lpstr>SurCh</vt:lpstr>
      <vt:lpstr>ExBA</vt:lpstr>
      <vt:lpstr>PrBA</vt:lpstr>
      <vt:lpstr>Notice</vt:lpstr>
      <vt:lpstr>BillSum</vt:lpstr>
      <vt:lpstr>Davella</vt:lpstr>
      <vt:lpstr>Comp</vt:lpstr>
      <vt:lpstr>Except</vt:lpstr>
      <vt:lpstr>PrRates</vt:lpstr>
      <vt:lpstr>Tariff</vt:lpstr>
      <vt:lpstr>DeprAdj!Print_Area</vt:lpstr>
      <vt:lpstr>DSch!Print_Area</vt:lpstr>
      <vt:lpstr>ExBA!Print_Area</vt:lpstr>
      <vt:lpstr>Except!Print_Area</vt:lpstr>
      <vt:lpstr>PrBA!Print_Area</vt:lpstr>
      <vt:lpstr>PrRates!Print_Area</vt:lpstr>
      <vt:lpstr>Rates!Print_Area</vt:lpstr>
      <vt:lpstr>Ref!Print_Area</vt:lpstr>
      <vt:lpstr>SAO!Print_Area</vt:lpstr>
      <vt:lpstr>'SAO2'!Print_Area</vt:lpstr>
      <vt:lpstr>'SAO3'!Print_Area</vt:lpstr>
      <vt:lpstr>SurCh!Print_Area</vt:lpstr>
      <vt:lpstr>DeprAdj!Print_Titles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Lesley Dempsey</cp:lastModifiedBy>
  <cp:lastPrinted>2018-12-16T14:05:54Z</cp:lastPrinted>
  <dcterms:created xsi:type="dcterms:W3CDTF">2016-05-18T14:12:06Z</dcterms:created>
  <dcterms:modified xsi:type="dcterms:W3CDTF">2021-06-23T13:11:44Z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0x01010099A45613B72AB24DB4C1F8F198B29469</vt:lpwstr>
  </property>
</Properties>
</file>