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10" yWindow="370" windowWidth="6370" windowHeight="6880" tabRatio="868" firstSheet="9" activeTab="12"/>
  </bookViews>
  <sheets>
    <sheet name="Table of Contents" sheetId="1" r:id="rId1"/>
    <sheet name="SMRP Rider Calc TU Form 1.0" sheetId="2" r:id="rId2"/>
    <sheet name="Revenue Req. BA Form 1.1" sheetId="3" r:id="rId3"/>
    <sheet name="Billed Rider Revenue Form 1.2" sheetId="4" r:id="rId4"/>
    <sheet name="ROR Form 1.3" sheetId="5" r:id="rId5"/>
    <sheet name="Plant &amp; Book Depr Form 2.0" sheetId="6" r:id="rId6"/>
    <sheet name="Tax Depr Form 2.1 p.1" sheetId="7" r:id="rId7"/>
    <sheet name="Tax Depr Form 2.1 p.2" sheetId="8" r:id="rId8"/>
    <sheet name="Tax Depr Form 2.1 p.3" sheetId="9" r:id="rId9"/>
    <sheet name="Tax Depr Form 2.1 p.4 - 7" sheetId="10" r:id="rId10"/>
    <sheet name="2017 AMRP Calc Form 2.2" sheetId="11" r:id="rId11"/>
    <sheet name="O&amp;M Savings Form 3.0" sheetId="12" r:id="rId12"/>
    <sheet name="Dec. 20 Actual Bills Form 4.0" sheetId="13" r:id="rId13"/>
    <sheet name="May 21 Projected Bills Form 4.1" sheetId="14" r:id="rId14"/>
  </sheets>
  <externalReferences>
    <externalReference r:id="rId17"/>
  </externalReferences>
  <definedNames>
    <definedName name="case" localSheetId="3">'[1]Sch 14a pg 1 Rev Req'!#REF!</definedName>
    <definedName name="case" localSheetId="12">'[1]Sch 14a pg 1 Rev Req'!#REF!</definedName>
    <definedName name="case">'[1]Sch 14a pg 1 Rev Req'!#REF!</definedName>
    <definedName name="co" localSheetId="3">'[1]Sch 14b Acct 376 Rate Base'!#REF!</definedName>
    <definedName name="co" localSheetId="12">'[1]Sch 14b Acct 376 Rate Base'!#REF!</definedName>
    <definedName name="co">'[1]Sch 14b Acct 376 Rate Base'!#REF!</definedName>
    <definedName name="f" localSheetId="3">'[1]Sch 14a pg 1 Rev Req'!#REF!</definedName>
    <definedName name="f" localSheetId="12">'[1]Sch 14a pg 1 Rev Req'!#REF!</definedName>
    <definedName name="f">'[1]Sch 14a pg 1 Rev Req'!#REF!</definedName>
    <definedName name="_xlnm.Print_Area" localSheetId="10">'2017 AMRP Calc Form 2.2'!$A$1:$M$183</definedName>
    <definedName name="_xlnm.Print_Area" localSheetId="3">'Billed Rider Revenue Form 1.2'!$A$1:$F$26</definedName>
    <definedName name="_xlnm.Print_Area" localSheetId="12">'Dec. 20 Actual Bills Form 4.0'!$A$1:$N$19</definedName>
    <definedName name="_xlnm.Print_Area" localSheetId="13">'May 21 Projected Bills Form 4.1'!$A$1:$N$19</definedName>
    <definedName name="_xlnm.Print_Area" localSheetId="5">'Plant &amp; Book Depr Form 2.0'!$A$1:$J$134</definedName>
    <definedName name="_xlnm.Print_Area" localSheetId="2">'Revenue Req. BA Form 1.1'!$A$1:$I$39</definedName>
    <definedName name="_xlnm.Print_Area" localSheetId="1">'SMRP Rider Calc TU Form 1.0'!$A$1:$K$30</definedName>
    <definedName name="_xlnm.Print_Area" localSheetId="6">'Tax Depr Form 2.1 p.1'!$A$1:$AM$46</definedName>
    <definedName name="_xlnm.Print_Area" localSheetId="7">'Tax Depr Form 2.1 p.2'!$A$1:$AM$50</definedName>
    <definedName name="_xlnm.Print_Area" localSheetId="8">'Tax Depr Form 2.1 p.3'!$A$1:$AM$49</definedName>
    <definedName name="_xlnm.Print_Area" localSheetId="9">'Tax Depr Form 2.1 p.4 - 7'!$A$1:$H$98</definedName>
    <definedName name="_xlnm.Print_Titles" localSheetId="6">'Tax Depr Form 2.1 p.1'!$A:$B</definedName>
    <definedName name="_xlnm.Print_Titles" localSheetId="7">'Tax Depr Form 2.1 p.2'!$A:$B</definedName>
    <definedName name="_xlnm.Print_Titles" localSheetId="8">'Tax Depr Form 2.1 p.3'!$A:$B</definedName>
  </definedNames>
  <calcPr fullCalcOnLoad="1"/>
</workbook>
</file>

<file path=xl/comments11.xml><?xml version="1.0" encoding="utf-8"?>
<comments xmlns="http://schemas.openxmlformats.org/spreadsheetml/2006/main">
  <authors>
    <author>Nisource</author>
  </authors>
  <commentList>
    <comment ref="R31" authorId="0">
      <text>
        <r>
          <rPr>
            <b/>
            <sz val="9"/>
            <rFont val="Tahoma"/>
            <family val="2"/>
          </rPr>
          <t>NiSource:</t>
        </r>
        <r>
          <rPr>
            <sz val="9"/>
            <rFont val="Tahoma"/>
            <family val="2"/>
          </rPr>
          <t xml:space="preserve">
Case No. PUE 2015-00038</t>
        </r>
      </text>
    </comment>
    <comment ref="W31" authorId="0">
      <text>
        <r>
          <rPr>
            <b/>
            <sz val="9"/>
            <rFont val="Tahoma"/>
            <family val="2"/>
          </rPr>
          <t>NiSource:</t>
        </r>
        <r>
          <rPr>
            <sz val="9"/>
            <rFont val="Tahoma"/>
            <family val="2"/>
          </rPr>
          <t xml:space="preserve">
Case No. PUE 2015-00038</t>
        </r>
      </text>
    </comment>
  </commentList>
</comments>
</file>

<file path=xl/sharedStrings.xml><?xml version="1.0" encoding="utf-8"?>
<sst xmlns="http://schemas.openxmlformats.org/spreadsheetml/2006/main" count="1217" uniqueCount="347">
  <si>
    <t>Year</t>
  </si>
  <si>
    <t>Ln.</t>
  </si>
  <si>
    <t>No.</t>
  </si>
  <si>
    <t>Capital Structure</t>
  </si>
  <si>
    <t>Equity</t>
  </si>
  <si>
    <t>Long term Debt</t>
  </si>
  <si>
    <t>Short term Debt</t>
  </si>
  <si>
    <t>Ratio</t>
  </si>
  <si>
    <t>Cost</t>
  </si>
  <si>
    <t>Total</t>
  </si>
  <si>
    <t xml:space="preserve">Weighted </t>
  </si>
  <si>
    <t>Pre-Tax @</t>
  </si>
  <si>
    <t>Columbia Gas of Kentucky, Inc.</t>
  </si>
  <si>
    <t>($)</t>
  </si>
  <si>
    <t xml:space="preserve">Annual </t>
  </si>
  <si>
    <t xml:space="preserve">Book </t>
  </si>
  <si>
    <t>Accumulated</t>
  </si>
  <si>
    <t>Year 8</t>
  </si>
  <si>
    <t>Year 9</t>
  </si>
  <si>
    <t>Year 10</t>
  </si>
  <si>
    <t>Tax</t>
  </si>
  <si>
    <t>Tax @</t>
  </si>
  <si>
    <t xml:space="preserve">Deferred </t>
  </si>
  <si>
    <t>Rates</t>
  </si>
  <si>
    <t>Additions</t>
  </si>
  <si>
    <t>Depreciation</t>
  </si>
  <si>
    <t>Difference</t>
  </si>
  <si>
    <t>Inc. Taxes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</si>
  <si>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</si>
  <si>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</si>
  <si>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</si>
  <si>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</si>
  <si>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</si>
  <si>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</si>
  <si>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</si>
  <si>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</si>
  <si>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</si>
  <si>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</si>
  <si>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Effect tax of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</si>
  <si>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</si>
  <si>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</si>
  <si>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</si>
  <si>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</si>
  <si>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</si>
  <si>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</si>
  <si>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</si>
  <si>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</si>
  <si>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</si>
  <si>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</si>
  <si>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Deferred</t>
  </si>
  <si>
    <t>Description</t>
  </si>
  <si>
    <t>Line</t>
  </si>
  <si>
    <t xml:space="preserve">No. </t>
  </si>
  <si>
    <t>Reference</t>
  </si>
  <si>
    <t>Return on Investment</t>
  </si>
  <si>
    <t>Cost of Removal</t>
  </si>
  <si>
    <t>Deferred Taxes on Liberalized Depreciation</t>
  </si>
  <si>
    <t>Net Rate Base</t>
  </si>
  <si>
    <t>Operating Expenses</t>
  </si>
  <si>
    <t>Total Additions</t>
  </si>
  <si>
    <t>Total Retirements</t>
  </si>
  <si>
    <t>Form 2.0</t>
  </si>
  <si>
    <t>Beginning</t>
  </si>
  <si>
    <t>Plant</t>
  </si>
  <si>
    <t>Balance</t>
  </si>
  <si>
    <t>Depr</t>
  </si>
  <si>
    <t>Depr on</t>
  </si>
  <si>
    <t>Adds/(Ret)</t>
  </si>
  <si>
    <t>Form 2.1</t>
  </si>
  <si>
    <t>Rate Base</t>
  </si>
  <si>
    <t>Accumulated Reserve for Depreciation</t>
  </si>
  <si>
    <t>Net PP&amp;E</t>
  </si>
  <si>
    <t>Authorized Rate of Return, Adjusted for Income Taxes</t>
  </si>
  <si>
    <t xml:space="preserve"> </t>
  </si>
  <si>
    <t>Total Operating Expenses</t>
  </si>
  <si>
    <t>(5)=(3)*(4)</t>
  </si>
  <si>
    <t>Account</t>
  </si>
  <si>
    <t>Number</t>
  </si>
  <si>
    <t>Form 1.2</t>
  </si>
  <si>
    <t>Rate Schedule</t>
  </si>
  <si>
    <t>Allocation</t>
  </si>
  <si>
    <t>Revenue</t>
  </si>
  <si>
    <t>Requirement</t>
  </si>
  <si>
    <t>Billing</t>
  </si>
  <si>
    <t>Determinant</t>
  </si>
  <si>
    <t>Rider</t>
  </si>
  <si>
    <t>Monthly</t>
  </si>
  <si>
    <t>Approved PSC</t>
  </si>
  <si>
    <t>House Regulators</t>
  </si>
  <si>
    <t>TOTAL</t>
  </si>
  <si>
    <t>Plant Regulators</t>
  </si>
  <si>
    <t>Service Lines</t>
  </si>
  <si>
    <t>Meter Installations</t>
  </si>
  <si>
    <t>Line 4 + Line 5</t>
  </si>
  <si>
    <t>Line 6 * Line 7</t>
  </si>
  <si>
    <t>Line 8 + Line 13</t>
  </si>
  <si>
    <t xml:space="preserve">Cost of Removal </t>
  </si>
  <si>
    <t>Retirements</t>
  </si>
  <si>
    <t xml:space="preserve">Additions &amp; </t>
  </si>
  <si>
    <t>(7)=(4)*(6)*50%</t>
  </si>
  <si>
    <t xml:space="preserve">Total Plant </t>
  </si>
  <si>
    <t>Base Revenue as</t>
  </si>
  <si>
    <t>Rate GSR, Rate SVGTS - Residential Service</t>
  </si>
  <si>
    <t>Rate GSO, Rate GDS, Rate SVGTS - Com. or Ind. Service</t>
  </si>
  <si>
    <t>Rate IUS, Rate IUDS</t>
  </si>
  <si>
    <t>GSR - Residential</t>
  </si>
  <si>
    <t>SVGTS - Residential</t>
  </si>
  <si>
    <t>GSO - Commercial or Industrial</t>
  </si>
  <si>
    <t>GDS - Commercial or Industrial</t>
  </si>
  <si>
    <t>SVGTS - Commercial or Industrial</t>
  </si>
  <si>
    <t>IUS, IUDS</t>
  </si>
  <si>
    <t>IS, DS</t>
  </si>
  <si>
    <t>SAS</t>
  </si>
  <si>
    <t>DIS Tariff</t>
  </si>
  <si>
    <t>GSO</t>
  </si>
  <si>
    <t>GSR</t>
  </si>
  <si>
    <t>DIS Choice</t>
  </si>
  <si>
    <t>GTO</t>
  </si>
  <si>
    <t>GTR</t>
  </si>
  <si>
    <t>GMB Tariff</t>
  </si>
  <si>
    <t>IUS</t>
  </si>
  <si>
    <t>GMB Choice</t>
  </si>
  <si>
    <t>GTS</t>
  </si>
  <si>
    <t>DS</t>
  </si>
  <si>
    <t>GDS</t>
  </si>
  <si>
    <t>Current Year</t>
  </si>
  <si>
    <t>Total Cost of Removal</t>
  </si>
  <si>
    <t>Cost of</t>
  </si>
  <si>
    <t>Removal</t>
  </si>
  <si>
    <t>Ending</t>
  </si>
  <si>
    <t>Mains</t>
  </si>
  <si>
    <t>Notes:</t>
  </si>
  <si>
    <t>Tax Depr Rates</t>
  </si>
  <si>
    <t>MACRS 20 Year</t>
  </si>
  <si>
    <t>Repairs %</t>
  </si>
  <si>
    <t>263a %</t>
  </si>
  <si>
    <t>Calculation of Accumulated Deferred Income Tax</t>
  </si>
  <si>
    <t>Calculation of O&amp;M Savings</t>
  </si>
  <si>
    <t>FERC Account 887</t>
  </si>
  <si>
    <t>Line No.</t>
  </si>
  <si>
    <t>Month</t>
  </si>
  <si>
    <t>Number of Months</t>
  </si>
  <si>
    <t>(8)=(6)+(3)</t>
  </si>
  <si>
    <t>O&amp;M Savings FERC Account 887</t>
  </si>
  <si>
    <t>Form 3.0</t>
  </si>
  <si>
    <t>Sum Lines 9 to 12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</si>
  <si>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</si>
  <si>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</si>
  <si>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</si>
  <si>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</si>
  <si>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</si>
  <si>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</si>
  <si>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</si>
  <si>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</si>
  <si>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</si>
  <si>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</si>
  <si>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</si>
  <si>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</si>
  <si>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 xml:space="preserve">Percent </t>
    </r>
    <r>
      <rPr>
        <b/>
        <u val="single"/>
        <vertAlign val="superscript"/>
        <sz val="12"/>
        <rFont val="Arial"/>
        <family val="2"/>
      </rPr>
      <t>(1)</t>
    </r>
  </si>
  <si>
    <r>
      <t xml:space="preserve"># of Bills </t>
    </r>
    <r>
      <rPr>
        <b/>
        <u val="single"/>
        <vertAlign val="superscript"/>
        <sz val="12"/>
        <rFont val="Arial"/>
        <family val="2"/>
      </rPr>
      <t>(2)</t>
    </r>
  </si>
  <si>
    <r>
      <t xml:space="preserve">Property Tax </t>
    </r>
    <r>
      <rPr>
        <vertAlign val="superscript"/>
        <sz val="12"/>
        <rFont val="Arial"/>
        <family val="2"/>
      </rPr>
      <t>(1)</t>
    </r>
  </si>
  <si>
    <r>
      <t xml:space="preserve">Balance </t>
    </r>
    <r>
      <rPr>
        <b/>
        <u val="single"/>
        <vertAlign val="superscript"/>
        <sz val="12"/>
        <rFont val="Arial"/>
        <family val="2"/>
      </rPr>
      <t>(1)</t>
    </r>
  </si>
  <si>
    <r>
      <t xml:space="preserve">PSC Assessment </t>
    </r>
    <r>
      <rPr>
        <vertAlign val="superscript"/>
        <sz val="12"/>
        <rFont val="Arial"/>
        <family val="2"/>
      </rPr>
      <t>(2)</t>
    </r>
  </si>
  <si>
    <t>Table of Contents</t>
  </si>
  <si>
    <t>1.0</t>
  </si>
  <si>
    <t>1.1</t>
  </si>
  <si>
    <t>Form Number</t>
  </si>
  <si>
    <t>Cost of Capital</t>
  </si>
  <si>
    <t>2.0</t>
  </si>
  <si>
    <t>Plant Additions and Depreciation</t>
  </si>
  <si>
    <t>Revenue Requirement</t>
  </si>
  <si>
    <t>2.1</t>
  </si>
  <si>
    <t>Tax Depreciation</t>
  </si>
  <si>
    <t>2.2</t>
  </si>
  <si>
    <t>3.0</t>
  </si>
  <si>
    <t>O&amp;M Savings</t>
  </si>
  <si>
    <t>4.0</t>
  </si>
  <si>
    <t xml:space="preserve">State ADIT </t>
  </si>
  <si>
    <t>State vs. Fed</t>
  </si>
  <si>
    <t>on Disallowed</t>
  </si>
  <si>
    <t>Fed Benefit</t>
  </si>
  <si>
    <t>Cumulative</t>
  </si>
  <si>
    <t>State Tax Depr</t>
  </si>
  <si>
    <t>Tax Depr</t>
  </si>
  <si>
    <t>Bonus</t>
  </si>
  <si>
    <t>ADIT</t>
  </si>
  <si>
    <t>ADIT Adj</t>
  </si>
  <si>
    <t>Normalization</t>
  </si>
  <si>
    <t>Adjustment</t>
  </si>
  <si>
    <t>Deferred Income</t>
  </si>
  <si>
    <t>Taxes-Fed NOL</t>
  </si>
  <si>
    <t>GPS Devices</t>
  </si>
  <si>
    <t>Case No. 2016-00162</t>
  </si>
  <si>
    <t>Bonus Tax</t>
  </si>
  <si>
    <t>(Sum Line 8 to 11) * (.1901%/(1-.1901%))</t>
  </si>
  <si>
    <t>Calculation of State Disallowance on Bonus Tax Depreciation for 2017 Additions</t>
  </si>
  <si>
    <r>
      <rPr>
        <vertAlign val="superscript"/>
        <sz val="12"/>
        <rFont val="Arial"/>
        <family val="2"/>
      </rPr>
      <t>(2)</t>
    </r>
    <r>
      <rPr>
        <sz val="10"/>
        <rFont val="Arial"/>
        <family val="2"/>
      </rPr>
      <t xml:space="preserve"> PSC Assessment estimated using a rate of .1901%</t>
    </r>
  </si>
  <si>
    <t>Calculation of State Disallowance on Bonus Tax Depreciation for 2018 Additions</t>
  </si>
  <si>
    <t>Rate Case Projected CapEx</t>
  </si>
  <si>
    <t>13 Mo. Avg Rate Case Projections (1)</t>
  </si>
  <si>
    <t>Actual Retirements</t>
  </si>
  <si>
    <t>Rate Case Projected Retirements</t>
  </si>
  <si>
    <t>Actual Cost of Removal</t>
  </si>
  <si>
    <t>Rate Case Projected Cost of Removal</t>
  </si>
  <si>
    <t>Actual Net Plant Additions</t>
  </si>
  <si>
    <t>Rate Case 13-Month Average Net Plant Additions</t>
  </si>
  <si>
    <t>Actual Depreciation Reserve - Retirements and Cost of Removal</t>
  </si>
  <si>
    <t>Rate Case 13-Mo. Avg Depreciation Reserve - Retirements and Cost of Removal</t>
  </si>
  <si>
    <t>Rate Year Summary</t>
  </si>
  <si>
    <t>INPUT AREA Total Co. Rate Case Projections</t>
  </si>
  <si>
    <t>INPUT AREA Total Co. Actual</t>
  </si>
  <si>
    <t>Total Co.</t>
  </si>
  <si>
    <t>Juris Factor</t>
  </si>
  <si>
    <t>CapEx</t>
  </si>
  <si>
    <t>Retirement</t>
  </si>
  <si>
    <t>COR</t>
  </si>
  <si>
    <t>40b</t>
  </si>
  <si>
    <t>Rate Year GPA 376 Summary</t>
  </si>
  <si>
    <t>Rate Year GPA 380 Summary</t>
  </si>
  <si>
    <t>Rate Year GPA 378 Summary</t>
  </si>
  <si>
    <t>Rate Year GPA 387 Summary</t>
  </si>
  <si>
    <t>Net Plant Additions Not Included in Base Rates - Jan 2017 - Dec 2017 (2)</t>
  </si>
  <si>
    <t>Depreciation Reserve Not Included in Base Rates - Jan 2017 - Dec 2017 (2)</t>
  </si>
  <si>
    <t>Depreciation Difference (2)</t>
  </si>
  <si>
    <t>Rate Year GPA 382 Summary</t>
  </si>
  <si>
    <t>Rate Year GPA 383 Summary</t>
  </si>
  <si>
    <t>Page 4 of 4</t>
  </si>
  <si>
    <t>Page 3 of 4</t>
  </si>
  <si>
    <t>Page 2 of 4</t>
  </si>
  <si>
    <t>Page 1 of 4</t>
  </si>
  <si>
    <t>Form 2.0 + Form 2.2</t>
  </si>
  <si>
    <t>2018 Plant Additions and Depreciation</t>
  </si>
  <si>
    <t>2017 O&amp;M Account 887 per Case No. 2016-00162</t>
  </si>
  <si>
    <t>2017 Jan-Sept</t>
  </si>
  <si>
    <t>2017 Oct-Dec</t>
  </si>
  <si>
    <t>2018</t>
  </si>
  <si>
    <t>Tax @ [1] [2]</t>
  </si>
  <si>
    <t>Prior to 1/1/2018 Deferred Tax</t>
  </si>
  <si>
    <t>Post 1/1/2018 Deferred Tax</t>
  </si>
  <si>
    <t>[2] Deferred Taxes calculated beginning 1/1/2018 using 21% Corporate Tax Rate and 5% State Tax Rate.</t>
  </si>
  <si>
    <t>[3] Deferred Taxes calculated beginning 1/1/2018 using 21% Corporate Tax Rate and 5% State Tax Rate.</t>
  </si>
  <si>
    <t>24.95% [3]</t>
  </si>
  <si>
    <t>Revenue Recovery by Rate Schedule</t>
  </si>
  <si>
    <t>Balancing</t>
  </si>
  <si>
    <t>Current</t>
  </si>
  <si>
    <t>Actual Billing</t>
  </si>
  <si>
    <r>
      <t xml:space="preserve"># of Bills </t>
    </r>
    <r>
      <rPr>
        <b/>
        <u val="single"/>
        <vertAlign val="superscript"/>
        <sz val="12"/>
        <rFont val="Arial"/>
        <family val="2"/>
      </rPr>
      <t>(1)</t>
    </r>
  </si>
  <si>
    <r>
      <t xml:space="preserve">Rate IS, Rate DS </t>
    </r>
    <r>
      <rPr>
        <vertAlign val="superscript"/>
        <sz val="12"/>
        <rFont val="Arial"/>
        <family val="2"/>
      </rPr>
      <t>(2)</t>
    </r>
    <r>
      <rPr>
        <sz val="10"/>
        <rFont val="Arial"/>
        <family val="0"/>
      </rPr>
      <t>, Rate SAS</t>
    </r>
  </si>
  <si>
    <t>Actual O&amp;M Savings</t>
  </si>
  <si>
    <t>[1] Includes adjustment for state disallowance on 2017 bonus tax depreciation as calculated on Form 2.1 pages 4 and 5.</t>
  </si>
  <si>
    <t>[1] Plant additions eligible for mixed services 263A tax deduction.</t>
  </si>
  <si>
    <t>[1] Plant additions eligible for repairs and mixed services 263A tax deductions.</t>
  </si>
  <si>
    <t>SMRP Form 4.1</t>
  </si>
  <si>
    <t>SMRP Form 4.0</t>
  </si>
  <si>
    <t>SMRP Rider Billing Determinants by Rate Schedule</t>
  </si>
  <si>
    <t>SMRP Form 3.0</t>
  </si>
  <si>
    <t>Annual Adjustment to the Safety Modification and Replacement Program</t>
  </si>
  <si>
    <t>Annual Adjustment to the Safety Modification and Replacement Program ("SMRP")</t>
  </si>
  <si>
    <t>SMRP Form 2.2</t>
  </si>
  <si>
    <t>SMRP Form 2.1</t>
  </si>
  <si>
    <t>Calculation of State Disallowance on Bonus Tax Depreciation for 2019 Additions</t>
  </si>
  <si>
    <t>Actual Annual Adjustment to the Safety Modification and Replacement Program ("SMRP")</t>
  </si>
  <si>
    <t>SMRP Rates by Rate Schedule</t>
  </si>
  <si>
    <t>Unrecovered Rate Case SMRP Plant</t>
  </si>
  <si>
    <t>SMRP Form 1.0</t>
  </si>
  <si>
    <t>SMRP Rider Including Balancing Adjustment by Rate Schedule</t>
  </si>
  <si>
    <t>SMRP Rider</t>
  </si>
  <si>
    <t>SMRP Form 1.1</t>
  </si>
  <si>
    <t>Actual SMRP Investment</t>
  </si>
  <si>
    <t>Net SMRP Investment-Property, Plant and Equipment</t>
  </si>
  <si>
    <t>Required Return on SMRP Related Investment</t>
  </si>
  <si>
    <t>Actual Annual Adjustment to  the Safety Modification and Replacement Program ("SMRP")</t>
  </si>
  <si>
    <t>SMRP Form 1.2</t>
  </si>
  <si>
    <t>SMRP Form 2.0</t>
  </si>
  <si>
    <t>2019 Plant Additions and Depreciation</t>
  </si>
  <si>
    <t>Monthly SMRP</t>
  </si>
  <si>
    <t>Annual SMRP</t>
  </si>
  <si>
    <t>SMRP</t>
  </si>
  <si>
    <r>
      <t xml:space="preserve">Rider </t>
    </r>
    <r>
      <rPr>
        <b/>
        <u val="single"/>
        <vertAlign val="superscript"/>
        <sz val="12"/>
        <rFont val="Arial"/>
        <family val="2"/>
      </rPr>
      <t>(4)</t>
    </r>
  </si>
  <si>
    <t xml:space="preserve">Balance </t>
  </si>
  <si>
    <t xml:space="preserve">Plant Regulators - LP Program </t>
  </si>
  <si>
    <t>Plant Regulators - LP Program</t>
  </si>
  <si>
    <t>Test Year 12/31/17 AMRP Investment Summary</t>
  </si>
  <si>
    <t>Test Year 12/31/17 AMRP - Mains Gas Plant Account 376</t>
  </si>
  <si>
    <t>Test Year 12/31/17 AMRP - Services Gas Plant Account 380</t>
  </si>
  <si>
    <t>Test Year 12/31/17 AMRP - Plant Regulators Plant Account 378</t>
  </si>
  <si>
    <t>Test Year 12/31/17 AMRP - Meter Installations Plant Account 382</t>
  </si>
  <si>
    <t>Test Year 12/31/17 AMRP - House Regulators Plant Account 383</t>
  </si>
  <si>
    <t>Test Year 12/31/17 AMRP - GPS Devices Plant Account 387</t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</si>
  <si>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Recovered through base rates in Case No. 2016-00162.</t>
    </r>
  </si>
  <si>
    <r>
      <rPr>
        <vertAlign val="superscript"/>
        <sz val="12"/>
        <rFont val="Arial"/>
        <family val="2"/>
      </rPr>
      <t>(2)</t>
    </r>
    <r>
      <rPr>
        <sz val="12"/>
        <rFont val="Arial"/>
        <family val="2"/>
      </rPr>
      <t xml:space="preserve"> AMRP spend not recovered through base rates and eligible for recovery through 2017 AMRP.</t>
    </r>
  </si>
  <si>
    <t>Development of AMRP Plant Excluded From Base Rates</t>
  </si>
  <si>
    <t>AMRP CapEx</t>
  </si>
  <si>
    <t>Actual AMRP CapEx</t>
  </si>
  <si>
    <r>
      <rPr>
        <vertAlign val="superscript"/>
        <sz val="12"/>
        <rFont val="Arial"/>
        <family val="2"/>
      </rPr>
      <t>(1)</t>
    </r>
    <r>
      <rPr>
        <sz val="10"/>
        <rFont val="Arial"/>
        <family val="2"/>
      </rPr>
      <t xml:space="preserve"> Allocation percent is based on the overall base revenue distribution approved in PSC Case No. 2016-00162.</t>
    </r>
  </si>
  <si>
    <r>
      <t xml:space="preserve">Approved </t>
    </r>
    <r>
      <rPr>
        <b/>
        <u val="single"/>
        <vertAlign val="superscript"/>
        <sz val="10"/>
        <rFont val="Arial"/>
        <family val="2"/>
      </rPr>
      <t>(3)</t>
    </r>
  </si>
  <si>
    <t>Total AMRP / SMRP Plant Additions</t>
  </si>
  <si>
    <t>AMRP / SMRP Plant Additions - Mains [1]</t>
  </si>
  <si>
    <t>AMRP / SMRP Plant Additions - Others [1]</t>
  </si>
  <si>
    <t>[4] The IRS issued an adjustment to 2017 bonus depreciation that was reported on the 2017 tax return disallowing 100% bonus depreciation claimed for qualified assets.  The basis adjustment was recognized on the 2018 return because of the Federal NOL position.</t>
  </si>
  <si>
    <t>Composite Tax Rate [2] [4]</t>
  </si>
  <si>
    <t xml:space="preserve"> Tax  MSC 263A % [2] [4]</t>
  </si>
  <si>
    <t>Actual Period Ending December 31, 2020</t>
  </si>
  <si>
    <t>Actual Billing Determinants for 12 Months Ended December 2020</t>
  </si>
  <si>
    <t>Projected Billing Determinants for 12 Months Ended May 2022</t>
  </si>
  <si>
    <t>12/31/2020</t>
  </si>
  <si>
    <t>SMRP Revenue Requirement for 2020</t>
  </si>
  <si>
    <t>Total 2020 Annual Revenue Requirement</t>
  </si>
  <si>
    <t>Total 2020 Actual Revenue Recovery</t>
  </si>
  <si>
    <t>Actual 2020 (Over)/Under Collection</t>
  </si>
  <si>
    <t>2020 Actual SMRP Rider Revenue by Rate Schedule</t>
  </si>
  <si>
    <t>2020 Plant Additions and Depreciation</t>
  </si>
  <si>
    <t>Page 1 of 3</t>
  </si>
  <si>
    <t>Page 2 of 3</t>
  </si>
  <si>
    <t>Page 3 of 3</t>
  </si>
  <si>
    <t>Actual 2020 O&amp;M Account 887 Costs</t>
  </si>
  <si>
    <t>Actual Bills For the Twelve Months Ending December 31, 2020</t>
  </si>
  <si>
    <t>Projected Bills For the Twelve Months Ending May 31, 2022</t>
  </si>
  <si>
    <t>Line 1 * 1.360%</t>
  </si>
  <si>
    <r>
      <rPr>
        <vertAlign val="superscript"/>
        <sz val="12"/>
        <rFont val="Arial"/>
        <family val="2"/>
      </rPr>
      <t>(1)</t>
    </r>
    <r>
      <rPr>
        <sz val="10"/>
        <rFont val="Arial"/>
        <family val="2"/>
      </rPr>
      <t xml:space="preserve"> Property taxes using an effective rate of 1.360%</t>
    </r>
  </si>
  <si>
    <t>[2] 2020 Composite rate including repairs (24.46%) and mixed services 263A (4.01%) and no bonus tax deduction.</t>
  </si>
  <si>
    <t>[2] 2020 Composite rate including mixed services 263A (4.01%) and no bonus tax deduction.</t>
  </si>
  <si>
    <t>Page 7 of 7</t>
  </si>
  <si>
    <t>Calculation of State Disallowance on Bonus Tax Depreciation for 2020 Additions</t>
  </si>
  <si>
    <t>Page 6 of 7</t>
  </si>
  <si>
    <t>Page 5 of 7</t>
  </si>
  <si>
    <t>Page 4 of 7</t>
  </si>
  <si>
    <t>Page 3 of 7</t>
  </si>
  <si>
    <t>Page 2 of 7</t>
  </si>
  <si>
    <t>Page 1 of 7</t>
  </si>
  <si>
    <t>Approved</t>
  </si>
  <si>
    <t>Proposed</t>
  </si>
  <si>
    <t>Suspended</t>
  </si>
  <si>
    <r>
      <t xml:space="preserve">Rider </t>
    </r>
    <r>
      <rPr>
        <b/>
        <u val="single"/>
        <vertAlign val="superscript"/>
        <sz val="12"/>
        <rFont val="Arial"/>
        <family val="2"/>
      </rPr>
      <t>(5)</t>
    </r>
  </si>
  <si>
    <r>
      <t xml:space="preserve">SMRP Rider </t>
    </r>
    <r>
      <rPr>
        <b/>
        <u val="single"/>
        <vertAlign val="superscript"/>
        <sz val="12"/>
        <rFont val="Arial"/>
        <family val="2"/>
      </rPr>
      <t>(6)</t>
    </r>
  </si>
  <si>
    <r>
      <rPr>
        <vertAlign val="superscript"/>
        <sz val="12"/>
        <rFont val="Arial"/>
        <family val="2"/>
      </rPr>
      <t>(4)</t>
    </r>
    <r>
      <rPr>
        <sz val="10"/>
        <rFont val="Arial"/>
        <family val="2"/>
      </rPr>
      <t xml:space="preserve"> Per Case No. 2020-00099, SMRP Form 1.0, Column 6.</t>
    </r>
  </si>
  <si>
    <r>
      <rPr>
        <vertAlign val="superscript"/>
        <sz val="12"/>
        <rFont val="Arial"/>
        <family val="2"/>
      </rPr>
      <t>(3)</t>
    </r>
    <r>
      <rPr>
        <sz val="10"/>
        <rFont val="Arial"/>
        <family val="2"/>
      </rPr>
      <t xml:space="preserve"> Per Case No. 2020-00099, SMRP Form 1.0, Column 6.</t>
    </r>
  </si>
  <si>
    <r>
      <rPr>
        <vertAlign val="superscript"/>
        <sz val="12"/>
        <rFont val="Arial"/>
        <family val="2"/>
      </rPr>
      <t xml:space="preserve">(5) </t>
    </r>
    <r>
      <rPr>
        <sz val="10"/>
        <rFont val="Arial"/>
        <family val="2"/>
      </rPr>
      <t>Rates Suspended per Case No. 2020-00327, SMRP Form 1.0, Column 6.</t>
    </r>
  </si>
  <si>
    <r>
      <t xml:space="preserve">SMRP Rider </t>
    </r>
    <r>
      <rPr>
        <b/>
        <u val="single"/>
        <vertAlign val="superscript"/>
        <sz val="12"/>
        <rFont val="Arial"/>
        <family val="2"/>
      </rPr>
      <t>(7)</t>
    </r>
  </si>
  <si>
    <r>
      <rPr>
        <vertAlign val="superscript"/>
        <sz val="12"/>
        <rFont val="Arial"/>
        <family val="2"/>
      </rPr>
      <t>(6)</t>
    </r>
    <r>
      <rPr>
        <sz val="10"/>
        <rFont val="Arial"/>
        <family val="2"/>
      </rPr>
      <t xml:space="preserve"> Total currently effective SMRP + Balancing Adjustment.</t>
    </r>
  </si>
  <si>
    <r>
      <rPr>
        <vertAlign val="superscript"/>
        <sz val="12"/>
        <rFont val="Arial"/>
        <family val="2"/>
      </rPr>
      <t>(7)</t>
    </r>
    <r>
      <rPr>
        <sz val="10"/>
        <rFont val="Arial"/>
        <family val="2"/>
      </rPr>
      <t xml:space="preserve"> Total Monthly with the Suspended Rates from Case No. 2020-00327 + Balancing Adjustment. Proposed to be effective May 28, 2021 (Unit 1, June 2021).</t>
    </r>
  </si>
  <si>
    <r>
      <t xml:space="preserve">Rate IS, Rate DS </t>
    </r>
    <r>
      <rPr>
        <vertAlign val="superscript"/>
        <sz val="12"/>
        <rFont val="Arial"/>
        <family val="2"/>
      </rPr>
      <t>(3)</t>
    </r>
    <r>
      <rPr>
        <sz val="10"/>
        <rFont val="Arial"/>
        <family val="2"/>
      </rPr>
      <t>, Rate SAS</t>
    </r>
  </si>
  <si>
    <r>
      <rPr>
        <vertAlign val="superscript"/>
        <sz val="12"/>
        <rFont val="Arial"/>
        <family val="2"/>
      </rPr>
      <t>(2)</t>
    </r>
    <r>
      <rPr>
        <sz val="10"/>
        <rFont val="Arial"/>
        <family val="2"/>
      </rPr>
      <t xml:space="preserve"> Billing Determinants based on projected twelve months ending May 31, 2022 bills.</t>
    </r>
  </si>
  <si>
    <r>
      <rPr>
        <vertAlign val="superscript"/>
        <sz val="12"/>
        <rFont val="Arial"/>
        <family val="2"/>
      </rPr>
      <t>(3)</t>
    </r>
    <r>
      <rPr>
        <sz val="10"/>
        <rFont val="Arial"/>
        <family val="2"/>
      </rPr>
      <t xml:space="preserve"> Excluding customers subject to the Flex Provisions of Rate Schedule DS.</t>
    </r>
  </si>
  <si>
    <r>
      <rPr>
        <vertAlign val="superscript"/>
        <sz val="12"/>
        <rFont val="Arial"/>
        <family val="2"/>
      </rPr>
      <t>(1)</t>
    </r>
    <r>
      <rPr>
        <sz val="10"/>
        <rFont val="Arial"/>
        <family val="2"/>
      </rPr>
      <t xml:space="preserve"> Billing Determinants based on actual twelve months ending December 31, 2020 (Form 4.0).</t>
    </r>
  </si>
  <si>
    <r>
      <rPr>
        <vertAlign val="superscript"/>
        <sz val="12"/>
        <rFont val="Arial"/>
        <family val="2"/>
      </rPr>
      <t>(2)</t>
    </r>
    <r>
      <rPr>
        <sz val="10"/>
        <rFont val="Arial"/>
        <family val="2"/>
      </rPr>
      <t xml:space="preserve"> Excluding customers subject to the Flex Provisions of Rate Schedule DS.</t>
    </r>
  </si>
  <si>
    <r>
      <rPr>
        <vertAlign val="superscript"/>
        <sz val="12"/>
        <rFont val="Arial"/>
        <family val="2"/>
      </rPr>
      <t>(1)</t>
    </r>
    <r>
      <rPr>
        <sz val="10"/>
        <rFont val="Arial"/>
        <family val="2"/>
      </rPr>
      <t xml:space="preserve"> See Form 2.2 for detail of 2017 AMRP eligible capital additions.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</si>
</sst>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0.000%"/>
    <numFmt numFmtId="170" formatCode="0.0"/>
    <numFmt numFmtId="171" formatCode="mmmm\ d\,\ yyyy"/>
    <numFmt numFmtId="172" formatCode="_(&quot;$&quot;* #,##0_);_(&quot;$&quot;* \(#,##0\);_(&quot;$&quot;* &quot;-&quot;??_);_(@_)"/>
    <numFmt numFmtId="173" formatCode="_(* #,##0.00000_);_(* \(#,##0.00000\);_(* &quot;-&quot;??_);_(@_)"/>
    <numFmt numFmtId="174" formatCode="_(* #,##0.00000_);_(* \(#,##0.00000\);_(* &quot;-&quot;?????_);_(@_)"/>
    <numFmt numFmtId="175" formatCode="&quot;$&quot;#,##0"/>
    <numFmt numFmtId="176" formatCode="&quot;$&quot;#,##0.0_);[Red]\(&quot;$&quot;#,##0.0\)"/>
    <numFmt numFmtId="177" formatCode="_(&quot;$&quot;* #,##0.0_);_(&quot;$&quot;* \(#,##0.0\);_(&quot;$&quot;* &quot;-&quot;??_);_(@_)"/>
    <numFmt numFmtId="178" formatCode="[$-409]mmmm\ d\,\ yyyy;@"/>
    <numFmt numFmtId="179" formatCode="[$-409]m/d/yy\ h:mm\ AM/PM;@"/>
    <numFmt numFmtId="180" formatCode="[$-409]dddd\,\ mmmm\ dd\,\ yyyy"/>
    <numFmt numFmtId="181" formatCode="&quot;$&quot;#,##0.00"/>
    <numFmt numFmtId="182" formatCode="0.000000%"/>
    <numFmt numFmtId="183" formatCode="dd\-mmm\-yy_)"/>
    <numFmt numFmtId="184" formatCode="hh:mm\ AM/PM_)"/>
    <numFmt numFmtId="185" formatCode=";;;"/>
    <numFmt numFmtId="186" formatCode="#,##0.000000_);\(#,##0.000000\)"/>
    <numFmt numFmtId="187" formatCode="#,##0.00000_);\(#,##0.00000\)"/>
    <numFmt numFmtId="188" formatCode="0.0000_)"/>
    <numFmt numFmtId="189" formatCode="#,##0.0000_);\(#,##0.0000\)"/>
    <numFmt numFmtId="190" formatCode="0.0000%"/>
    <numFmt numFmtId="191" formatCode="0.0000000000000%"/>
    <numFmt numFmtId="192" formatCode="0.00000000000000%"/>
    <numFmt numFmtId="193" formatCode="0.000000_)"/>
    <numFmt numFmtId="194" formatCode="#,##0.0"/>
    <numFmt numFmtId="195" formatCode="#,##0.0_);\(#,##0.0\)"/>
    <numFmt numFmtId="196" formatCode="&quot;$&quot;#,##0.0000_);\(&quot;$&quot;#,##0.0000\)"/>
    <numFmt numFmtId="197" formatCode="&quot;$&quot;#,##0.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%"/>
    <numFmt numFmtId="203" formatCode="[$-409]mmmm\-yy;@"/>
    <numFmt numFmtId="204" formatCode="[$-409]mmmm;@"/>
    <numFmt numFmtId="205" formatCode="[$-409]mmm;@"/>
    <numFmt numFmtId="206" formatCode="_(&quot;$&quot;* #,##0.000_);_(&quot;$&quot;* \(#,##0.000\);_(&quot;$&quot;* &quot;-&quot;??_);_(@_)"/>
    <numFmt numFmtId="207" formatCode="_(&quot;$&quot;* #,##0.0000_);_(&quot;$&quot;* \(#,##0.0000\);_(&quot;$&quot;* &quot;-&quot;??_);_(@_)"/>
    <numFmt numFmtId="208" formatCode="0.00000"/>
    <numFmt numFmtId="209" formatCode="_(* #,##0.000_);_(* \(#,##0.000\);_(* &quot;-&quot;???_);_(@_)"/>
    <numFmt numFmtId="210" formatCode="_(* #,##0.0_);_(* \(#,##0.0\);_(* &quot;-&quot;?_);_(@_)"/>
    <numFmt numFmtId="211" formatCode="0.0000"/>
    <numFmt numFmtId="212" formatCode="0.000000000000000%"/>
    <numFmt numFmtId="213" formatCode="0.0000000000000000%"/>
    <numFmt numFmtId="214" formatCode="#,##0.00000_);[Red]\(#,##0.00000\)"/>
    <numFmt numFmtId="215" formatCode="#,##0.0000_);[Red]\(#,##0.0000\)"/>
    <numFmt numFmtId="216" formatCode="[$-409]h:mm:ss\ AM/PM"/>
    <numFmt numFmtId="217" formatCode="0.0000000"/>
    <numFmt numFmtId="218" formatCode="0.00000000"/>
    <numFmt numFmtId="219" formatCode="0.000000000"/>
    <numFmt numFmtId="220" formatCode="0.000000"/>
    <numFmt numFmtId="221" formatCode="#,##0.00000000_);\(#,##0.00000000\)"/>
    <numFmt numFmtId="222" formatCode="&quot;$&quot;#,##0.0"/>
  </numFmts>
  <fonts count="82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doubleAccounting"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doubleAccounting"/>
      <sz val="9"/>
      <name val="Arial"/>
      <family val="2"/>
    </font>
    <font>
      <sz val="9"/>
      <color indexed="12"/>
      <name val="Arial"/>
      <family val="2"/>
    </font>
    <font>
      <b/>
      <u val="singleAccounting"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vertAlign val="superscript"/>
      <sz val="12"/>
      <name val="Arial"/>
      <family val="2"/>
    </font>
    <font>
      <vertAlign val="superscript"/>
      <sz val="12"/>
      <name val="Arial"/>
      <family val="2"/>
    </font>
    <font>
      <u val="single"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u val="singleAccounting"/>
      <sz val="12"/>
      <color indexed="12"/>
      <name val="Times New Roman"/>
      <family val="1"/>
    </font>
    <font>
      <sz val="12"/>
      <name val="Arial"/>
      <family val="2"/>
    </font>
    <font>
      <b/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u val="single"/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u val="singleAccounting"/>
      <sz val="10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rgb="FF0000FF"/>
      <name val="Arial"/>
      <family val="2"/>
    </font>
    <font>
      <sz val="9"/>
      <color rgb="FF0000FF"/>
      <name val="Arial"/>
      <family val="2"/>
    </font>
    <font>
      <b/>
      <u val="singleAccounting"/>
      <sz val="10"/>
      <color rgb="FF0000FF"/>
      <name val="Arial"/>
      <family val="2"/>
    </font>
    <font>
      <sz val="12"/>
      <color rgb="FF0000FF"/>
      <name val="Arial"/>
      <family val="2"/>
    </font>
    <font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7" fontId="2" fillId="0" borderId="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Fill="1" applyAlignment="1">
      <alignment/>
    </xf>
    <xf numFmtId="165" fontId="5" fillId="0" borderId="0" xfId="42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42" applyNumberFormat="1" applyFont="1" applyFill="1" applyAlignment="1">
      <alignment/>
    </xf>
    <xf numFmtId="165" fontId="9" fillId="0" borderId="0" xfId="42" applyNumberFormat="1" applyFont="1" applyFill="1" applyAlignment="1">
      <alignment/>
    </xf>
    <xf numFmtId="37" fontId="2" fillId="0" borderId="0" xfId="0" applyNumberFormat="1" applyFont="1" applyFill="1" applyAlignment="1" quotePrefix="1">
      <alignment horizontal="center"/>
    </xf>
    <xf numFmtId="169" fontId="0" fillId="0" borderId="0" xfId="61" applyNumberFormat="1" applyFont="1" applyFill="1" applyBorder="1" applyAlignment="1">
      <alignment/>
    </xf>
    <xf numFmtId="37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37" fontId="12" fillId="0" borderId="0" xfId="45" applyNumberFormat="1" applyFont="1" applyFill="1" applyBorder="1" applyAlignment="1" quotePrefix="1">
      <alignment horizontal="center"/>
    </xf>
    <xf numFmtId="173" fontId="15" fillId="0" borderId="0" xfId="42" applyNumberFormat="1" applyFont="1" applyFill="1" applyAlignment="1">
      <alignment/>
    </xf>
    <xf numFmtId="165" fontId="11" fillId="0" borderId="0" xfId="42" applyNumberFormat="1" applyFont="1" applyFill="1" applyAlignment="1">
      <alignment/>
    </xf>
    <xf numFmtId="0" fontId="11" fillId="0" borderId="0" xfId="0" applyFont="1" applyFill="1" applyAlignment="1">
      <alignment/>
    </xf>
    <xf numFmtId="165" fontId="14" fillId="0" borderId="0" xfId="42" applyNumberFormat="1" applyFont="1" applyFill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69" fontId="12" fillId="0" borderId="0" xfId="61" applyNumberFormat="1" applyFont="1" applyFill="1" applyAlignment="1">
      <alignment/>
    </xf>
    <xf numFmtId="169" fontId="0" fillId="0" borderId="10" xfId="61" applyNumberFormat="1" applyFont="1" applyFill="1" applyBorder="1" applyAlignment="1">
      <alignment/>
    </xf>
    <xf numFmtId="10" fontId="18" fillId="0" borderId="11" xfId="6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0" fontId="2" fillId="0" borderId="0" xfId="0" applyFont="1" applyFill="1" applyAlignment="1" quotePrefix="1">
      <alignment horizontal="center"/>
    </xf>
    <xf numFmtId="43" fontId="5" fillId="0" borderId="0" xfId="42" applyFont="1" applyFill="1" applyAlignment="1">
      <alignment/>
    </xf>
    <xf numFmtId="165" fontId="0" fillId="0" borderId="0" xfId="0" applyNumberFormat="1" applyFill="1" applyAlignment="1">
      <alignment/>
    </xf>
    <xf numFmtId="178" fontId="75" fillId="0" borderId="0" xfId="0" applyNumberFormat="1" applyFont="1" applyFill="1" applyBorder="1" applyAlignment="1" quotePrefix="1">
      <alignment horizontal="center"/>
    </xf>
    <xf numFmtId="37" fontId="2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5" fontId="9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5" fontId="76" fillId="0" borderId="0" xfId="42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 quotePrefix="1">
      <alignment horizontal="center"/>
    </xf>
    <xf numFmtId="0" fontId="13" fillId="0" borderId="0" xfId="0" applyFont="1" applyFill="1" applyAlignment="1">
      <alignment horizontal="center"/>
    </xf>
    <xf numFmtId="0" fontId="12" fillId="0" borderId="11" xfId="0" applyFont="1" applyFill="1" applyBorder="1" applyAlignment="1">
      <alignment/>
    </xf>
    <xf numFmtId="0" fontId="17" fillId="0" borderId="0" xfId="0" applyFont="1" applyFill="1" applyAlignment="1">
      <alignment/>
    </xf>
    <xf numFmtId="10" fontId="18" fillId="0" borderId="0" xfId="61" applyNumberFormat="1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/>
    </xf>
    <xf numFmtId="0" fontId="25" fillId="0" borderId="0" xfId="58" applyFont="1" applyFill="1" applyBorder="1">
      <alignment/>
      <protection/>
    </xf>
    <xf numFmtId="0" fontId="26" fillId="0" borderId="0" xfId="58" applyFont="1" applyFill="1" applyAlignment="1">
      <alignment horizontal="center"/>
      <protection/>
    </xf>
    <xf numFmtId="0" fontId="27" fillId="0" borderId="0" xfId="58" applyFont="1" applyFill="1" applyBorder="1" applyAlignment="1">
      <alignment/>
      <protection/>
    </xf>
    <xf numFmtId="0" fontId="24" fillId="0" borderId="0" xfId="0" applyFont="1" applyFill="1" applyBorder="1" applyAlignment="1">
      <alignment/>
    </xf>
    <xf numFmtId="0" fontId="25" fillId="0" borderId="10" xfId="58" applyFont="1" applyFill="1" applyBorder="1" applyAlignment="1">
      <alignment horizontal="center" wrapText="1"/>
      <protection/>
    </xf>
    <xf numFmtId="0" fontId="25" fillId="0" borderId="0" xfId="58" applyFont="1" applyFill="1" applyBorder="1" applyAlignment="1">
      <alignment horizontal="center" wrapText="1"/>
      <protection/>
    </xf>
    <xf numFmtId="0" fontId="25" fillId="0" borderId="0" xfId="0" applyFont="1" applyFill="1" applyBorder="1" applyAlignment="1">
      <alignment horizontal="center"/>
    </xf>
    <xf numFmtId="0" fontId="25" fillId="0" borderId="0" xfId="58" applyFont="1" applyFill="1" applyBorder="1" applyAlignment="1">
      <alignment horizontal="center"/>
      <protection/>
    </xf>
    <xf numFmtId="17" fontId="25" fillId="0" borderId="0" xfId="58" applyNumberFormat="1" applyFont="1" applyFill="1" applyBorder="1" applyAlignment="1">
      <alignment horizontal="right"/>
      <protection/>
    </xf>
    <xf numFmtId="37" fontId="25" fillId="0" borderId="0" xfId="58" applyNumberFormat="1" applyFont="1" applyFill="1" applyBorder="1">
      <alignment/>
      <protection/>
    </xf>
    <xf numFmtId="41" fontId="25" fillId="0" borderId="0" xfId="58" applyNumberFormat="1" applyFont="1" applyFill="1" applyBorder="1">
      <alignment/>
      <protection/>
    </xf>
    <xf numFmtId="41" fontId="28" fillId="0" borderId="0" xfId="58" applyNumberFormat="1" applyFont="1" applyFill="1" applyBorder="1">
      <alignment/>
      <protection/>
    </xf>
    <xf numFmtId="0" fontId="26" fillId="0" borderId="0" xfId="58" applyFont="1" applyFill="1" applyBorder="1">
      <alignment/>
      <protection/>
    </xf>
    <xf numFmtId="10" fontId="25" fillId="0" borderId="0" xfId="58" applyNumberFormat="1" applyFont="1" applyFill="1" applyBorder="1">
      <alignment/>
      <protection/>
    </xf>
    <xf numFmtId="43" fontId="25" fillId="0" borderId="0" xfId="42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58" applyFont="1" applyFill="1" applyBorder="1" applyAlignment="1">
      <alignment horizontal="center" wrapText="1"/>
      <protection/>
    </xf>
    <xf numFmtId="0" fontId="25" fillId="0" borderId="0" xfId="0" applyFont="1" applyFill="1" applyBorder="1" applyAlignment="1">
      <alignment wrapText="1"/>
    </xf>
    <xf numFmtId="0" fontId="25" fillId="0" borderId="0" xfId="58" applyFont="1" applyFill="1" applyBorder="1" applyAlignment="1">
      <alignment wrapText="1"/>
      <protection/>
    </xf>
    <xf numFmtId="0" fontId="27" fillId="0" borderId="0" xfId="0" applyFont="1" applyFill="1" applyBorder="1" applyAlignment="1">
      <alignment horizontal="center"/>
    </xf>
    <xf numFmtId="37" fontId="27" fillId="0" borderId="0" xfId="0" applyNumberFormat="1" applyFont="1" applyFill="1" applyBorder="1" applyAlignment="1">
      <alignment/>
    </xf>
    <xf numFmtId="41" fontId="29" fillId="0" borderId="0" xfId="0" applyNumberFormat="1" applyFont="1" applyFill="1" applyBorder="1" applyAlignment="1">
      <alignment/>
    </xf>
    <xf numFmtId="165" fontId="25" fillId="0" borderId="0" xfId="44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37" fontId="30" fillId="0" borderId="0" xfId="0" applyNumberFormat="1" applyFont="1" applyFill="1" applyBorder="1" applyAlignment="1">
      <alignment/>
    </xf>
    <xf numFmtId="41" fontId="31" fillId="0" borderId="0" xfId="0" applyNumberFormat="1" applyFont="1" applyFill="1" applyBorder="1" applyAlignment="1">
      <alignment/>
    </xf>
    <xf numFmtId="165" fontId="28" fillId="0" borderId="0" xfId="44" applyNumberFormat="1" applyFont="1" applyFill="1" applyBorder="1" applyAlignment="1">
      <alignment/>
    </xf>
    <xf numFmtId="165" fontId="28" fillId="0" borderId="0" xfId="0" applyNumberFormat="1" applyFont="1" applyFill="1" applyBorder="1" applyAlignment="1">
      <alignment/>
    </xf>
    <xf numFmtId="37" fontId="27" fillId="0" borderId="0" xfId="58" applyNumberFormat="1" applyFont="1" applyFill="1" applyBorder="1">
      <alignment/>
      <protection/>
    </xf>
    <xf numFmtId="165" fontId="25" fillId="0" borderId="0" xfId="42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5" fillId="0" borderId="0" xfId="58" applyFont="1" applyFill="1" applyAlignment="1">
      <alignment horizontal="center"/>
      <protection/>
    </xf>
    <xf numFmtId="0" fontId="25" fillId="0" borderId="0" xfId="58" applyFont="1" applyFill="1" applyBorder="1" applyAlignment="1">
      <alignment/>
      <protection/>
    </xf>
    <xf numFmtId="9" fontId="25" fillId="0" borderId="0" xfId="61" applyFont="1" applyFill="1" applyBorder="1" applyAlignment="1">
      <alignment/>
    </xf>
    <xf numFmtId="165" fontId="29" fillId="0" borderId="0" xfId="0" applyNumberFormat="1" applyFont="1" applyFill="1" applyBorder="1" applyAlignment="1">
      <alignment/>
    </xf>
    <xf numFmtId="165" fontId="31" fillId="0" borderId="0" xfId="0" applyNumberFormat="1" applyFont="1" applyFill="1" applyBorder="1" applyAlignment="1">
      <alignment/>
    </xf>
    <xf numFmtId="0" fontId="25" fillId="0" borderId="0" xfId="44" applyNumberFormat="1" applyFont="1" applyFill="1" applyBorder="1" applyAlignment="1">
      <alignment/>
    </xf>
    <xf numFmtId="0" fontId="25" fillId="0" borderId="0" xfId="58" applyFont="1" applyFill="1" applyBorder="1" applyAlignment="1">
      <alignment horizontal="right"/>
      <protection/>
    </xf>
    <xf numFmtId="41" fontId="25" fillId="0" borderId="0" xfId="0" applyNumberFormat="1" applyFont="1" applyFill="1" applyBorder="1" applyAlignment="1">
      <alignment/>
    </xf>
    <xf numFmtId="165" fontId="77" fillId="0" borderId="0" xfId="0" applyNumberFormat="1" applyFont="1" applyFill="1" applyBorder="1" applyAlignment="1">
      <alignment/>
    </xf>
    <xf numFmtId="205" fontId="3" fillId="0" borderId="0" xfId="0" applyNumberFormat="1" applyFont="1" applyFill="1" applyAlignment="1">
      <alignment horizontal="center"/>
    </xf>
    <xf numFmtId="204" fontId="0" fillId="0" borderId="0" xfId="0" applyNumberFormat="1" applyFill="1" applyAlignment="1">
      <alignment horizontal="left"/>
    </xf>
    <xf numFmtId="37" fontId="0" fillId="0" borderId="0" xfId="0" applyNumberFormat="1" applyFill="1" applyAlignment="1">
      <alignment/>
    </xf>
    <xf numFmtId="0" fontId="0" fillId="0" borderId="0" xfId="58" applyFont="1">
      <alignment/>
      <protection/>
    </xf>
    <xf numFmtId="178" fontId="3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/>
    </xf>
    <xf numFmtId="37" fontId="0" fillId="0" borderId="0" xfId="58" applyNumberFormat="1" applyFont="1" applyFill="1">
      <alignment/>
      <protection/>
    </xf>
    <xf numFmtId="0" fontId="0" fillId="0" borderId="0" xfId="58" applyFont="1" applyFill="1">
      <alignment/>
      <protection/>
    </xf>
    <xf numFmtId="37" fontId="0" fillId="0" borderId="10" xfId="58" applyNumberFormat="1" applyFont="1" applyFill="1" applyBorder="1">
      <alignment/>
      <protection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65" fontId="11" fillId="0" borderId="0" xfId="0" applyNumberFormat="1" applyFont="1" applyFill="1" applyAlignment="1">
      <alignment/>
    </xf>
    <xf numFmtId="0" fontId="12" fillId="0" borderId="0" xfId="0" applyFont="1" applyFill="1" applyAlignment="1" quotePrefix="1">
      <alignment horizontal="center"/>
    </xf>
    <xf numFmtId="0" fontId="0" fillId="0" borderId="0" xfId="0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173" fontId="15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17" fontId="3" fillId="0" borderId="0" xfId="0" applyNumberFormat="1" applyFont="1" applyFill="1" applyAlignment="1">
      <alignment horizontal="center"/>
    </xf>
    <xf numFmtId="7" fontId="0" fillId="0" borderId="0" xfId="0" applyNumberFormat="1" applyFill="1" applyAlignment="1">
      <alignment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 quotePrefix="1">
      <alignment/>
    </xf>
    <xf numFmtId="4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37" fontId="0" fillId="0" borderId="0" xfId="0" applyNumberFormat="1" applyFill="1" applyAlignment="1">
      <alignment horizontal="left"/>
    </xf>
    <xf numFmtId="172" fontId="0" fillId="0" borderId="0" xfId="0" applyNumberFormat="1" applyFill="1" applyAlignment="1">
      <alignment/>
    </xf>
    <xf numFmtId="0" fontId="27" fillId="0" borderId="0" xfId="0" applyFont="1" applyFill="1" applyBorder="1" applyAlignment="1">
      <alignment/>
    </xf>
    <xf numFmtId="169" fontId="78" fillId="0" borderId="0" xfId="62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165" fontId="12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0" fontId="11" fillId="0" borderId="0" xfId="0" applyNumberFormat="1" applyFont="1" applyFill="1" applyAlignment="1">
      <alignment/>
    </xf>
    <xf numFmtId="172" fontId="16" fillId="0" borderId="0" xfId="45" applyNumberFormat="1" applyFont="1" applyFill="1" applyBorder="1" applyAlignment="1">
      <alignment horizontal="center"/>
    </xf>
    <xf numFmtId="172" fontId="11" fillId="0" borderId="0" xfId="45" applyNumberFormat="1" applyFont="1" applyFill="1" applyBorder="1" applyAlignment="1">
      <alignment horizontal="center"/>
    </xf>
    <xf numFmtId="172" fontId="12" fillId="0" borderId="0" xfId="45" applyNumberFormat="1" applyFont="1" applyFill="1" applyBorder="1" applyAlignment="1">
      <alignment horizontal="center"/>
    </xf>
    <xf numFmtId="172" fontId="11" fillId="0" borderId="0" xfId="45" applyNumberFormat="1" applyFont="1" applyFill="1" applyBorder="1" applyAlignment="1">
      <alignment/>
    </xf>
    <xf numFmtId="172" fontId="11" fillId="0" borderId="0" xfId="45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208" fontId="11" fillId="0" borderId="0" xfId="0" applyNumberFormat="1" applyFont="1" applyFill="1" applyAlignment="1">
      <alignment/>
    </xf>
    <xf numFmtId="168" fontId="11" fillId="0" borderId="0" xfId="42" applyNumberFormat="1" applyFont="1" applyFill="1" applyAlignment="1">
      <alignment/>
    </xf>
    <xf numFmtId="165" fontId="1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center"/>
    </xf>
    <xf numFmtId="10" fontId="12" fillId="0" borderId="0" xfId="61" applyNumberFormat="1" applyFont="1" applyFill="1" applyAlignment="1">
      <alignment/>
    </xf>
    <xf numFmtId="10" fontId="11" fillId="0" borderId="0" xfId="61" applyNumberFormat="1" applyFont="1" applyFill="1" applyAlignment="1">
      <alignment/>
    </xf>
    <xf numFmtId="0" fontId="3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65" fontId="0" fillId="0" borderId="0" xfId="61" applyNumberFormat="1" applyFont="1" applyFill="1" applyAlignment="1">
      <alignment/>
    </xf>
    <xf numFmtId="10" fontId="0" fillId="0" borderId="0" xfId="61" applyNumberFormat="1" applyFont="1" applyFill="1" applyAlignment="1">
      <alignment/>
    </xf>
    <xf numFmtId="9" fontId="0" fillId="0" borderId="0" xfId="61" applyFont="1" applyFill="1" applyAlignment="1">
      <alignment/>
    </xf>
    <xf numFmtId="10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0" fontId="3" fillId="0" borderId="0" xfId="0" applyNumberFormat="1" applyFont="1" applyFill="1" applyAlignment="1">
      <alignment horizontal="center"/>
    </xf>
    <xf numFmtId="10" fontId="1" fillId="0" borderId="0" xfId="61" applyNumberFormat="1" applyFont="1" applyFill="1" applyAlignment="1">
      <alignment/>
    </xf>
    <xf numFmtId="214" fontId="0" fillId="0" borderId="0" xfId="0" applyNumberFormat="1" applyFill="1" applyAlignment="1">
      <alignment/>
    </xf>
    <xf numFmtId="215" fontId="0" fillId="0" borderId="0" xfId="0" applyNumberFormat="1" applyFill="1" applyAlignment="1">
      <alignment/>
    </xf>
    <xf numFmtId="40" fontId="0" fillId="0" borderId="0" xfId="0" applyNumberFormat="1" applyFill="1" applyAlignment="1">
      <alignment/>
    </xf>
    <xf numFmtId="0" fontId="0" fillId="0" borderId="0" xfId="58" applyFill="1">
      <alignment/>
      <protection/>
    </xf>
    <xf numFmtId="0" fontId="2" fillId="0" borderId="0" xfId="58" applyFont="1" applyFill="1" applyAlignment="1">
      <alignment horizontal="right"/>
      <protection/>
    </xf>
    <xf numFmtId="0" fontId="2" fillId="0" borderId="0" xfId="58" applyFont="1" applyFill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178" fontId="3" fillId="0" borderId="0" xfId="58" applyNumberFormat="1" applyFont="1" applyFill="1" applyAlignment="1">
      <alignment horizontal="center"/>
      <protection/>
    </xf>
    <xf numFmtId="37" fontId="2" fillId="0" borderId="0" xfId="58" applyNumberFormat="1" applyFont="1" applyFill="1" applyAlignment="1" quotePrefix="1">
      <alignment horizontal="center"/>
      <protection/>
    </xf>
    <xf numFmtId="0" fontId="0" fillId="0" borderId="0" xfId="58" applyFill="1" applyAlignment="1">
      <alignment horizontal="center"/>
      <protection/>
    </xf>
    <xf numFmtId="0" fontId="0" fillId="0" borderId="0" xfId="58" applyFill="1" applyAlignment="1">
      <alignment horizontal="left"/>
      <protection/>
    </xf>
    <xf numFmtId="175" fontId="0" fillId="0" borderId="0" xfId="58" applyNumberFormat="1" applyFill="1">
      <alignment/>
      <protection/>
    </xf>
    <xf numFmtId="181" fontId="0" fillId="0" borderId="0" xfId="58" applyNumberFormat="1" applyFill="1">
      <alignment/>
      <protection/>
    </xf>
    <xf numFmtId="165" fontId="79" fillId="0" borderId="0" xfId="44" applyNumberFormat="1" applyFont="1" applyFill="1" applyAlignment="1">
      <alignment/>
    </xf>
    <xf numFmtId="165" fontId="0" fillId="0" borderId="0" xfId="58" applyNumberFormat="1" applyFill="1">
      <alignment/>
      <protection/>
    </xf>
    <xf numFmtId="0" fontId="0" fillId="0" borderId="0" xfId="58" applyFont="1" applyFill="1" applyAlignment="1">
      <alignment horizontal="left"/>
      <protection/>
    </xf>
    <xf numFmtId="175" fontId="0" fillId="0" borderId="10" xfId="58" applyNumberFormat="1" applyFill="1" applyBorder="1">
      <alignment/>
      <protection/>
    </xf>
    <xf numFmtId="165" fontId="0" fillId="0" borderId="0" xfId="44" applyNumberFormat="1" applyFont="1" applyFill="1" applyBorder="1" applyAlignment="1">
      <alignment/>
    </xf>
    <xf numFmtId="165" fontId="0" fillId="0" borderId="12" xfId="44" applyNumberFormat="1" applyFont="1" applyFill="1" applyBorder="1" applyAlignment="1">
      <alignment/>
    </xf>
    <xf numFmtId="37" fontId="0" fillId="0" borderId="0" xfId="58" applyNumberFormat="1" applyFill="1" applyAlignment="1">
      <alignment horizontal="center"/>
      <protection/>
    </xf>
    <xf numFmtId="175" fontId="0" fillId="0" borderId="12" xfId="58" applyNumberFormat="1" applyFill="1" applyBorder="1">
      <alignment/>
      <protection/>
    </xf>
    <xf numFmtId="175" fontId="0" fillId="0" borderId="0" xfId="58" applyNumberFormat="1" applyFill="1" applyBorder="1">
      <alignment/>
      <protection/>
    </xf>
    <xf numFmtId="0" fontId="2" fillId="0" borderId="0" xfId="0" applyFont="1" applyFill="1" applyAlignment="1">
      <alignment/>
    </xf>
    <xf numFmtId="37" fontId="0" fillId="0" borderId="10" xfId="42" applyNumberFormat="1" applyFont="1" applyFill="1" applyBorder="1" applyAlignment="1">
      <alignment/>
    </xf>
    <xf numFmtId="37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220" fontId="0" fillId="0" borderId="0" xfId="0" applyNumberFormat="1" applyFill="1" applyAlignment="1">
      <alignment/>
    </xf>
    <xf numFmtId="165" fontId="2" fillId="0" borderId="13" xfId="0" applyNumberFormat="1" applyFont="1" applyFill="1" applyBorder="1" applyAlignment="1">
      <alignment/>
    </xf>
    <xf numFmtId="165" fontId="33" fillId="0" borderId="0" xfId="0" applyNumberFormat="1" applyFont="1" applyFill="1" applyBorder="1" applyAlignment="1">
      <alignment/>
    </xf>
    <xf numFmtId="0" fontId="80" fillId="0" borderId="0" xfId="0" applyFont="1" applyFill="1" applyAlignment="1">
      <alignment/>
    </xf>
    <xf numFmtId="10" fontId="7" fillId="0" borderId="0" xfId="54" applyNumberFormat="1" applyFill="1" applyAlignment="1" applyProtection="1">
      <alignment/>
      <protection/>
    </xf>
    <xf numFmtId="0" fontId="32" fillId="0" borderId="0" xfId="0" applyFont="1" applyFill="1" applyBorder="1" applyAlignment="1">
      <alignment horizontal="left"/>
    </xf>
    <xf numFmtId="0" fontId="18" fillId="0" borderId="11" xfId="0" applyFont="1" applyFill="1" applyBorder="1" applyAlignment="1">
      <alignment/>
    </xf>
    <xf numFmtId="0" fontId="11" fillId="0" borderId="0" xfId="0" applyFont="1" applyFill="1" applyAlignment="1">
      <alignment horizontal="left" wrapText="1"/>
    </xf>
    <xf numFmtId="165" fontId="0" fillId="0" borderId="0" xfId="42" applyNumberFormat="1" applyFont="1" applyFill="1" applyAlignment="1">
      <alignment/>
    </xf>
    <xf numFmtId="5" fontId="0" fillId="0" borderId="0" xfId="0" applyNumberFormat="1" applyFont="1" applyFill="1" applyAlignment="1">
      <alignment horizontal="right"/>
    </xf>
    <xf numFmtId="5" fontId="0" fillId="0" borderId="0" xfId="42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7" fontId="0" fillId="0" borderId="0" xfId="0" applyNumberFormat="1" applyFont="1" applyFill="1" applyAlignment="1">
      <alignment/>
    </xf>
    <xf numFmtId="5" fontId="0" fillId="0" borderId="10" xfId="0" applyNumberFormat="1" applyFont="1" applyFill="1" applyBorder="1" applyAlignment="1">
      <alignment horizontal="right"/>
    </xf>
    <xf numFmtId="5" fontId="0" fillId="0" borderId="10" xfId="42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 horizontal="right"/>
    </xf>
    <xf numFmtId="5" fontId="0" fillId="0" borderId="0" xfId="42" applyNumberFormat="1" applyFont="1" applyFill="1" applyBorder="1" applyAlignment="1">
      <alignment/>
    </xf>
    <xf numFmtId="5" fontId="0" fillId="0" borderId="12" xfId="0" applyNumberFormat="1" applyFont="1" applyFill="1" applyBorder="1" applyAlignment="1">
      <alignment horizontal="right"/>
    </xf>
    <xf numFmtId="169" fontId="0" fillId="0" borderId="12" xfId="0" applyNumberFormat="1" applyFont="1" applyFill="1" applyBorder="1" applyAlignment="1">
      <alignment horizontal="right"/>
    </xf>
    <xf numFmtId="5" fontId="0" fillId="0" borderId="12" xfId="42" applyNumberFormat="1" applyFont="1" applyFill="1" applyBorder="1" applyAlignment="1">
      <alignment/>
    </xf>
    <xf numFmtId="165" fontId="0" fillId="0" borderId="12" xfId="42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center"/>
    </xf>
    <xf numFmtId="5" fontId="0" fillId="0" borderId="0" xfId="0" applyNumberFormat="1" applyFont="1" applyFill="1" applyAlignment="1">
      <alignment/>
    </xf>
    <xf numFmtId="178" fontId="3" fillId="0" borderId="0" xfId="0" applyNumberFormat="1" applyFont="1" applyFill="1" applyAlignment="1" quotePrefix="1">
      <alignment horizontal="center"/>
    </xf>
    <xf numFmtId="8" fontId="0" fillId="0" borderId="0" xfId="58" applyNumberFormat="1" applyFont="1" applyFill="1">
      <alignment/>
      <protection/>
    </xf>
    <xf numFmtId="10" fontId="0" fillId="0" borderId="0" xfId="61" applyNumberFormat="1" applyFont="1" applyFill="1" applyAlignment="1">
      <alignment/>
    </xf>
    <xf numFmtId="169" fontId="0" fillId="0" borderId="0" xfId="61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169" fontId="1" fillId="0" borderId="0" xfId="61" applyNumberFormat="1" applyFont="1" applyFill="1" applyAlignment="1">
      <alignment/>
    </xf>
    <xf numFmtId="1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 indent="1"/>
    </xf>
    <xf numFmtId="10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65" fontId="0" fillId="0" borderId="0" xfId="0" applyNumberFormat="1" applyFont="1" applyFill="1" applyAlignment="1">
      <alignment/>
    </xf>
    <xf numFmtId="10" fontId="13" fillId="0" borderId="0" xfId="61" applyNumberFormat="1" applyFont="1" applyFill="1" applyAlignment="1">
      <alignment horizontal="center"/>
    </xf>
    <xf numFmtId="173" fontId="11" fillId="0" borderId="0" xfId="42" applyNumberFormat="1" applyFont="1" applyFill="1" applyAlignment="1">
      <alignment/>
    </xf>
    <xf numFmtId="166" fontId="13" fillId="0" borderId="0" xfId="61" applyNumberFormat="1" applyFont="1" applyFill="1" applyAlignment="1" quotePrefix="1">
      <alignment horizontal="center"/>
    </xf>
    <xf numFmtId="165" fontId="11" fillId="0" borderId="0" xfId="44" applyNumberFormat="1" applyFont="1" applyFill="1" applyAlignment="1">
      <alignment/>
    </xf>
    <xf numFmtId="10" fontId="12" fillId="0" borderId="11" xfId="61" applyNumberFormat="1" applyFont="1" applyFill="1" applyBorder="1" applyAlignment="1" quotePrefix="1">
      <alignment horizontal="center"/>
    </xf>
    <xf numFmtId="165" fontId="5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58" applyFont="1" applyFill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" fillId="0" borderId="0" xfId="0" applyFont="1" applyFill="1" applyAlignment="1">
      <alignment horizontal="left" wrapText="1"/>
    </xf>
    <xf numFmtId="0" fontId="25" fillId="0" borderId="0" xfId="58" applyFont="1" applyFill="1" applyBorder="1" applyAlignment="1">
      <alignment horizontal="left" wrapText="1"/>
      <protection/>
    </xf>
    <xf numFmtId="0" fontId="25" fillId="0" borderId="0" xfId="58" applyFont="1" applyFill="1" applyBorder="1" applyAlignment="1">
      <alignment horizontal="left"/>
      <protection/>
    </xf>
    <xf numFmtId="0" fontId="24" fillId="0" borderId="0" xfId="58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122934\AppData\Local\Temp\notesC9812B\2015%20SAVE%20IRRA%20-%20Schedule%2014a%20-%20k%20Jur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Plant Data"/>
      <sheetName val="Sch 14a pg 1 Rev Req"/>
      <sheetName val="Sch 14b Acct 376 Rate Base"/>
      <sheetName val="Sch 14c Acct 378 Rate Base"/>
      <sheetName val="Sch 14d Acct 379 Rate Base"/>
      <sheetName val="Sch 14e Acct 380 Rate Base"/>
      <sheetName val="Sch 14f Rate Case Plant"/>
      <sheetName val="Sch 14g CCOS "/>
      <sheetName val="Sch 14h Billing Det and Rate"/>
      <sheetName val="Sch 14i ADIT (total)"/>
      <sheetName val="Sch 14i-2 (repairs eligible)"/>
      <sheetName val="Sch 14i-3(non eligible repairs)"/>
      <sheetName val="Sch 14j ADIT Allocation"/>
      <sheetName val="Sch 14k Property Ta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15.57421875" style="0" customWidth="1"/>
    <col min="2" max="2" width="12.57421875" style="0" customWidth="1"/>
    <col min="3" max="3" width="56.421875" style="0" bestFit="1" customWidth="1"/>
    <col min="4" max="4" width="12.57421875" style="0" customWidth="1"/>
    <col min="5" max="8" width="14.140625" style="0" customWidth="1"/>
  </cols>
  <sheetData>
    <row r="1" spans="1:8" ht="12.75">
      <c r="A1" s="234" t="s">
        <v>12</v>
      </c>
      <c r="B1" s="234"/>
      <c r="C1" s="234"/>
      <c r="D1" s="2"/>
      <c r="E1" s="2"/>
      <c r="F1" s="2"/>
      <c r="G1" s="2"/>
      <c r="H1" s="2"/>
    </row>
    <row r="2" spans="1:8" ht="12.75">
      <c r="A2" s="234" t="s">
        <v>261</v>
      </c>
      <c r="B2" s="234"/>
      <c r="C2" s="234"/>
      <c r="D2" s="2"/>
      <c r="E2" s="2"/>
      <c r="F2" s="2"/>
      <c r="G2" s="2"/>
      <c r="H2" s="2"/>
    </row>
    <row r="3" spans="1:8" ht="12.75">
      <c r="A3" s="234" t="s">
        <v>302</v>
      </c>
      <c r="B3" s="234"/>
      <c r="C3" s="234"/>
      <c r="D3" s="2"/>
      <c r="E3" s="2"/>
      <c r="F3" s="2"/>
      <c r="G3" s="2"/>
      <c r="H3" s="2"/>
    </row>
    <row r="4" spans="1:8" ht="12.75">
      <c r="A4" s="234" t="s">
        <v>163</v>
      </c>
      <c r="B4" s="234"/>
      <c r="C4" s="234"/>
      <c r="D4" s="2"/>
      <c r="E4" s="2"/>
      <c r="F4" s="2"/>
      <c r="G4" s="2"/>
      <c r="H4" s="2"/>
    </row>
    <row r="8" spans="1:3" ht="12.75">
      <c r="A8" s="57" t="s">
        <v>166</v>
      </c>
      <c r="C8" s="8" t="s">
        <v>50</v>
      </c>
    </row>
    <row r="9" spans="1:3" ht="12">
      <c r="A9" s="58" t="s">
        <v>164</v>
      </c>
      <c r="C9" s="36" t="s">
        <v>262</v>
      </c>
    </row>
    <row r="10" spans="1:3" ht="12">
      <c r="A10" s="58" t="s">
        <v>165</v>
      </c>
      <c r="C10" s="36" t="s">
        <v>170</v>
      </c>
    </row>
    <row r="11" spans="1:3" ht="12">
      <c r="A11" s="58">
        <v>1.2</v>
      </c>
      <c r="C11" s="36" t="s">
        <v>242</v>
      </c>
    </row>
    <row r="12" spans="1:3" ht="12">
      <c r="A12" s="58">
        <v>1.3</v>
      </c>
      <c r="C12" s="36" t="s">
        <v>167</v>
      </c>
    </row>
    <row r="13" spans="1:3" ht="12">
      <c r="A13" s="58" t="s">
        <v>168</v>
      </c>
      <c r="C13" s="36" t="s">
        <v>169</v>
      </c>
    </row>
    <row r="14" spans="1:3" ht="12">
      <c r="A14" s="58" t="s">
        <v>171</v>
      </c>
      <c r="C14" s="36" t="s">
        <v>172</v>
      </c>
    </row>
    <row r="15" spans="1:3" ht="12">
      <c r="A15" s="58" t="s">
        <v>173</v>
      </c>
      <c r="C15" s="36" t="s">
        <v>263</v>
      </c>
    </row>
    <row r="16" spans="1:3" ht="12">
      <c r="A16" s="58" t="s">
        <v>174</v>
      </c>
      <c r="C16" s="36" t="s">
        <v>175</v>
      </c>
    </row>
    <row r="17" spans="1:3" ht="12">
      <c r="A17" s="58" t="s">
        <v>176</v>
      </c>
      <c r="C17" s="108" t="s">
        <v>303</v>
      </c>
    </row>
    <row r="18" spans="1:3" ht="12">
      <c r="A18" s="58">
        <v>4.1</v>
      </c>
      <c r="C18" s="108" t="s">
        <v>304</v>
      </c>
    </row>
  </sheetData>
  <sheetProtection/>
  <mergeCells count="4">
    <mergeCell ref="A1:C1"/>
    <mergeCell ref="A2:C2"/>
    <mergeCell ref="A3:C3"/>
    <mergeCell ref="A4:C4"/>
  </mergeCells>
  <printOptions horizontalCentered="1"/>
  <pageMargins left="0.5" right="0.5" top="1" bottom="0" header="0.5" footer="0.5"/>
  <pageSetup fitToHeight="1" fitToWidth="1" horizontalDpi="600" verticalDpi="600" orientation="portrait" r:id="rId1"/>
  <ignoredErrors>
    <ignoredError sqref="A9:A1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30"/>
  <sheetViews>
    <sheetView zoomScale="90" zoomScaleNormal="90" zoomScaleSheetLayoutView="80" zoomScalePageLayoutView="0" workbookViewId="0" topLeftCell="A1">
      <selection activeCell="H31" sqref="H31"/>
    </sheetView>
  </sheetViews>
  <sheetFormatPr defaultColWidth="8.8515625" defaultRowHeight="12.75"/>
  <cols>
    <col min="1" max="1" width="3.8515625" style="3" bestFit="1" customWidth="1"/>
    <col min="2" max="2" width="8.8515625" style="3" customWidth="1"/>
    <col min="3" max="3" width="12.57421875" style="3" bestFit="1" customWidth="1"/>
    <col min="4" max="5" width="12.421875" style="3" bestFit="1" customWidth="1"/>
    <col min="6" max="6" width="11.57421875" style="3" bestFit="1" customWidth="1"/>
    <col min="7" max="7" width="11.00390625" style="3" bestFit="1" customWidth="1"/>
    <col min="8" max="8" width="14.140625" style="3" customWidth="1"/>
    <col min="9" max="9" width="13.421875" style="3" bestFit="1" customWidth="1"/>
    <col min="10" max="16384" width="8.8515625" style="3" customWidth="1"/>
  </cols>
  <sheetData>
    <row r="1" ht="12">
      <c r="H1" s="63" t="s">
        <v>259</v>
      </c>
    </row>
    <row r="2" ht="12">
      <c r="H2" s="63" t="s">
        <v>326</v>
      </c>
    </row>
    <row r="3" spans="1:38" ht="12">
      <c r="A3" s="237" t="s">
        <v>12</v>
      </c>
      <c r="B3" s="237"/>
      <c r="C3" s="237"/>
      <c r="D3" s="237"/>
      <c r="E3" s="237"/>
      <c r="F3" s="237"/>
      <c r="G3" s="237"/>
      <c r="H3" s="237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</row>
    <row r="4" spans="1:38" ht="12">
      <c r="A4" s="237" t="s">
        <v>261</v>
      </c>
      <c r="B4" s="237"/>
      <c r="C4" s="237"/>
      <c r="D4" s="237"/>
      <c r="E4" s="237"/>
      <c r="F4" s="237"/>
      <c r="G4" s="237"/>
      <c r="H4" s="237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</row>
    <row r="5" spans="1:8" ht="12">
      <c r="A5" s="237" t="s">
        <v>195</v>
      </c>
      <c r="B5" s="237"/>
      <c r="C5" s="237"/>
      <c r="D5" s="237"/>
      <c r="E5" s="237"/>
      <c r="F5" s="237"/>
      <c r="G5" s="237"/>
      <c r="H5" s="237"/>
    </row>
    <row r="6" spans="2:8" ht="12">
      <c r="B6" s="141"/>
      <c r="C6" s="24"/>
      <c r="D6" s="24"/>
      <c r="E6" s="24"/>
      <c r="F6" s="24"/>
      <c r="G6" s="116"/>
      <c r="H6" s="24"/>
    </row>
    <row r="7" spans="2:8" ht="12">
      <c r="B7" s="141"/>
      <c r="C7" s="141"/>
      <c r="D7" s="141"/>
      <c r="E7" s="114" t="s">
        <v>177</v>
      </c>
      <c r="F7" s="141"/>
      <c r="G7" s="142"/>
      <c r="H7" s="141"/>
    </row>
    <row r="8" spans="2:8" ht="12">
      <c r="B8" s="114"/>
      <c r="C8" s="114"/>
      <c r="D8" s="114" t="s">
        <v>178</v>
      </c>
      <c r="E8" s="114" t="s">
        <v>179</v>
      </c>
      <c r="F8" s="114" t="s">
        <v>180</v>
      </c>
      <c r="G8" s="114" t="s">
        <v>9</v>
      </c>
      <c r="H8" s="114" t="s">
        <v>181</v>
      </c>
    </row>
    <row r="9" spans="1:8" ht="12.75">
      <c r="A9" s="18" t="s">
        <v>1</v>
      </c>
      <c r="B9" s="59" t="s">
        <v>0</v>
      </c>
      <c r="C9" s="59" t="s">
        <v>182</v>
      </c>
      <c r="D9" s="59" t="s">
        <v>183</v>
      </c>
      <c r="E9" s="59" t="s">
        <v>184</v>
      </c>
      <c r="F9" s="59" t="s">
        <v>185</v>
      </c>
      <c r="G9" s="59" t="s">
        <v>186</v>
      </c>
      <c r="H9" s="59" t="s">
        <v>186</v>
      </c>
    </row>
    <row r="10" spans="1:8" ht="12.75">
      <c r="A10" s="18"/>
      <c r="B10" s="21">
        <v>-1</v>
      </c>
      <c r="C10" s="21">
        <f aca="true" t="shared" si="0" ref="C10:H10">+B10-1</f>
        <v>-2</v>
      </c>
      <c r="D10" s="21">
        <f t="shared" si="0"/>
        <v>-3</v>
      </c>
      <c r="E10" s="21">
        <f t="shared" si="0"/>
        <v>-4</v>
      </c>
      <c r="F10" s="21">
        <f t="shared" si="0"/>
        <v>-5</v>
      </c>
      <c r="G10" s="21">
        <f t="shared" si="0"/>
        <v>-6</v>
      </c>
      <c r="H10" s="21">
        <f t="shared" si="0"/>
        <v>-7</v>
      </c>
    </row>
    <row r="11" spans="1:8" ht="12">
      <c r="A11" s="54">
        <v>1</v>
      </c>
      <c r="B11" s="24">
        <v>2017</v>
      </c>
      <c r="C11" s="23">
        <f>'Tax Depr Form 2.1 p.2'!AH58+'Tax Depr Form 2.1 p.3'!AH58</f>
        <v>563276.9653846167</v>
      </c>
      <c r="D11" s="23">
        <f>'Tax Depr Form 2.1 p.2'!AI58+'Tax Depr Form 2.1 p.3'!AI58</f>
        <v>8559392.034615383</v>
      </c>
      <c r="E11" s="23">
        <f>'Tax Depr Form 2.1 p.2'!AJ58+'Tax Depr Form 2.1 p.3'!AJ58</f>
        <v>513563.522076923</v>
      </c>
      <c r="F11" s="23">
        <f>'Tax Depr Form 2.1 p.2'!AK58+'Tax Depr Form 2.1 p.3'!AK58</f>
        <v>-179747.23272692302</v>
      </c>
      <c r="G11" s="23">
        <f>'Tax Depr Form 2.1 p.2'!AM58+'Tax Depr Form 2.1 p.3'!AM58</f>
        <v>333816.2893499999</v>
      </c>
      <c r="H11" s="23">
        <f>'Tax Depr Form 2.1 p.2'!AN58+'Tax Depr Form 2.1 p.3'!AN58</f>
        <v>333816.2893499999</v>
      </c>
    </row>
    <row r="12" spans="1:8" ht="12">
      <c r="A12" s="54">
        <f>A11+1</f>
        <v>2</v>
      </c>
      <c r="B12" s="24">
        <v>2018</v>
      </c>
      <c r="C12" s="23">
        <f>'Tax Depr Form 2.1 p.2'!AH59+'Tax Depr Form 2.1 p.3'!AH59</f>
        <v>1084345.7101630769</v>
      </c>
      <c r="D12" s="23">
        <f>'Tax Depr Form 2.1 p.2'!AI59+'Tax Depr Form 2.1 p.3'!AI59</f>
        <v>-641976.7101630769</v>
      </c>
      <c r="E12" s="23">
        <f>'Tax Depr Form 2.1 p.2'!AJ59+'Tax Depr Form 2.1 p.3'!AJ59</f>
        <v>-32098.835508153847</v>
      </c>
      <c r="F12" s="23">
        <f>'Tax Depr Form 2.1 p.2'!AK59+'Tax Depr Form 2.1 p.3'!AK59</f>
        <v>6740.755456712307</v>
      </c>
      <c r="G12" s="23">
        <f>'Tax Depr Form 2.1 p.2'!AM59+'Tax Depr Form 2.1 p.3'!AM59</f>
        <v>-25358.08005144154</v>
      </c>
      <c r="H12" s="23">
        <f>'Tax Depr Form 2.1 p.2'!AN59+'Tax Depr Form 2.1 p.3'!AN59</f>
        <v>308458.20929855836</v>
      </c>
    </row>
    <row r="13" spans="1:8" ht="12">
      <c r="A13" s="54">
        <f aca="true" t="shared" si="1" ref="A13:A31">A12+1</f>
        <v>3</v>
      </c>
      <c r="B13" s="24">
        <v>2019</v>
      </c>
      <c r="C13" s="23">
        <f>'Tax Depr Form 2.1 p.2'!AH60+'Tax Depr Form 2.1 p.3'!AH60</f>
        <v>1002933.4127661537</v>
      </c>
      <c r="D13" s="23">
        <f>'Tax Depr Form 2.1 p.2'!AI60+'Tax Depr Form 2.1 p.3'!AI60</f>
        <v>-593777.4127661537</v>
      </c>
      <c r="E13" s="23">
        <f>'Tax Depr Form 2.1 p.2'!AJ60+'Tax Depr Form 2.1 p.3'!AJ60</f>
        <v>-29688.870638307686</v>
      </c>
      <c r="F13" s="23">
        <f>'Tax Depr Form 2.1 p.2'!AK60+'Tax Depr Form 2.1 p.3'!AK60</f>
        <v>6234.662834044614</v>
      </c>
      <c r="G13" s="23">
        <f>'Tax Depr Form 2.1 p.2'!AM60+'Tax Depr Form 2.1 p.3'!AM60</f>
        <v>-23454.20780426307</v>
      </c>
      <c r="H13" s="23">
        <f>'Tax Depr Form 2.1 p.2'!AN60+'Tax Depr Form 2.1 p.3'!AN60</f>
        <v>285004.0014942953</v>
      </c>
    </row>
    <row r="14" spans="1:8" ht="12">
      <c r="A14" s="54">
        <f t="shared" si="1"/>
        <v>4</v>
      </c>
      <c r="B14" s="24">
        <v>2020</v>
      </c>
      <c r="C14" s="23">
        <f>'Tax Depr Form 2.1 p.2'!AH61+'Tax Depr Form 2.1 p.3'!AH61</f>
        <v>927829.8173815385</v>
      </c>
      <c r="D14" s="23">
        <f>'Tax Depr Form 2.1 p.2'!AI61+'Tax Depr Form 2.1 p.3'!AI61</f>
        <v>-549313.8173815385</v>
      </c>
      <c r="E14" s="23">
        <f>'Tax Depr Form 2.1 p.2'!AJ61+'Tax Depr Form 2.1 p.3'!AJ61</f>
        <v>-27465.690869076927</v>
      </c>
      <c r="F14" s="23">
        <f>'Tax Depr Form 2.1 p.2'!AK61+'Tax Depr Form 2.1 p.3'!AK61</f>
        <v>5767.795082506153</v>
      </c>
      <c r="G14" s="23">
        <f>'Tax Depr Form 2.1 p.2'!AM61+'Tax Depr Form 2.1 p.3'!AM61</f>
        <v>-21697.89578657077</v>
      </c>
      <c r="H14" s="23">
        <f>'Tax Depr Form 2.1 p.2'!AN61+'Tax Depr Form 2.1 p.3'!AN61</f>
        <v>263306.1057077245</v>
      </c>
    </row>
    <row r="15" spans="1:8" ht="12">
      <c r="A15" s="54">
        <f t="shared" si="1"/>
        <v>5</v>
      </c>
      <c r="B15" s="24">
        <v>2021</v>
      </c>
      <c r="C15" s="23">
        <f>'Tax Depr Form 2.1 p.2'!AH62+'Tax Depr Form 2.1 p.3'!AH62</f>
        <v>858133.6808646152</v>
      </c>
      <c r="D15" s="23">
        <f>'Tax Depr Form 2.1 p.2'!AI62+'Tax Depr Form 2.1 p.3'!AI62</f>
        <v>-508049.6808646153</v>
      </c>
      <c r="E15" s="23">
        <f>'Tax Depr Form 2.1 p.2'!AJ62+'Tax Depr Form 2.1 p.3'!AJ62</f>
        <v>-25402.48404323077</v>
      </c>
      <c r="F15" s="23">
        <f>'Tax Depr Form 2.1 p.2'!AK62+'Tax Depr Form 2.1 p.3'!AK62</f>
        <v>5334.5216490784605</v>
      </c>
      <c r="G15" s="23">
        <f>'Tax Depr Form 2.1 p.2'!AM62+'Tax Depr Form 2.1 p.3'!AM62</f>
        <v>-20067.962394152306</v>
      </c>
      <c r="H15" s="23">
        <f>'Tax Depr Form 2.1 p.2'!AN62+'Tax Depr Form 2.1 p.3'!AN62</f>
        <v>243238.14331357222</v>
      </c>
    </row>
    <row r="16" spans="1:8" ht="12">
      <c r="A16" s="54">
        <f t="shared" si="1"/>
        <v>6</v>
      </c>
      <c r="B16" s="24">
        <v>2022</v>
      </c>
      <c r="C16" s="23">
        <f>'Tax Depr Form 2.1 p.2'!AH63+'Tax Depr Form 2.1 p.3'!AH63</f>
        <v>793845.0032153847</v>
      </c>
      <c r="D16" s="23">
        <f>'Tax Depr Form 2.1 p.2'!AI63+'Tax Depr Form 2.1 p.3'!AI63</f>
        <v>-469988.00321538467</v>
      </c>
      <c r="E16" s="23">
        <f>'Tax Depr Form 2.1 p.2'!AJ63+'Tax Depr Form 2.1 p.3'!AJ63</f>
        <v>-23499.400160769233</v>
      </c>
      <c r="F16" s="23">
        <f>'Tax Depr Form 2.1 p.2'!AK63+'Tax Depr Form 2.1 p.3'!AK63</f>
        <v>4934.874033761538</v>
      </c>
      <c r="G16" s="23">
        <f>'Tax Depr Form 2.1 p.2'!AM63+'Tax Depr Form 2.1 p.3'!AM63</f>
        <v>-18564.52612700769</v>
      </c>
      <c r="H16" s="23">
        <f>'Tax Depr Form 2.1 p.2'!AN63+'Tax Depr Form 2.1 p.3'!AN63</f>
        <v>224673.61718656452</v>
      </c>
    </row>
    <row r="17" spans="1:8" ht="12">
      <c r="A17" s="54">
        <f t="shared" si="1"/>
        <v>7</v>
      </c>
      <c r="B17" s="24">
        <v>2023</v>
      </c>
      <c r="C17" s="23">
        <f>'Tax Depr Form 2.1 p.2'!AH64+'Tax Depr Form 2.1 p.3'!AH64</f>
        <v>734212.74848</v>
      </c>
      <c r="D17" s="23">
        <f>'Tax Depr Form 2.1 p.2'!AI64+'Tax Depr Form 2.1 p.3'!AI64</f>
        <v>-434683.7484799999</v>
      </c>
      <c r="E17" s="23">
        <f>'Tax Depr Form 2.1 p.2'!AJ64+'Tax Depr Form 2.1 p.3'!AJ64</f>
        <v>-21734.187423999996</v>
      </c>
      <c r="F17" s="23">
        <f>'Tax Depr Form 2.1 p.2'!AK64+'Tax Depr Form 2.1 p.3'!AK64</f>
        <v>4564.179359039999</v>
      </c>
      <c r="G17" s="23">
        <f>'Tax Depr Form 2.1 p.2'!AM64+'Tax Depr Form 2.1 p.3'!AM64</f>
        <v>-17170.00806496</v>
      </c>
      <c r="H17" s="23">
        <f>'Tax Depr Form 2.1 p.2'!AN64+'Tax Depr Form 2.1 p.3'!AN64</f>
        <v>207503.60912160453</v>
      </c>
    </row>
    <row r="18" spans="1:8" ht="12">
      <c r="A18" s="54">
        <f t="shared" si="1"/>
        <v>8</v>
      </c>
      <c r="B18" s="24">
        <v>2024</v>
      </c>
      <c r="C18" s="23">
        <f>'Tax Depr Form 2.1 p.2'!AH65+'Tax Depr Form 2.1 p.3'!AH65</f>
        <v>679236.9166584616</v>
      </c>
      <c r="D18" s="23">
        <f>'Tax Depr Form 2.1 p.2'!AI65+'Tax Depr Form 2.1 p.3'!AI65</f>
        <v>-402135.91665846156</v>
      </c>
      <c r="E18" s="23">
        <f>'Tax Depr Form 2.1 p.2'!AJ65+'Tax Depr Form 2.1 p.3'!AJ65</f>
        <v>-20106.795832923075</v>
      </c>
      <c r="F18" s="23">
        <f>'Tax Depr Form 2.1 p.2'!AK65+'Tax Depr Form 2.1 p.3'!AK65</f>
        <v>4222.427124913846</v>
      </c>
      <c r="G18" s="23">
        <f>'Tax Depr Form 2.1 p.2'!AM65+'Tax Depr Form 2.1 p.3'!AM65</f>
        <v>-15884.368708009231</v>
      </c>
      <c r="H18" s="23">
        <f>'Tax Depr Form 2.1 p.2'!AN65+'Tax Depr Form 2.1 p.3'!AN65</f>
        <v>191619.2404135953</v>
      </c>
    </row>
    <row r="19" spans="1:8" ht="12">
      <c r="A19" s="54">
        <f t="shared" si="1"/>
        <v>9</v>
      </c>
      <c r="B19" s="24">
        <v>2025</v>
      </c>
      <c r="C19" s="23">
        <f>'Tax Depr Form 2.1 p.2'!AH66+'Tax Depr Form 2.1 p.3'!AH66</f>
        <v>670224.4852123077</v>
      </c>
      <c r="D19" s="23">
        <f>'Tax Depr Form 2.1 p.2'!AI66+'Tax Depr Form 2.1 p.3'!AI66</f>
        <v>-396799.48521230766</v>
      </c>
      <c r="E19" s="23">
        <f>'Tax Depr Form 2.1 p.2'!AJ66+'Tax Depr Form 2.1 p.3'!AJ66</f>
        <v>-19839.97426061538</v>
      </c>
      <c r="F19" s="23">
        <f>'Tax Depr Form 2.1 p.2'!AK66+'Tax Depr Form 2.1 p.3'!AK66</f>
        <v>4166.39459472923</v>
      </c>
      <c r="G19" s="23">
        <f>'Tax Depr Form 2.1 p.2'!AM66+'Tax Depr Form 2.1 p.3'!AM66</f>
        <v>-15673.57966588615</v>
      </c>
      <c r="H19" s="23">
        <f>'Tax Depr Form 2.1 p.2'!AN66+'Tax Depr Form 2.1 p.3'!AN66</f>
        <v>175945.66074770916</v>
      </c>
    </row>
    <row r="20" spans="1:8" ht="12">
      <c r="A20" s="54">
        <f t="shared" si="1"/>
        <v>10</v>
      </c>
      <c r="B20" s="24">
        <v>2026</v>
      </c>
      <c r="C20" s="23">
        <f>'Tax Depr Form 2.1 p.2'!AH67+'Tax Depr Form 2.1 p.3'!AH67</f>
        <v>670074.2780215384</v>
      </c>
      <c r="D20" s="23">
        <f>'Tax Depr Form 2.1 p.2'!AI67+'Tax Depr Form 2.1 p.3'!AI67</f>
        <v>-396711.27802153846</v>
      </c>
      <c r="E20" s="23">
        <f>'Tax Depr Form 2.1 p.2'!AJ67+'Tax Depr Form 2.1 p.3'!AJ67</f>
        <v>-19835.563901076923</v>
      </c>
      <c r="F20" s="23">
        <f>'Tax Depr Form 2.1 p.2'!AK67+'Tax Depr Form 2.1 p.3'!AK67</f>
        <v>4165.468419226153</v>
      </c>
      <c r="G20" s="23">
        <f>'Tax Depr Form 2.1 p.2'!AM67+'Tax Depr Form 2.1 p.3'!AM67</f>
        <v>-15670.095481850769</v>
      </c>
      <c r="H20" s="23">
        <f>'Tax Depr Form 2.1 p.2'!AN67+'Tax Depr Form 2.1 p.3'!AN67</f>
        <v>160275.5652658584</v>
      </c>
    </row>
    <row r="21" spans="1:8" ht="12">
      <c r="A21" s="54">
        <f t="shared" si="1"/>
        <v>11</v>
      </c>
      <c r="B21" s="24">
        <v>2027</v>
      </c>
      <c r="C21" s="23">
        <f>'Tax Depr Form 2.1 p.2'!AH68+'Tax Depr Form 2.1 p.3'!AH68</f>
        <v>670224.4852123077</v>
      </c>
      <c r="D21" s="23">
        <f>'Tax Depr Form 2.1 p.2'!AI68+'Tax Depr Form 2.1 p.3'!AI68</f>
        <v>-396799.48521230766</v>
      </c>
      <c r="E21" s="23">
        <f>'Tax Depr Form 2.1 p.2'!AJ68+'Tax Depr Form 2.1 p.3'!AJ68</f>
        <v>-19839.97426061538</v>
      </c>
      <c r="F21" s="23">
        <f>'Tax Depr Form 2.1 p.2'!AK68+'Tax Depr Form 2.1 p.3'!AK68</f>
        <v>4166.39459472923</v>
      </c>
      <c r="G21" s="23">
        <f>'Tax Depr Form 2.1 p.2'!AM68+'Tax Depr Form 2.1 p.3'!AM68</f>
        <v>-15673.57966588615</v>
      </c>
      <c r="H21" s="23">
        <f>'Tax Depr Form 2.1 p.2'!AN68+'Tax Depr Form 2.1 p.3'!AN68</f>
        <v>144601.98559997225</v>
      </c>
    </row>
    <row r="22" spans="1:8" ht="12">
      <c r="A22" s="54">
        <f t="shared" si="1"/>
        <v>12</v>
      </c>
      <c r="B22" s="24">
        <v>2028</v>
      </c>
      <c r="C22" s="23">
        <f>'Tax Depr Form 2.1 p.2'!AH69+'Tax Depr Form 2.1 p.3'!AH69</f>
        <v>670074.2780215384</v>
      </c>
      <c r="D22" s="23">
        <f>'Tax Depr Form 2.1 p.2'!AI69+'Tax Depr Form 2.1 p.3'!AI69</f>
        <v>-396711.27802153846</v>
      </c>
      <c r="E22" s="23">
        <f>'Tax Depr Form 2.1 p.2'!AJ69+'Tax Depr Form 2.1 p.3'!AJ69</f>
        <v>-19835.563901076923</v>
      </c>
      <c r="F22" s="23">
        <f>'Tax Depr Form 2.1 p.2'!AK69+'Tax Depr Form 2.1 p.3'!AK69</f>
        <v>4165.468419226153</v>
      </c>
      <c r="G22" s="23">
        <f>'Tax Depr Form 2.1 p.2'!AM69+'Tax Depr Form 2.1 p.3'!AM69</f>
        <v>-15670.095481850769</v>
      </c>
      <c r="H22" s="23">
        <f>'Tax Depr Form 2.1 p.2'!AN69+'Tax Depr Form 2.1 p.3'!AN69</f>
        <v>128931.89011812149</v>
      </c>
    </row>
    <row r="23" spans="1:8" ht="12">
      <c r="A23" s="54">
        <f t="shared" si="1"/>
        <v>13</v>
      </c>
      <c r="B23" s="24">
        <v>2029</v>
      </c>
      <c r="C23" s="23">
        <f>'Tax Depr Form 2.1 p.2'!AH70+'Tax Depr Form 2.1 p.3'!AH70</f>
        <v>670224.4852123077</v>
      </c>
      <c r="D23" s="23">
        <f>'Tax Depr Form 2.1 p.2'!AI70+'Tax Depr Form 2.1 p.3'!AI70</f>
        <v>-396799.48521230766</v>
      </c>
      <c r="E23" s="23">
        <f>'Tax Depr Form 2.1 p.2'!AJ70+'Tax Depr Form 2.1 p.3'!AJ70</f>
        <v>-19839.97426061538</v>
      </c>
      <c r="F23" s="23">
        <f>'Tax Depr Form 2.1 p.2'!AK70+'Tax Depr Form 2.1 p.3'!AK70</f>
        <v>4166.39459472923</v>
      </c>
      <c r="G23" s="23">
        <f>'Tax Depr Form 2.1 p.2'!AM70+'Tax Depr Form 2.1 p.3'!AM70</f>
        <v>-15673.57966588615</v>
      </c>
      <c r="H23" s="23">
        <f>'Tax Depr Form 2.1 p.2'!AN70+'Tax Depr Form 2.1 p.3'!AN70</f>
        <v>113258.31045223534</v>
      </c>
    </row>
    <row r="24" spans="1:8" ht="12">
      <c r="A24" s="54">
        <f t="shared" si="1"/>
        <v>14</v>
      </c>
      <c r="B24" s="24">
        <v>2030</v>
      </c>
      <c r="C24" s="23">
        <f>'Tax Depr Form 2.1 p.2'!AH71+'Tax Depr Form 2.1 p.3'!AH71</f>
        <v>670074.2780215384</v>
      </c>
      <c r="D24" s="23">
        <f>'Tax Depr Form 2.1 p.2'!AI71+'Tax Depr Form 2.1 p.3'!AI71</f>
        <v>-396711.27802153846</v>
      </c>
      <c r="E24" s="23">
        <f>'Tax Depr Form 2.1 p.2'!AJ71+'Tax Depr Form 2.1 p.3'!AJ71</f>
        <v>-19835.563901076923</v>
      </c>
      <c r="F24" s="23">
        <f>'Tax Depr Form 2.1 p.2'!AK71+'Tax Depr Form 2.1 p.3'!AK71</f>
        <v>4165.468419226153</v>
      </c>
      <c r="G24" s="23">
        <f>'Tax Depr Form 2.1 p.2'!AM71+'Tax Depr Form 2.1 p.3'!AM71</f>
        <v>-15670.095481850769</v>
      </c>
      <c r="H24" s="23">
        <f>'Tax Depr Form 2.1 p.2'!AN71+'Tax Depr Form 2.1 p.3'!AN71</f>
        <v>97588.21497038456</v>
      </c>
    </row>
    <row r="25" spans="1:8" ht="12">
      <c r="A25" s="54">
        <f t="shared" si="1"/>
        <v>15</v>
      </c>
      <c r="B25" s="24">
        <v>2031</v>
      </c>
      <c r="C25" s="23">
        <f>'Tax Depr Form 2.1 p.2'!AH72+'Tax Depr Form 2.1 p.3'!AH72</f>
        <v>670224.4852123077</v>
      </c>
      <c r="D25" s="23">
        <f>'Tax Depr Form 2.1 p.2'!AI72+'Tax Depr Form 2.1 p.3'!AI72</f>
        <v>-396799.48521230766</v>
      </c>
      <c r="E25" s="23">
        <f>'Tax Depr Form 2.1 p.2'!AJ72+'Tax Depr Form 2.1 p.3'!AJ72</f>
        <v>-19839.97426061538</v>
      </c>
      <c r="F25" s="23">
        <f>'Tax Depr Form 2.1 p.2'!AK72+'Tax Depr Form 2.1 p.3'!AK72</f>
        <v>4166.39459472923</v>
      </c>
      <c r="G25" s="23">
        <f>'Tax Depr Form 2.1 p.2'!AM72+'Tax Depr Form 2.1 p.3'!AM72</f>
        <v>-15673.57966588615</v>
      </c>
      <c r="H25" s="23">
        <f>'Tax Depr Form 2.1 p.2'!AN72+'Tax Depr Form 2.1 p.3'!AN72</f>
        <v>81914.63530449843</v>
      </c>
    </row>
    <row r="26" spans="1:8" ht="12">
      <c r="A26" s="54">
        <f t="shared" si="1"/>
        <v>16</v>
      </c>
      <c r="B26" s="24">
        <v>2032</v>
      </c>
      <c r="C26" s="23">
        <f>'Tax Depr Form 2.1 p.2'!AH73+'Tax Depr Form 2.1 p.3'!AH73</f>
        <v>670074.2780215384</v>
      </c>
      <c r="D26" s="23">
        <f>'Tax Depr Form 2.1 p.2'!AI73+'Tax Depr Form 2.1 p.3'!AI73</f>
        <v>-396711.27802153846</v>
      </c>
      <c r="E26" s="23">
        <f>'Tax Depr Form 2.1 p.2'!AJ73+'Tax Depr Form 2.1 p.3'!AJ73</f>
        <v>-19835.563901076923</v>
      </c>
      <c r="F26" s="23">
        <f>'Tax Depr Form 2.1 p.2'!AK73+'Tax Depr Form 2.1 p.3'!AK73</f>
        <v>4165.468419226153</v>
      </c>
      <c r="G26" s="23">
        <f>'Tax Depr Form 2.1 p.2'!AM73+'Tax Depr Form 2.1 p.3'!AM73</f>
        <v>-15670.095481850769</v>
      </c>
      <c r="H26" s="23">
        <f>'Tax Depr Form 2.1 p.2'!AN73+'Tax Depr Form 2.1 p.3'!AN73</f>
        <v>66244.53982264765</v>
      </c>
    </row>
    <row r="27" spans="1:8" ht="12">
      <c r="A27" s="54">
        <f t="shared" si="1"/>
        <v>17</v>
      </c>
      <c r="B27" s="24">
        <v>2033</v>
      </c>
      <c r="C27" s="23">
        <f>'Tax Depr Form 2.1 p.2'!AH74+'Tax Depr Form 2.1 p.3'!AH74</f>
        <v>670224.4852123077</v>
      </c>
      <c r="D27" s="23">
        <f>'Tax Depr Form 2.1 p.2'!AI74+'Tax Depr Form 2.1 p.3'!AI74</f>
        <v>-396799.48521230766</v>
      </c>
      <c r="E27" s="23">
        <f>'Tax Depr Form 2.1 p.2'!AJ74+'Tax Depr Form 2.1 p.3'!AJ74</f>
        <v>-19839.97426061538</v>
      </c>
      <c r="F27" s="23">
        <f>'Tax Depr Form 2.1 p.2'!AK74+'Tax Depr Form 2.1 p.3'!AK74</f>
        <v>4166.39459472923</v>
      </c>
      <c r="G27" s="23">
        <f>'Tax Depr Form 2.1 p.2'!AM74+'Tax Depr Form 2.1 p.3'!AM74</f>
        <v>-15673.57966588615</v>
      </c>
      <c r="H27" s="23">
        <f>'Tax Depr Form 2.1 p.2'!AN74+'Tax Depr Form 2.1 p.3'!AN74</f>
        <v>50570.9601567615</v>
      </c>
    </row>
    <row r="28" spans="1:8" ht="12">
      <c r="A28" s="54">
        <f t="shared" si="1"/>
        <v>18</v>
      </c>
      <c r="B28" s="24">
        <v>2034</v>
      </c>
      <c r="C28" s="23">
        <f>'Tax Depr Form 2.1 p.2'!AH75+'Tax Depr Form 2.1 p.3'!AH75</f>
        <v>670074.2780215384</v>
      </c>
      <c r="D28" s="23">
        <f>'Tax Depr Form 2.1 p.2'!AI75+'Tax Depr Form 2.1 p.3'!AI75</f>
        <v>-396711.27802153846</v>
      </c>
      <c r="E28" s="23">
        <f>'Tax Depr Form 2.1 p.2'!AJ75+'Tax Depr Form 2.1 p.3'!AJ75</f>
        <v>-19835.563901076923</v>
      </c>
      <c r="F28" s="23">
        <f>'Tax Depr Form 2.1 p.2'!AK75+'Tax Depr Form 2.1 p.3'!AK75</f>
        <v>4165.468419226153</v>
      </c>
      <c r="G28" s="23">
        <f>'Tax Depr Form 2.1 p.2'!AM75+'Tax Depr Form 2.1 p.3'!AM75</f>
        <v>-15670.095481850769</v>
      </c>
      <c r="H28" s="23">
        <f>'Tax Depr Form 2.1 p.2'!AN75+'Tax Depr Form 2.1 p.3'!AN75</f>
        <v>34900.864674910736</v>
      </c>
    </row>
    <row r="29" spans="1:8" ht="12">
      <c r="A29" s="54">
        <f t="shared" si="1"/>
        <v>19</v>
      </c>
      <c r="B29" s="24">
        <v>2035</v>
      </c>
      <c r="C29" s="23">
        <f>'Tax Depr Form 2.1 p.2'!AH76+'Tax Depr Form 2.1 p.3'!AH76</f>
        <v>670224.4852123077</v>
      </c>
      <c r="D29" s="23">
        <f>'Tax Depr Form 2.1 p.2'!AI76+'Tax Depr Form 2.1 p.3'!AI76</f>
        <v>-396799.48521230766</v>
      </c>
      <c r="E29" s="23">
        <f>'Tax Depr Form 2.1 p.2'!AJ76+'Tax Depr Form 2.1 p.3'!AJ76</f>
        <v>-19839.97426061538</v>
      </c>
      <c r="F29" s="23">
        <f>'Tax Depr Form 2.1 p.2'!AK76+'Tax Depr Form 2.1 p.3'!AK76</f>
        <v>4166.39459472923</v>
      </c>
      <c r="G29" s="23">
        <f>'Tax Depr Form 2.1 p.2'!AM76+'Tax Depr Form 2.1 p.3'!AM76</f>
        <v>-15673.57966588615</v>
      </c>
      <c r="H29" s="23">
        <f>'Tax Depr Form 2.1 p.2'!AN76+'Tax Depr Form 2.1 p.3'!AN76</f>
        <v>19227.28500902458</v>
      </c>
    </row>
    <row r="30" spans="1:8" ht="12">
      <c r="A30" s="54">
        <f t="shared" si="1"/>
        <v>20</v>
      </c>
      <c r="B30" s="24">
        <v>2036</v>
      </c>
      <c r="C30" s="23">
        <f>'Tax Depr Form 2.1 p.2'!AH77+'Tax Depr Form 2.1 p.3'!AH77</f>
        <v>670074.2780215384</v>
      </c>
      <c r="D30" s="23">
        <f>'Tax Depr Form 2.1 p.2'!AI77+'Tax Depr Form 2.1 p.3'!AI77</f>
        <v>-396711.27802153846</v>
      </c>
      <c r="E30" s="23">
        <f>'Tax Depr Form 2.1 p.2'!AJ77+'Tax Depr Form 2.1 p.3'!AJ77</f>
        <v>-19835.563901076923</v>
      </c>
      <c r="F30" s="23">
        <f>'Tax Depr Form 2.1 p.2'!AK77+'Tax Depr Form 2.1 p.3'!AK77</f>
        <v>4165.468419226153</v>
      </c>
      <c r="G30" s="23">
        <f>'Tax Depr Form 2.1 p.2'!AM77+'Tax Depr Form 2.1 p.3'!AM77</f>
        <v>-15670.095481850769</v>
      </c>
      <c r="H30" s="23">
        <f>'Tax Depr Form 2.1 p.2'!AN77+'Tax Depr Form 2.1 p.3'!AN77</f>
        <v>3557.1895271738113</v>
      </c>
    </row>
    <row r="31" spans="1:8" ht="12">
      <c r="A31" s="54">
        <f t="shared" si="1"/>
        <v>21</v>
      </c>
      <c r="B31" s="24">
        <v>2037</v>
      </c>
      <c r="C31" s="23">
        <f>'Tax Depr Form 2.1 p.2'!AH78+'Tax Depr Form 2.1 p.3'!AH78</f>
        <v>335112.2426061538</v>
      </c>
      <c r="D31" s="23">
        <f>'Tax Depr Form 2.1 p.2'!AI78+'Tax Depr Form 2.1 p.3'!AI78</f>
        <v>-198400.24260615383</v>
      </c>
      <c r="E31" s="23">
        <f>'Tax Depr Form 2.1 p.2'!AJ78+'Tax Depr Form 2.1 p.3'!AJ78</f>
        <v>-9920.01213030769</v>
      </c>
      <c r="F31" s="23">
        <f>'Tax Depr Form 2.1 p.2'!AK78+'Tax Depr Form 2.1 p.3'!AK78</f>
        <v>2083.202547364615</v>
      </c>
      <c r="G31" s="23">
        <f>'Tax Depr Form 2.1 p.2'!AM78+'Tax Depr Form 2.1 p.3'!AM78</f>
        <v>-7836.809582943076</v>
      </c>
      <c r="H31" s="23">
        <f>'Tax Depr Form 2.1 p.2'!AN78+'Tax Depr Form 2.1 p.3'!AN78</f>
        <v>-4279.6200557692655</v>
      </c>
    </row>
    <row r="32" spans="1:8" ht="12">
      <c r="A32" s="54">
        <f>A31+1</f>
        <v>22</v>
      </c>
      <c r="B32" s="35" t="s">
        <v>9</v>
      </c>
      <c r="C32" s="23">
        <f>'Tax Depr Form 2.1 p.2'!AH79+'Tax Depr Form 2.1 p.3'!AH79</f>
        <v>15020719.07692308</v>
      </c>
      <c r="D32" s="23">
        <f>'Tax Depr Form 2.1 p.2'!AI79+'Tax Depr Form 2.1 p.3'!AI79</f>
        <v>1.9230769220685033</v>
      </c>
      <c r="E32" s="23">
        <f>'Tax Depr Form 2.1 p.2'!AJ79+'Tax Depr Form 2.1 p.3'!AJ79</f>
        <v>85594.01649999991</v>
      </c>
      <c r="F32" s="23">
        <f>'Tax Depr Form 2.1 p.2'!AK79+'Tax Depr Form 2.1 p.3'!AK79</f>
        <v>-89873.63655576922</v>
      </c>
      <c r="G32" s="23">
        <f>'Tax Depr Form 2.1 p.2'!AM79+'Tax Depr Form 2.1 p.3'!AM79</f>
        <v>-4279.6200557692655</v>
      </c>
      <c r="H32" s="23">
        <f>'Tax Depr Form 2.1 p.2'!AN79+'Tax Depr Form 2.1 p.3'!AN79</f>
        <v>0</v>
      </c>
    </row>
    <row r="35" ht="12">
      <c r="H35" s="63" t="s">
        <v>259</v>
      </c>
    </row>
    <row r="36" ht="12">
      <c r="H36" s="63" t="s">
        <v>325</v>
      </c>
    </row>
    <row r="37" spans="1:8" ht="12">
      <c r="A37" s="237" t="s">
        <v>12</v>
      </c>
      <c r="B37" s="237"/>
      <c r="C37" s="237"/>
      <c r="D37" s="237"/>
      <c r="E37" s="237"/>
      <c r="F37" s="237"/>
      <c r="G37" s="237"/>
      <c r="H37" s="237"/>
    </row>
    <row r="38" spans="1:8" ht="12">
      <c r="A38" s="237" t="s">
        <v>261</v>
      </c>
      <c r="B38" s="237"/>
      <c r="C38" s="237"/>
      <c r="D38" s="237"/>
      <c r="E38" s="237"/>
      <c r="F38" s="237"/>
      <c r="G38" s="237"/>
      <c r="H38" s="237"/>
    </row>
    <row r="39" spans="1:8" ht="12">
      <c r="A39" s="237" t="s">
        <v>197</v>
      </c>
      <c r="B39" s="237"/>
      <c r="C39" s="237"/>
      <c r="D39" s="237"/>
      <c r="E39" s="237"/>
      <c r="F39" s="237"/>
      <c r="G39" s="237"/>
      <c r="H39" s="237"/>
    </row>
    <row r="40" spans="2:8" ht="12">
      <c r="B40" s="141"/>
      <c r="C40" s="24"/>
      <c r="D40" s="24"/>
      <c r="E40" s="24"/>
      <c r="F40" s="24"/>
      <c r="G40" s="116"/>
      <c r="H40" s="24"/>
    </row>
    <row r="41" spans="2:8" ht="12">
      <c r="B41" s="141"/>
      <c r="C41" s="141"/>
      <c r="D41" s="141"/>
      <c r="E41" s="114" t="s">
        <v>177</v>
      </c>
      <c r="F41" s="141"/>
      <c r="G41" s="142"/>
      <c r="H41" s="141"/>
    </row>
    <row r="42" spans="2:8" ht="12">
      <c r="B42" s="114"/>
      <c r="C42" s="114"/>
      <c r="D42" s="114" t="s">
        <v>178</v>
      </c>
      <c r="E42" s="114" t="s">
        <v>179</v>
      </c>
      <c r="F42" s="114" t="s">
        <v>180</v>
      </c>
      <c r="G42" s="114" t="s">
        <v>9</v>
      </c>
      <c r="H42" s="114" t="s">
        <v>181</v>
      </c>
    </row>
    <row r="43" spans="1:8" ht="12.75">
      <c r="A43" s="18" t="s">
        <v>1</v>
      </c>
      <c r="B43" s="59" t="s">
        <v>0</v>
      </c>
      <c r="C43" s="59" t="s">
        <v>182</v>
      </c>
      <c r="D43" s="59" t="s">
        <v>183</v>
      </c>
      <c r="E43" s="59" t="s">
        <v>184</v>
      </c>
      <c r="F43" s="59" t="s">
        <v>185</v>
      </c>
      <c r="G43" s="59" t="s">
        <v>186</v>
      </c>
      <c r="H43" s="59" t="s">
        <v>186</v>
      </c>
    </row>
    <row r="44" spans="1:8" ht="12.75">
      <c r="A44" s="18"/>
      <c r="B44" s="21">
        <v>-1</v>
      </c>
      <c r="C44" s="21">
        <f aca="true" t="shared" si="2" ref="C44:H44">+B44-1</f>
        <v>-2</v>
      </c>
      <c r="D44" s="21">
        <f t="shared" si="2"/>
        <v>-3</v>
      </c>
      <c r="E44" s="21">
        <f t="shared" si="2"/>
        <v>-4</v>
      </c>
      <c r="F44" s="21">
        <f t="shared" si="2"/>
        <v>-5</v>
      </c>
      <c r="G44" s="21">
        <f t="shared" si="2"/>
        <v>-6</v>
      </c>
      <c r="H44" s="21">
        <f t="shared" si="2"/>
        <v>-7</v>
      </c>
    </row>
    <row r="45" spans="1:8" ht="12">
      <c r="A45" s="54">
        <v>1</v>
      </c>
      <c r="B45" s="24">
        <v>2018</v>
      </c>
      <c r="C45" s="23">
        <f>+'Tax Depr Form 2.1 p.2'!AH86+'Tax Depr Form 2.1 p.3'!AH86</f>
        <v>0</v>
      </c>
      <c r="D45" s="23">
        <f>+'Tax Depr Form 2.1 p.2'!AI86+'Tax Depr Form 2.1 p.3'!AI86</f>
        <v>0</v>
      </c>
      <c r="E45" s="23">
        <f>+'Tax Depr Form 2.1 p.2'!AJ86+'Tax Depr Form 2.1 p.3'!AJ86</f>
        <v>0</v>
      </c>
      <c r="F45" s="23">
        <f>+'Tax Depr Form 2.1 p.2'!AK86+'Tax Depr Form 2.1 p.3'!AK86</f>
        <v>0</v>
      </c>
      <c r="G45" s="23">
        <f>+'Tax Depr Form 2.1 p.2'!AM86+'Tax Depr Form 2.1 p.3'!AM86</f>
        <v>0</v>
      </c>
      <c r="H45" s="23">
        <f>+'Tax Depr Form 2.1 p.2'!AN86+'Tax Depr Form 2.1 p.3'!AN86</f>
        <v>0</v>
      </c>
    </row>
    <row r="46" spans="1:8" ht="12">
      <c r="A46" s="54">
        <f>A45+1</f>
        <v>2</v>
      </c>
      <c r="B46" s="24">
        <v>2019</v>
      </c>
      <c r="C46" s="23">
        <f>+'Tax Depr Form 2.1 p.2'!AH87+'Tax Depr Form 2.1 p.3'!AH87</f>
        <v>0</v>
      </c>
      <c r="D46" s="23">
        <f>+'Tax Depr Form 2.1 p.2'!AI87+'Tax Depr Form 2.1 p.3'!AI87</f>
        <v>0</v>
      </c>
      <c r="E46" s="23">
        <f>+'Tax Depr Form 2.1 p.2'!AJ87+'Tax Depr Form 2.1 p.3'!AJ87</f>
        <v>0</v>
      </c>
      <c r="F46" s="23">
        <f>+'Tax Depr Form 2.1 p.2'!AK87+'Tax Depr Form 2.1 p.3'!AK87</f>
        <v>0</v>
      </c>
      <c r="G46" s="23">
        <f>+'Tax Depr Form 2.1 p.2'!AM87+'Tax Depr Form 2.1 p.3'!AM87</f>
        <v>0</v>
      </c>
      <c r="H46" s="23">
        <f>+'Tax Depr Form 2.1 p.2'!AN87+'Tax Depr Form 2.1 p.3'!AN87</f>
        <v>0</v>
      </c>
    </row>
    <row r="47" spans="1:8" ht="12">
      <c r="A47" s="54">
        <f aca="true" t="shared" si="3" ref="A47:A65">A46+1</f>
        <v>3</v>
      </c>
      <c r="B47" s="24">
        <v>2020</v>
      </c>
      <c r="C47" s="23">
        <f>+'Tax Depr Form 2.1 p.2'!AH88+'Tax Depr Form 2.1 p.3'!AH88</f>
        <v>0</v>
      </c>
      <c r="D47" s="23">
        <f>+'Tax Depr Form 2.1 p.2'!AI88+'Tax Depr Form 2.1 p.3'!AI88</f>
        <v>0</v>
      </c>
      <c r="E47" s="23">
        <f>+'Tax Depr Form 2.1 p.2'!AJ88+'Tax Depr Form 2.1 p.3'!AJ88</f>
        <v>0</v>
      </c>
      <c r="F47" s="23">
        <f>+'Tax Depr Form 2.1 p.2'!AK88+'Tax Depr Form 2.1 p.3'!AK88</f>
        <v>0</v>
      </c>
      <c r="G47" s="23">
        <f>+'Tax Depr Form 2.1 p.2'!AM88+'Tax Depr Form 2.1 p.3'!AM88</f>
        <v>0</v>
      </c>
      <c r="H47" s="23">
        <f>+'Tax Depr Form 2.1 p.2'!AN88+'Tax Depr Form 2.1 p.3'!AN88</f>
        <v>0</v>
      </c>
    </row>
    <row r="48" spans="1:8" ht="12">
      <c r="A48" s="54">
        <f t="shared" si="3"/>
        <v>4</v>
      </c>
      <c r="B48" s="24">
        <v>2021</v>
      </c>
      <c r="C48" s="23">
        <f>+'Tax Depr Form 2.1 p.2'!AH89+'Tax Depr Form 2.1 p.3'!AH89</f>
        <v>0</v>
      </c>
      <c r="D48" s="23">
        <f>+'Tax Depr Form 2.1 p.2'!AI89+'Tax Depr Form 2.1 p.3'!AI89</f>
        <v>0</v>
      </c>
      <c r="E48" s="23">
        <f>+'Tax Depr Form 2.1 p.2'!AJ89+'Tax Depr Form 2.1 p.3'!AJ89</f>
        <v>0</v>
      </c>
      <c r="F48" s="23">
        <f>+'Tax Depr Form 2.1 p.2'!AK89+'Tax Depr Form 2.1 p.3'!AK89</f>
        <v>0</v>
      </c>
      <c r="G48" s="23">
        <f>+'Tax Depr Form 2.1 p.2'!AM89+'Tax Depr Form 2.1 p.3'!AM89</f>
        <v>0</v>
      </c>
      <c r="H48" s="23">
        <f>+'Tax Depr Form 2.1 p.2'!AN89+'Tax Depr Form 2.1 p.3'!AN89</f>
        <v>0</v>
      </c>
    </row>
    <row r="49" spans="1:8" ht="12">
      <c r="A49" s="54">
        <f t="shared" si="3"/>
        <v>5</v>
      </c>
      <c r="B49" s="24">
        <v>2022</v>
      </c>
      <c r="C49" s="23">
        <f>+'Tax Depr Form 2.1 p.2'!AH90+'Tax Depr Form 2.1 p.3'!AH90</f>
        <v>0</v>
      </c>
      <c r="D49" s="23">
        <f>+'Tax Depr Form 2.1 p.2'!AI90+'Tax Depr Form 2.1 p.3'!AI90</f>
        <v>0</v>
      </c>
      <c r="E49" s="23">
        <f>+'Tax Depr Form 2.1 p.2'!AJ90+'Tax Depr Form 2.1 p.3'!AJ90</f>
        <v>0</v>
      </c>
      <c r="F49" s="23">
        <f>+'Tax Depr Form 2.1 p.2'!AK90+'Tax Depr Form 2.1 p.3'!AK90</f>
        <v>0</v>
      </c>
      <c r="G49" s="23">
        <f>+'Tax Depr Form 2.1 p.2'!AM90+'Tax Depr Form 2.1 p.3'!AM90</f>
        <v>0</v>
      </c>
      <c r="H49" s="23">
        <f>+'Tax Depr Form 2.1 p.2'!AN90+'Tax Depr Form 2.1 p.3'!AN90</f>
        <v>0</v>
      </c>
    </row>
    <row r="50" spans="1:8" ht="12">
      <c r="A50" s="54">
        <f t="shared" si="3"/>
        <v>6</v>
      </c>
      <c r="B50" s="24">
        <v>2023</v>
      </c>
      <c r="C50" s="23">
        <f>+'Tax Depr Form 2.1 p.2'!AH91+'Tax Depr Form 2.1 p.3'!AH91</f>
        <v>0</v>
      </c>
      <c r="D50" s="23">
        <f>+'Tax Depr Form 2.1 p.2'!AI91+'Tax Depr Form 2.1 p.3'!AI91</f>
        <v>0</v>
      </c>
      <c r="E50" s="23">
        <f>+'Tax Depr Form 2.1 p.2'!AJ91+'Tax Depr Form 2.1 p.3'!AJ91</f>
        <v>0</v>
      </c>
      <c r="F50" s="23">
        <f>+'Tax Depr Form 2.1 p.2'!AK91+'Tax Depr Form 2.1 p.3'!AK91</f>
        <v>0</v>
      </c>
      <c r="G50" s="23">
        <f>+'Tax Depr Form 2.1 p.2'!AM91+'Tax Depr Form 2.1 p.3'!AM91</f>
        <v>0</v>
      </c>
      <c r="H50" s="23">
        <f>+'Tax Depr Form 2.1 p.2'!AN91+'Tax Depr Form 2.1 p.3'!AN91</f>
        <v>0</v>
      </c>
    </row>
    <row r="51" spans="1:8" ht="12">
      <c r="A51" s="54">
        <f t="shared" si="3"/>
        <v>7</v>
      </c>
      <c r="B51" s="24">
        <v>2024</v>
      </c>
      <c r="C51" s="23">
        <f>+'Tax Depr Form 2.1 p.2'!AH92+'Tax Depr Form 2.1 p.3'!AH92</f>
        <v>0</v>
      </c>
      <c r="D51" s="23">
        <f>+'Tax Depr Form 2.1 p.2'!AI92+'Tax Depr Form 2.1 p.3'!AI92</f>
        <v>0</v>
      </c>
      <c r="E51" s="23">
        <f>+'Tax Depr Form 2.1 p.2'!AJ92+'Tax Depr Form 2.1 p.3'!AJ92</f>
        <v>0</v>
      </c>
      <c r="F51" s="23">
        <f>+'Tax Depr Form 2.1 p.2'!AK92+'Tax Depr Form 2.1 p.3'!AK92</f>
        <v>0</v>
      </c>
      <c r="G51" s="23">
        <f>+'Tax Depr Form 2.1 p.2'!AM92+'Tax Depr Form 2.1 p.3'!AM92</f>
        <v>0</v>
      </c>
      <c r="H51" s="23">
        <f>+'Tax Depr Form 2.1 p.2'!AN92+'Tax Depr Form 2.1 p.3'!AN92</f>
        <v>0</v>
      </c>
    </row>
    <row r="52" spans="1:8" ht="12">
      <c r="A52" s="54">
        <f t="shared" si="3"/>
        <v>8</v>
      </c>
      <c r="B52" s="24">
        <v>2025</v>
      </c>
      <c r="C52" s="23">
        <f>+'Tax Depr Form 2.1 p.2'!AH93+'Tax Depr Form 2.1 p.3'!AH93</f>
        <v>0</v>
      </c>
      <c r="D52" s="23">
        <f>+'Tax Depr Form 2.1 p.2'!AI93+'Tax Depr Form 2.1 p.3'!AI93</f>
        <v>0</v>
      </c>
      <c r="E52" s="23">
        <f>+'Tax Depr Form 2.1 p.2'!AJ93+'Tax Depr Form 2.1 p.3'!AJ93</f>
        <v>0</v>
      </c>
      <c r="F52" s="23">
        <f>+'Tax Depr Form 2.1 p.2'!AK93+'Tax Depr Form 2.1 p.3'!AK93</f>
        <v>0</v>
      </c>
      <c r="G52" s="23">
        <f>+'Tax Depr Form 2.1 p.2'!AM93+'Tax Depr Form 2.1 p.3'!AM93</f>
        <v>0</v>
      </c>
      <c r="H52" s="23">
        <f>+'Tax Depr Form 2.1 p.2'!AN93+'Tax Depr Form 2.1 p.3'!AN93</f>
        <v>0</v>
      </c>
    </row>
    <row r="53" spans="1:8" ht="12">
      <c r="A53" s="54">
        <f t="shared" si="3"/>
        <v>9</v>
      </c>
      <c r="B53" s="24">
        <v>2026</v>
      </c>
      <c r="C53" s="23">
        <f>+'Tax Depr Form 2.1 p.2'!AH94+'Tax Depr Form 2.1 p.3'!AH94</f>
        <v>0</v>
      </c>
      <c r="D53" s="23">
        <f>+'Tax Depr Form 2.1 p.2'!AI94+'Tax Depr Form 2.1 p.3'!AI94</f>
        <v>0</v>
      </c>
      <c r="E53" s="23">
        <f>+'Tax Depr Form 2.1 p.2'!AJ94+'Tax Depr Form 2.1 p.3'!AJ94</f>
        <v>0</v>
      </c>
      <c r="F53" s="23">
        <f>+'Tax Depr Form 2.1 p.2'!AK94+'Tax Depr Form 2.1 p.3'!AK94</f>
        <v>0</v>
      </c>
      <c r="G53" s="23">
        <f>+'Tax Depr Form 2.1 p.2'!AM94+'Tax Depr Form 2.1 p.3'!AM94</f>
        <v>0</v>
      </c>
      <c r="H53" s="23">
        <f>+'Tax Depr Form 2.1 p.2'!AN94+'Tax Depr Form 2.1 p.3'!AN94</f>
        <v>0</v>
      </c>
    </row>
    <row r="54" spans="1:8" ht="12">
      <c r="A54" s="54">
        <f t="shared" si="3"/>
        <v>10</v>
      </c>
      <c r="B54" s="24">
        <v>2027</v>
      </c>
      <c r="C54" s="23">
        <f>+'Tax Depr Form 2.1 p.2'!AH95+'Tax Depr Form 2.1 p.3'!AH95</f>
        <v>0</v>
      </c>
      <c r="D54" s="23">
        <f>+'Tax Depr Form 2.1 p.2'!AI95+'Tax Depr Form 2.1 p.3'!AI95</f>
        <v>0</v>
      </c>
      <c r="E54" s="23">
        <f>+'Tax Depr Form 2.1 p.2'!AJ95+'Tax Depr Form 2.1 p.3'!AJ95</f>
        <v>0</v>
      </c>
      <c r="F54" s="23">
        <f>+'Tax Depr Form 2.1 p.2'!AK95+'Tax Depr Form 2.1 p.3'!AK95</f>
        <v>0</v>
      </c>
      <c r="G54" s="23">
        <f>+'Tax Depr Form 2.1 p.2'!AM95+'Tax Depr Form 2.1 p.3'!AM95</f>
        <v>0</v>
      </c>
      <c r="H54" s="23">
        <f>+'Tax Depr Form 2.1 p.2'!AN95+'Tax Depr Form 2.1 p.3'!AN95</f>
        <v>0</v>
      </c>
    </row>
    <row r="55" spans="1:8" ht="12">
      <c r="A55" s="54">
        <f t="shared" si="3"/>
        <v>11</v>
      </c>
      <c r="B55" s="24">
        <v>2028</v>
      </c>
      <c r="C55" s="23">
        <f>+'Tax Depr Form 2.1 p.2'!AH96+'Tax Depr Form 2.1 p.3'!AH96</f>
        <v>0</v>
      </c>
      <c r="D55" s="23">
        <f>+'Tax Depr Form 2.1 p.2'!AI96+'Tax Depr Form 2.1 p.3'!AI96</f>
        <v>0</v>
      </c>
      <c r="E55" s="23">
        <f>+'Tax Depr Form 2.1 p.2'!AJ96+'Tax Depr Form 2.1 p.3'!AJ96</f>
        <v>0</v>
      </c>
      <c r="F55" s="23">
        <f>+'Tax Depr Form 2.1 p.2'!AK96+'Tax Depr Form 2.1 p.3'!AK96</f>
        <v>0</v>
      </c>
      <c r="G55" s="23">
        <f>+'Tax Depr Form 2.1 p.2'!AM96+'Tax Depr Form 2.1 p.3'!AM96</f>
        <v>0</v>
      </c>
      <c r="H55" s="23">
        <f>+'Tax Depr Form 2.1 p.2'!AN96+'Tax Depr Form 2.1 p.3'!AN96</f>
        <v>0</v>
      </c>
    </row>
    <row r="56" spans="1:8" ht="12">
      <c r="A56" s="54">
        <f t="shared" si="3"/>
        <v>12</v>
      </c>
      <c r="B56" s="24">
        <v>2029</v>
      </c>
      <c r="C56" s="23">
        <f>+'Tax Depr Form 2.1 p.2'!AH97+'Tax Depr Form 2.1 p.3'!AH97</f>
        <v>0</v>
      </c>
      <c r="D56" s="23">
        <f>+'Tax Depr Form 2.1 p.2'!AI97+'Tax Depr Form 2.1 p.3'!AI97</f>
        <v>0</v>
      </c>
      <c r="E56" s="23">
        <f>+'Tax Depr Form 2.1 p.2'!AJ97+'Tax Depr Form 2.1 p.3'!AJ97</f>
        <v>0</v>
      </c>
      <c r="F56" s="23">
        <f>+'Tax Depr Form 2.1 p.2'!AK97+'Tax Depr Form 2.1 p.3'!AK97</f>
        <v>0</v>
      </c>
      <c r="G56" s="23">
        <f>+'Tax Depr Form 2.1 p.2'!AM97+'Tax Depr Form 2.1 p.3'!AM97</f>
        <v>0</v>
      </c>
      <c r="H56" s="23">
        <f>+'Tax Depr Form 2.1 p.2'!AN97+'Tax Depr Form 2.1 p.3'!AN97</f>
        <v>0</v>
      </c>
    </row>
    <row r="57" spans="1:8" ht="12">
      <c r="A57" s="54">
        <f t="shared" si="3"/>
        <v>13</v>
      </c>
      <c r="B57" s="24">
        <v>2030</v>
      </c>
      <c r="C57" s="23">
        <f>+'Tax Depr Form 2.1 p.2'!AH98+'Tax Depr Form 2.1 p.3'!AH98</f>
        <v>0</v>
      </c>
      <c r="D57" s="23">
        <f>+'Tax Depr Form 2.1 p.2'!AI98+'Tax Depr Form 2.1 p.3'!AI98</f>
        <v>0</v>
      </c>
      <c r="E57" s="23">
        <f>+'Tax Depr Form 2.1 p.2'!AJ98+'Tax Depr Form 2.1 p.3'!AJ98</f>
        <v>0</v>
      </c>
      <c r="F57" s="23">
        <f>+'Tax Depr Form 2.1 p.2'!AK98+'Tax Depr Form 2.1 p.3'!AK98</f>
        <v>0</v>
      </c>
      <c r="G57" s="23">
        <f>+'Tax Depr Form 2.1 p.2'!AM98+'Tax Depr Form 2.1 p.3'!AM98</f>
        <v>0</v>
      </c>
      <c r="H57" s="23">
        <f>+'Tax Depr Form 2.1 p.2'!AN98+'Tax Depr Form 2.1 p.3'!AN98</f>
        <v>0</v>
      </c>
    </row>
    <row r="58" spans="1:8" ht="12">
      <c r="A58" s="54">
        <f t="shared" si="3"/>
        <v>14</v>
      </c>
      <c r="B58" s="24">
        <v>2031</v>
      </c>
      <c r="C58" s="23">
        <f>+'Tax Depr Form 2.1 p.2'!AH99+'Tax Depr Form 2.1 p.3'!AH99</f>
        <v>0</v>
      </c>
      <c r="D58" s="23">
        <f>+'Tax Depr Form 2.1 p.2'!AI99+'Tax Depr Form 2.1 p.3'!AI99</f>
        <v>0</v>
      </c>
      <c r="E58" s="23">
        <f>+'Tax Depr Form 2.1 p.2'!AJ99+'Tax Depr Form 2.1 p.3'!AJ99</f>
        <v>0</v>
      </c>
      <c r="F58" s="23">
        <f>+'Tax Depr Form 2.1 p.2'!AK99+'Tax Depr Form 2.1 p.3'!AK99</f>
        <v>0</v>
      </c>
      <c r="G58" s="23">
        <f>+'Tax Depr Form 2.1 p.2'!AM99+'Tax Depr Form 2.1 p.3'!AM99</f>
        <v>0</v>
      </c>
      <c r="H58" s="23">
        <f>+'Tax Depr Form 2.1 p.2'!AN99+'Tax Depr Form 2.1 p.3'!AN99</f>
        <v>0</v>
      </c>
    </row>
    <row r="59" spans="1:8" ht="12">
      <c r="A59" s="54">
        <f t="shared" si="3"/>
        <v>15</v>
      </c>
      <c r="B59" s="24">
        <v>2032</v>
      </c>
      <c r="C59" s="23">
        <f>+'Tax Depr Form 2.1 p.2'!AH100+'Tax Depr Form 2.1 p.3'!AH100</f>
        <v>0</v>
      </c>
      <c r="D59" s="23">
        <f>+'Tax Depr Form 2.1 p.2'!AI100+'Tax Depr Form 2.1 p.3'!AI100</f>
        <v>0</v>
      </c>
      <c r="E59" s="23">
        <f>+'Tax Depr Form 2.1 p.2'!AJ100+'Tax Depr Form 2.1 p.3'!AJ100</f>
        <v>0</v>
      </c>
      <c r="F59" s="23">
        <f>+'Tax Depr Form 2.1 p.2'!AK100+'Tax Depr Form 2.1 p.3'!AK100</f>
        <v>0</v>
      </c>
      <c r="G59" s="23">
        <f>+'Tax Depr Form 2.1 p.2'!AM100+'Tax Depr Form 2.1 p.3'!AM100</f>
        <v>0</v>
      </c>
      <c r="H59" s="23">
        <f>+'Tax Depr Form 2.1 p.2'!AN100+'Tax Depr Form 2.1 p.3'!AN100</f>
        <v>0</v>
      </c>
    </row>
    <row r="60" spans="1:8" ht="12">
      <c r="A60" s="54">
        <f t="shared" si="3"/>
        <v>16</v>
      </c>
      <c r="B60" s="24">
        <v>2033</v>
      </c>
      <c r="C60" s="23">
        <f>+'Tax Depr Form 2.1 p.2'!AH101+'Tax Depr Form 2.1 p.3'!AH101</f>
        <v>0</v>
      </c>
      <c r="D60" s="23">
        <f>+'Tax Depr Form 2.1 p.2'!AI101+'Tax Depr Form 2.1 p.3'!AI101</f>
        <v>0</v>
      </c>
      <c r="E60" s="23">
        <f>+'Tax Depr Form 2.1 p.2'!AJ101+'Tax Depr Form 2.1 p.3'!AJ101</f>
        <v>0</v>
      </c>
      <c r="F60" s="23">
        <f>+'Tax Depr Form 2.1 p.2'!AK101+'Tax Depr Form 2.1 p.3'!AK101</f>
        <v>0</v>
      </c>
      <c r="G60" s="23">
        <f>+'Tax Depr Form 2.1 p.2'!AM101+'Tax Depr Form 2.1 p.3'!AM101</f>
        <v>0</v>
      </c>
      <c r="H60" s="23">
        <f>+'Tax Depr Form 2.1 p.2'!AN101+'Tax Depr Form 2.1 p.3'!AN101</f>
        <v>0</v>
      </c>
    </row>
    <row r="61" spans="1:8" ht="12">
      <c r="A61" s="54">
        <f t="shared" si="3"/>
        <v>17</v>
      </c>
      <c r="B61" s="24">
        <v>2034</v>
      </c>
      <c r="C61" s="23">
        <f>+'Tax Depr Form 2.1 p.2'!AH102+'Tax Depr Form 2.1 p.3'!AH102</f>
        <v>0</v>
      </c>
      <c r="D61" s="23">
        <f>+'Tax Depr Form 2.1 p.2'!AI102+'Tax Depr Form 2.1 p.3'!AI102</f>
        <v>0</v>
      </c>
      <c r="E61" s="23">
        <f>+'Tax Depr Form 2.1 p.2'!AJ102+'Tax Depr Form 2.1 p.3'!AJ102</f>
        <v>0</v>
      </c>
      <c r="F61" s="23">
        <f>+'Tax Depr Form 2.1 p.2'!AK102+'Tax Depr Form 2.1 p.3'!AK102</f>
        <v>0</v>
      </c>
      <c r="G61" s="23">
        <f>+'Tax Depr Form 2.1 p.2'!AM102+'Tax Depr Form 2.1 p.3'!AM102</f>
        <v>0</v>
      </c>
      <c r="H61" s="23">
        <f>+'Tax Depr Form 2.1 p.2'!AN102+'Tax Depr Form 2.1 p.3'!AN102</f>
        <v>0</v>
      </c>
    </row>
    <row r="62" spans="1:8" ht="12">
      <c r="A62" s="54">
        <f t="shared" si="3"/>
        <v>18</v>
      </c>
      <c r="B62" s="24">
        <v>2035</v>
      </c>
      <c r="C62" s="23">
        <f>+'Tax Depr Form 2.1 p.2'!AH103+'Tax Depr Form 2.1 p.3'!AH103</f>
        <v>0</v>
      </c>
      <c r="D62" s="23">
        <f>+'Tax Depr Form 2.1 p.2'!AI103+'Tax Depr Form 2.1 p.3'!AI103</f>
        <v>0</v>
      </c>
      <c r="E62" s="23">
        <f>+'Tax Depr Form 2.1 p.2'!AJ103+'Tax Depr Form 2.1 p.3'!AJ103</f>
        <v>0</v>
      </c>
      <c r="F62" s="23">
        <f>+'Tax Depr Form 2.1 p.2'!AK103+'Tax Depr Form 2.1 p.3'!AK103</f>
        <v>0</v>
      </c>
      <c r="G62" s="23">
        <f>+'Tax Depr Form 2.1 p.2'!AM103+'Tax Depr Form 2.1 p.3'!AM103</f>
        <v>0</v>
      </c>
      <c r="H62" s="23">
        <f>+'Tax Depr Form 2.1 p.2'!AN103+'Tax Depr Form 2.1 p.3'!AN103</f>
        <v>0</v>
      </c>
    </row>
    <row r="63" spans="1:8" ht="12">
      <c r="A63" s="54">
        <f t="shared" si="3"/>
        <v>19</v>
      </c>
      <c r="B63" s="24">
        <v>2036</v>
      </c>
      <c r="C63" s="23">
        <f>+'Tax Depr Form 2.1 p.2'!AH104+'Tax Depr Form 2.1 p.3'!AH104</f>
        <v>0</v>
      </c>
      <c r="D63" s="23">
        <f>+'Tax Depr Form 2.1 p.2'!AI104+'Tax Depr Form 2.1 p.3'!AI104</f>
        <v>0</v>
      </c>
      <c r="E63" s="23">
        <f>+'Tax Depr Form 2.1 p.2'!AJ104+'Tax Depr Form 2.1 p.3'!AJ104</f>
        <v>0</v>
      </c>
      <c r="F63" s="23">
        <f>+'Tax Depr Form 2.1 p.2'!AK104+'Tax Depr Form 2.1 p.3'!AK104</f>
        <v>0</v>
      </c>
      <c r="G63" s="23">
        <f>+'Tax Depr Form 2.1 p.2'!AM104+'Tax Depr Form 2.1 p.3'!AM104</f>
        <v>0</v>
      </c>
      <c r="H63" s="23">
        <f>+'Tax Depr Form 2.1 p.2'!AN104+'Tax Depr Form 2.1 p.3'!AN104</f>
        <v>0</v>
      </c>
    </row>
    <row r="64" spans="1:8" ht="12">
      <c r="A64" s="54">
        <f t="shared" si="3"/>
        <v>20</v>
      </c>
      <c r="B64" s="24">
        <v>2037</v>
      </c>
      <c r="C64" s="23">
        <f>+'Tax Depr Form 2.1 p.2'!AH105+'Tax Depr Form 2.1 p.3'!AH105</f>
        <v>0</v>
      </c>
      <c r="D64" s="23">
        <f>+'Tax Depr Form 2.1 p.2'!AI105+'Tax Depr Form 2.1 p.3'!AI105</f>
        <v>0</v>
      </c>
      <c r="E64" s="23">
        <f>+'Tax Depr Form 2.1 p.2'!AJ105+'Tax Depr Form 2.1 p.3'!AJ105</f>
        <v>0</v>
      </c>
      <c r="F64" s="23">
        <f>+'Tax Depr Form 2.1 p.2'!AK105+'Tax Depr Form 2.1 p.3'!AK105</f>
        <v>0</v>
      </c>
      <c r="G64" s="23">
        <f>+'Tax Depr Form 2.1 p.2'!AM105+'Tax Depr Form 2.1 p.3'!AM105</f>
        <v>0</v>
      </c>
      <c r="H64" s="23">
        <f>+'Tax Depr Form 2.1 p.2'!AN105+'Tax Depr Form 2.1 p.3'!AN105</f>
        <v>0</v>
      </c>
    </row>
    <row r="65" spans="1:8" ht="12">
      <c r="A65" s="54">
        <f t="shared" si="3"/>
        <v>21</v>
      </c>
      <c r="B65" s="24">
        <v>2038</v>
      </c>
      <c r="C65" s="23">
        <f>+'Tax Depr Form 2.1 p.2'!AH106+'Tax Depr Form 2.1 p.3'!AH106</f>
        <v>0</v>
      </c>
      <c r="D65" s="23">
        <f>+'Tax Depr Form 2.1 p.2'!AI106+'Tax Depr Form 2.1 p.3'!AI106</f>
        <v>0</v>
      </c>
      <c r="E65" s="23">
        <f>+'Tax Depr Form 2.1 p.2'!AJ106+'Tax Depr Form 2.1 p.3'!AJ106</f>
        <v>0</v>
      </c>
      <c r="F65" s="23">
        <f>+'Tax Depr Form 2.1 p.2'!AK106+'Tax Depr Form 2.1 p.3'!AK106</f>
        <v>0</v>
      </c>
      <c r="G65" s="23">
        <f>+'Tax Depr Form 2.1 p.2'!AM106+'Tax Depr Form 2.1 p.3'!AM106</f>
        <v>0</v>
      </c>
      <c r="H65" s="23">
        <f>+'Tax Depr Form 2.1 p.2'!AN106+'Tax Depr Form 2.1 p.3'!AN106</f>
        <v>0</v>
      </c>
    </row>
    <row r="66" spans="1:8" ht="12">
      <c r="A66" s="54">
        <f>A65+1</f>
        <v>22</v>
      </c>
      <c r="B66" s="35" t="s">
        <v>9</v>
      </c>
      <c r="C66" s="23">
        <f>+'Tax Depr Form 2.1 p.2'!AH107+'Tax Depr Form 2.1 p.3'!AH107</f>
        <v>0</v>
      </c>
      <c r="D66" s="23">
        <f>+'Tax Depr Form 2.1 p.2'!AI107+'Tax Depr Form 2.1 p.3'!AI107</f>
        <v>0</v>
      </c>
      <c r="E66" s="23">
        <f>+'Tax Depr Form 2.1 p.2'!AJ107+'Tax Depr Form 2.1 p.3'!AJ107</f>
        <v>0</v>
      </c>
      <c r="F66" s="23">
        <f>+'Tax Depr Form 2.1 p.2'!AK107+'Tax Depr Form 2.1 p.3'!AK107</f>
        <v>0</v>
      </c>
      <c r="G66" s="23">
        <f>+'Tax Depr Form 2.1 p.2'!AM107+'Tax Depr Form 2.1 p.3'!AM107</f>
        <v>0</v>
      </c>
      <c r="H66" s="23">
        <f>+'Tax Depr Form 2.1 p.2'!AN107+'Tax Depr Form 2.1 p.3'!AN107</f>
        <v>0</v>
      </c>
    </row>
    <row r="67" ht="12">
      <c r="H67" s="63" t="s">
        <v>259</v>
      </c>
    </row>
    <row r="68" ht="12">
      <c r="H68" s="63" t="s">
        <v>324</v>
      </c>
    </row>
    <row r="69" spans="1:8" ht="12">
      <c r="A69" s="237" t="s">
        <v>12</v>
      </c>
      <c r="B69" s="237"/>
      <c r="C69" s="237"/>
      <c r="D69" s="237"/>
      <c r="E69" s="237"/>
      <c r="F69" s="237"/>
      <c r="G69" s="237"/>
      <c r="H69" s="237"/>
    </row>
    <row r="70" spans="1:8" ht="12">
      <c r="A70" s="237" t="s">
        <v>261</v>
      </c>
      <c r="B70" s="237"/>
      <c r="C70" s="237"/>
      <c r="D70" s="237"/>
      <c r="E70" s="237"/>
      <c r="F70" s="237"/>
      <c r="G70" s="237"/>
      <c r="H70" s="237"/>
    </row>
    <row r="71" spans="1:8" ht="12">
      <c r="A71" s="237" t="s">
        <v>260</v>
      </c>
      <c r="B71" s="237"/>
      <c r="C71" s="237"/>
      <c r="D71" s="237"/>
      <c r="E71" s="237"/>
      <c r="F71" s="237"/>
      <c r="G71" s="237"/>
      <c r="H71" s="237"/>
    </row>
    <row r="72" spans="2:8" ht="12">
      <c r="B72" s="141"/>
      <c r="C72" s="24"/>
      <c r="D72" s="24"/>
      <c r="E72" s="24"/>
      <c r="F72" s="24"/>
      <c r="G72" s="116"/>
      <c r="H72" s="24"/>
    </row>
    <row r="73" spans="2:8" ht="12">
      <c r="B73" s="141"/>
      <c r="C73" s="141"/>
      <c r="D73" s="141"/>
      <c r="E73" s="114" t="s">
        <v>177</v>
      </c>
      <c r="F73" s="141"/>
      <c r="G73" s="142"/>
      <c r="H73" s="141"/>
    </row>
    <row r="74" spans="2:8" ht="12">
      <c r="B74" s="114"/>
      <c r="C74" s="114"/>
      <c r="D74" s="114" t="s">
        <v>178</v>
      </c>
      <c r="E74" s="114" t="s">
        <v>179</v>
      </c>
      <c r="F74" s="114" t="s">
        <v>180</v>
      </c>
      <c r="G74" s="114" t="s">
        <v>9</v>
      </c>
      <c r="H74" s="114" t="s">
        <v>181</v>
      </c>
    </row>
    <row r="75" spans="1:8" ht="12.75">
      <c r="A75" s="18" t="s">
        <v>1</v>
      </c>
      <c r="B75" s="59" t="s">
        <v>0</v>
      </c>
      <c r="C75" s="59" t="s">
        <v>182</v>
      </c>
      <c r="D75" s="59" t="s">
        <v>183</v>
      </c>
      <c r="E75" s="59" t="s">
        <v>184</v>
      </c>
      <c r="F75" s="59" t="s">
        <v>185</v>
      </c>
      <c r="G75" s="59" t="s">
        <v>186</v>
      </c>
      <c r="H75" s="59" t="s">
        <v>186</v>
      </c>
    </row>
    <row r="76" spans="1:8" ht="12.75">
      <c r="A76" s="18"/>
      <c r="B76" s="21">
        <v>-1</v>
      </c>
      <c r="C76" s="21">
        <f aca="true" t="shared" si="4" ref="C76:H76">+B76-1</f>
        <v>-2</v>
      </c>
      <c r="D76" s="21">
        <f t="shared" si="4"/>
        <v>-3</v>
      </c>
      <c r="E76" s="21">
        <f t="shared" si="4"/>
        <v>-4</v>
      </c>
      <c r="F76" s="21">
        <f t="shared" si="4"/>
        <v>-5</v>
      </c>
      <c r="G76" s="21">
        <f t="shared" si="4"/>
        <v>-6</v>
      </c>
      <c r="H76" s="21">
        <f t="shared" si="4"/>
        <v>-7</v>
      </c>
    </row>
    <row r="77" spans="1:8" ht="12">
      <c r="A77" s="54">
        <v>1</v>
      </c>
      <c r="B77" s="24">
        <v>2019</v>
      </c>
      <c r="C77" s="23">
        <f>+'Tax Depr Form 2.1 p.2'!AH118+'Tax Depr Form 2.1 p.3'!AH118</f>
        <v>0</v>
      </c>
      <c r="D77" s="23">
        <f>+'Tax Depr Form 2.1 p.2'!AI118+'Tax Depr Form 2.1 p.3'!AI118</f>
        <v>0</v>
      </c>
      <c r="E77" s="23">
        <f>+'Tax Depr Form 2.1 p.2'!AJ118+'Tax Depr Form 2.1 p.3'!AJ118</f>
        <v>0</v>
      </c>
      <c r="F77" s="23">
        <f>+'Tax Depr Form 2.1 p.2'!AK118+'Tax Depr Form 2.1 p.3'!AK118</f>
        <v>0</v>
      </c>
      <c r="G77" s="23">
        <f>+'Tax Depr Form 2.1 p.2'!AM118+'Tax Depr Form 2.1 p.3'!AM118</f>
        <v>0</v>
      </c>
      <c r="H77" s="23">
        <f>+'Tax Depr Form 2.1 p.2'!AN118+'Tax Depr Form 2.1 p.3'!AN118</f>
        <v>0</v>
      </c>
    </row>
    <row r="78" spans="1:8" ht="12">
      <c r="A78" s="54">
        <f>A77+1</f>
        <v>2</v>
      </c>
      <c r="B78" s="24">
        <v>2020</v>
      </c>
      <c r="C78" s="23">
        <f>+'Tax Depr Form 2.1 p.2'!AH119+'Tax Depr Form 2.1 p.3'!AH119</f>
        <v>0</v>
      </c>
      <c r="D78" s="23">
        <f>+'Tax Depr Form 2.1 p.2'!AI119+'Tax Depr Form 2.1 p.3'!AI119</f>
        <v>0</v>
      </c>
      <c r="E78" s="23">
        <f>+'Tax Depr Form 2.1 p.2'!AJ119+'Tax Depr Form 2.1 p.3'!AJ119</f>
        <v>0</v>
      </c>
      <c r="F78" s="23">
        <f>+'Tax Depr Form 2.1 p.2'!AK119+'Tax Depr Form 2.1 p.3'!AK119</f>
        <v>0</v>
      </c>
      <c r="G78" s="23">
        <f>+'Tax Depr Form 2.1 p.2'!AM119+'Tax Depr Form 2.1 p.3'!AM119</f>
        <v>0</v>
      </c>
      <c r="H78" s="23">
        <f>+'Tax Depr Form 2.1 p.2'!AN119+'Tax Depr Form 2.1 p.3'!AN119</f>
        <v>0</v>
      </c>
    </row>
    <row r="79" spans="1:8" ht="12">
      <c r="A79" s="54">
        <f aca="true" t="shared" si="5" ref="A79:A97">A78+1</f>
        <v>3</v>
      </c>
      <c r="B79" s="24">
        <v>2021</v>
      </c>
      <c r="C79" s="23">
        <f>+'Tax Depr Form 2.1 p.2'!AH120+'Tax Depr Form 2.1 p.3'!AH120</f>
        <v>0</v>
      </c>
      <c r="D79" s="23">
        <f>+'Tax Depr Form 2.1 p.2'!AI120+'Tax Depr Form 2.1 p.3'!AI120</f>
        <v>0</v>
      </c>
      <c r="E79" s="23">
        <f>+'Tax Depr Form 2.1 p.2'!AJ120+'Tax Depr Form 2.1 p.3'!AJ120</f>
        <v>0</v>
      </c>
      <c r="F79" s="23">
        <f>+'Tax Depr Form 2.1 p.2'!AK120+'Tax Depr Form 2.1 p.3'!AK120</f>
        <v>0</v>
      </c>
      <c r="G79" s="23">
        <f>+'Tax Depr Form 2.1 p.2'!AM120+'Tax Depr Form 2.1 p.3'!AM120</f>
        <v>0</v>
      </c>
      <c r="H79" s="23">
        <f>+'Tax Depr Form 2.1 p.2'!AN120+'Tax Depr Form 2.1 p.3'!AN120</f>
        <v>0</v>
      </c>
    </row>
    <row r="80" spans="1:8" ht="12">
      <c r="A80" s="54">
        <f t="shared" si="5"/>
        <v>4</v>
      </c>
      <c r="B80" s="24">
        <v>2022</v>
      </c>
      <c r="C80" s="23">
        <f>+'Tax Depr Form 2.1 p.2'!AH121+'Tax Depr Form 2.1 p.3'!AH121</f>
        <v>0</v>
      </c>
      <c r="D80" s="23">
        <f>+'Tax Depr Form 2.1 p.2'!AI121+'Tax Depr Form 2.1 p.3'!AI121</f>
        <v>0</v>
      </c>
      <c r="E80" s="23">
        <f>+'Tax Depr Form 2.1 p.2'!AJ121+'Tax Depr Form 2.1 p.3'!AJ121</f>
        <v>0</v>
      </c>
      <c r="F80" s="23">
        <f>+'Tax Depr Form 2.1 p.2'!AK121+'Tax Depr Form 2.1 p.3'!AK121</f>
        <v>0</v>
      </c>
      <c r="G80" s="23">
        <f>+'Tax Depr Form 2.1 p.2'!AM121+'Tax Depr Form 2.1 p.3'!AM121</f>
        <v>0</v>
      </c>
      <c r="H80" s="23">
        <f>+'Tax Depr Form 2.1 p.2'!AN121+'Tax Depr Form 2.1 p.3'!AN121</f>
        <v>0</v>
      </c>
    </row>
    <row r="81" spans="1:8" ht="12">
      <c r="A81" s="54">
        <f t="shared" si="5"/>
        <v>5</v>
      </c>
      <c r="B81" s="24">
        <v>2023</v>
      </c>
      <c r="C81" s="23">
        <f>+'Tax Depr Form 2.1 p.2'!AH122+'Tax Depr Form 2.1 p.3'!AH122</f>
        <v>0</v>
      </c>
      <c r="D81" s="23">
        <f>+'Tax Depr Form 2.1 p.2'!AI122+'Tax Depr Form 2.1 p.3'!AI122</f>
        <v>0</v>
      </c>
      <c r="E81" s="23">
        <f>+'Tax Depr Form 2.1 p.2'!AJ122+'Tax Depr Form 2.1 p.3'!AJ122</f>
        <v>0</v>
      </c>
      <c r="F81" s="23">
        <f>+'Tax Depr Form 2.1 p.2'!AK122+'Tax Depr Form 2.1 p.3'!AK122</f>
        <v>0</v>
      </c>
      <c r="G81" s="23">
        <f>+'Tax Depr Form 2.1 p.2'!AM122+'Tax Depr Form 2.1 p.3'!AM122</f>
        <v>0</v>
      </c>
      <c r="H81" s="23">
        <f>+'Tax Depr Form 2.1 p.2'!AN122+'Tax Depr Form 2.1 p.3'!AN122</f>
        <v>0</v>
      </c>
    </row>
    <row r="82" spans="1:8" ht="12">
      <c r="A82" s="54">
        <f t="shared" si="5"/>
        <v>6</v>
      </c>
      <c r="B82" s="24">
        <v>2024</v>
      </c>
      <c r="C82" s="23">
        <f>+'Tax Depr Form 2.1 p.2'!AH123+'Tax Depr Form 2.1 p.3'!AH123</f>
        <v>0</v>
      </c>
      <c r="D82" s="23">
        <f>+'Tax Depr Form 2.1 p.2'!AI123+'Tax Depr Form 2.1 p.3'!AI123</f>
        <v>0</v>
      </c>
      <c r="E82" s="23">
        <f>+'Tax Depr Form 2.1 p.2'!AJ123+'Tax Depr Form 2.1 p.3'!AJ123</f>
        <v>0</v>
      </c>
      <c r="F82" s="23">
        <f>+'Tax Depr Form 2.1 p.2'!AK123+'Tax Depr Form 2.1 p.3'!AK123</f>
        <v>0</v>
      </c>
      <c r="G82" s="23">
        <f>+'Tax Depr Form 2.1 p.2'!AM123+'Tax Depr Form 2.1 p.3'!AM123</f>
        <v>0</v>
      </c>
      <c r="H82" s="23">
        <f>+'Tax Depr Form 2.1 p.2'!AN123+'Tax Depr Form 2.1 p.3'!AN123</f>
        <v>0</v>
      </c>
    </row>
    <row r="83" spans="1:8" ht="12">
      <c r="A83" s="54">
        <f t="shared" si="5"/>
        <v>7</v>
      </c>
      <c r="B83" s="24">
        <v>2025</v>
      </c>
      <c r="C83" s="23">
        <f>+'Tax Depr Form 2.1 p.2'!AH124+'Tax Depr Form 2.1 p.3'!AH124</f>
        <v>0</v>
      </c>
      <c r="D83" s="23">
        <f>+'Tax Depr Form 2.1 p.2'!AI124+'Tax Depr Form 2.1 p.3'!AI124</f>
        <v>0</v>
      </c>
      <c r="E83" s="23">
        <f>+'Tax Depr Form 2.1 p.2'!AJ124+'Tax Depr Form 2.1 p.3'!AJ124</f>
        <v>0</v>
      </c>
      <c r="F83" s="23">
        <f>+'Tax Depr Form 2.1 p.2'!AK124+'Tax Depr Form 2.1 p.3'!AK124</f>
        <v>0</v>
      </c>
      <c r="G83" s="23">
        <f>+'Tax Depr Form 2.1 p.2'!AM124+'Tax Depr Form 2.1 p.3'!AM124</f>
        <v>0</v>
      </c>
      <c r="H83" s="23">
        <f>+'Tax Depr Form 2.1 p.2'!AN124+'Tax Depr Form 2.1 p.3'!AN124</f>
        <v>0</v>
      </c>
    </row>
    <row r="84" spans="1:8" ht="12">
      <c r="A84" s="54">
        <f t="shared" si="5"/>
        <v>8</v>
      </c>
      <c r="B84" s="24">
        <v>2026</v>
      </c>
      <c r="C84" s="23">
        <f>+'Tax Depr Form 2.1 p.2'!AH125+'Tax Depr Form 2.1 p.3'!AH125</f>
        <v>0</v>
      </c>
      <c r="D84" s="23">
        <f>+'Tax Depr Form 2.1 p.2'!AI125+'Tax Depr Form 2.1 p.3'!AI125</f>
        <v>0</v>
      </c>
      <c r="E84" s="23">
        <f>+'Tax Depr Form 2.1 p.2'!AJ125+'Tax Depr Form 2.1 p.3'!AJ125</f>
        <v>0</v>
      </c>
      <c r="F84" s="23">
        <f>+'Tax Depr Form 2.1 p.2'!AK125+'Tax Depr Form 2.1 p.3'!AK125</f>
        <v>0</v>
      </c>
      <c r="G84" s="23">
        <f>+'Tax Depr Form 2.1 p.2'!AM125+'Tax Depr Form 2.1 p.3'!AM125</f>
        <v>0</v>
      </c>
      <c r="H84" s="23">
        <f>+'Tax Depr Form 2.1 p.2'!AN125+'Tax Depr Form 2.1 p.3'!AN125</f>
        <v>0</v>
      </c>
    </row>
    <row r="85" spans="1:8" ht="12">
      <c r="A85" s="54">
        <f t="shared" si="5"/>
        <v>9</v>
      </c>
      <c r="B85" s="24">
        <v>2027</v>
      </c>
      <c r="C85" s="23">
        <f>+'Tax Depr Form 2.1 p.2'!AH126+'Tax Depr Form 2.1 p.3'!AH126</f>
        <v>0</v>
      </c>
      <c r="D85" s="23">
        <f>+'Tax Depr Form 2.1 p.2'!AI126+'Tax Depr Form 2.1 p.3'!AI126</f>
        <v>0</v>
      </c>
      <c r="E85" s="23">
        <f>+'Tax Depr Form 2.1 p.2'!AJ126+'Tax Depr Form 2.1 p.3'!AJ126</f>
        <v>0</v>
      </c>
      <c r="F85" s="23">
        <f>+'Tax Depr Form 2.1 p.2'!AK126+'Tax Depr Form 2.1 p.3'!AK126</f>
        <v>0</v>
      </c>
      <c r="G85" s="23">
        <f>+'Tax Depr Form 2.1 p.2'!AM126+'Tax Depr Form 2.1 p.3'!AM126</f>
        <v>0</v>
      </c>
      <c r="H85" s="23">
        <f>+'Tax Depr Form 2.1 p.2'!AN126+'Tax Depr Form 2.1 p.3'!AN126</f>
        <v>0</v>
      </c>
    </row>
    <row r="86" spans="1:8" ht="12">
      <c r="A86" s="54">
        <f t="shared" si="5"/>
        <v>10</v>
      </c>
      <c r="B86" s="24">
        <v>2028</v>
      </c>
      <c r="C86" s="23">
        <f>+'Tax Depr Form 2.1 p.2'!AH127+'Tax Depr Form 2.1 p.3'!AH127</f>
        <v>0</v>
      </c>
      <c r="D86" s="23">
        <f>+'Tax Depr Form 2.1 p.2'!AI127+'Tax Depr Form 2.1 p.3'!AI127</f>
        <v>0</v>
      </c>
      <c r="E86" s="23">
        <f>+'Tax Depr Form 2.1 p.2'!AJ127+'Tax Depr Form 2.1 p.3'!AJ127</f>
        <v>0</v>
      </c>
      <c r="F86" s="23">
        <f>+'Tax Depr Form 2.1 p.2'!AK127+'Tax Depr Form 2.1 p.3'!AK127</f>
        <v>0</v>
      </c>
      <c r="G86" s="23">
        <f>+'Tax Depr Form 2.1 p.2'!AM127+'Tax Depr Form 2.1 p.3'!AM127</f>
        <v>0</v>
      </c>
      <c r="H86" s="23">
        <f>+'Tax Depr Form 2.1 p.2'!AN127+'Tax Depr Form 2.1 p.3'!AN127</f>
        <v>0</v>
      </c>
    </row>
    <row r="87" spans="1:8" ht="12">
      <c r="A87" s="54">
        <f t="shared" si="5"/>
        <v>11</v>
      </c>
      <c r="B87" s="24">
        <v>2029</v>
      </c>
      <c r="C87" s="23">
        <f>+'Tax Depr Form 2.1 p.2'!AH128+'Tax Depr Form 2.1 p.3'!AH128</f>
        <v>0</v>
      </c>
      <c r="D87" s="23">
        <f>+'Tax Depr Form 2.1 p.2'!AI128+'Tax Depr Form 2.1 p.3'!AI128</f>
        <v>0</v>
      </c>
      <c r="E87" s="23">
        <f>+'Tax Depr Form 2.1 p.2'!AJ128+'Tax Depr Form 2.1 p.3'!AJ128</f>
        <v>0</v>
      </c>
      <c r="F87" s="23">
        <f>+'Tax Depr Form 2.1 p.2'!AK128+'Tax Depr Form 2.1 p.3'!AK128</f>
        <v>0</v>
      </c>
      <c r="G87" s="23">
        <f>+'Tax Depr Form 2.1 p.2'!AM128+'Tax Depr Form 2.1 p.3'!AM128</f>
        <v>0</v>
      </c>
      <c r="H87" s="23">
        <f>+'Tax Depr Form 2.1 p.2'!AN128+'Tax Depr Form 2.1 p.3'!AN128</f>
        <v>0</v>
      </c>
    </row>
    <row r="88" spans="1:8" ht="12">
      <c r="A88" s="54">
        <f t="shared" si="5"/>
        <v>12</v>
      </c>
      <c r="B88" s="24">
        <v>2030</v>
      </c>
      <c r="C88" s="23">
        <f>+'Tax Depr Form 2.1 p.2'!AH129+'Tax Depr Form 2.1 p.3'!AH129</f>
        <v>0</v>
      </c>
      <c r="D88" s="23">
        <f>+'Tax Depr Form 2.1 p.2'!AI129+'Tax Depr Form 2.1 p.3'!AI129</f>
        <v>0</v>
      </c>
      <c r="E88" s="23">
        <f>+'Tax Depr Form 2.1 p.2'!AJ129+'Tax Depr Form 2.1 p.3'!AJ129</f>
        <v>0</v>
      </c>
      <c r="F88" s="23">
        <f>+'Tax Depr Form 2.1 p.2'!AK129+'Tax Depr Form 2.1 p.3'!AK129</f>
        <v>0</v>
      </c>
      <c r="G88" s="23">
        <f>+'Tax Depr Form 2.1 p.2'!AM129+'Tax Depr Form 2.1 p.3'!AM129</f>
        <v>0</v>
      </c>
      <c r="H88" s="23">
        <f>+'Tax Depr Form 2.1 p.2'!AN129+'Tax Depr Form 2.1 p.3'!AN129</f>
        <v>0</v>
      </c>
    </row>
    <row r="89" spans="1:8" ht="12">
      <c r="A89" s="54">
        <f t="shared" si="5"/>
        <v>13</v>
      </c>
      <c r="B89" s="24">
        <v>2031</v>
      </c>
      <c r="C89" s="23">
        <f>+'Tax Depr Form 2.1 p.2'!AH130+'Tax Depr Form 2.1 p.3'!AH130</f>
        <v>0</v>
      </c>
      <c r="D89" s="23">
        <f>+'Tax Depr Form 2.1 p.2'!AI130+'Tax Depr Form 2.1 p.3'!AI130</f>
        <v>0</v>
      </c>
      <c r="E89" s="23">
        <f>+'Tax Depr Form 2.1 p.2'!AJ130+'Tax Depr Form 2.1 p.3'!AJ130</f>
        <v>0</v>
      </c>
      <c r="F89" s="23">
        <f>+'Tax Depr Form 2.1 p.2'!AK130+'Tax Depr Form 2.1 p.3'!AK130</f>
        <v>0</v>
      </c>
      <c r="G89" s="23">
        <f>+'Tax Depr Form 2.1 p.2'!AM130+'Tax Depr Form 2.1 p.3'!AM130</f>
        <v>0</v>
      </c>
      <c r="H89" s="23">
        <f>+'Tax Depr Form 2.1 p.2'!AN130+'Tax Depr Form 2.1 p.3'!AN130</f>
        <v>0</v>
      </c>
    </row>
    <row r="90" spans="1:8" ht="12">
      <c r="A90" s="54">
        <f t="shared" si="5"/>
        <v>14</v>
      </c>
      <c r="B90" s="24">
        <v>2032</v>
      </c>
      <c r="C90" s="23">
        <f>+'Tax Depr Form 2.1 p.2'!AH131+'Tax Depr Form 2.1 p.3'!AH131</f>
        <v>0</v>
      </c>
      <c r="D90" s="23">
        <f>+'Tax Depr Form 2.1 p.2'!AI131+'Tax Depr Form 2.1 p.3'!AI131</f>
        <v>0</v>
      </c>
      <c r="E90" s="23">
        <f>+'Tax Depr Form 2.1 p.2'!AJ131+'Tax Depr Form 2.1 p.3'!AJ131</f>
        <v>0</v>
      </c>
      <c r="F90" s="23">
        <f>+'Tax Depr Form 2.1 p.2'!AK131+'Tax Depr Form 2.1 p.3'!AK131</f>
        <v>0</v>
      </c>
      <c r="G90" s="23">
        <f>+'Tax Depr Form 2.1 p.2'!AM131+'Tax Depr Form 2.1 p.3'!AM131</f>
        <v>0</v>
      </c>
      <c r="H90" s="23">
        <f>+'Tax Depr Form 2.1 p.2'!AN131+'Tax Depr Form 2.1 p.3'!AN131</f>
        <v>0</v>
      </c>
    </row>
    <row r="91" spans="1:8" ht="12">
      <c r="A91" s="54">
        <f t="shared" si="5"/>
        <v>15</v>
      </c>
      <c r="B91" s="24">
        <v>2033</v>
      </c>
      <c r="C91" s="23">
        <f>+'Tax Depr Form 2.1 p.2'!AH132+'Tax Depr Form 2.1 p.3'!AH132</f>
        <v>0</v>
      </c>
      <c r="D91" s="23">
        <f>+'Tax Depr Form 2.1 p.2'!AI132+'Tax Depr Form 2.1 p.3'!AI132</f>
        <v>0</v>
      </c>
      <c r="E91" s="23">
        <f>+'Tax Depr Form 2.1 p.2'!AJ132+'Tax Depr Form 2.1 p.3'!AJ132</f>
        <v>0</v>
      </c>
      <c r="F91" s="23">
        <f>+'Tax Depr Form 2.1 p.2'!AK132+'Tax Depr Form 2.1 p.3'!AK132</f>
        <v>0</v>
      </c>
      <c r="G91" s="23">
        <f>+'Tax Depr Form 2.1 p.2'!AM132+'Tax Depr Form 2.1 p.3'!AM132</f>
        <v>0</v>
      </c>
      <c r="H91" s="23">
        <f>+'Tax Depr Form 2.1 p.2'!AN132+'Tax Depr Form 2.1 p.3'!AN132</f>
        <v>0</v>
      </c>
    </row>
    <row r="92" spans="1:8" ht="12">
      <c r="A92" s="54">
        <f t="shared" si="5"/>
        <v>16</v>
      </c>
      <c r="B92" s="24">
        <v>2034</v>
      </c>
      <c r="C92" s="23">
        <f>+'Tax Depr Form 2.1 p.2'!AH133+'Tax Depr Form 2.1 p.3'!AH133</f>
        <v>0</v>
      </c>
      <c r="D92" s="23">
        <f>+'Tax Depr Form 2.1 p.2'!AI133+'Tax Depr Form 2.1 p.3'!AI133</f>
        <v>0</v>
      </c>
      <c r="E92" s="23">
        <f>+'Tax Depr Form 2.1 p.2'!AJ133+'Tax Depr Form 2.1 p.3'!AJ133</f>
        <v>0</v>
      </c>
      <c r="F92" s="23">
        <f>+'Tax Depr Form 2.1 p.2'!AK133+'Tax Depr Form 2.1 p.3'!AK133</f>
        <v>0</v>
      </c>
      <c r="G92" s="23">
        <f>+'Tax Depr Form 2.1 p.2'!AM133+'Tax Depr Form 2.1 p.3'!AM133</f>
        <v>0</v>
      </c>
      <c r="H92" s="23">
        <f>+'Tax Depr Form 2.1 p.2'!AN133+'Tax Depr Form 2.1 p.3'!AN133</f>
        <v>0</v>
      </c>
    </row>
    <row r="93" spans="1:8" ht="12">
      <c r="A93" s="54">
        <f t="shared" si="5"/>
        <v>17</v>
      </c>
      <c r="B93" s="24">
        <v>2035</v>
      </c>
      <c r="C93" s="23">
        <f>+'Tax Depr Form 2.1 p.2'!AH134+'Tax Depr Form 2.1 p.3'!AH134</f>
        <v>0</v>
      </c>
      <c r="D93" s="23">
        <f>+'Tax Depr Form 2.1 p.2'!AI134+'Tax Depr Form 2.1 p.3'!AI134</f>
        <v>0</v>
      </c>
      <c r="E93" s="23">
        <f>+'Tax Depr Form 2.1 p.2'!AJ134+'Tax Depr Form 2.1 p.3'!AJ134</f>
        <v>0</v>
      </c>
      <c r="F93" s="23">
        <f>+'Tax Depr Form 2.1 p.2'!AK134+'Tax Depr Form 2.1 p.3'!AK134</f>
        <v>0</v>
      </c>
      <c r="G93" s="23">
        <f>+'Tax Depr Form 2.1 p.2'!AM134+'Tax Depr Form 2.1 p.3'!AM134</f>
        <v>0</v>
      </c>
      <c r="H93" s="23">
        <f>+'Tax Depr Form 2.1 p.2'!AN134+'Tax Depr Form 2.1 p.3'!AN134</f>
        <v>0</v>
      </c>
    </row>
    <row r="94" spans="1:8" ht="12">
      <c r="A94" s="54">
        <f t="shared" si="5"/>
        <v>18</v>
      </c>
      <c r="B94" s="24">
        <v>2036</v>
      </c>
      <c r="C94" s="23">
        <f>+'Tax Depr Form 2.1 p.2'!AH135+'Tax Depr Form 2.1 p.3'!AH135</f>
        <v>0</v>
      </c>
      <c r="D94" s="23">
        <f>+'Tax Depr Form 2.1 p.2'!AI135+'Tax Depr Form 2.1 p.3'!AI135</f>
        <v>0</v>
      </c>
      <c r="E94" s="23">
        <f>+'Tax Depr Form 2.1 p.2'!AJ135+'Tax Depr Form 2.1 p.3'!AJ135</f>
        <v>0</v>
      </c>
      <c r="F94" s="23">
        <f>+'Tax Depr Form 2.1 p.2'!AK135+'Tax Depr Form 2.1 p.3'!AK135</f>
        <v>0</v>
      </c>
      <c r="G94" s="23">
        <f>+'Tax Depr Form 2.1 p.2'!AM135+'Tax Depr Form 2.1 p.3'!AM135</f>
        <v>0</v>
      </c>
      <c r="H94" s="23">
        <f>+'Tax Depr Form 2.1 p.2'!AN135+'Tax Depr Form 2.1 p.3'!AN135</f>
        <v>0</v>
      </c>
    </row>
    <row r="95" spans="1:8" ht="12">
      <c r="A95" s="54">
        <f t="shared" si="5"/>
        <v>19</v>
      </c>
      <c r="B95" s="24">
        <v>2037</v>
      </c>
      <c r="C95" s="23">
        <f>+'Tax Depr Form 2.1 p.2'!AH136+'Tax Depr Form 2.1 p.3'!AH136</f>
        <v>0</v>
      </c>
      <c r="D95" s="23">
        <f>+'Tax Depr Form 2.1 p.2'!AI136+'Tax Depr Form 2.1 p.3'!AI136</f>
        <v>0</v>
      </c>
      <c r="E95" s="23">
        <f>+'Tax Depr Form 2.1 p.2'!AJ136+'Tax Depr Form 2.1 p.3'!AJ136</f>
        <v>0</v>
      </c>
      <c r="F95" s="23">
        <f>+'Tax Depr Form 2.1 p.2'!AK136+'Tax Depr Form 2.1 p.3'!AK136</f>
        <v>0</v>
      </c>
      <c r="G95" s="23">
        <f>+'Tax Depr Form 2.1 p.2'!AM136+'Tax Depr Form 2.1 p.3'!AM136</f>
        <v>0</v>
      </c>
      <c r="H95" s="23">
        <f>+'Tax Depr Form 2.1 p.2'!AN136+'Tax Depr Form 2.1 p.3'!AN136</f>
        <v>0</v>
      </c>
    </row>
    <row r="96" spans="1:8" ht="12">
      <c r="A96" s="54">
        <f t="shared" si="5"/>
        <v>20</v>
      </c>
      <c r="B96" s="24">
        <v>2038</v>
      </c>
      <c r="C96" s="23">
        <f>+'Tax Depr Form 2.1 p.2'!AH137+'Tax Depr Form 2.1 p.3'!AH137</f>
        <v>0</v>
      </c>
      <c r="D96" s="23">
        <f>+'Tax Depr Form 2.1 p.2'!AI137+'Tax Depr Form 2.1 p.3'!AI137</f>
        <v>0</v>
      </c>
      <c r="E96" s="23">
        <f>+'Tax Depr Form 2.1 p.2'!AJ137+'Tax Depr Form 2.1 p.3'!AJ137</f>
        <v>0</v>
      </c>
      <c r="F96" s="23">
        <f>+'Tax Depr Form 2.1 p.2'!AK137+'Tax Depr Form 2.1 p.3'!AK137</f>
        <v>0</v>
      </c>
      <c r="G96" s="23">
        <f>+'Tax Depr Form 2.1 p.2'!AM137+'Tax Depr Form 2.1 p.3'!AM137</f>
        <v>0</v>
      </c>
      <c r="H96" s="23">
        <f>+'Tax Depr Form 2.1 p.2'!AN137+'Tax Depr Form 2.1 p.3'!AN137</f>
        <v>0</v>
      </c>
    </row>
    <row r="97" spans="1:8" ht="12">
      <c r="A97" s="54">
        <f t="shared" si="5"/>
        <v>21</v>
      </c>
      <c r="B97" s="24">
        <v>2039</v>
      </c>
      <c r="C97" s="23">
        <f>+'Tax Depr Form 2.1 p.2'!AH138+'Tax Depr Form 2.1 p.3'!AH138</f>
        <v>0</v>
      </c>
      <c r="D97" s="23">
        <f>+'Tax Depr Form 2.1 p.2'!AI138+'Tax Depr Form 2.1 p.3'!AI138</f>
        <v>0</v>
      </c>
      <c r="E97" s="23">
        <f>+'Tax Depr Form 2.1 p.2'!AJ138+'Tax Depr Form 2.1 p.3'!AJ138</f>
        <v>0</v>
      </c>
      <c r="F97" s="23">
        <f>+'Tax Depr Form 2.1 p.2'!AK138+'Tax Depr Form 2.1 p.3'!AK138</f>
        <v>0</v>
      </c>
      <c r="G97" s="23">
        <f>+'Tax Depr Form 2.1 p.2'!AM138+'Tax Depr Form 2.1 p.3'!AM138</f>
        <v>0</v>
      </c>
      <c r="H97" s="23">
        <f>+'Tax Depr Form 2.1 p.2'!AN138+'Tax Depr Form 2.1 p.3'!AN138</f>
        <v>0</v>
      </c>
    </row>
    <row r="98" spans="1:8" ht="12">
      <c r="A98" s="54">
        <f>A97+1</f>
        <v>22</v>
      </c>
      <c r="B98" s="35" t="s">
        <v>9</v>
      </c>
      <c r="C98" s="23">
        <f>+'Tax Depr Form 2.1 p.2'!AH139+'Tax Depr Form 2.1 p.3'!AH139</f>
        <v>0</v>
      </c>
      <c r="D98" s="23">
        <f>+'Tax Depr Form 2.1 p.2'!AI139+'Tax Depr Form 2.1 p.3'!AI139</f>
        <v>0</v>
      </c>
      <c r="E98" s="23">
        <f>+'Tax Depr Form 2.1 p.2'!AJ139+'Tax Depr Form 2.1 p.3'!AJ139</f>
        <v>0</v>
      </c>
      <c r="F98" s="23">
        <f>+'Tax Depr Form 2.1 p.2'!AK139+'Tax Depr Form 2.1 p.3'!AK139</f>
        <v>0</v>
      </c>
      <c r="G98" s="23">
        <f>+'Tax Depr Form 2.1 p.2'!AM139+'Tax Depr Form 2.1 p.3'!AM139</f>
        <v>0</v>
      </c>
      <c r="H98" s="23">
        <f>+'Tax Depr Form 2.1 p.2'!AN139+'Tax Depr Form 2.1 p.3'!AN139</f>
        <v>0</v>
      </c>
    </row>
    <row r="99" ht="12">
      <c r="H99" s="63" t="s">
        <v>259</v>
      </c>
    </row>
    <row r="100" ht="12">
      <c r="H100" s="63" t="s">
        <v>322</v>
      </c>
    </row>
    <row r="101" spans="1:8" ht="12">
      <c r="A101" s="237" t="s">
        <v>12</v>
      </c>
      <c r="B101" s="237"/>
      <c r="C101" s="237"/>
      <c r="D101" s="237"/>
      <c r="E101" s="237"/>
      <c r="F101" s="237"/>
      <c r="G101" s="237"/>
      <c r="H101" s="237"/>
    </row>
    <row r="102" spans="1:8" ht="12">
      <c r="A102" s="237" t="s">
        <v>261</v>
      </c>
      <c r="B102" s="237"/>
      <c r="C102" s="237"/>
      <c r="D102" s="237"/>
      <c r="E102" s="237"/>
      <c r="F102" s="237"/>
      <c r="G102" s="237"/>
      <c r="H102" s="237"/>
    </row>
    <row r="103" spans="1:8" ht="12">
      <c r="A103" s="237" t="s">
        <v>323</v>
      </c>
      <c r="B103" s="237"/>
      <c r="C103" s="237"/>
      <c r="D103" s="237"/>
      <c r="E103" s="237"/>
      <c r="F103" s="237"/>
      <c r="G103" s="237"/>
      <c r="H103" s="237"/>
    </row>
    <row r="104" spans="2:8" ht="12">
      <c r="B104" s="141"/>
      <c r="C104" s="24"/>
      <c r="D104" s="24"/>
      <c r="E104" s="24"/>
      <c r="F104" s="24"/>
      <c r="G104" s="116"/>
      <c r="H104" s="24"/>
    </row>
    <row r="105" spans="2:8" ht="12">
      <c r="B105" s="141"/>
      <c r="C105" s="141"/>
      <c r="D105" s="141"/>
      <c r="E105" s="114" t="s">
        <v>177</v>
      </c>
      <c r="F105" s="141"/>
      <c r="G105" s="142"/>
      <c r="H105" s="141"/>
    </row>
    <row r="106" spans="2:8" ht="12">
      <c r="B106" s="114"/>
      <c r="C106" s="114"/>
      <c r="D106" s="114" t="s">
        <v>178</v>
      </c>
      <c r="E106" s="114" t="s">
        <v>179</v>
      </c>
      <c r="F106" s="114" t="s">
        <v>180</v>
      </c>
      <c r="G106" s="114" t="s">
        <v>9</v>
      </c>
      <c r="H106" s="114" t="s">
        <v>181</v>
      </c>
    </row>
    <row r="107" spans="1:8" ht="12.75">
      <c r="A107" s="18" t="s">
        <v>1</v>
      </c>
      <c r="B107" s="59" t="s">
        <v>0</v>
      </c>
      <c r="C107" s="59" t="s">
        <v>182</v>
      </c>
      <c r="D107" s="59" t="s">
        <v>183</v>
      </c>
      <c r="E107" s="59" t="s">
        <v>184</v>
      </c>
      <c r="F107" s="59" t="s">
        <v>185</v>
      </c>
      <c r="G107" s="59" t="s">
        <v>186</v>
      </c>
      <c r="H107" s="59" t="s">
        <v>186</v>
      </c>
    </row>
    <row r="108" spans="1:8" ht="12.75">
      <c r="A108" s="18"/>
      <c r="B108" s="21">
        <v>-1</v>
      </c>
      <c r="C108" s="21">
        <f aca="true" t="shared" si="6" ref="C108:H108">+B108-1</f>
        <v>-2</v>
      </c>
      <c r="D108" s="21">
        <f t="shared" si="6"/>
        <v>-3</v>
      </c>
      <c r="E108" s="21">
        <f t="shared" si="6"/>
        <v>-4</v>
      </c>
      <c r="F108" s="21">
        <f t="shared" si="6"/>
        <v>-5</v>
      </c>
      <c r="G108" s="21">
        <f t="shared" si="6"/>
        <v>-6</v>
      </c>
      <c r="H108" s="21">
        <f t="shared" si="6"/>
        <v>-7</v>
      </c>
    </row>
    <row r="109" spans="1:8" ht="12">
      <c r="A109" s="54">
        <v>1</v>
      </c>
      <c r="B109" s="24">
        <v>2020</v>
      </c>
      <c r="C109" s="23">
        <f>+'Tax Depr Form 2.1 p.2'!AH150+'Tax Depr Form 2.1 p.3'!AH150</f>
        <v>0</v>
      </c>
      <c r="D109" s="23">
        <f>+'Tax Depr Form 2.1 p.2'!AI150+'Tax Depr Form 2.1 p.3'!AI150</f>
        <v>0</v>
      </c>
      <c r="E109" s="23">
        <f>+'Tax Depr Form 2.1 p.2'!AJ150+'Tax Depr Form 2.1 p.3'!AJ150</f>
        <v>0</v>
      </c>
      <c r="F109" s="23">
        <f>+'Tax Depr Form 2.1 p.2'!AK150+'Tax Depr Form 2.1 p.3'!AK150</f>
        <v>0</v>
      </c>
      <c r="G109" s="23">
        <f>+'Tax Depr Form 2.1 p.2'!AM150+'Tax Depr Form 2.1 p.3'!AM150</f>
        <v>0</v>
      </c>
      <c r="H109" s="23">
        <f>+'Tax Depr Form 2.1 p.2'!AN150+'Tax Depr Form 2.1 p.3'!AN150</f>
        <v>0</v>
      </c>
    </row>
    <row r="110" spans="1:8" ht="12">
      <c r="A110" s="54">
        <f>A109+1</f>
        <v>2</v>
      </c>
      <c r="B110" s="24">
        <v>2021</v>
      </c>
      <c r="C110" s="23">
        <f>+'Tax Depr Form 2.1 p.2'!AH151+'Tax Depr Form 2.1 p.3'!AH151</f>
        <v>0</v>
      </c>
      <c r="D110" s="23">
        <f>+'Tax Depr Form 2.1 p.2'!AI151+'Tax Depr Form 2.1 p.3'!AI151</f>
        <v>0</v>
      </c>
      <c r="E110" s="23">
        <f>+'Tax Depr Form 2.1 p.2'!AJ151+'Tax Depr Form 2.1 p.3'!AJ151</f>
        <v>0</v>
      </c>
      <c r="F110" s="23">
        <f>+'Tax Depr Form 2.1 p.2'!AK151+'Tax Depr Form 2.1 p.3'!AK151</f>
        <v>0</v>
      </c>
      <c r="G110" s="23">
        <f>+'Tax Depr Form 2.1 p.2'!AM151+'Tax Depr Form 2.1 p.3'!AM151</f>
        <v>0</v>
      </c>
      <c r="H110" s="23">
        <f>+'Tax Depr Form 2.1 p.2'!AN151+'Tax Depr Form 2.1 p.3'!AN151</f>
        <v>0</v>
      </c>
    </row>
    <row r="111" spans="1:8" ht="12">
      <c r="A111" s="54">
        <f aca="true" t="shared" si="7" ref="A111:A129">A110+1</f>
        <v>3</v>
      </c>
      <c r="B111" s="24">
        <v>2022</v>
      </c>
      <c r="C111" s="23">
        <f>+'Tax Depr Form 2.1 p.2'!AH152+'Tax Depr Form 2.1 p.3'!AH152</f>
        <v>0</v>
      </c>
      <c r="D111" s="23">
        <f>+'Tax Depr Form 2.1 p.2'!AI152+'Tax Depr Form 2.1 p.3'!AI152</f>
        <v>0</v>
      </c>
      <c r="E111" s="23">
        <f>+'Tax Depr Form 2.1 p.2'!AJ152+'Tax Depr Form 2.1 p.3'!AJ152</f>
        <v>0</v>
      </c>
      <c r="F111" s="23">
        <f>+'Tax Depr Form 2.1 p.2'!AK152+'Tax Depr Form 2.1 p.3'!AK152</f>
        <v>0</v>
      </c>
      <c r="G111" s="23">
        <f>+'Tax Depr Form 2.1 p.2'!AM152+'Tax Depr Form 2.1 p.3'!AM152</f>
        <v>0</v>
      </c>
      <c r="H111" s="23">
        <f>+'Tax Depr Form 2.1 p.2'!AN152+'Tax Depr Form 2.1 p.3'!AN152</f>
        <v>0</v>
      </c>
    </row>
    <row r="112" spans="1:8" ht="12">
      <c r="A112" s="54">
        <f t="shared" si="7"/>
        <v>4</v>
      </c>
      <c r="B112" s="24">
        <v>2023</v>
      </c>
      <c r="C112" s="23">
        <f>+'Tax Depr Form 2.1 p.2'!AH153+'Tax Depr Form 2.1 p.3'!AH153</f>
        <v>0</v>
      </c>
      <c r="D112" s="23">
        <f>+'Tax Depr Form 2.1 p.2'!AI153+'Tax Depr Form 2.1 p.3'!AI153</f>
        <v>0</v>
      </c>
      <c r="E112" s="23">
        <f>+'Tax Depr Form 2.1 p.2'!AJ153+'Tax Depr Form 2.1 p.3'!AJ153</f>
        <v>0</v>
      </c>
      <c r="F112" s="23">
        <f>+'Tax Depr Form 2.1 p.2'!AK153+'Tax Depr Form 2.1 p.3'!AK153</f>
        <v>0</v>
      </c>
      <c r="G112" s="23">
        <f>+'Tax Depr Form 2.1 p.2'!AM153+'Tax Depr Form 2.1 p.3'!AM153</f>
        <v>0</v>
      </c>
      <c r="H112" s="23">
        <f>+'Tax Depr Form 2.1 p.2'!AN153+'Tax Depr Form 2.1 p.3'!AN153</f>
        <v>0</v>
      </c>
    </row>
    <row r="113" spans="1:8" ht="12">
      <c r="A113" s="54">
        <f t="shared" si="7"/>
        <v>5</v>
      </c>
      <c r="B113" s="24">
        <v>2024</v>
      </c>
      <c r="C113" s="23">
        <f>+'Tax Depr Form 2.1 p.2'!AH154+'Tax Depr Form 2.1 p.3'!AH154</f>
        <v>0</v>
      </c>
      <c r="D113" s="23">
        <f>+'Tax Depr Form 2.1 p.2'!AI154+'Tax Depr Form 2.1 p.3'!AI154</f>
        <v>0</v>
      </c>
      <c r="E113" s="23">
        <f>+'Tax Depr Form 2.1 p.2'!AJ154+'Tax Depr Form 2.1 p.3'!AJ154</f>
        <v>0</v>
      </c>
      <c r="F113" s="23">
        <f>+'Tax Depr Form 2.1 p.2'!AK154+'Tax Depr Form 2.1 p.3'!AK154</f>
        <v>0</v>
      </c>
      <c r="G113" s="23">
        <f>+'Tax Depr Form 2.1 p.2'!AM154+'Tax Depr Form 2.1 p.3'!AM154</f>
        <v>0</v>
      </c>
      <c r="H113" s="23">
        <f>+'Tax Depr Form 2.1 p.2'!AN154+'Tax Depr Form 2.1 p.3'!AN154</f>
        <v>0</v>
      </c>
    </row>
    <row r="114" spans="1:8" ht="12">
      <c r="A114" s="54">
        <f t="shared" si="7"/>
        <v>6</v>
      </c>
      <c r="B114" s="24">
        <v>2025</v>
      </c>
      <c r="C114" s="23">
        <f>+'Tax Depr Form 2.1 p.2'!AH155+'Tax Depr Form 2.1 p.3'!AH155</f>
        <v>0</v>
      </c>
      <c r="D114" s="23">
        <f>+'Tax Depr Form 2.1 p.2'!AI155+'Tax Depr Form 2.1 p.3'!AI155</f>
        <v>0</v>
      </c>
      <c r="E114" s="23">
        <f>+'Tax Depr Form 2.1 p.2'!AJ155+'Tax Depr Form 2.1 p.3'!AJ155</f>
        <v>0</v>
      </c>
      <c r="F114" s="23">
        <f>+'Tax Depr Form 2.1 p.2'!AK155+'Tax Depr Form 2.1 p.3'!AK155</f>
        <v>0</v>
      </c>
      <c r="G114" s="23">
        <f>+'Tax Depr Form 2.1 p.2'!AM155+'Tax Depr Form 2.1 p.3'!AM155</f>
        <v>0</v>
      </c>
      <c r="H114" s="23">
        <f>+'Tax Depr Form 2.1 p.2'!AN155+'Tax Depr Form 2.1 p.3'!AN155</f>
        <v>0</v>
      </c>
    </row>
    <row r="115" spans="1:8" ht="12">
      <c r="A115" s="54">
        <f t="shared" si="7"/>
        <v>7</v>
      </c>
      <c r="B115" s="24">
        <v>2026</v>
      </c>
      <c r="C115" s="23">
        <f>+'Tax Depr Form 2.1 p.2'!AH156+'Tax Depr Form 2.1 p.3'!AH156</f>
        <v>0</v>
      </c>
      <c r="D115" s="23">
        <f>+'Tax Depr Form 2.1 p.2'!AI156+'Tax Depr Form 2.1 p.3'!AI156</f>
        <v>0</v>
      </c>
      <c r="E115" s="23">
        <f>+'Tax Depr Form 2.1 p.2'!AJ156+'Tax Depr Form 2.1 p.3'!AJ156</f>
        <v>0</v>
      </c>
      <c r="F115" s="23">
        <f>+'Tax Depr Form 2.1 p.2'!AK156+'Tax Depr Form 2.1 p.3'!AK156</f>
        <v>0</v>
      </c>
      <c r="G115" s="23">
        <f>+'Tax Depr Form 2.1 p.2'!AM156+'Tax Depr Form 2.1 p.3'!AM156</f>
        <v>0</v>
      </c>
      <c r="H115" s="23">
        <f>+'Tax Depr Form 2.1 p.2'!AN156+'Tax Depr Form 2.1 p.3'!AN156</f>
        <v>0</v>
      </c>
    </row>
    <row r="116" spans="1:8" ht="12">
      <c r="A116" s="54">
        <f t="shared" si="7"/>
        <v>8</v>
      </c>
      <c r="B116" s="24">
        <v>2027</v>
      </c>
      <c r="C116" s="23">
        <f>+'Tax Depr Form 2.1 p.2'!AH157+'Tax Depr Form 2.1 p.3'!AH157</f>
        <v>0</v>
      </c>
      <c r="D116" s="23">
        <f>+'Tax Depr Form 2.1 p.2'!AI157+'Tax Depr Form 2.1 p.3'!AI157</f>
        <v>0</v>
      </c>
      <c r="E116" s="23">
        <f>+'Tax Depr Form 2.1 p.2'!AJ157+'Tax Depr Form 2.1 p.3'!AJ157</f>
        <v>0</v>
      </c>
      <c r="F116" s="23">
        <f>+'Tax Depr Form 2.1 p.2'!AK157+'Tax Depr Form 2.1 p.3'!AK157</f>
        <v>0</v>
      </c>
      <c r="G116" s="23">
        <f>+'Tax Depr Form 2.1 p.2'!AM157+'Tax Depr Form 2.1 p.3'!AM157</f>
        <v>0</v>
      </c>
      <c r="H116" s="23">
        <f>+'Tax Depr Form 2.1 p.2'!AN157+'Tax Depr Form 2.1 p.3'!AN157</f>
        <v>0</v>
      </c>
    </row>
    <row r="117" spans="1:8" ht="12">
      <c r="A117" s="54">
        <f t="shared" si="7"/>
        <v>9</v>
      </c>
      <c r="B117" s="24">
        <v>2028</v>
      </c>
      <c r="C117" s="23">
        <f>+'Tax Depr Form 2.1 p.2'!AH158+'Tax Depr Form 2.1 p.3'!AH158</f>
        <v>0</v>
      </c>
      <c r="D117" s="23">
        <f>+'Tax Depr Form 2.1 p.2'!AI158+'Tax Depr Form 2.1 p.3'!AI158</f>
        <v>0</v>
      </c>
      <c r="E117" s="23">
        <f>+'Tax Depr Form 2.1 p.2'!AJ158+'Tax Depr Form 2.1 p.3'!AJ158</f>
        <v>0</v>
      </c>
      <c r="F117" s="23">
        <f>+'Tax Depr Form 2.1 p.2'!AK158+'Tax Depr Form 2.1 p.3'!AK158</f>
        <v>0</v>
      </c>
      <c r="G117" s="23">
        <f>+'Tax Depr Form 2.1 p.2'!AM158+'Tax Depr Form 2.1 p.3'!AM158</f>
        <v>0</v>
      </c>
      <c r="H117" s="23">
        <f>+'Tax Depr Form 2.1 p.2'!AN158+'Tax Depr Form 2.1 p.3'!AN158</f>
        <v>0</v>
      </c>
    </row>
    <row r="118" spans="1:8" ht="12">
      <c r="A118" s="54">
        <f t="shared" si="7"/>
        <v>10</v>
      </c>
      <c r="B118" s="24">
        <v>2029</v>
      </c>
      <c r="C118" s="23">
        <f>+'Tax Depr Form 2.1 p.2'!AH159+'Tax Depr Form 2.1 p.3'!AH159</f>
        <v>0</v>
      </c>
      <c r="D118" s="23">
        <f>+'Tax Depr Form 2.1 p.2'!AI159+'Tax Depr Form 2.1 p.3'!AI159</f>
        <v>0</v>
      </c>
      <c r="E118" s="23">
        <f>+'Tax Depr Form 2.1 p.2'!AJ159+'Tax Depr Form 2.1 p.3'!AJ159</f>
        <v>0</v>
      </c>
      <c r="F118" s="23">
        <f>+'Tax Depr Form 2.1 p.2'!AK159+'Tax Depr Form 2.1 p.3'!AK159</f>
        <v>0</v>
      </c>
      <c r="G118" s="23">
        <f>+'Tax Depr Form 2.1 p.2'!AM159+'Tax Depr Form 2.1 p.3'!AM159</f>
        <v>0</v>
      </c>
      <c r="H118" s="23">
        <f>+'Tax Depr Form 2.1 p.2'!AN159+'Tax Depr Form 2.1 p.3'!AN159</f>
        <v>0</v>
      </c>
    </row>
    <row r="119" spans="1:8" ht="12">
      <c r="A119" s="54">
        <f t="shared" si="7"/>
        <v>11</v>
      </c>
      <c r="B119" s="24">
        <v>2030</v>
      </c>
      <c r="C119" s="23">
        <f>+'Tax Depr Form 2.1 p.2'!AH160+'Tax Depr Form 2.1 p.3'!AH160</f>
        <v>0</v>
      </c>
      <c r="D119" s="23">
        <f>+'Tax Depr Form 2.1 p.2'!AI160+'Tax Depr Form 2.1 p.3'!AI160</f>
        <v>0</v>
      </c>
      <c r="E119" s="23">
        <f>+'Tax Depr Form 2.1 p.2'!AJ160+'Tax Depr Form 2.1 p.3'!AJ160</f>
        <v>0</v>
      </c>
      <c r="F119" s="23">
        <f>+'Tax Depr Form 2.1 p.2'!AK160+'Tax Depr Form 2.1 p.3'!AK160</f>
        <v>0</v>
      </c>
      <c r="G119" s="23">
        <f>+'Tax Depr Form 2.1 p.2'!AM160+'Tax Depr Form 2.1 p.3'!AM160</f>
        <v>0</v>
      </c>
      <c r="H119" s="23">
        <f>+'Tax Depr Form 2.1 p.2'!AN160+'Tax Depr Form 2.1 p.3'!AN160</f>
        <v>0</v>
      </c>
    </row>
    <row r="120" spans="1:8" ht="12">
      <c r="A120" s="54">
        <f t="shared" si="7"/>
        <v>12</v>
      </c>
      <c r="B120" s="24">
        <v>2031</v>
      </c>
      <c r="C120" s="23">
        <f>+'Tax Depr Form 2.1 p.2'!AH161+'Tax Depr Form 2.1 p.3'!AH161</f>
        <v>0</v>
      </c>
      <c r="D120" s="23">
        <f>+'Tax Depr Form 2.1 p.2'!AI161+'Tax Depr Form 2.1 p.3'!AI161</f>
        <v>0</v>
      </c>
      <c r="E120" s="23">
        <f>+'Tax Depr Form 2.1 p.2'!AJ161+'Tax Depr Form 2.1 p.3'!AJ161</f>
        <v>0</v>
      </c>
      <c r="F120" s="23">
        <f>+'Tax Depr Form 2.1 p.2'!AK161+'Tax Depr Form 2.1 p.3'!AK161</f>
        <v>0</v>
      </c>
      <c r="G120" s="23">
        <f>+'Tax Depr Form 2.1 p.2'!AM161+'Tax Depr Form 2.1 p.3'!AM161</f>
        <v>0</v>
      </c>
      <c r="H120" s="23">
        <f>+'Tax Depr Form 2.1 p.2'!AN161+'Tax Depr Form 2.1 p.3'!AN161</f>
        <v>0</v>
      </c>
    </row>
    <row r="121" spans="1:8" ht="12">
      <c r="A121" s="54">
        <f t="shared" si="7"/>
        <v>13</v>
      </c>
      <c r="B121" s="24">
        <v>2032</v>
      </c>
      <c r="C121" s="23">
        <f>+'Tax Depr Form 2.1 p.2'!AH162+'Tax Depr Form 2.1 p.3'!AH162</f>
        <v>0</v>
      </c>
      <c r="D121" s="23">
        <f>+'Tax Depr Form 2.1 p.2'!AI162+'Tax Depr Form 2.1 p.3'!AI162</f>
        <v>0</v>
      </c>
      <c r="E121" s="23">
        <f>+'Tax Depr Form 2.1 p.2'!AJ162+'Tax Depr Form 2.1 p.3'!AJ162</f>
        <v>0</v>
      </c>
      <c r="F121" s="23">
        <f>+'Tax Depr Form 2.1 p.2'!AK162+'Tax Depr Form 2.1 p.3'!AK162</f>
        <v>0</v>
      </c>
      <c r="G121" s="23">
        <f>+'Tax Depr Form 2.1 p.2'!AM162+'Tax Depr Form 2.1 p.3'!AM162</f>
        <v>0</v>
      </c>
      <c r="H121" s="23">
        <f>+'Tax Depr Form 2.1 p.2'!AN162+'Tax Depr Form 2.1 p.3'!AN162</f>
        <v>0</v>
      </c>
    </row>
    <row r="122" spans="1:8" ht="12">
      <c r="A122" s="54">
        <f t="shared" si="7"/>
        <v>14</v>
      </c>
      <c r="B122" s="24">
        <v>2033</v>
      </c>
      <c r="C122" s="23">
        <f>+'Tax Depr Form 2.1 p.2'!AH163+'Tax Depr Form 2.1 p.3'!AH163</f>
        <v>0</v>
      </c>
      <c r="D122" s="23">
        <f>+'Tax Depr Form 2.1 p.2'!AI163+'Tax Depr Form 2.1 p.3'!AI163</f>
        <v>0</v>
      </c>
      <c r="E122" s="23">
        <f>+'Tax Depr Form 2.1 p.2'!AJ163+'Tax Depr Form 2.1 p.3'!AJ163</f>
        <v>0</v>
      </c>
      <c r="F122" s="23">
        <f>+'Tax Depr Form 2.1 p.2'!AK163+'Tax Depr Form 2.1 p.3'!AK163</f>
        <v>0</v>
      </c>
      <c r="G122" s="23">
        <f>+'Tax Depr Form 2.1 p.2'!AM163+'Tax Depr Form 2.1 p.3'!AM163</f>
        <v>0</v>
      </c>
      <c r="H122" s="23">
        <f>+'Tax Depr Form 2.1 p.2'!AN163+'Tax Depr Form 2.1 p.3'!AN163</f>
        <v>0</v>
      </c>
    </row>
    <row r="123" spans="1:8" ht="12">
      <c r="A123" s="54">
        <f t="shared" si="7"/>
        <v>15</v>
      </c>
      <c r="B123" s="24">
        <v>2034</v>
      </c>
      <c r="C123" s="23">
        <f>+'Tax Depr Form 2.1 p.2'!AH164+'Tax Depr Form 2.1 p.3'!AH164</f>
        <v>0</v>
      </c>
      <c r="D123" s="23">
        <f>+'Tax Depr Form 2.1 p.2'!AI164+'Tax Depr Form 2.1 p.3'!AI164</f>
        <v>0</v>
      </c>
      <c r="E123" s="23">
        <f>+'Tax Depr Form 2.1 p.2'!AJ164+'Tax Depr Form 2.1 p.3'!AJ164</f>
        <v>0</v>
      </c>
      <c r="F123" s="23">
        <f>+'Tax Depr Form 2.1 p.2'!AK164+'Tax Depr Form 2.1 p.3'!AK164</f>
        <v>0</v>
      </c>
      <c r="G123" s="23">
        <f>+'Tax Depr Form 2.1 p.2'!AM164+'Tax Depr Form 2.1 p.3'!AM164</f>
        <v>0</v>
      </c>
      <c r="H123" s="23">
        <f>+'Tax Depr Form 2.1 p.2'!AN164+'Tax Depr Form 2.1 p.3'!AN164</f>
        <v>0</v>
      </c>
    </row>
    <row r="124" spans="1:8" ht="12">
      <c r="A124" s="54">
        <f t="shared" si="7"/>
        <v>16</v>
      </c>
      <c r="B124" s="24">
        <v>2035</v>
      </c>
      <c r="C124" s="23">
        <f>+'Tax Depr Form 2.1 p.2'!AH165+'Tax Depr Form 2.1 p.3'!AH165</f>
        <v>0</v>
      </c>
      <c r="D124" s="23">
        <f>+'Tax Depr Form 2.1 p.2'!AI165+'Tax Depr Form 2.1 p.3'!AI165</f>
        <v>0</v>
      </c>
      <c r="E124" s="23">
        <f>+'Tax Depr Form 2.1 p.2'!AJ165+'Tax Depr Form 2.1 p.3'!AJ165</f>
        <v>0</v>
      </c>
      <c r="F124" s="23">
        <f>+'Tax Depr Form 2.1 p.2'!AK165+'Tax Depr Form 2.1 p.3'!AK165</f>
        <v>0</v>
      </c>
      <c r="G124" s="23">
        <f>+'Tax Depr Form 2.1 p.2'!AM165+'Tax Depr Form 2.1 p.3'!AM165</f>
        <v>0</v>
      </c>
      <c r="H124" s="23">
        <f>+'Tax Depr Form 2.1 p.2'!AN165+'Tax Depr Form 2.1 p.3'!AN165</f>
        <v>0</v>
      </c>
    </row>
    <row r="125" spans="1:8" ht="12">
      <c r="A125" s="54">
        <f t="shared" si="7"/>
        <v>17</v>
      </c>
      <c r="B125" s="24">
        <v>2036</v>
      </c>
      <c r="C125" s="23">
        <f>+'Tax Depr Form 2.1 p.2'!AH166+'Tax Depr Form 2.1 p.3'!AH166</f>
        <v>0</v>
      </c>
      <c r="D125" s="23">
        <f>+'Tax Depr Form 2.1 p.2'!AI166+'Tax Depr Form 2.1 p.3'!AI166</f>
        <v>0</v>
      </c>
      <c r="E125" s="23">
        <f>+'Tax Depr Form 2.1 p.2'!AJ166+'Tax Depr Form 2.1 p.3'!AJ166</f>
        <v>0</v>
      </c>
      <c r="F125" s="23">
        <f>+'Tax Depr Form 2.1 p.2'!AK166+'Tax Depr Form 2.1 p.3'!AK166</f>
        <v>0</v>
      </c>
      <c r="G125" s="23">
        <f>+'Tax Depr Form 2.1 p.2'!AM166+'Tax Depr Form 2.1 p.3'!AM166</f>
        <v>0</v>
      </c>
      <c r="H125" s="23">
        <f>+'Tax Depr Form 2.1 p.2'!AN166+'Tax Depr Form 2.1 p.3'!AN166</f>
        <v>0</v>
      </c>
    </row>
    <row r="126" spans="1:8" ht="12">
      <c r="A126" s="54">
        <f t="shared" si="7"/>
        <v>18</v>
      </c>
      <c r="B126" s="24">
        <v>2037</v>
      </c>
      <c r="C126" s="23">
        <f>+'Tax Depr Form 2.1 p.2'!AH167+'Tax Depr Form 2.1 p.3'!AH167</f>
        <v>0</v>
      </c>
      <c r="D126" s="23">
        <f>+'Tax Depr Form 2.1 p.2'!AI167+'Tax Depr Form 2.1 p.3'!AI167</f>
        <v>0</v>
      </c>
      <c r="E126" s="23">
        <f>+'Tax Depr Form 2.1 p.2'!AJ167+'Tax Depr Form 2.1 p.3'!AJ167</f>
        <v>0</v>
      </c>
      <c r="F126" s="23">
        <f>+'Tax Depr Form 2.1 p.2'!AK167+'Tax Depr Form 2.1 p.3'!AK167</f>
        <v>0</v>
      </c>
      <c r="G126" s="23">
        <f>+'Tax Depr Form 2.1 p.2'!AM167+'Tax Depr Form 2.1 p.3'!AM167</f>
        <v>0</v>
      </c>
      <c r="H126" s="23">
        <f>+'Tax Depr Form 2.1 p.2'!AN167+'Tax Depr Form 2.1 p.3'!AN167</f>
        <v>0</v>
      </c>
    </row>
    <row r="127" spans="1:8" ht="12">
      <c r="A127" s="54">
        <f t="shared" si="7"/>
        <v>19</v>
      </c>
      <c r="B127" s="24">
        <v>2038</v>
      </c>
      <c r="C127" s="23">
        <f>+'Tax Depr Form 2.1 p.2'!AH168+'Tax Depr Form 2.1 p.3'!AH168</f>
        <v>0</v>
      </c>
      <c r="D127" s="23">
        <f>+'Tax Depr Form 2.1 p.2'!AI168+'Tax Depr Form 2.1 p.3'!AI168</f>
        <v>0</v>
      </c>
      <c r="E127" s="23">
        <f>+'Tax Depr Form 2.1 p.2'!AJ168+'Tax Depr Form 2.1 p.3'!AJ168</f>
        <v>0</v>
      </c>
      <c r="F127" s="23">
        <f>+'Tax Depr Form 2.1 p.2'!AK168+'Tax Depr Form 2.1 p.3'!AK168</f>
        <v>0</v>
      </c>
      <c r="G127" s="23">
        <f>+'Tax Depr Form 2.1 p.2'!AM168+'Tax Depr Form 2.1 p.3'!AM168</f>
        <v>0</v>
      </c>
      <c r="H127" s="23">
        <f>+'Tax Depr Form 2.1 p.2'!AN168+'Tax Depr Form 2.1 p.3'!AN168</f>
        <v>0</v>
      </c>
    </row>
    <row r="128" spans="1:8" ht="12">
      <c r="A128" s="54">
        <f t="shared" si="7"/>
        <v>20</v>
      </c>
      <c r="B128" s="24">
        <v>2039</v>
      </c>
      <c r="C128" s="23">
        <f>+'Tax Depr Form 2.1 p.2'!AH169+'Tax Depr Form 2.1 p.3'!AH169</f>
        <v>0</v>
      </c>
      <c r="D128" s="23">
        <f>+'Tax Depr Form 2.1 p.2'!AI169+'Tax Depr Form 2.1 p.3'!AI169</f>
        <v>0</v>
      </c>
      <c r="E128" s="23">
        <f>+'Tax Depr Form 2.1 p.2'!AJ169+'Tax Depr Form 2.1 p.3'!AJ169</f>
        <v>0</v>
      </c>
      <c r="F128" s="23">
        <f>+'Tax Depr Form 2.1 p.2'!AK169+'Tax Depr Form 2.1 p.3'!AK169</f>
        <v>0</v>
      </c>
      <c r="G128" s="23">
        <f>+'Tax Depr Form 2.1 p.2'!AM169+'Tax Depr Form 2.1 p.3'!AM169</f>
        <v>0</v>
      </c>
      <c r="H128" s="23">
        <f>+'Tax Depr Form 2.1 p.2'!AN169+'Tax Depr Form 2.1 p.3'!AN169</f>
        <v>0</v>
      </c>
    </row>
    <row r="129" spans="1:8" ht="12">
      <c r="A129" s="54">
        <f t="shared" si="7"/>
        <v>21</v>
      </c>
      <c r="B129" s="24">
        <v>2040</v>
      </c>
      <c r="C129" s="23">
        <f>+'Tax Depr Form 2.1 p.2'!AH170+'Tax Depr Form 2.1 p.3'!AH170</f>
        <v>0</v>
      </c>
      <c r="D129" s="23">
        <f>+'Tax Depr Form 2.1 p.2'!AI170+'Tax Depr Form 2.1 p.3'!AI170</f>
        <v>0</v>
      </c>
      <c r="E129" s="23">
        <f>+'Tax Depr Form 2.1 p.2'!AJ170+'Tax Depr Form 2.1 p.3'!AJ170</f>
        <v>0</v>
      </c>
      <c r="F129" s="23">
        <f>+'Tax Depr Form 2.1 p.2'!AK170+'Tax Depr Form 2.1 p.3'!AK170</f>
        <v>0</v>
      </c>
      <c r="G129" s="23">
        <f>+'Tax Depr Form 2.1 p.2'!AM170+'Tax Depr Form 2.1 p.3'!AM170</f>
        <v>0</v>
      </c>
      <c r="H129" s="23">
        <f>+'Tax Depr Form 2.1 p.2'!AN170+'Tax Depr Form 2.1 p.3'!AN170</f>
        <v>0</v>
      </c>
    </row>
    <row r="130" spans="1:8" ht="12">
      <c r="A130" s="54">
        <f>A129+1</f>
        <v>22</v>
      </c>
      <c r="B130" s="35" t="s">
        <v>9</v>
      </c>
      <c r="C130" s="23">
        <f>+'Tax Depr Form 2.1 p.2'!AH171+'Tax Depr Form 2.1 p.3'!AH171</f>
        <v>0</v>
      </c>
      <c r="D130" s="23">
        <f>+'Tax Depr Form 2.1 p.2'!AI171+'Tax Depr Form 2.1 p.3'!AI171</f>
        <v>0</v>
      </c>
      <c r="E130" s="23">
        <f>+'Tax Depr Form 2.1 p.2'!AJ171+'Tax Depr Form 2.1 p.3'!AJ171</f>
        <v>0</v>
      </c>
      <c r="F130" s="23">
        <f>+'Tax Depr Form 2.1 p.2'!AK171+'Tax Depr Form 2.1 p.3'!AK171</f>
        <v>0</v>
      </c>
      <c r="G130" s="23">
        <f>+'Tax Depr Form 2.1 p.2'!AM171+'Tax Depr Form 2.1 p.3'!AM171</f>
        <v>0</v>
      </c>
      <c r="H130" s="23">
        <f>+'Tax Depr Form 2.1 p.2'!AN171+'Tax Depr Form 2.1 p.3'!AN171</f>
        <v>0</v>
      </c>
    </row>
  </sheetData>
  <sheetProtection/>
  <mergeCells count="12">
    <mergeCell ref="A101:H101"/>
    <mergeCell ref="A102:H102"/>
    <mergeCell ref="A103:H103"/>
    <mergeCell ref="A69:H69"/>
    <mergeCell ref="A70:H70"/>
    <mergeCell ref="A71:H71"/>
    <mergeCell ref="A38:H38"/>
    <mergeCell ref="A39:H39"/>
    <mergeCell ref="A3:H3"/>
    <mergeCell ref="A4:H4"/>
    <mergeCell ref="A5:H5"/>
    <mergeCell ref="A37:H37"/>
  </mergeCells>
  <printOptions horizontalCentered="1"/>
  <pageMargins left="0.5" right="0.5" top="0.5" bottom="0.5" header="0.5" footer="0.5"/>
  <pageSetup fitToHeight="2" horizontalDpi="600" verticalDpi="600" orientation="portrait" scale="90" r:id="rId1"/>
  <rowBreaks count="2" manualBreakCount="2">
    <brk id="34" max="255" man="1"/>
    <brk id="66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L183"/>
  <sheetViews>
    <sheetView zoomScale="70" zoomScaleNormal="70" zoomScaleSheetLayoutView="50" workbookViewId="0" topLeftCell="A1">
      <selection activeCell="Q36" sqref="Q36"/>
    </sheetView>
  </sheetViews>
  <sheetFormatPr defaultColWidth="9.140625" defaultRowHeight="12.75"/>
  <cols>
    <col min="1" max="1" width="5.00390625" style="65" customWidth="1"/>
    <col min="2" max="2" width="12.57421875" style="65" customWidth="1"/>
    <col min="3" max="3" width="21.421875" style="65" customWidth="1"/>
    <col min="4" max="4" width="16.421875" style="65" customWidth="1"/>
    <col min="5" max="5" width="20.421875" style="65" customWidth="1"/>
    <col min="6" max="6" width="21.140625" style="65" customWidth="1"/>
    <col min="7" max="7" width="18.8515625" style="65" customWidth="1"/>
    <col min="8" max="8" width="21.421875" style="65" customWidth="1"/>
    <col min="9" max="9" width="19.421875" style="65" customWidth="1"/>
    <col min="10" max="10" width="18.57421875" style="65" customWidth="1"/>
    <col min="11" max="11" width="20.57421875" style="65" customWidth="1"/>
    <col min="12" max="12" width="20.8515625" style="65" customWidth="1"/>
    <col min="13" max="13" width="18.8515625" style="65" customWidth="1"/>
    <col min="14" max="16" width="14.57421875" style="65" customWidth="1"/>
    <col min="17" max="17" width="13.57421875" style="65" customWidth="1"/>
    <col min="18" max="18" width="11.57421875" style="65" bestFit="1" customWidth="1"/>
    <col min="19" max="19" width="9.140625" style="65" customWidth="1"/>
    <col min="20" max="20" width="13.57421875" style="65" customWidth="1"/>
    <col min="21" max="21" width="14.421875" style="65" customWidth="1"/>
    <col min="22" max="22" width="13.8515625" style="65" bestFit="1" customWidth="1"/>
    <col min="23" max="29" width="11.57421875" style="65" bestFit="1" customWidth="1"/>
    <col min="30" max="32" width="13.140625" style="65" bestFit="1" customWidth="1"/>
    <col min="33" max="34" width="11.57421875" style="65" bestFit="1" customWidth="1"/>
    <col min="35" max="16384" width="9.140625" style="65" customWidth="1"/>
  </cols>
  <sheetData>
    <row r="1" spans="1:13" ht="15.75">
      <c r="A1" s="242" t="s">
        <v>12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64" t="s">
        <v>258</v>
      </c>
    </row>
    <row r="2" spans="1:13" ht="15.75">
      <c r="A2" s="242" t="s">
        <v>261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64" t="s">
        <v>229</v>
      </c>
    </row>
    <row r="3" spans="1:13" ht="15.75">
      <c r="A3" s="242" t="s">
        <v>291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66"/>
    </row>
    <row r="4" spans="2:9" ht="15.75">
      <c r="B4" s="67"/>
      <c r="C4" s="67"/>
      <c r="D4" s="67"/>
      <c r="E4" s="67"/>
      <c r="F4" s="67"/>
      <c r="G4" s="67"/>
      <c r="H4" s="67"/>
      <c r="I4" s="67"/>
    </row>
    <row r="5" spans="1:9" ht="15.75">
      <c r="A5" s="68" t="s">
        <v>282</v>
      </c>
      <c r="B5" s="67"/>
      <c r="C5" s="67"/>
      <c r="D5" s="67"/>
      <c r="E5" s="67"/>
      <c r="F5" s="67"/>
      <c r="G5" s="67"/>
      <c r="H5" s="67"/>
      <c r="I5" s="67"/>
    </row>
    <row r="6" spans="2:9" ht="15.75">
      <c r="B6" s="67"/>
      <c r="C6" s="67"/>
      <c r="D6" s="67"/>
      <c r="E6" s="67"/>
      <c r="F6" s="67"/>
      <c r="G6" s="67"/>
      <c r="H6" s="67"/>
      <c r="I6" s="67"/>
    </row>
    <row r="7" spans="1:14" ht="73.5" customHeight="1">
      <c r="A7" s="69" t="s">
        <v>139</v>
      </c>
      <c r="B7" s="69" t="s">
        <v>140</v>
      </c>
      <c r="C7" s="69" t="s">
        <v>141</v>
      </c>
      <c r="D7" s="69" t="s">
        <v>292</v>
      </c>
      <c r="E7" s="69" t="s">
        <v>198</v>
      </c>
      <c r="F7" s="69" t="s">
        <v>199</v>
      </c>
      <c r="G7" s="69" t="s">
        <v>200</v>
      </c>
      <c r="H7" s="69" t="s">
        <v>201</v>
      </c>
      <c r="I7" s="69" t="s">
        <v>199</v>
      </c>
      <c r="J7" s="69" t="s">
        <v>202</v>
      </c>
      <c r="K7" s="69" t="s">
        <v>203</v>
      </c>
      <c r="L7" s="69" t="s">
        <v>199</v>
      </c>
      <c r="M7" s="69" t="s">
        <v>223</v>
      </c>
      <c r="N7" s="70"/>
    </row>
    <row r="8" spans="1:14" ht="15.75">
      <c r="A8" s="70"/>
      <c r="B8" s="71" t="str">
        <f>"(A)"</f>
        <v>(A)</v>
      </c>
      <c r="C8" s="71" t="str">
        <f>"(B)"</f>
        <v>(B)</v>
      </c>
      <c r="D8" s="71" t="str">
        <f>"(C)"</f>
        <v>(C)</v>
      </c>
      <c r="E8" s="71" t="str">
        <f>"(D)"</f>
        <v>(D)</v>
      </c>
      <c r="F8" s="71" t="str">
        <f>"(E)"</f>
        <v>(E)</v>
      </c>
      <c r="G8" s="71" t="str">
        <f>"(F)"</f>
        <v>(F)</v>
      </c>
      <c r="H8" s="71" t="str">
        <f>"(G)"</f>
        <v>(G)</v>
      </c>
      <c r="I8" s="71" t="str">
        <f>"(H)"</f>
        <v>(H)</v>
      </c>
      <c r="J8" s="71" t="str">
        <f>"(I)"</f>
        <v>(I)</v>
      </c>
      <c r="K8" s="71" t="str">
        <f>"(J)"</f>
        <v>(J)</v>
      </c>
      <c r="L8" s="71" t="str">
        <f>"(K)"</f>
        <v>(K)</v>
      </c>
      <c r="M8" s="71" t="str">
        <f>"(L)"</f>
        <v>(L)</v>
      </c>
      <c r="N8" s="71"/>
    </row>
    <row r="9" spans="1:15" ht="15.75">
      <c r="A9" s="72">
        <v>1</v>
      </c>
      <c r="B9" s="73">
        <v>42736</v>
      </c>
      <c r="C9" s="74">
        <v>12</v>
      </c>
      <c r="D9" s="75">
        <f>D31+D61+D83+D112+D134+D163</f>
        <v>203041</v>
      </c>
      <c r="E9" s="75">
        <f aca="true" t="shared" si="0" ref="E9:M9">E31+E61+E83+E112+E134+E163</f>
        <v>787036</v>
      </c>
      <c r="F9" s="75">
        <f t="shared" si="0"/>
        <v>726494.7692307692</v>
      </c>
      <c r="G9" s="75">
        <f t="shared" si="0"/>
        <v>-205883</v>
      </c>
      <c r="H9" s="75">
        <f t="shared" si="0"/>
        <v>-94444</v>
      </c>
      <c r="I9" s="75">
        <f t="shared" si="0"/>
        <v>-87179.07692307694</v>
      </c>
      <c r="J9" s="75">
        <f t="shared" si="0"/>
        <v>-30462</v>
      </c>
      <c r="K9" s="75">
        <f t="shared" si="0"/>
        <v>-28611</v>
      </c>
      <c r="L9" s="75">
        <f t="shared" si="0"/>
        <v>-26410.153846153848</v>
      </c>
      <c r="M9" s="75">
        <f t="shared" si="0"/>
        <v>-745.262651923077</v>
      </c>
      <c r="N9" s="75"/>
      <c r="O9" s="75"/>
    </row>
    <row r="10" spans="1:15" ht="15.75">
      <c r="A10" s="72">
        <f>A9+1</f>
        <v>2</v>
      </c>
      <c r="B10" s="73">
        <v>42767</v>
      </c>
      <c r="C10" s="74">
        <v>11</v>
      </c>
      <c r="D10" s="75">
        <f aca="true" t="shared" si="1" ref="D10:M10">D32+D62+D84+D113+D135+D164</f>
        <v>922620</v>
      </c>
      <c r="E10" s="75">
        <f t="shared" si="1"/>
        <v>420451</v>
      </c>
      <c r="F10" s="75">
        <f t="shared" si="1"/>
        <v>355766.23076923075</v>
      </c>
      <c r="G10" s="75">
        <f t="shared" si="1"/>
        <v>-186937</v>
      </c>
      <c r="H10" s="75">
        <f t="shared" si="1"/>
        <v>-50454</v>
      </c>
      <c r="I10" s="75">
        <f t="shared" si="1"/>
        <v>-42691.846153846156</v>
      </c>
      <c r="J10" s="75">
        <f t="shared" si="1"/>
        <v>-242178</v>
      </c>
      <c r="K10" s="75">
        <f t="shared" si="1"/>
        <v>-15243</v>
      </c>
      <c r="L10" s="75">
        <f t="shared" si="1"/>
        <v>-12897.923076923078</v>
      </c>
      <c r="M10" s="75">
        <f t="shared" si="1"/>
        <v>-811.0700910256411</v>
      </c>
      <c r="N10" s="75"/>
      <c r="O10" s="75"/>
    </row>
    <row r="11" spans="1:15" ht="15.75">
      <c r="A11" s="72">
        <f aca="true" t="shared" si="2" ref="A11:A21">A10+1</f>
        <v>3</v>
      </c>
      <c r="B11" s="73">
        <v>42795</v>
      </c>
      <c r="C11" s="74">
        <v>10</v>
      </c>
      <c r="D11" s="75">
        <f aca="true" t="shared" si="3" ref="D11:M11">D33+D63+D85+D114+D136+D165</f>
        <v>607894</v>
      </c>
      <c r="E11" s="75">
        <f t="shared" si="3"/>
        <v>512097</v>
      </c>
      <c r="F11" s="75">
        <f t="shared" si="3"/>
        <v>393920.76923076925</v>
      </c>
      <c r="G11" s="75">
        <f t="shared" si="3"/>
        <v>-85345</v>
      </c>
      <c r="H11" s="75">
        <f t="shared" si="3"/>
        <v>-61451</v>
      </c>
      <c r="I11" s="75">
        <f t="shared" si="3"/>
        <v>-47270</v>
      </c>
      <c r="J11" s="75">
        <f t="shared" si="3"/>
        <v>-102824</v>
      </c>
      <c r="K11" s="75">
        <f t="shared" si="3"/>
        <v>-18585</v>
      </c>
      <c r="L11" s="75">
        <f t="shared" si="3"/>
        <v>-14296.153846153848</v>
      </c>
      <c r="M11" s="75">
        <f t="shared" si="3"/>
        <v>242.7429365384613</v>
      </c>
      <c r="N11" s="75"/>
      <c r="O11" s="75"/>
    </row>
    <row r="12" spans="1:14" ht="15.75">
      <c r="A12" s="72">
        <f t="shared" si="2"/>
        <v>4</v>
      </c>
      <c r="B12" s="73">
        <v>42826</v>
      </c>
      <c r="C12" s="74">
        <v>9</v>
      </c>
      <c r="D12" s="75">
        <f aca="true" t="shared" si="4" ref="D12:M12">D34+D64+D86+D115+D137+D166</f>
        <v>775824</v>
      </c>
      <c r="E12" s="75">
        <f t="shared" si="4"/>
        <v>741213</v>
      </c>
      <c r="F12" s="75">
        <f t="shared" si="4"/>
        <v>513147.4615384615</v>
      </c>
      <c r="G12" s="75">
        <f t="shared" si="4"/>
        <v>-116998</v>
      </c>
      <c r="H12" s="75">
        <f t="shared" si="4"/>
        <v>-88945</v>
      </c>
      <c r="I12" s="75">
        <f t="shared" si="4"/>
        <v>-61577.30769230769</v>
      </c>
      <c r="J12" s="75">
        <f t="shared" si="4"/>
        <v>-107563</v>
      </c>
      <c r="K12" s="75">
        <f t="shared" si="4"/>
        <v>-26940</v>
      </c>
      <c r="L12" s="75">
        <f t="shared" si="4"/>
        <v>-18650.76923076923</v>
      </c>
      <c r="M12" s="75">
        <f t="shared" si="4"/>
        <v>942.689430448718</v>
      </c>
      <c r="N12" s="75"/>
    </row>
    <row r="13" spans="1:14" ht="15.75">
      <c r="A13" s="72">
        <f t="shared" si="2"/>
        <v>5</v>
      </c>
      <c r="B13" s="73">
        <v>42856</v>
      </c>
      <c r="C13" s="74">
        <v>8</v>
      </c>
      <c r="D13" s="75">
        <f aca="true" t="shared" si="5" ref="D13:M13">D35+D65+D87+D116+D138+D167</f>
        <v>876331</v>
      </c>
      <c r="E13" s="75">
        <f t="shared" si="5"/>
        <v>1199444</v>
      </c>
      <c r="F13" s="75">
        <f t="shared" si="5"/>
        <v>738119.3846153847</v>
      </c>
      <c r="G13" s="75">
        <f t="shared" si="5"/>
        <v>-123416</v>
      </c>
      <c r="H13" s="75">
        <f t="shared" si="5"/>
        <v>-143933</v>
      </c>
      <c r="I13" s="75">
        <f t="shared" si="5"/>
        <v>-88574.15384615384</v>
      </c>
      <c r="J13" s="75">
        <f t="shared" si="5"/>
        <v>-86050</v>
      </c>
      <c r="K13" s="75">
        <f t="shared" si="5"/>
        <v>-43650</v>
      </c>
      <c r="L13" s="75">
        <f t="shared" si="5"/>
        <v>-26861.538461538465</v>
      </c>
      <c r="M13" s="75">
        <f t="shared" si="5"/>
        <v>1462.275590384615</v>
      </c>
      <c r="N13" s="75"/>
    </row>
    <row r="14" spans="1:14" ht="15.75">
      <c r="A14" s="72">
        <f t="shared" si="2"/>
        <v>6</v>
      </c>
      <c r="B14" s="73">
        <v>42887</v>
      </c>
      <c r="C14" s="74">
        <v>7</v>
      </c>
      <c r="D14" s="75">
        <f aca="true" t="shared" si="6" ref="D14:M14">D36+D66+D88+D117+D139+D168</f>
        <v>1602481</v>
      </c>
      <c r="E14" s="75">
        <f t="shared" si="6"/>
        <v>1657675</v>
      </c>
      <c r="F14" s="75">
        <f t="shared" si="6"/>
        <v>892594.2307692308</v>
      </c>
      <c r="G14" s="75">
        <f t="shared" si="6"/>
        <v>-99874</v>
      </c>
      <c r="H14" s="75">
        <f t="shared" si="6"/>
        <v>-198921</v>
      </c>
      <c r="I14" s="75">
        <f t="shared" si="6"/>
        <v>-107111.30769230769</v>
      </c>
      <c r="J14" s="75">
        <f t="shared" si="6"/>
        <v>-152240</v>
      </c>
      <c r="K14" s="75">
        <f t="shared" si="6"/>
        <v>-60361</v>
      </c>
      <c r="L14" s="75">
        <f t="shared" si="6"/>
        <v>-32502.076923076922</v>
      </c>
      <c r="M14" s="75">
        <f t="shared" si="6"/>
        <v>2448.5333842948717</v>
      </c>
      <c r="N14" s="75"/>
    </row>
    <row r="15" spans="1:14" ht="15.75">
      <c r="A15" s="72">
        <f t="shared" si="2"/>
        <v>7</v>
      </c>
      <c r="B15" s="73">
        <v>42917</v>
      </c>
      <c r="C15" s="74">
        <v>6</v>
      </c>
      <c r="D15" s="75">
        <f aca="true" t="shared" si="7" ref="D15:M15">D37+D67+D89+D118+D140+D169</f>
        <v>823855</v>
      </c>
      <c r="E15" s="75">
        <f t="shared" si="7"/>
        <v>1657675</v>
      </c>
      <c r="F15" s="75">
        <f t="shared" si="7"/>
        <v>765080.7692307692</v>
      </c>
      <c r="G15" s="75">
        <f t="shared" si="7"/>
        <v>-147310</v>
      </c>
      <c r="H15" s="75">
        <f t="shared" si="7"/>
        <v>-198921</v>
      </c>
      <c r="I15" s="75">
        <f t="shared" si="7"/>
        <v>-91809.69230769231</v>
      </c>
      <c r="J15" s="75">
        <f t="shared" si="7"/>
        <v>-258600</v>
      </c>
      <c r="K15" s="75">
        <f t="shared" si="7"/>
        <v>-60361</v>
      </c>
      <c r="L15" s="75">
        <f t="shared" si="7"/>
        <v>-27858.923076923078</v>
      </c>
      <c r="M15" s="75">
        <f t="shared" si="7"/>
        <v>3319.2957884615375</v>
      </c>
      <c r="N15" s="75"/>
    </row>
    <row r="16" spans="1:14" ht="15.75">
      <c r="A16" s="72">
        <f t="shared" si="2"/>
        <v>8</v>
      </c>
      <c r="B16" s="73">
        <v>42948</v>
      </c>
      <c r="C16" s="74">
        <v>5</v>
      </c>
      <c r="D16" s="75">
        <f aca="true" t="shared" si="8" ref="D16:M16">D38+D68+D90+D119+D141+D170</f>
        <v>2151785</v>
      </c>
      <c r="E16" s="75">
        <f t="shared" si="8"/>
        <v>2917811</v>
      </c>
      <c r="F16" s="75">
        <f t="shared" si="8"/>
        <v>1122235</v>
      </c>
      <c r="G16" s="75">
        <f t="shared" si="8"/>
        <v>-271819</v>
      </c>
      <c r="H16" s="75">
        <f t="shared" si="8"/>
        <v>-350138</v>
      </c>
      <c r="I16" s="75">
        <f t="shared" si="8"/>
        <v>-134668.46153846156</v>
      </c>
      <c r="J16" s="75">
        <f t="shared" si="8"/>
        <v>-126063</v>
      </c>
      <c r="K16" s="75">
        <f t="shared" si="8"/>
        <v>-106314</v>
      </c>
      <c r="L16" s="75">
        <f t="shared" si="8"/>
        <v>-40890</v>
      </c>
      <c r="M16" s="75">
        <f t="shared" si="8"/>
        <v>4040.2677166666663</v>
      </c>
      <c r="N16" s="75"/>
    </row>
    <row r="17" spans="1:14" ht="15.75">
      <c r="A17" s="72">
        <f t="shared" si="2"/>
        <v>9</v>
      </c>
      <c r="B17" s="73">
        <v>42979</v>
      </c>
      <c r="C17" s="74">
        <v>4</v>
      </c>
      <c r="D17" s="75">
        <f aca="true" t="shared" si="9" ref="D17:M17">D39+D69+D91+D120+D142+D171</f>
        <v>1190456</v>
      </c>
      <c r="E17" s="75">
        <f t="shared" si="9"/>
        <v>2849075</v>
      </c>
      <c r="F17" s="75">
        <f t="shared" si="9"/>
        <v>876638.4615384615</v>
      </c>
      <c r="G17" s="75">
        <f t="shared" si="9"/>
        <v>-222726</v>
      </c>
      <c r="H17" s="75">
        <f t="shared" si="9"/>
        <v>-341889</v>
      </c>
      <c r="I17" s="75">
        <f t="shared" si="9"/>
        <v>-105196.61538461539</v>
      </c>
      <c r="J17" s="75">
        <f t="shared" si="9"/>
        <v>-162635</v>
      </c>
      <c r="K17" s="75">
        <f t="shared" si="9"/>
        <v>-103808</v>
      </c>
      <c r="L17" s="75">
        <f t="shared" si="9"/>
        <v>-31940.923076923078</v>
      </c>
      <c r="M17" s="75">
        <f t="shared" si="9"/>
        <v>5141.697881730769</v>
      </c>
      <c r="N17" s="75"/>
    </row>
    <row r="18" spans="1:14" ht="15.75">
      <c r="A18" s="72">
        <f t="shared" si="2"/>
        <v>10</v>
      </c>
      <c r="B18" s="73">
        <v>43009</v>
      </c>
      <c r="C18" s="74">
        <v>3</v>
      </c>
      <c r="D18" s="75">
        <f aca="true" t="shared" si="10" ref="D18:M18">D40+D70+D92+D121+D143+D172</f>
        <v>2371548</v>
      </c>
      <c r="E18" s="75">
        <f t="shared" si="10"/>
        <v>2917811</v>
      </c>
      <c r="F18" s="75">
        <f t="shared" si="10"/>
        <v>673341</v>
      </c>
      <c r="G18" s="75">
        <f t="shared" si="10"/>
        <v>-228831</v>
      </c>
      <c r="H18" s="75">
        <f t="shared" si="10"/>
        <v>-350138</v>
      </c>
      <c r="I18" s="75">
        <f t="shared" si="10"/>
        <v>-80801.07692307692</v>
      </c>
      <c r="J18" s="75">
        <f t="shared" si="10"/>
        <v>-46556</v>
      </c>
      <c r="K18" s="75">
        <f t="shared" si="10"/>
        <v>-106314</v>
      </c>
      <c r="L18" s="75">
        <f t="shared" si="10"/>
        <v>-24534</v>
      </c>
      <c r="M18" s="75">
        <f t="shared" si="10"/>
        <v>7141.263718589744</v>
      </c>
      <c r="N18" s="75"/>
    </row>
    <row r="19" spans="1:14" ht="15.75">
      <c r="A19" s="72">
        <f t="shared" si="2"/>
        <v>11</v>
      </c>
      <c r="B19" s="73">
        <v>43040</v>
      </c>
      <c r="C19" s="74">
        <v>2</v>
      </c>
      <c r="D19" s="75">
        <f aca="true" t="shared" si="11" ref="D19:M19">D41+D71+D93+D122+D144+D173</f>
        <v>6490489</v>
      </c>
      <c r="E19" s="75">
        <f t="shared" si="11"/>
        <v>1772233</v>
      </c>
      <c r="F19" s="75">
        <f t="shared" si="11"/>
        <v>272651.2307692308</v>
      </c>
      <c r="G19" s="75">
        <f t="shared" si="11"/>
        <v>-176567</v>
      </c>
      <c r="H19" s="75">
        <f t="shared" si="11"/>
        <v>-212668</v>
      </c>
      <c r="I19" s="75">
        <f t="shared" si="11"/>
        <v>-32718.153846153848</v>
      </c>
      <c r="J19" s="75">
        <f t="shared" si="11"/>
        <v>-41336</v>
      </c>
      <c r="K19" s="75">
        <f t="shared" si="11"/>
        <v>-64538</v>
      </c>
      <c r="L19" s="75">
        <f t="shared" si="11"/>
        <v>-9928.923076923078</v>
      </c>
      <c r="M19" s="75">
        <f t="shared" si="11"/>
        <v>13741.392883653847</v>
      </c>
      <c r="N19" s="75"/>
    </row>
    <row r="20" spans="1:34" ht="18">
      <c r="A20" s="72">
        <f t="shared" si="2"/>
        <v>12</v>
      </c>
      <c r="B20" s="73">
        <v>43070</v>
      </c>
      <c r="C20" s="74">
        <v>1</v>
      </c>
      <c r="D20" s="76">
        <f aca="true" t="shared" si="12" ref="D20:M20">D42+D72+D94+D123+D145+D174</f>
        <v>4470710</v>
      </c>
      <c r="E20" s="76">
        <f t="shared" si="12"/>
        <v>1772233</v>
      </c>
      <c r="F20" s="76">
        <f t="shared" si="12"/>
        <v>136325.6153846154</v>
      </c>
      <c r="G20" s="76">
        <f t="shared" si="12"/>
        <v>-137009</v>
      </c>
      <c r="H20" s="76">
        <f t="shared" si="12"/>
        <v>-212668</v>
      </c>
      <c r="I20" s="76">
        <f t="shared" si="12"/>
        <v>-16359.076923076924</v>
      </c>
      <c r="J20" s="76">
        <f t="shared" si="12"/>
        <v>-96471</v>
      </c>
      <c r="K20" s="76">
        <f t="shared" si="12"/>
        <v>-64538</v>
      </c>
      <c r="L20" s="76">
        <f t="shared" si="12"/>
        <v>-4964.461538461539</v>
      </c>
      <c r="M20" s="76">
        <f t="shared" si="12"/>
        <v>21976.349003205127</v>
      </c>
      <c r="N20" s="76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</row>
    <row r="21" spans="1:14" ht="15.75">
      <c r="A21" s="72">
        <f t="shared" si="2"/>
        <v>13</v>
      </c>
      <c r="C21" s="78"/>
      <c r="D21" s="75">
        <f aca="true" t="shared" si="13" ref="D21:I21">SUM(D9:D20)</f>
        <v>22487034</v>
      </c>
      <c r="E21" s="74">
        <f t="shared" si="13"/>
        <v>19204754</v>
      </c>
      <c r="F21" s="74">
        <f t="shared" si="13"/>
        <v>7466314.923076922</v>
      </c>
      <c r="G21" s="75">
        <f t="shared" si="13"/>
        <v>-2002715</v>
      </c>
      <c r="H21" s="74">
        <f t="shared" si="13"/>
        <v>-2304570</v>
      </c>
      <c r="I21" s="74">
        <f t="shared" si="13"/>
        <v>-895956.7692307692</v>
      </c>
      <c r="J21" s="74">
        <f>SUM(J9:J20)</f>
        <v>-1452978</v>
      </c>
      <c r="K21" s="74">
        <f>SUM(K9:K20)</f>
        <v>-699263</v>
      </c>
      <c r="L21" s="74">
        <f>SUM(L9:L20)</f>
        <v>-271735.8461538461</v>
      </c>
      <c r="M21" s="74">
        <f>SUM(M9:M20)</f>
        <v>58900.17559102564</v>
      </c>
      <c r="N21" s="74"/>
    </row>
    <row r="22" spans="1:34" ht="15.75">
      <c r="A22" s="72"/>
      <c r="C22" s="78"/>
      <c r="D22" s="75"/>
      <c r="E22" s="74"/>
      <c r="F22" s="74"/>
      <c r="G22" s="75"/>
      <c r="H22" s="74"/>
      <c r="I22" s="74"/>
      <c r="J22" s="74"/>
      <c r="K22" s="74"/>
      <c r="L22" s="74"/>
      <c r="M22" s="74"/>
      <c r="N22" s="74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</row>
    <row r="23" spans="1:14" ht="15.75">
      <c r="A23" s="72"/>
      <c r="C23" s="78"/>
      <c r="D23" s="75"/>
      <c r="E23" s="74"/>
      <c r="F23" s="74"/>
      <c r="H23" s="74"/>
      <c r="I23" s="74"/>
      <c r="J23" s="74"/>
      <c r="K23" s="74"/>
      <c r="L23" s="74"/>
      <c r="M23" s="74"/>
      <c r="N23" s="74"/>
    </row>
    <row r="24" spans="1:14" ht="94.5">
      <c r="A24" s="72"/>
      <c r="D24" s="69" t="s">
        <v>204</v>
      </c>
      <c r="E24" s="69" t="s">
        <v>205</v>
      </c>
      <c r="F24" s="69" t="s">
        <v>221</v>
      </c>
      <c r="G24" s="75"/>
      <c r="J24" s="69" t="s">
        <v>206</v>
      </c>
      <c r="K24" s="69" t="s">
        <v>207</v>
      </c>
      <c r="L24" s="69" t="s">
        <v>222</v>
      </c>
      <c r="M24" s="74"/>
      <c r="N24" s="74"/>
    </row>
    <row r="25" spans="1:14" ht="15.75">
      <c r="A25" s="72">
        <f>+A21+1</f>
        <v>14</v>
      </c>
      <c r="B25" s="241" t="s">
        <v>208</v>
      </c>
      <c r="C25" s="241"/>
      <c r="D25" s="74">
        <f>D21+G21</f>
        <v>20484319</v>
      </c>
      <c r="E25" s="74">
        <f>F21+I21</f>
        <v>6570358.153846153</v>
      </c>
      <c r="F25" s="74">
        <f>D25-E25</f>
        <v>13913960.846153848</v>
      </c>
      <c r="J25" s="74">
        <f>G21+J21</f>
        <v>-3455693</v>
      </c>
      <c r="K25" s="74">
        <f>I21+L21</f>
        <v>-1167692.6153846155</v>
      </c>
      <c r="L25" s="74">
        <f>J25-K25</f>
        <v>-2288000.3846153845</v>
      </c>
      <c r="M25" s="74"/>
      <c r="N25" s="74"/>
    </row>
    <row r="26" spans="1:34" ht="15.75">
      <c r="A26" s="72"/>
      <c r="C26" s="78"/>
      <c r="D26" s="75"/>
      <c r="E26" s="74"/>
      <c r="F26" s="74"/>
      <c r="G26" s="75"/>
      <c r="H26" s="74"/>
      <c r="I26" s="74"/>
      <c r="J26" s="74"/>
      <c r="K26" s="74"/>
      <c r="L26" s="74"/>
      <c r="M26" s="74"/>
      <c r="N26" s="74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</row>
    <row r="27" ht="15.75">
      <c r="A27" s="68" t="s">
        <v>283</v>
      </c>
    </row>
    <row r="28" spans="1:38" ht="15.75">
      <c r="A28" s="67"/>
      <c r="O28" s="138" t="s">
        <v>209</v>
      </c>
      <c r="P28" s="80"/>
      <c r="Q28" s="80"/>
      <c r="R28" s="80"/>
      <c r="S28" s="80"/>
      <c r="T28" s="138" t="s">
        <v>210</v>
      </c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</row>
    <row r="29" spans="1:38" s="83" customFormat="1" ht="47.25">
      <c r="A29" s="69" t="s">
        <v>139</v>
      </c>
      <c r="B29" s="69" t="s">
        <v>140</v>
      </c>
      <c r="C29" s="69" t="s">
        <v>141</v>
      </c>
      <c r="D29" s="69" t="s">
        <v>293</v>
      </c>
      <c r="E29" s="69" t="s">
        <v>198</v>
      </c>
      <c r="F29" s="69" t="s">
        <v>199</v>
      </c>
      <c r="G29" s="69" t="s">
        <v>200</v>
      </c>
      <c r="H29" s="69" t="s">
        <v>201</v>
      </c>
      <c r="I29" s="69" t="s">
        <v>199</v>
      </c>
      <c r="J29" s="69" t="s">
        <v>202</v>
      </c>
      <c r="K29" s="69" t="s">
        <v>203</v>
      </c>
      <c r="L29" s="69" t="s">
        <v>199</v>
      </c>
      <c r="M29" s="69" t="s">
        <v>223</v>
      </c>
      <c r="N29" s="81"/>
      <c r="O29" s="82" t="s">
        <v>211</v>
      </c>
      <c r="P29" s="82" t="s">
        <v>211</v>
      </c>
      <c r="Q29" s="82" t="s">
        <v>211</v>
      </c>
      <c r="R29" s="82" t="s">
        <v>212</v>
      </c>
      <c r="S29" s="82"/>
      <c r="T29" s="82" t="s">
        <v>211</v>
      </c>
      <c r="U29" s="82" t="s">
        <v>211</v>
      </c>
      <c r="V29" s="82" t="s">
        <v>211</v>
      </c>
      <c r="W29" s="82" t="s">
        <v>212</v>
      </c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</row>
    <row r="30" spans="1:38" s="83" customFormat="1" ht="15.75">
      <c r="A30" s="70"/>
      <c r="B30" s="71" t="str">
        <f>"(A)"</f>
        <v>(A)</v>
      </c>
      <c r="C30" s="71" t="str">
        <f>"(B)"</f>
        <v>(B)</v>
      </c>
      <c r="D30" s="71" t="str">
        <f>"(C)"</f>
        <v>(C)</v>
      </c>
      <c r="E30" s="71" t="str">
        <f>"(D)"</f>
        <v>(D)</v>
      </c>
      <c r="F30" s="71" t="str">
        <f>"(E)"</f>
        <v>(E)</v>
      </c>
      <c r="G30" s="71" t="str">
        <f>"(F)"</f>
        <v>(F)</v>
      </c>
      <c r="H30" s="71" t="str">
        <f>"(G)"</f>
        <v>(G)</v>
      </c>
      <c r="I30" s="71" t="str">
        <f>"(H)"</f>
        <v>(H)</v>
      </c>
      <c r="J30" s="71" t="str">
        <f>"(I)"</f>
        <v>(I)</v>
      </c>
      <c r="K30" s="71" t="str">
        <f>"(J)"</f>
        <v>(J)</v>
      </c>
      <c r="L30" s="71" t="str">
        <f>"(K)"</f>
        <v>(K)</v>
      </c>
      <c r="M30" s="71" t="str">
        <f>"(L)"</f>
        <v>(L)</v>
      </c>
      <c r="N30" s="84"/>
      <c r="O30" s="82" t="s">
        <v>213</v>
      </c>
      <c r="P30" s="82" t="s">
        <v>214</v>
      </c>
      <c r="Q30" s="82" t="s">
        <v>215</v>
      </c>
      <c r="R30" s="82" t="s">
        <v>216</v>
      </c>
      <c r="S30" s="82"/>
      <c r="T30" s="82" t="s">
        <v>213</v>
      </c>
      <c r="U30" s="82" t="s">
        <v>214</v>
      </c>
      <c r="V30" s="82" t="s">
        <v>215</v>
      </c>
      <c r="W30" s="82" t="s">
        <v>216</v>
      </c>
      <c r="X30" s="82"/>
      <c r="Y30" s="82"/>
      <c r="Z30" s="80"/>
      <c r="AA30" s="82"/>
      <c r="AB30" s="82"/>
      <c r="AC30" s="82"/>
      <c r="AD30" s="82"/>
      <c r="AE30" s="80"/>
      <c r="AF30" s="82"/>
      <c r="AG30" s="82"/>
      <c r="AH30" s="82"/>
      <c r="AI30" s="82"/>
      <c r="AJ30" s="80"/>
      <c r="AK30" s="82"/>
      <c r="AL30" s="82"/>
    </row>
    <row r="31" spans="1:38" ht="15.75">
      <c r="A31" s="72">
        <v>1</v>
      </c>
      <c r="B31" s="73">
        <v>42736</v>
      </c>
      <c r="C31" s="74">
        <v>12</v>
      </c>
      <c r="D31" s="75">
        <f aca="true" t="shared" si="14" ref="D31:D42">ROUND(T31*$W$31,0)</f>
        <v>202765</v>
      </c>
      <c r="E31" s="75">
        <f>ROUND(O31*$R$31,0)</f>
        <v>443119</v>
      </c>
      <c r="F31" s="75">
        <f>($C31/13)*E31</f>
        <v>409032.9230769231</v>
      </c>
      <c r="G31" s="75">
        <f aca="true" t="shared" si="15" ref="G31:G42">ROUND(U31*$W$31,0)</f>
        <v>-144500</v>
      </c>
      <c r="H31" s="75">
        <f>ROUND(P31*$R$31,0)</f>
        <v>-53174</v>
      </c>
      <c r="I31" s="75">
        <f>($C31/13)*H31</f>
        <v>-49083.69230769231</v>
      </c>
      <c r="J31" s="75">
        <f>ROUND(V31*$W$31,0)</f>
        <v>-28920</v>
      </c>
      <c r="K31" s="75">
        <f>ROUND(Q31*$R$31,0)</f>
        <v>-7976</v>
      </c>
      <c r="L31" s="75">
        <f>($C31/13)*K31</f>
        <v>-7362.461538461539</v>
      </c>
      <c r="M31" s="75">
        <f>('Plant &amp; Book Depr Form 2.0'!F104/12)*((D31+G31)-(F31+I31))/2</f>
        <v>-207.4079086538462</v>
      </c>
      <c r="N31" s="85"/>
      <c r="O31" s="86">
        <v>443119.0074074072</v>
      </c>
      <c r="P31" s="86">
        <f>O31*-0.12</f>
        <v>-53174.28088888886</v>
      </c>
      <c r="Q31" s="86">
        <f>P31*0.15</f>
        <v>-7976.142133333329</v>
      </c>
      <c r="R31" s="139">
        <v>1</v>
      </c>
      <c r="S31" s="80"/>
      <c r="T31" s="86">
        <v>202764.96999999997</v>
      </c>
      <c r="U31" s="86">
        <v>-144500.35</v>
      </c>
      <c r="V31" s="86">
        <v>-28920.28</v>
      </c>
      <c r="W31" s="139">
        <v>1</v>
      </c>
      <c r="X31" s="80"/>
      <c r="Y31" s="87"/>
      <c r="Z31" s="88"/>
      <c r="AA31" s="88"/>
      <c r="AB31" s="87"/>
      <c r="AC31" s="80"/>
      <c r="AD31" s="87"/>
      <c r="AE31" s="88"/>
      <c r="AF31" s="88"/>
      <c r="AG31" s="87"/>
      <c r="AH31" s="80"/>
      <c r="AI31" s="87"/>
      <c r="AJ31" s="88"/>
      <c r="AK31" s="88"/>
      <c r="AL31" s="87"/>
    </row>
    <row r="32" spans="1:38" ht="15.75">
      <c r="A32" s="72">
        <f>A31+1</f>
        <v>2</v>
      </c>
      <c r="B32" s="73">
        <v>42767</v>
      </c>
      <c r="C32" s="74">
        <v>11</v>
      </c>
      <c r="D32" s="75">
        <f t="shared" si="14"/>
        <v>265790</v>
      </c>
      <c r="E32" s="75">
        <f aca="true" t="shared" si="16" ref="E32:E42">ROUND(O32*$R$31,0)</f>
        <v>237719</v>
      </c>
      <c r="F32" s="75">
        <f aca="true" t="shared" si="17" ref="F32:F42">($C32/13)*E32</f>
        <v>201146.84615384616</v>
      </c>
      <c r="G32" s="75">
        <f t="shared" si="15"/>
        <v>-115673</v>
      </c>
      <c r="H32" s="75">
        <f aca="true" t="shared" si="18" ref="H32:H42">ROUND(P32*$R$31,0)</f>
        <v>-28526</v>
      </c>
      <c r="I32" s="75">
        <f aca="true" t="shared" si="19" ref="I32:I42">($C32/13)*H32</f>
        <v>-24137.384615384613</v>
      </c>
      <c r="J32" s="75">
        <f aca="true" t="shared" si="20" ref="J32:J42">ROUND(V32*$W$31,0)</f>
        <v>-76799</v>
      </c>
      <c r="K32" s="75">
        <f aca="true" t="shared" si="21" ref="K32:K42">ROUND(Q32*$R$31,0)</f>
        <v>-4279</v>
      </c>
      <c r="L32" s="75">
        <f aca="true" t="shared" si="22" ref="L32:L42">($C32/13)*K32</f>
        <v>-3620.6923076923076</v>
      </c>
      <c r="M32" s="75">
        <f>('Plant &amp; Book Depr Form 2.0'!F104/12)*((D32+G32)-(F32+I32))/2+('Plant &amp; Book Depr Form 2.0'!F104/12)*((D31+G31)-(F31+I31))</f>
        <v>-433.30438461538466</v>
      </c>
      <c r="N32" s="85"/>
      <c r="O32" s="86">
        <v>237719.3037037037</v>
      </c>
      <c r="P32" s="86">
        <f aca="true" t="shared" si="23" ref="P32:P42">O32*-0.12</f>
        <v>-28526.316444444445</v>
      </c>
      <c r="Q32" s="86">
        <f aca="true" t="shared" si="24" ref="Q32:Q42">P32*0.15</f>
        <v>-4278.9474666666665</v>
      </c>
      <c r="R32" s="80"/>
      <c r="S32" s="80"/>
      <c r="T32" s="86">
        <v>265790.08</v>
      </c>
      <c r="U32" s="86">
        <v>-115673.07</v>
      </c>
      <c r="V32" s="86">
        <v>-76799.00999999998</v>
      </c>
      <c r="W32" s="80"/>
      <c r="X32" s="80"/>
      <c r="Y32" s="87"/>
      <c r="Z32" s="88"/>
      <c r="AA32" s="88"/>
      <c r="AB32" s="87"/>
      <c r="AC32" s="80"/>
      <c r="AD32" s="87"/>
      <c r="AE32" s="88"/>
      <c r="AF32" s="88"/>
      <c r="AG32" s="87"/>
      <c r="AH32" s="80"/>
      <c r="AI32" s="87"/>
      <c r="AJ32" s="88"/>
      <c r="AK32" s="88"/>
      <c r="AL32" s="87"/>
    </row>
    <row r="33" spans="1:38" ht="15.75">
      <c r="A33" s="72">
        <f aca="true" t="shared" si="25" ref="A33:A43">A32+1</f>
        <v>3</v>
      </c>
      <c r="B33" s="73">
        <v>42795</v>
      </c>
      <c r="C33" s="74">
        <v>10</v>
      </c>
      <c r="D33" s="75">
        <f t="shared" si="14"/>
        <v>91930</v>
      </c>
      <c r="E33" s="75">
        <f t="shared" si="16"/>
        <v>289069</v>
      </c>
      <c r="F33" s="75">
        <f t="shared" si="17"/>
        <v>222360.76923076925</v>
      </c>
      <c r="G33" s="75">
        <f t="shared" si="15"/>
        <v>-3618</v>
      </c>
      <c r="H33" s="75">
        <f t="shared" si="18"/>
        <v>-34688</v>
      </c>
      <c r="I33" s="75">
        <f t="shared" si="19"/>
        <v>-26683.076923076926</v>
      </c>
      <c r="J33" s="75">
        <f t="shared" si="20"/>
        <v>-1566</v>
      </c>
      <c r="K33" s="75">
        <f t="shared" si="21"/>
        <v>-5203</v>
      </c>
      <c r="L33" s="75">
        <f t="shared" si="22"/>
        <v>-4002.3076923076924</v>
      </c>
      <c r="M33" s="75">
        <f>('Plant &amp; Book Depr Form 2.0'!$F$104/12)*((D33+G33)-(F33+I33))/2+('Plant &amp; Book Depr Form 2.0'!$F$104/12)*((SUM(D31:D32)+SUM(G31:G32))-(SUM(F31:F32)+SUM(I31:I32)))</f>
        <v>-525.6068653846155</v>
      </c>
      <c r="N33" s="85"/>
      <c r="O33" s="86">
        <v>289069.2296296296</v>
      </c>
      <c r="P33" s="86">
        <f t="shared" si="23"/>
        <v>-34688.30755555555</v>
      </c>
      <c r="Q33" s="86">
        <f t="shared" si="24"/>
        <v>-5203.246133333332</v>
      </c>
      <c r="R33" s="80"/>
      <c r="S33" s="80"/>
      <c r="T33" s="86">
        <v>91929.71000000002</v>
      </c>
      <c r="U33" s="86">
        <v>-3617.8900000000003</v>
      </c>
      <c r="V33" s="86">
        <v>-1566.380000000001</v>
      </c>
      <c r="W33" s="80"/>
      <c r="X33" s="80"/>
      <c r="Y33" s="87"/>
      <c r="Z33" s="88"/>
      <c r="AA33" s="88"/>
      <c r="AB33" s="87"/>
      <c r="AC33" s="80"/>
      <c r="AD33" s="87"/>
      <c r="AE33" s="88"/>
      <c r="AF33" s="88"/>
      <c r="AG33" s="87"/>
      <c r="AH33" s="80"/>
      <c r="AI33" s="87"/>
      <c r="AJ33" s="88"/>
      <c r="AK33" s="88"/>
      <c r="AL33" s="87"/>
    </row>
    <row r="34" spans="1:38" ht="15.75">
      <c r="A34" s="72">
        <f t="shared" si="25"/>
        <v>4</v>
      </c>
      <c r="B34" s="73">
        <v>42826</v>
      </c>
      <c r="C34" s="74">
        <v>9</v>
      </c>
      <c r="D34" s="75">
        <f t="shared" si="14"/>
        <v>250848</v>
      </c>
      <c r="E34" s="75">
        <f t="shared" si="16"/>
        <v>417444</v>
      </c>
      <c r="F34" s="75">
        <f t="shared" si="17"/>
        <v>288999.6923076923</v>
      </c>
      <c r="G34" s="75">
        <f t="shared" si="15"/>
        <v>-2295</v>
      </c>
      <c r="H34" s="75">
        <f t="shared" si="18"/>
        <v>-50093</v>
      </c>
      <c r="I34" s="75">
        <f t="shared" si="19"/>
        <v>-34679.76923076923</v>
      </c>
      <c r="J34" s="75">
        <f t="shared" si="20"/>
        <v>-1836</v>
      </c>
      <c r="K34" s="75">
        <f t="shared" si="21"/>
        <v>-7514</v>
      </c>
      <c r="L34" s="75">
        <f t="shared" si="22"/>
        <v>-5202</v>
      </c>
      <c r="M34" s="75">
        <f>('Plant &amp; Book Depr Form 2.0'!$F$104/12)*((D34+G34)-(F34+I34))/2+('Plant &amp; Book Depr Form 2.0'!$F$104/12)*((SUM(D31:D33)+SUM(G31:G33))-(SUM(F31:F33)+SUM(I31:I33)))</f>
        <v>-603.3855384615385</v>
      </c>
      <c r="N34" s="85"/>
      <c r="O34" s="86">
        <v>417444.0444444445</v>
      </c>
      <c r="P34" s="86">
        <f t="shared" si="23"/>
        <v>-50093.28533333333</v>
      </c>
      <c r="Q34" s="86">
        <f t="shared" si="24"/>
        <v>-7513.9928</v>
      </c>
      <c r="R34" s="80"/>
      <c r="S34" s="80"/>
      <c r="T34" s="86">
        <v>250848.34000000005</v>
      </c>
      <c r="U34" s="86">
        <v>-2295.46</v>
      </c>
      <c r="V34" s="86">
        <v>-1836.46</v>
      </c>
      <c r="W34" s="80"/>
      <c r="X34" s="80"/>
      <c r="Y34" s="87"/>
      <c r="Z34" s="88"/>
      <c r="AA34" s="88"/>
      <c r="AB34" s="87"/>
      <c r="AC34" s="80"/>
      <c r="AD34" s="87"/>
      <c r="AE34" s="88"/>
      <c r="AF34" s="88"/>
      <c r="AG34" s="87"/>
      <c r="AH34" s="80"/>
      <c r="AI34" s="87"/>
      <c r="AJ34" s="88"/>
      <c r="AK34" s="88"/>
      <c r="AL34" s="87"/>
    </row>
    <row r="35" spans="1:38" ht="15.75">
      <c r="A35" s="72">
        <f t="shared" si="25"/>
        <v>5</v>
      </c>
      <c r="B35" s="73">
        <v>42856</v>
      </c>
      <c r="C35" s="74">
        <v>8</v>
      </c>
      <c r="D35" s="75">
        <f t="shared" si="14"/>
        <v>327909</v>
      </c>
      <c r="E35" s="75">
        <f t="shared" si="16"/>
        <v>674194</v>
      </c>
      <c r="F35" s="75">
        <f t="shared" si="17"/>
        <v>414888.61538461543</v>
      </c>
      <c r="G35" s="75">
        <f t="shared" si="15"/>
        <v>-12563</v>
      </c>
      <c r="H35" s="75">
        <f t="shared" si="18"/>
        <v>-80903</v>
      </c>
      <c r="I35" s="75">
        <f t="shared" si="19"/>
        <v>-49786.46153846154</v>
      </c>
      <c r="J35" s="75">
        <f t="shared" si="20"/>
        <v>-4486</v>
      </c>
      <c r="K35" s="75">
        <f t="shared" si="21"/>
        <v>-12135</v>
      </c>
      <c r="L35" s="75">
        <f t="shared" si="22"/>
        <v>-7467.6923076923085</v>
      </c>
      <c r="M35" s="75">
        <f>('Plant &amp; Book Depr Form 2.0'!$F$104/12)*((D35+G35)-(F35+I35))/2+('Plant &amp; Book Depr Form 2.0'!$F$104/12)*((SUM(D31:D34)+SUM(G31:G34))-(SUM(F31:F34)+SUM(I31:I34)))</f>
        <v>-641.557653846154</v>
      </c>
      <c r="N35" s="85"/>
      <c r="O35" s="86">
        <v>674193.6740740741</v>
      </c>
      <c r="P35" s="86">
        <f t="shared" si="23"/>
        <v>-80903.24088888889</v>
      </c>
      <c r="Q35" s="86">
        <f t="shared" si="24"/>
        <v>-12135.486133333334</v>
      </c>
      <c r="R35" s="80"/>
      <c r="S35" s="80"/>
      <c r="T35" s="86">
        <v>327909.30999999976</v>
      </c>
      <c r="U35" s="86">
        <v>-12562.75</v>
      </c>
      <c r="V35" s="86">
        <v>-4485.68</v>
      </c>
      <c r="W35" s="80"/>
      <c r="X35" s="80"/>
      <c r="Y35" s="87"/>
      <c r="Z35" s="88"/>
      <c r="AA35" s="88"/>
      <c r="AB35" s="87"/>
      <c r="AC35" s="80"/>
      <c r="AD35" s="87"/>
      <c r="AE35" s="88"/>
      <c r="AF35" s="88"/>
      <c r="AG35" s="87"/>
      <c r="AH35" s="80"/>
      <c r="AI35" s="87"/>
      <c r="AJ35" s="88"/>
      <c r="AK35" s="88"/>
      <c r="AL35" s="87"/>
    </row>
    <row r="36" spans="1:38" ht="15.75">
      <c r="A36" s="72">
        <f t="shared" si="25"/>
        <v>6</v>
      </c>
      <c r="B36" s="73">
        <v>42887</v>
      </c>
      <c r="C36" s="74">
        <v>7</v>
      </c>
      <c r="D36" s="75">
        <f t="shared" si="14"/>
        <v>825284</v>
      </c>
      <c r="E36" s="75">
        <f t="shared" si="16"/>
        <v>930943</v>
      </c>
      <c r="F36" s="75">
        <f t="shared" si="17"/>
        <v>501277</v>
      </c>
      <c r="G36" s="75">
        <f t="shared" si="15"/>
        <v>-3713</v>
      </c>
      <c r="H36" s="75">
        <f t="shared" si="18"/>
        <v>-111713</v>
      </c>
      <c r="I36" s="75">
        <f t="shared" si="19"/>
        <v>-60153.153846153844</v>
      </c>
      <c r="J36" s="75">
        <f t="shared" si="20"/>
        <v>-3277</v>
      </c>
      <c r="K36" s="75">
        <f t="shared" si="21"/>
        <v>-16757</v>
      </c>
      <c r="L36" s="75">
        <f t="shared" si="22"/>
        <v>-9023</v>
      </c>
      <c r="M36" s="75">
        <f>('Plant &amp; Book Depr Form 2.0'!$F$104/12)*((D36+G36)-(F36+I36))/2+('Plant &amp; Book Depr Form 2.0'!$F$104/12)*((SUM(D31:D35)+SUM(G31:G35))-(SUM(F31:F35)+SUM(I31:I35)))</f>
        <v>-414.2075913461542</v>
      </c>
      <c r="N36" s="85"/>
      <c r="O36" s="86">
        <v>930943.3037037037</v>
      </c>
      <c r="P36" s="86">
        <f t="shared" si="23"/>
        <v>-111713.19644444443</v>
      </c>
      <c r="Q36" s="86">
        <f t="shared" si="24"/>
        <v>-16756.979466666664</v>
      </c>
      <c r="R36" s="80"/>
      <c r="S36" s="80"/>
      <c r="T36" s="86">
        <v>825284.03</v>
      </c>
      <c r="U36" s="86">
        <v>-3712.74</v>
      </c>
      <c r="V36" s="86">
        <v>-3276.6200000000003</v>
      </c>
      <c r="W36" s="80"/>
      <c r="X36" s="80"/>
      <c r="Y36" s="87"/>
      <c r="Z36" s="88"/>
      <c r="AA36" s="88"/>
      <c r="AB36" s="87"/>
      <c r="AC36" s="80"/>
      <c r="AD36" s="87"/>
      <c r="AE36" s="88"/>
      <c r="AF36" s="88"/>
      <c r="AG36" s="87"/>
      <c r="AH36" s="80"/>
      <c r="AI36" s="87"/>
      <c r="AJ36" s="88"/>
      <c r="AK36" s="88"/>
      <c r="AL36" s="87"/>
    </row>
    <row r="37" spans="1:38" ht="15.75">
      <c r="A37" s="72">
        <f t="shared" si="25"/>
        <v>7</v>
      </c>
      <c r="B37" s="73">
        <v>42917</v>
      </c>
      <c r="C37" s="74">
        <v>6</v>
      </c>
      <c r="D37" s="75">
        <f t="shared" si="14"/>
        <v>301451</v>
      </c>
      <c r="E37" s="75">
        <f t="shared" si="16"/>
        <v>930943</v>
      </c>
      <c r="F37" s="75">
        <f t="shared" si="17"/>
        <v>429666</v>
      </c>
      <c r="G37" s="75">
        <f t="shared" si="15"/>
        <v>-8665</v>
      </c>
      <c r="H37" s="75">
        <f t="shared" si="18"/>
        <v>-111713</v>
      </c>
      <c r="I37" s="75">
        <f t="shared" si="19"/>
        <v>-51559.846153846156</v>
      </c>
      <c r="J37" s="75">
        <f t="shared" si="20"/>
        <v>-1665</v>
      </c>
      <c r="K37" s="75">
        <f t="shared" si="21"/>
        <v>-16757</v>
      </c>
      <c r="L37" s="75">
        <f t="shared" si="22"/>
        <v>-7734</v>
      </c>
      <c r="M37" s="75">
        <f>('Plant &amp; Book Depr Form 2.0'!$F$104/12)*((D37+G37)-(F37+I37))/2+('Plant &amp; Book Depr Form 2.0'!$F$104/12)*((SUM(D31:D36)+SUM(G31:G36))-(SUM(F31:F36)+SUM(I31:I36)))</f>
        <v>-211.30777884615395</v>
      </c>
      <c r="N37" s="85"/>
      <c r="O37" s="86">
        <v>930943.3037037037</v>
      </c>
      <c r="P37" s="86">
        <f t="shared" si="23"/>
        <v>-111713.19644444443</v>
      </c>
      <c r="Q37" s="86">
        <f t="shared" si="24"/>
        <v>-16756.979466666664</v>
      </c>
      <c r="R37" s="80"/>
      <c r="S37" s="80"/>
      <c r="T37" s="86">
        <v>301451.1400000001</v>
      </c>
      <c r="U37" s="86">
        <v>-8665.35</v>
      </c>
      <c r="V37" s="86">
        <v>-1665.47</v>
      </c>
      <c r="W37" s="80"/>
      <c r="X37" s="80"/>
      <c r="Y37" s="87"/>
      <c r="Z37" s="88"/>
      <c r="AA37" s="88"/>
      <c r="AB37" s="87"/>
      <c r="AC37" s="80"/>
      <c r="AD37" s="87"/>
      <c r="AE37" s="88"/>
      <c r="AF37" s="88"/>
      <c r="AG37" s="87"/>
      <c r="AH37" s="80"/>
      <c r="AI37" s="87"/>
      <c r="AJ37" s="88"/>
      <c r="AK37" s="88"/>
      <c r="AL37" s="87"/>
    </row>
    <row r="38" spans="1:38" ht="15">
      <c r="A38" s="72">
        <f t="shared" si="25"/>
        <v>8</v>
      </c>
      <c r="B38" s="73">
        <v>42948</v>
      </c>
      <c r="C38" s="74">
        <v>5</v>
      </c>
      <c r="D38" s="75">
        <f t="shared" si="14"/>
        <v>1439639</v>
      </c>
      <c r="E38" s="75">
        <f t="shared" si="16"/>
        <v>1637005</v>
      </c>
      <c r="F38" s="75">
        <f t="shared" si="17"/>
        <v>629617.3076923077</v>
      </c>
      <c r="G38" s="75">
        <f t="shared" si="15"/>
        <v>-53989</v>
      </c>
      <c r="H38" s="75">
        <f t="shared" si="18"/>
        <v>-196441</v>
      </c>
      <c r="I38" s="75">
        <f t="shared" si="19"/>
        <v>-75554.23076923078</v>
      </c>
      <c r="J38" s="75">
        <f t="shared" si="20"/>
        <v>-39460</v>
      </c>
      <c r="K38" s="75">
        <f t="shared" si="21"/>
        <v>-29466</v>
      </c>
      <c r="L38" s="75">
        <f t="shared" si="22"/>
        <v>-11333.076923076924</v>
      </c>
      <c r="M38" s="75">
        <f>('Plant &amp; Book Depr Form 2.0'!$F$104/12)*((D38+G38)-(F38+I38))/2+('Plant &amp; Book Depr Form 2.0'!$F$104/12)*((SUM(D31:D37)+SUM(G31:G37))-(SUM(F31:F37)+SUM(I31:I37)))</f>
        <v>301.75062500000007</v>
      </c>
      <c r="N38" s="85"/>
      <c r="O38" s="86">
        <v>1637004.785185185</v>
      </c>
      <c r="P38" s="86">
        <f t="shared" si="23"/>
        <v>-196440.5742222222</v>
      </c>
      <c r="Q38" s="86">
        <f t="shared" si="24"/>
        <v>-29466.08613333333</v>
      </c>
      <c r="R38" s="80"/>
      <c r="S38" s="80"/>
      <c r="T38" s="86">
        <v>1439638.68</v>
      </c>
      <c r="U38" s="86">
        <v>-53988.619999999995</v>
      </c>
      <c r="V38" s="86">
        <v>-39459.97</v>
      </c>
      <c r="W38" s="80"/>
      <c r="X38" s="80"/>
      <c r="Y38" s="87"/>
      <c r="Z38" s="88"/>
      <c r="AA38" s="88"/>
      <c r="AB38" s="87"/>
      <c r="AC38" s="80"/>
      <c r="AD38" s="87"/>
      <c r="AE38" s="88"/>
      <c r="AF38" s="88"/>
      <c r="AG38" s="87"/>
      <c r="AH38" s="80"/>
      <c r="AI38" s="87"/>
      <c r="AJ38" s="88"/>
      <c r="AK38" s="88"/>
      <c r="AL38" s="87"/>
    </row>
    <row r="39" spans="1:38" ht="15">
      <c r="A39" s="72">
        <f t="shared" si="25"/>
        <v>9</v>
      </c>
      <c r="B39" s="73">
        <v>42979</v>
      </c>
      <c r="C39" s="74">
        <v>4</v>
      </c>
      <c r="D39" s="75">
        <f t="shared" si="14"/>
        <v>190029</v>
      </c>
      <c r="E39" s="75">
        <f t="shared" si="16"/>
        <v>1598492</v>
      </c>
      <c r="F39" s="75">
        <f t="shared" si="17"/>
        <v>491843.6923076923</v>
      </c>
      <c r="G39" s="75">
        <f t="shared" si="15"/>
        <v>-43650</v>
      </c>
      <c r="H39" s="75">
        <f t="shared" si="18"/>
        <v>-191819</v>
      </c>
      <c r="I39" s="75">
        <f t="shared" si="19"/>
        <v>-59021.23076923077</v>
      </c>
      <c r="J39" s="75">
        <f t="shared" si="20"/>
        <v>-33461</v>
      </c>
      <c r="K39" s="75">
        <f t="shared" si="21"/>
        <v>-28773</v>
      </c>
      <c r="L39" s="75">
        <f t="shared" si="22"/>
        <v>-8853.23076923077</v>
      </c>
      <c r="M39" s="75">
        <f>('Plant &amp; Book Depr Form 2.0'!$F$104/12)*((D39+G39)-(F39+I39))/2+('Plant &amp; Book Depr Form 2.0'!$F$104/12)*((SUM(D31:D38)+SUM(G31:G38))-(SUM(F31:F38)+SUM(I31:I38)))</f>
        <v>676.5367548076923</v>
      </c>
      <c r="N39" s="85"/>
      <c r="O39" s="86">
        <v>1598492.340740741</v>
      </c>
      <c r="P39" s="86">
        <f t="shared" si="23"/>
        <v>-191819.08088888892</v>
      </c>
      <c r="Q39" s="86">
        <f t="shared" si="24"/>
        <v>-28772.862133333336</v>
      </c>
      <c r="R39" s="80"/>
      <c r="S39" s="80"/>
      <c r="T39" s="86">
        <v>190028.83000000002</v>
      </c>
      <c r="U39" s="86">
        <v>-43649.99999999999</v>
      </c>
      <c r="V39" s="86">
        <v>-33460.869999999995</v>
      </c>
      <c r="W39" s="80"/>
      <c r="X39" s="80"/>
      <c r="Y39" s="98"/>
      <c r="Z39" s="98"/>
      <c r="AA39" s="88"/>
      <c r="AB39" s="87"/>
      <c r="AC39" s="80"/>
      <c r="AD39" s="87"/>
      <c r="AE39" s="88"/>
      <c r="AF39" s="88"/>
      <c r="AG39" s="87"/>
      <c r="AH39" s="80"/>
      <c r="AI39" s="87"/>
      <c r="AJ39" s="88"/>
      <c r="AK39" s="88"/>
      <c r="AL39" s="87"/>
    </row>
    <row r="40" spans="1:38" ht="15">
      <c r="A40" s="72">
        <f t="shared" si="25"/>
        <v>10</v>
      </c>
      <c r="B40" s="73">
        <v>43009</v>
      </c>
      <c r="C40" s="74">
        <v>3</v>
      </c>
      <c r="D40" s="75">
        <f t="shared" si="14"/>
        <v>1447194</v>
      </c>
      <c r="E40" s="75">
        <f t="shared" si="16"/>
        <v>1637005</v>
      </c>
      <c r="F40" s="75">
        <f t="shared" si="17"/>
        <v>377770.3846153846</v>
      </c>
      <c r="G40" s="75">
        <f t="shared" si="15"/>
        <v>-97804</v>
      </c>
      <c r="H40" s="75">
        <f t="shared" si="18"/>
        <v>-196441</v>
      </c>
      <c r="I40" s="75">
        <f t="shared" si="19"/>
        <v>-45332.53846153846</v>
      </c>
      <c r="J40" s="75">
        <f t="shared" si="20"/>
        <v>-16495</v>
      </c>
      <c r="K40" s="75">
        <f t="shared" si="21"/>
        <v>-29466</v>
      </c>
      <c r="L40" s="75">
        <f t="shared" si="22"/>
        <v>-6799.846153846154</v>
      </c>
      <c r="M40" s="75">
        <f>('Plant &amp; Book Depr Form 2.0'!$F$104/12)*((D40+G40)-(F40+I40))/2+('Plant &amp; Book Depr Form 2.0'!$F$104/12)*((SUM(D31:D39)+SUM(G31:G39))-(SUM(F31:F39)+SUM(I31:I39)))</f>
        <v>1178.7614807692303</v>
      </c>
      <c r="N40" s="85"/>
      <c r="O40" s="86">
        <v>1637004.785185185</v>
      </c>
      <c r="P40" s="86">
        <f t="shared" si="23"/>
        <v>-196440.5742222222</v>
      </c>
      <c r="Q40" s="86">
        <f t="shared" si="24"/>
        <v>-29466.08613333333</v>
      </c>
      <c r="R40" s="80"/>
      <c r="S40" s="80"/>
      <c r="T40" s="86">
        <v>1447194.3000000003</v>
      </c>
      <c r="U40" s="86">
        <v>-97804.02</v>
      </c>
      <c r="V40" s="86">
        <v>-16495.2</v>
      </c>
      <c r="W40" s="80"/>
      <c r="X40" s="80"/>
      <c r="Y40" s="87"/>
      <c r="Z40" s="88"/>
      <c r="AA40" s="88"/>
      <c r="AB40" s="87"/>
      <c r="AC40" s="80"/>
      <c r="AD40" s="87"/>
      <c r="AE40" s="88"/>
      <c r="AF40" s="88"/>
      <c r="AG40" s="87"/>
      <c r="AH40" s="80"/>
      <c r="AI40" s="87"/>
      <c r="AJ40" s="88"/>
      <c r="AK40" s="88"/>
      <c r="AL40" s="87"/>
    </row>
    <row r="41" spans="1:38" ht="15">
      <c r="A41" s="72">
        <f t="shared" si="25"/>
        <v>11</v>
      </c>
      <c r="B41" s="73">
        <v>43040</v>
      </c>
      <c r="C41" s="74">
        <v>2</v>
      </c>
      <c r="D41" s="75">
        <f t="shared" si="14"/>
        <v>5232912</v>
      </c>
      <c r="E41" s="75">
        <f t="shared" si="16"/>
        <v>995131</v>
      </c>
      <c r="F41" s="75">
        <f t="shared" si="17"/>
        <v>153097.07692307694</v>
      </c>
      <c r="G41" s="75">
        <f t="shared" si="15"/>
        <v>-12782</v>
      </c>
      <c r="H41" s="75">
        <f t="shared" si="18"/>
        <v>-119416</v>
      </c>
      <c r="I41" s="75">
        <f t="shared" si="19"/>
        <v>-18371.69230769231</v>
      </c>
      <c r="J41" s="75">
        <f t="shared" si="20"/>
        <v>-6996</v>
      </c>
      <c r="K41" s="75">
        <f t="shared" si="21"/>
        <v>-17912</v>
      </c>
      <c r="L41" s="75">
        <f t="shared" si="22"/>
        <v>-2755.6923076923076</v>
      </c>
      <c r="M41" s="75">
        <f>('Plant &amp; Book Depr Form 2.0'!$F$104/12)*((D41+G41)-(F41+I41))/2+('Plant &amp; Book Depr Form 2.0'!$F$104/12)*((SUM(D31:D40)+SUM(G31:G40))-(SUM(F31:F40)+SUM(I31:I40)))</f>
        <v>5374.131759615385</v>
      </c>
      <c r="N41" s="85"/>
      <c r="O41" s="86">
        <v>995130.711111111</v>
      </c>
      <c r="P41" s="86">
        <f t="shared" si="23"/>
        <v>-119415.68533333331</v>
      </c>
      <c r="Q41" s="86">
        <f t="shared" si="24"/>
        <v>-17912.352799999997</v>
      </c>
      <c r="R41" s="80"/>
      <c r="S41" s="80"/>
      <c r="T41" s="86">
        <v>5232912.489999997</v>
      </c>
      <c r="U41" s="86">
        <v>-12781.650000000001</v>
      </c>
      <c r="V41" s="86">
        <v>-6995.75</v>
      </c>
      <c r="W41" s="80"/>
      <c r="X41" s="80"/>
      <c r="Y41" s="87"/>
      <c r="Z41" s="88"/>
      <c r="AA41" s="88"/>
      <c r="AB41" s="87"/>
      <c r="AC41" s="80"/>
      <c r="AD41" s="87"/>
      <c r="AE41" s="88"/>
      <c r="AF41" s="88"/>
      <c r="AG41" s="87"/>
      <c r="AH41" s="80"/>
      <c r="AI41" s="87"/>
      <c r="AJ41" s="88"/>
      <c r="AK41" s="88"/>
      <c r="AL41" s="87"/>
    </row>
    <row r="42" spans="1:38" ht="16.5">
      <c r="A42" s="72">
        <f t="shared" si="25"/>
        <v>12</v>
      </c>
      <c r="B42" s="73">
        <v>43070</v>
      </c>
      <c r="C42" s="74">
        <v>1</v>
      </c>
      <c r="D42" s="76">
        <f t="shared" si="14"/>
        <v>4067392</v>
      </c>
      <c r="E42" s="76">
        <f t="shared" si="16"/>
        <v>995131</v>
      </c>
      <c r="F42" s="76">
        <f t="shared" si="17"/>
        <v>76548.53846153847</v>
      </c>
      <c r="G42" s="76">
        <f t="shared" si="15"/>
        <v>-96473</v>
      </c>
      <c r="H42" s="76">
        <f t="shared" si="18"/>
        <v>-119416</v>
      </c>
      <c r="I42" s="76">
        <f t="shared" si="19"/>
        <v>-9185.846153846154</v>
      </c>
      <c r="J42" s="76">
        <f t="shared" si="20"/>
        <v>-6154</v>
      </c>
      <c r="K42" s="76">
        <f t="shared" si="21"/>
        <v>-17912</v>
      </c>
      <c r="L42" s="76">
        <f t="shared" si="22"/>
        <v>-1377.8461538461538</v>
      </c>
      <c r="M42" s="76">
        <f>('Plant &amp; Book Depr Form 2.0'!$F$104/12)*((D42+G42)-(F42+I42))/2+('Plant &amp; Book Depr Form 2.0'!$F$104/12)*((SUM(D31:D41)+SUM(G31:G41))-(SUM(F31:F41)+SUM(I31:I41)))</f>
        <v>11554.04239423077</v>
      </c>
      <c r="N42" s="89"/>
      <c r="O42" s="90">
        <v>995130.711111111</v>
      </c>
      <c r="P42" s="90">
        <f t="shared" si="23"/>
        <v>-119415.68533333331</v>
      </c>
      <c r="Q42" s="90">
        <f t="shared" si="24"/>
        <v>-17912.352799999997</v>
      </c>
      <c r="R42" s="80"/>
      <c r="S42" s="80"/>
      <c r="T42" s="90">
        <v>4067391.529999998</v>
      </c>
      <c r="U42" s="90">
        <v>-96473.23999999999</v>
      </c>
      <c r="V42" s="90">
        <v>-6153.660000000001</v>
      </c>
      <c r="W42" s="80"/>
      <c r="X42" s="80"/>
      <c r="Y42" s="91"/>
      <c r="Z42" s="92"/>
      <c r="AA42" s="92"/>
      <c r="AB42" s="87"/>
      <c r="AC42" s="80"/>
      <c r="AD42" s="91"/>
      <c r="AE42" s="92"/>
      <c r="AF42" s="92"/>
      <c r="AG42" s="91"/>
      <c r="AH42" s="80"/>
      <c r="AI42" s="91"/>
      <c r="AJ42" s="92"/>
      <c r="AK42" s="92"/>
      <c r="AL42" s="91"/>
    </row>
    <row r="43" spans="1:38" ht="15">
      <c r="A43" s="72">
        <f t="shared" si="25"/>
        <v>13</v>
      </c>
      <c r="C43" s="78"/>
      <c r="D43" s="75">
        <f aca="true" t="shared" si="26" ref="D43:I43">SUM(D31:D42)</f>
        <v>14643143</v>
      </c>
      <c r="E43" s="74">
        <f t="shared" si="26"/>
        <v>10786195</v>
      </c>
      <c r="F43" s="74">
        <f t="shared" si="26"/>
        <v>4196248.846153846</v>
      </c>
      <c r="G43" s="75">
        <f t="shared" si="26"/>
        <v>-595725</v>
      </c>
      <c r="H43" s="74">
        <f t="shared" si="26"/>
        <v>-1294343</v>
      </c>
      <c r="I43" s="74">
        <f t="shared" si="26"/>
        <v>-503548.923076923</v>
      </c>
      <c r="J43" s="74">
        <f>SUM(J31:J42)</f>
        <v>-221115</v>
      </c>
      <c r="K43" s="74">
        <f>SUM(K31:K42)</f>
        <v>-194150</v>
      </c>
      <c r="L43" s="74">
        <f>SUM(L31:L42)</f>
        <v>-75531.84615384616</v>
      </c>
      <c r="M43" s="74">
        <f>SUM(M31:M42)</f>
        <v>16048.445293269231</v>
      </c>
      <c r="N43" s="93"/>
      <c r="O43" s="103">
        <f>SUM(O31:O42)</f>
        <v>10786195.200000001</v>
      </c>
      <c r="P43" s="103">
        <f>SUM(P31:P42)</f>
        <v>-1294343.4239999996</v>
      </c>
      <c r="Q43" s="103">
        <f>SUM(Q31:Q42)</f>
        <v>-194151.51359999998</v>
      </c>
      <c r="R43" s="80"/>
      <c r="S43" s="80"/>
      <c r="T43" s="103">
        <f>SUM(T31:T42)</f>
        <v>14643143.409999996</v>
      </c>
      <c r="U43" s="103">
        <f>SUM(U31:U42)</f>
        <v>-595725.14</v>
      </c>
      <c r="V43" s="103">
        <f>SUM(V31:V42)</f>
        <v>-221115.35</v>
      </c>
      <c r="W43" s="80"/>
      <c r="X43" s="80"/>
      <c r="Y43" s="88"/>
      <c r="Z43" s="88"/>
      <c r="AA43" s="88"/>
      <c r="AB43" s="88"/>
      <c r="AC43" s="80"/>
      <c r="AD43" s="88"/>
      <c r="AE43" s="88"/>
      <c r="AF43" s="88"/>
      <c r="AG43" s="88"/>
      <c r="AH43" s="80"/>
      <c r="AI43" s="88"/>
      <c r="AJ43" s="88"/>
      <c r="AK43" s="88"/>
      <c r="AL43" s="88"/>
    </row>
    <row r="44" spans="1:38" ht="15">
      <c r="A44" s="72"/>
      <c r="C44" s="78"/>
      <c r="D44" s="75"/>
      <c r="E44" s="74"/>
      <c r="F44" s="74"/>
      <c r="G44" s="75"/>
      <c r="H44" s="74"/>
      <c r="I44" s="74"/>
      <c r="J44" s="74"/>
      <c r="K44" s="74"/>
      <c r="L44" s="74"/>
      <c r="M44" s="74"/>
      <c r="N44" s="93"/>
      <c r="O44" s="103"/>
      <c r="P44" s="103"/>
      <c r="Q44" s="103"/>
      <c r="R44" s="80"/>
      <c r="S44" s="80"/>
      <c r="T44" s="103"/>
      <c r="U44" s="103"/>
      <c r="V44" s="103"/>
      <c r="W44" s="80"/>
      <c r="X44" s="80"/>
      <c r="Y44" s="88"/>
      <c r="Z44" s="88"/>
      <c r="AA44" s="88"/>
      <c r="AB44" s="88"/>
      <c r="AC44" s="80"/>
      <c r="AD44" s="88"/>
      <c r="AE44" s="88"/>
      <c r="AF44" s="88"/>
      <c r="AG44" s="88"/>
      <c r="AH44" s="80"/>
      <c r="AI44" s="88"/>
      <c r="AJ44" s="88"/>
      <c r="AK44" s="88"/>
      <c r="AL44" s="88"/>
    </row>
    <row r="45" spans="4:38" ht="15">
      <c r="D45" s="75"/>
      <c r="E45" s="75"/>
      <c r="F45" s="75"/>
      <c r="G45" s="75"/>
      <c r="H45" s="75"/>
      <c r="I45" s="75"/>
      <c r="J45" s="75"/>
      <c r="K45" s="75"/>
      <c r="O45" s="80"/>
      <c r="P45" s="80"/>
      <c r="Q45" s="80"/>
      <c r="R45" s="80"/>
      <c r="S45" s="80"/>
      <c r="T45" s="94"/>
      <c r="U45" s="94"/>
      <c r="V45" s="94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</row>
    <row r="46" spans="1:14" ht="77.25">
      <c r="A46" s="72"/>
      <c r="D46" s="69" t="s">
        <v>204</v>
      </c>
      <c r="E46" s="69" t="s">
        <v>205</v>
      </c>
      <c r="F46" s="69" t="s">
        <v>221</v>
      </c>
      <c r="G46" s="75"/>
      <c r="J46" s="69" t="s">
        <v>206</v>
      </c>
      <c r="K46" s="69" t="s">
        <v>207</v>
      </c>
      <c r="L46" s="69" t="s">
        <v>222</v>
      </c>
      <c r="M46" s="74"/>
      <c r="N46" s="74"/>
    </row>
    <row r="47" spans="1:14" ht="15">
      <c r="A47" s="72">
        <f>+A43+1</f>
        <v>14</v>
      </c>
      <c r="B47" s="241" t="s">
        <v>217</v>
      </c>
      <c r="C47" s="241"/>
      <c r="D47" s="74">
        <f>D43+G43</f>
        <v>14047418</v>
      </c>
      <c r="E47" s="74">
        <f>F43+I43</f>
        <v>3692699.923076923</v>
      </c>
      <c r="F47" s="74">
        <f>D47-E47</f>
        <v>10354718.076923076</v>
      </c>
      <c r="J47" s="74">
        <f>G43+J43</f>
        <v>-816840</v>
      </c>
      <c r="K47" s="74">
        <f>I43+L43</f>
        <v>-579080.7692307691</v>
      </c>
      <c r="L47" s="74">
        <f>J47-K47</f>
        <v>-237759.23076923087</v>
      </c>
      <c r="M47" s="74"/>
      <c r="N47" s="74"/>
    </row>
    <row r="48" spans="4:38" ht="15">
      <c r="D48" s="75"/>
      <c r="E48" s="75"/>
      <c r="F48" s="75"/>
      <c r="G48" s="75"/>
      <c r="H48" s="75"/>
      <c r="I48" s="75"/>
      <c r="J48" s="75"/>
      <c r="K48" s="75"/>
      <c r="O48" s="80"/>
      <c r="P48" s="80"/>
      <c r="Q48" s="80"/>
      <c r="R48" s="80"/>
      <c r="S48" s="80"/>
      <c r="T48" s="94"/>
      <c r="U48" s="94"/>
      <c r="V48" s="94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</row>
    <row r="49" spans="1:38" ht="15">
      <c r="A49" s="198" t="s">
        <v>131</v>
      </c>
      <c r="D49" s="75"/>
      <c r="E49" s="75"/>
      <c r="F49" s="75"/>
      <c r="G49" s="75"/>
      <c r="H49" s="75"/>
      <c r="I49" s="75"/>
      <c r="J49" s="75"/>
      <c r="K49" s="75"/>
      <c r="O49" s="80"/>
      <c r="P49" s="80"/>
      <c r="Q49" s="80"/>
      <c r="R49" s="80"/>
      <c r="S49" s="80"/>
      <c r="T49" s="94"/>
      <c r="U49" s="94"/>
      <c r="V49" s="94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</row>
    <row r="50" spans="1:10" ht="18">
      <c r="A50" s="95" t="s">
        <v>289</v>
      </c>
      <c r="C50" s="78"/>
      <c r="D50" s="75"/>
      <c r="E50" s="74"/>
      <c r="F50" s="74"/>
      <c r="G50" s="75"/>
      <c r="H50" s="74"/>
      <c r="I50" s="74"/>
      <c r="J50" s="74"/>
    </row>
    <row r="51" spans="1:10" ht="18">
      <c r="A51" s="95" t="s">
        <v>290</v>
      </c>
      <c r="C51" s="78"/>
      <c r="D51" s="75"/>
      <c r="E51" s="74"/>
      <c r="F51" s="74"/>
      <c r="G51" s="75"/>
      <c r="H51" s="74"/>
      <c r="I51" s="74"/>
      <c r="J51" s="74"/>
    </row>
    <row r="52" spans="1:13" ht="15">
      <c r="A52" s="242" t="str">
        <f>A1</f>
        <v>Columbia Gas of Kentucky, Inc.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64" t="str">
        <f>M1</f>
        <v>SMRP Form 2.2</v>
      </c>
    </row>
    <row r="53" spans="1:13" ht="15">
      <c r="A53" s="242" t="str">
        <f>A2</f>
        <v>Actual Annual Adjustment to the Safety Modification and Replacement Program ("SMRP")</v>
      </c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64" t="s">
        <v>228</v>
      </c>
    </row>
    <row r="54" spans="1:13" ht="15">
      <c r="A54" s="242" t="str">
        <f>A3</f>
        <v>Development of AMRP Plant Excluded From Base Rates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96"/>
    </row>
    <row r="55" spans="2:9" ht="15">
      <c r="B55" s="67"/>
      <c r="C55" s="67"/>
      <c r="D55" s="67"/>
      <c r="E55" s="67"/>
      <c r="F55" s="67"/>
      <c r="G55" s="67"/>
      <c r="H55" s="67"/>
      <c r="I55" s="67"/>
    </row>
    <row r="56" spans="2:9" ht="15">
      <c r="B56" s="67"/>
      <c r="C56" s="67"/>
      <c r="D56" s="67"/>
      <c r="E56" s="67"/>
      <c r="F56" s="67"/>
      <c r="G56" s="67"/>
      <c r="H56" s="67"/>
      <c r="I56" s="67"/>
    </row>
    <row r="57" spans="1:38" ht="15">
      <c r="A57" s="68" t="s">
        <v>284</v>
      </c>
      <c r="C57" s="97"/>
      <c r="D57" s="97"/>
      <c r="E57" s="97"/>
      <c r="F57" s="97"/>
      <c r="G57" s="97"/>
      <c r="H57" s="97"/>
      <c r="I57" s="97"/>
      <c r="J57" s="72"/>
      <c r="K57" s="72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</row>
    <row r="58" spans="1:38" ht="15">
      <c r="A58" s="67"/>
      <c r="C58" s="97"/>
      <c r="D58" s="97"/>
      <c r="E58" s="97"/>
      <c r="F58" s="97"/>
      <c r="G58" s="97"/>
      <c r="H58" s="97"/>
      <c r="I58" s="97"/>
      <c r="J58" s="72"/>
      <c r="K58" s="72"/>
      <c r="O58" s="138" t="s">
        <v>209</v>
      </c>
      <c r="P58" s="80"/>
      <c r="Q58" s="80"/>
      <c r="R58" s="80"/>
      <c r="S58" s="80"/>
      <c r="T58" s="138" t="s">
        <v>210</v>
      </c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</row>
    <row r="59" spans="1:38" ht="30.75">
      <c r="A59" s="69" t="s">
        <v>139</v>
      </c>
      <c r="B59" s="69" t="s">
        <v>140</v>
      </c>
      <c r="C59" s="69" t="s">
        <v>141</v>
      </c>
      <c r="D59" s="69" t="s">
        <v>293</v>
      </c>
      <c r="E59" s="69" t="s">
        <v>198</v>
      </c>
      <c r="F59" s="69" t="s">
        <v>199</v>
      </c>
      <c r="G59" s="69" t="s">
        <v>200</v>
      </c>
      <c r="H59" s="69" t="s">
        <v>201</v>
      </c>
      <c r="I59" s="69" t="s">
        <v>199</v>
      </c>
      <c r="J59" s="69" t="s">
        <v>202</v>
      </c>
      <c r="K59" s="69" t="s">
        <v>203</v>
      </c>
      <c r="L59" s="69" t="s">
        <v>199</v>
      </c>
      <c r="M59" s="69" t="s">
        <v>223</v>
      </c>
      <c r="O59" s="82" t="s">
        <v>211</v>
      </c>
      <c r="P59" s="82" t="s">
        <v>211</v>
      </c>
      <c r="Q59" s="82" t="s">
        <v>211</v>
      </c>
      <c r="R59" s="82" t="s">
        <v>212</v>
      </c>
      <c r="S59" s="80"/>
      <c r="T59" s="82" t="s">
        <v>211</v>
      </c>
      <c r="U59" s="82" t="s">
        <v>211</v>
      </c>
      <c r="V59" s="82" t="s">
        <v>211</v>
      </c>
      <c r="W59" s="82" t="s">
        <v>212</v>
      </c>
      <c r="X59" s="80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</row>
    <row r="60" spans="1:38" ht="15">
      <c r="A60" s="70"/>
      <c r="B60" s="71" t="str">
        <f>"(A)"</f>
        <v>(A)</v>
      </c>
      <c r="C60" s="71" t="str">
        <f>"(B)"</f>
        <v>(B)</v>
      </c>
      <c r="D60" s="71" t="str">
        <f>"(C)"</f>
        <v>(C)</v>
      </c>
      <c r="E60" s="71" t="str">
        <f>"(D)"</f>
        <v>(D)</v>
      </c>
      <c r="F60" s="71" t="str">
        <f>"(E)"</f>
        <v>(E)</v>
      </c>
      <c r="G60" s="71" t="str">
        <f>"(F)"</f>
        <v>(F)</v>
      </c>
      <c r="H60" s="71" t="str">
        <f>"(G)"</f>
        <v>(G)</v>
      </c>
      <c r="I60" s="71" t="str">
        <f>"(H)"</f>
        <v>(H)</v>
      </c>
      <c r="J60" s="71" t="str">
        <f>"(I)"</f>
        <v>(I)</v>
      </c>
      <c r="K60" s="71" t="str">
        <f>"(J)"</f>
        <v>(J)</v>
      </c>
      <c r="L60" s="71" t="str">
        <f>"(K)"</f>
        <v>(K)</v>
      </c>
      <c r="M60" s="71" t="str">
        <f>"(L)"</f>
        <v>(L)</v>
      </c>
      <c r="O60" s="82" t="s">
        <v>213</v>
      </c>
      <c r="P60" s="82" t="s">
        <v>214</v>
      </c>
      <c r="Q60" s="82" t="s">
        <v>215</v>
      </c>
      <c r="R60" s="82" t="s">
        <v>216</v>
      </c>
      <c r="S60" s="80"/>
      <c r="T60" s="82" t="s">
        <v>213</v>
      </c>
      <c r="U60" s="82" t="s">
        <v>214</v>
      </c>
      <c r="V60" s="82" t="s">
        <v>215</v>
      </c>
      <c r="W60" s="82" t="s">
        <v>216</v>
      </c>
      <c r="X60" s="80"/>
      <c r="Y60" s="82"/>
      <c r="Z60" s="80"/>
      <c r="AA60" s="82"/>
      <c r="AB60" s="82"/>
      <c r="AC60" s="82"/>
      <c r="AD60" s="82"/>
      <c r="AE60" s="80"/>
      <c r="AF60" s="82"/>
      <c r="AG60" s="82"/>
      <c r="AH60" s="82"/>
      <c r="AI60" s="82"/>
      <c r="AJ60" s="80"/>
      <c r="AK60" s="82"/>
      <c r="AL60" s="82"/>
    </row>
    <row r="61" spans="1:38" ht="15">
      <c r="A61" s="72">
        <v>1</v>
      </c>
      <c r="B61" s="73">
        <f aca="true" t="shared" si="27" ref="B61:B72">B31</f>
        <v>42736</v>
      </c>
      <c r="C61" s="74">
        <v>12</v>
      </c>
      <c r="D61" s="75">
        <f>ROUND(T61*$W$61,0)</f>
        <v>0</v>
      </c>
      <c r="E61" s="75">
        <f>ROUND(O61*$R$61,0)</f>
        <v>343917</v>
      </c>
      <c r="F61" s="75">
        <f>($C61/13)*E61</f>
        <v>317461.8461538462</v>
      </c>
      <c r="G61" s="75">
        <f>ROUND(U61*$W$61,0)</f>
        <v>-59289</v>
      </c>
      <c r="H61" s="75">
        <f>ROUND(P61*$R$61,0)</f>
        <v>-41270</v>
      </c>
      <c r="I61" s="75">
        <f>($C61/13)*H61</f>
        <v>-38095.38461538462</v>
      </c>
      <c r="J61" s="75">
        <f>ROUND(V61*$W$61,0)</f>
        <v>0</v>
      </c>
      <c r="K61" s="75">
        <f>ROUND(Q61*$R$61,0)</f>
        <v>-20635</v>
      </c>
      <c r="L61" s="75">
        <f>($C61/13)*K61</f>
        <v>-19047.69230769231</v>
      </c>
      <c r="M61" s="75">
        <f>('Plant &amp; Book Depr Form 2.0'!$F$106/12)*((D61+G61)-(F61+I61))/2</f>
        <v>-536.2044807692308</v>
      </c>
      <c r="O61" s="86">
        <v>343916.7703703702</v>
      </c>
      <c r="P61" s="86">
        <f>O61*-0.12</f>
        <v>-41270.01244444442</v>
      </c>
      <c r="Q61" s="86">
        <f>P61*0.5</f>
        <v>-20635.00622222221</v>
      </c>
      <c r="R61" s="139">
        <v>1</v>
      </c>
      <c r="S61" s="80"/>
      <c r="T61" s="86">
        <v>0</v>
      </c>
      <c r="U61" s="86">
        <v>-59289.0242</v>
      </c>
      <c r="V61" s="86">
        <v>0</v>
      </c>
      <c r="W61" s="139">
        <v>1</v>
      </c>
      <c r="X61" s="98"/>
      <c r="Y61" s="87"/>
      <c r="Z61" s="88"/>
      <c r="AA61" s="88"/>
      <c r="AB61" s="87"/>
      <c r="AC61" s="80"/>
      <c r="AD61" s="87"/>
      <c r="AE61" s="88"/>
      <c r="AF61" s="88"/>
      <c r="AG61" s="87"/>
      <c r="AH61" s="80"/>
      <c r="AI61" s="87"/>
      <c r="AJ61" s="88"/>
      <c r="AK61" s="88"/>
      <c r="AL61" s="87"/>
    </row>
    <row r="62" spans="1:38" ht="15">
      <c r="A62" s="72">
        <f>A61+1</f>
        <v>2</v>
      </c>
      <c r="B62" s="73">
        <f t="shared" si="27"/>
        <v>42767</v>
      </c>
      <c r="C62" s="74">
        <v>11</v>
      </c>
      <c r="D62" s="75">
        <f aca="true" t="shared" si="28" ref="D62:D72">ROUND(T62*$W$61,0)</f>
        <v>635163</v>
      </c>
      <c r="E62" s="75">
        <f aca="true" t="shared" si="29" ref="E62:E72">ROUND(O62*$R$61,0)</f>
        <v>182732</v>
      </c>
      <c r="F62" s="75">
        <f aca="true" t="shared" si="30" ref="F62:F72">($C62/13)*E62</f>
        <v>154619.38461538462</v>
      </c>
      <c r="G62" s="75">
        <f aca="true" t="shared" si="31" ref="G62:G72">ROUND(U62*$W$61,0)</f>
        <v>-70166</v>
      </c>
      <c r="H62" s="75">
        <f aca="true" t="shared" si="32" ref="H62:H72">ROUND(P62*$R$61,0)</f>
        <v>-21928</v>
      </c>
      <c r="I62" s="75">
        <f aca="true" t="shared" si="33" ref="I62:I72">($C62/13)*H62</f>
        <v>-18554.46153846154</v>
      </c>
      <c r="J62" s="75">
        <f aca="true" t="shared" si="34" ref="J62:J72">ROUND(V62*$W$61,0)</f>
        <v>-165125</v>
      </c>
      <c r="K62" s="75">
        <f aca="true" t="shared" si="35" ref="K62:K72">ROUND(Q62*$R$61,0)</f>
        <v>-10964</v>
      </c>
      <c r="L62" s="75">
        <f aca="true" t="shared" si="36" ref="L62:L72">($C62/13)*K62</f>
        <v>-9277.23076923077</v>
      </c>
      <c r="M62" s="75">
        <f>('Plant &amp; Book Depr Form 2.0'!$F$106/12)*((D62+G62)-(F62+I62))/2+('Plant &amp; Book Depr Form 2.0'!$F$106/12)*((D61+G61)-(F61+I61))</f>
        <v>-393.2665064102566</v>
      </c>
      <c r="O62" s="86">
        <v>182731.5851851852</v>
      </c>
      <c r="P62" s="86">
        <f aca="true" t="shared" si="37" ref="P62:P72">O62*-0.12</f>
        <v>-21927.790222222222</v>
      </c>
      <c r="Q62" s="86">
        <f aca="true" t="shared" si="38" ref="Q62:Q72">P62*0.5</f>
        <v>-10963.895111111111</v>
      </c>
      <c r="R62" s="80"/>
      <c r="S62" s="80"/>
      <c r="T62" s="86">
        <v>635163.2599999999</v>
      </c>
      <c r="U62" s="86">
        <v>-70165.924</v>
      </c>
      <c r="V62" s="86">
        <v>-165125.2786</v>
      </c>
      <c r="W62" s="80"/>
      <c r="X62" s="98"/>
      <c r="Y62" s="87"/>
      <c r="Z62" s="88"/>
      <c r="AA62" s="88"/>
      <c r="AB62" s="87"/>
      <c r="AC62" s="80"/>
      <c r="AD62" s="87"/>
      <c r="AE62" s="88"/>
      <c r="AF62" s="88"/>
      <c r="AG62" s="87"/>
      <c r="AH62" s="80"/>
      <c r="AI62" s="87"/>
      <c r="AJ62" s="88"/>
      <c r="AK62" s="88"/>
      <c r="AL62" s="87"/>
    </row>
    <row r="63" spans="1:38" ht="15">
      <c r="A63" s="72">
        <f aca="true" t="shared" si="39" ref="A63:A73">A62+1</f>
        <v>3</v>
      </c>
      <c r="B63" s="73">
        <f t="shared" si="27"/>
        <v>42795</v>
      </c>
      <c r="C63" s="74">
        <v>10</v>
      </c>
      <c r="D63" s="75">
        <f t="shared" si="28"/>
        <v>514412</v>
      </c>
      <c r="E63" s="75">
        <f t="shared" si="29"/>
        <v>223028</v>
      </c>
      <c r="F63" s="75">
        <f t="shared" si="30"/>
        <v>171560</v>
      </c>
      <c r="G63" s="75">
        <f t="shared" si="31"/>
        <v>-80460</v>
      </c>
      <c r="H63" s="75">
        <f t="shared" si="32"/>
        <v>-26763</v>
      </c>
      <c r="I63" s="75">
        <f t="shared" si="33"/>
        <v>-20586.923076923078</v>
      </c>
      <c r="J63" s="75">
        <f t="shared" si="34"/>
        <v>-101258</v>
      </c>
      <c r="K63" s="75">
        <f t="shared" si="35"/>
        <v>-13382</v>
      </c>
      <c r="L63" s="75">
        <f t="shared" si="36"/>
        <v>-10293.846153846154</v>
      </c>
      <c r="M63" s="75">
        <f>('Plant &amp; Book Depr Form 2.0'!$F$106/12)*((D63+G63)-(F63+I63))/2+('Plant &amp; Book Depr Form 2.0'!$F$106/12)*((SUM(D61:D62)+SUM(G61:G62))-(SUM(F61:F62)+SUM(I61:I62)))</f>
        <v>733.9259102564101</v>
      </c>
      <c r="O63" s="86">
        <v>223027.88148148148</v>
      </c>
      <c r="P63" s="86">
        <f t="shared" si="37"/>
        <v>-26763.345777777777</v>
      </c>
      <c r="Q63" s="86">
        <f t="shared" si="38"/>
        <v>-13381.672888888888</v>
      </c>
      <c r="R63" s="80"/>
      <c r="S63" s="80"/>
      <c r="T63" s="86">
        <v>514411.88999999984</v>
      </c>
      <c r="U63" s="86">
        <v>-80459.76999999999</v>
      </c>
      <c r="V63" s="86">
        <v>-101257.7588</v>
      </c>
      <c r="W63" s="80"/>
      <c r="X63" s="98"/>
      <c r="Y63" s="87"/>
      <c r="Z63" s="88"/>
      <c r="AA63" s="88"/>
      <c r="AB63" s="87"/>
      <c r="AC63" s="80"/>
      <c r="AD63" s="87"/>
      <c r="AE63" s="88"/>
      <c r="AF63" s="88"/>
      <c r="AG63" s="87"/>
      <c r="AH63" s="80"/>
      <c r="AI63" s="87"/>
      <c r="AJ63" s="88"/>
      <c r="AK63" s="88"/>
      <c r="AL63" s="87"/>
    </row>
    <row r="64" spans="1:38" ht="15">
      <c r="A64" s="72">
        <f t="shared" si="39"/>
        <v>4</v>
      </c>
      <c r="B64" s="73">
        <f t="shared" si="27"/>
        <v>42826</v>
      </c>
      <c r="C64" s="74">
        <v>9</v>
      </c>
      <c r="D64" s="75">
        <f t="shared" si="28"/>
        <v>512040</v>
      </c>
      <c r="E64" s="75">
        <f t="shared" si="29"/>
        <v>323769</v>
      </c>
      <c r="F64" s="75">
        <f t="shared" si="30"/>
        <v>224147.76923076922</v>
      </c>
      <c r="G64" s="75">
        <f t="shared" si="31"/>
        <v>-113703</v>
      </c>
      <c r="H64" s="75">
        <f t="shared" si="32"/>
        <v>-38852</v>
      </c>
      <c r="I64" s="75">
        <f t="shared" si="33"/>
        <v>-26897.53846153846</v>
      </c>
      <c r="J64" s="75">
        <f t="shared" si="34"/>
        <v>-105727</v>
      </c>
      <c r="K64" s="75">
        <f t="shared" si="35"/>
        <v>-19426</v>
      </c>
      <c r="L64" s="75">
        <f t="shared" si="36"/>
        <v>-13448.76923076923</v>
      </c>
      <c r="M64" s="75">
        <f>('Plant &amp; Book Depr Form 2.0'!$F$106/12)*((D64+G64)-(F64+I64))/2+('Plant &amp; Book Depr Form 2.0'!$F$106/12)*((SUM(D61:D63)+SUM(G61:G63))-(SUM(F61:F63)+SUM(I61:I63)))</f>
        <v>1500.3632564102566</v>
      </c>
      <c r="O64" s="86">
        <v>323768.6222222222</v>
      </c>
      <c r="P64" s="86">
        <f t="shared" si="37"/>
        <v>-38852.23466666666</v>
      </c>
      <c r="Q64" s="86">
        <f t="shared" si="38"/>
        <v>-19426.11733333333</v>
      </c>
      <c r="R64" s="80"/>
      <c r="S64" s="80"/>
      <c r="T64" s="86">
        <v>512040.16000000003</v>
      </c>
      <c r="U64" s="86">
        <v>-113703.0956</v>
      </c>
      <c r="V64" s="86">
        <v>-105727.4118</v>
      </c>
      <c r="W64" s="80"/>
      <c r="X64" s="98"/>
      <c r="Y64" s="87"/>
      <c r="Z64" s="88"/>
      <c r="AA64" s="88"/>
      <c r="AB64" s="87"/>
      <c r="AC64" s="80"/>
      <c r="AD64" s="87"/>
      <c r="AE64" s="88"/>
      <c r="AF64" s="88"/>
      <c r="AG64" s="87"/>
      <c r="AH64" s="80"/>
      <c r="AI64" s="87"/>
      <c r="AJ64" s="88"/>
      <c r="AK64" s="88"/>
      <c r="AL64" s="87"/>
    </row>
    <row r="65" spans="1:38" ht="15">
      <c r="A65" s="72">
        <f t="shared" si="39"/>
        <v>5</v>
      </c>
      <c r="B65" s="73">
        <f t="shared" si="27"/>
        <v>42856</v>
      </c>
      <c r="C65" s="74">
        <v>8</v>
      </c>
      <c r="D65" s="75">
        <f t="shared" si="28"/>
        <v>526252</v>
      </c>
      <c r="E65" s="75">
        <f t="shared" si="29"/>
        <v>525250</v>
      </c>
      <c r="F65" s="75">
        <f t="shared" si="30"/>
        <v>323230.76923076925</v>
      </c>
      <c r="G65" s="75">
        <f t="shared" si="31"/>
        <v>-109791</v>
      </c>
      <c r="H65" s="75">
        <f t="shared" si="32"/>
        <v>-63030</v>
      </c>
      <c r="I65" s="75">
        <f t="shared" si="33"/>
        <v>-38787.69230769231</v>
      </c>
      <c r="J65" s="75">
        <f t="shared" si="34"/>
        <v>-81564</v>
      </c>
      <c r="K65" s="75">
        <f t="shared" si="35"/>
        <v>-31515</v>
      </c>
      <c r="L65" s="75">
        <f t="shared" si="36"/>
        <v>-19393.846153846156</v>
      </c>
      <c r="M65" s="75">
        <f>('Plant &amp; Book Depr Form 2.0'!$F$106/12)*((D65+G65)-(F65+I65))/2+('Plant &amp; Book Depr Form 2.0'!$F$106/12)*((SUM(D61:D64)+SUM(G61:G64))-(SUM(F61:F64)+SUM(I61:I64)))</f>
        <v>2027.7790192307693</v>
      </c>
      <c r="O65" s="86">
        <v>525250.1037037037</v>
      </c>
      <c r="P65" s="86">
        <f t="shared" si="37"/>
        <v>-63030.012444444445</v>
      </c>
      <c r="Q65" s="86">
        <f t="shared" si="38"/>
        <v>-31515.006222222222</v>
      </c>
      <c r="R65" s="80"/>
      <c r="S65" s="80"/>
      <c r="T65" s="86">
        <v>526252.4100000003</v>
      </c>
      <c r="U65" s="86">
        <v>-109790.637</v>
      </c>
      <c r="V65" s="86">
        <v>-81563.96919999999</v>
      </c>
      <c r="W65" s="80"/>
      <c r="X65" s="98"/>
      <c r="Y65" s="87"/>
      <c r="Z65" s="88"/>
      <c r="AA65" s="88"/>
      <c r="AB65" s="87"/>
      <c r="AC65" s="80"/>
      <c r="AD65" s="87"/>
      <c r="AE65" s="88"/>
      <c r="AF65" s="88"/>
      <c r="AG65" s="87"/>
      <c r="AH65" s="80"/>
      <c r="AI65" s="87"/>
      <c r="AJ65" s="88"/>
      <c r="AK65" s="88"/>
      <c r="AL65" s="87"/>
    </row>
    <row r="66" spans="1:38" ht="15">
      <c r="A66" s="72">
        <f t="shared" si="39"/>
        <v>6</v>
      </c>
      <c r="B66" s="73">
        <f t="shared" si="27"/>
        <v>42887</v>
      </c>
      <c r="C66" s="74">
        <v>7</v>
      </c>
      <c r="D66" s="75">
        <f t="shared" si="28"/>
        <v>773120</v>
      </c>
      <c r="E66" s="75">
        <f t="shared" si="29"/>
        <v>726732</v>
      </c>
      <c r="F66" s="75">
        <f t="shared" si="30"/>
        <v>391317.23076923075</v>
      </c>
      <c r="G66" s="75">
        <f t="shared" si="31"/>
        <v>-95580</v>
      </c>
      <c r="H66" s="75">
        <f t="shared" si="32"/>
        <v>-87208</v>
      </c>
      <c r="I66" s="75">
        <f t="shared" si="33"/>
        <v>-46958.153846153844</v>
      </c>
      <c r="J66" s="75">
        <f t="shared" si="34"/>
        <v>-148963</v>
      </c>
      <c r="K66" s="75">
        <f t="shared" si="35"/>
        <v>-43604</v>
      </c>
      <c r="L66" s="75">
        <f t="shared" si="36"/>
        <v>-23479.076923076922</v>
      </c>
      <c r="M66" s="75">
        <f>('Plant &amp; Book Depr Form 2.0'!$F$106/12)*((D66+G66)-(F66+I66))/2+('Plant &amp; Book Depr Form 2.0'!$F$106/12)*((SUM(D61:D65)+SUM(G61:G65))-(SUM(F61:F65)+SUM(I61:I65)))</f>
        <v>2764.3438589743587</v>
      </c>
      <c r="O66" s="86">
        <v>726731.5851851853</v>
      </c>
      <c r="P66" s="86">
        <f t="shared" si="37"/>
        <v>-87207.79022222223</v>
      </c>
      <c r="Q66" s="86">
        <f t="shared" si="38"/>
        <v>-43603.89511111112</v>
      </c>
      <c r="R66" s="80"/>
      <c r="S66" s="80"/>
      <c r="T66" s="86">
        <v>773119.5</v>
      </c>
      <c r="U66" s="86">
        <v>-95580.45019999999</v>
      </c>
      <c r="V66" s="86">
        <v>-148963.163</v>
      </c>
      <c r="W66" s="80"/>
      <c r="X66" s="98"/>
      <c r="Y66" s="87"/>
      <c r="Z66" s="88"/>
      <c r="AA66" s="88"/>
      <c r="AB66" s="87"/>
      <c r="AC66" s="80"/>
      <c r="AD66" s="87"/>
      <c r="AE66" s="88"/>
      <c r="AF66" s="88"/>
      <c r="AG66" s="87"/>
      <c r="AH66" s="80"/>
      <c r="AI66" s="87"/>
      <c r="AJ66" s="88"/>
      <c r="AK66" s="88"/>
      <c r="AL66" s="87"/>
    </row>
    <row r="67" spans="1:38" ht="15">
      <c r="A67" s="72">
        <f t="shared" si="39"/>
        <v>7</v>
      </c>
      <c r="B67" s="73">
        <f t="shared" si="27"/>
        <v>42917</v>
      </c>
      <c r="C67" s="74">
        <v>6</v>
      </c>
      <c r="D67" s="75">
        <f t="shared" si="28"/>
        <v>516148</v>
      </c>
      <c r="E67" s="75">
        <f t="shared" si="29"/>
        <v>726732</v>
      </c>
      <c r="F67" s="75">
        <f t="shared" si="30"/>
        <v>335414.76923076925</v>
      </c>
      <c r="G67" s="75">
        <f t="shared" si="31"/>
        <v>-136811</v>
      </c>
      <c r="H67" s="75">
        <f t="shared" si="32"/>
        <v>-87208</v>
      </c>
      <c r="I67" s="75">
        <f t="shared" si="33"/>
        <v>-40249.846153846156</v>
      </c>
      <c r="J67" s="75">
        <f t="shared" si="34"/>
        <v>-256856</v>
      </c>
      <c r="K67" s="75">
        <f t="shared" si="35"/>
        <v>-43604</v>
      </c>
      <c r="L67" s="75">
        <f t="shared" si="36"/>
        <v>-20124.923076923078</v>
      </c>
      <c r="M67" s="75">
        <f>('Plant &amp; Book Depr Form 2.0'!$F$106/12)*((D67+G67)-(F67+I67))/2+('Plant &amp; Book Depr Form 2.0'!$F$106/12)*((SUM(D61:D66)+SUM(G61:G66))-(SUM(F61:F66)+SUM(I61:I66)))</f>
        <v>3425.152775641025</v>
      </c>
      <c r="O67" s="86">
        <v>726731.5851851853</v>
      </c>
      <c r="P67" s="86">
        <f t="shared" si="37"/>
        <v>-87207.79022222223</v>
      </c>
      <c r="Q67" s="86">
        <f t="shared" si="38"/>
        <v>-43603.89511111112</v>
      </c>
      <c r="R67" s="80"/>
      <c r="S67" s="80"/>
      <c r="T67" s="86">
        <v>516148.23000000004</v>
      </c>
      <c r="U67" s="86">
        <v>-136810.561</v>
      </c>
      <c r="V67" s="86">
        <v>-256855.8084</v>
      </c>
      <c r="W67" s="80"/>
      <c r="X67" s="98"/>
      <c r="Y67" s="87"/>
      <c r="Z67" s="88"/>
      <c r="AA67" s="88"/>
      <c r="AB67" s="87"/>
      <c r="AC67" s="80"/>
      <c r="AD67" s="87"/>
      <c r="AE67" s="88"/>
      <c r="AF67" s="88"/>
      <c r="AG67" s="87"/>
      <c r="AH67" s="80"/>
      <c r="AI67" s="87"/>
      <c r="AJ67" s="88"/>
      <c r="AK67" s="88"/>
      <c r="AL67" s="87"/>
    </row>
    <row r="68" spans="1:38" ht="15">
      <c r="A68" s="72">
        <f t="shared" si="39"/>
        <v>8</v>
      </c>
      <c r="B68" s="73">
        <f t="shared" si="27"/>
        <v>42948</v>
      </c>
      <c r="C68" s="74">
        <v>5</v>
      </c>
      <c r="D68" s="75">
        <f t="shared" si="28"/>
        <v>671925</v>
      </c>
      <c r="E68" s="75">
        <f t="shared" si="29"/>
        <v>1280806</v>
      </c>
      <c r="F68" s="75">
        <f t="shared" si="30"/>
        <v>492617.6923076923</v>
      </c>
      <c r="G68" s="75">
        <f t="shared" si="31"/>
        <v>-217062</v>
      </c>
      <c r="H68" s="75">
        <f t="shared" si="32"/>
        <v>-153697</v>
      </c>
      <c r="I68" s="75">
        <f t="shared" si="33"/>
        <v>-59114.23076923077</v>
      </c>
      <c r="J68" s="75">
        <f t="shared" si="34"/>
        <v>-86603</v>
      </c>
      <c r="K68" s="75">
        <f t="shared" si="35"/>
        <v>-76848</v>
      </c>
      <c r="L68" s="75">
        <f t="shared" si="36"/>
        <v>-29556.923076923078</v>
      </c>
      <c r="M68" s="75">
        <f>('Plant &amp; Book Depr Form 2.0'!$F$106/12)*((D68+G68)-(F68+I68))/2+('Plant &amp; Book Depr Form 2.0'!$F$106/12)*((SUM(D61:D67)+SUM(G61:G67))-(SUM(F61:F67)+SUM(I61:I67)))</f>
        <v>3592.2445</v>
      </c>
      <c r="O68" s="86">
        <v>1280805.659259259</v>
      </c>
      <c r="P68" s="86">
        <f t="shared" si="37"/>
        <v>-153696.67911111107</v>
      </c>
      <c r="Q68" s="86">
        <f t="shared" si="38"/>
        <v>-76848.33955555553</v>
      </c>
      <c r="R68" s="86"/>
      <c r="S68" s="80"/>
      <c r="T68" s="86">
        <v>671925.1499999998</v>
      </c>
      <c r="U68" s="86">
        <v>-217061.65099999998</v>
      </c>
      <c r="V68" s="86">
        <v>-86603.2998</v>
      </c>
      <c r="W68" s="86"/>
      <c r="X68" s="98"/>
      <c r="Y68" s="87"/>
      <c r="Z68" s="88"/>
      <c r="AA68" s="88"/>
      <c r="AB68" s="87"/>
      <c r="AC68" s="80"/>
      <c r="AD68" s="87"/>
      <c r="AE68" s="88"/>
      <c r="AF68" s="88"/>
      <c r="AG68" s="87"/>
      <c r="AH68" s="80"/>
      <c r="AI68" s="87"/>
      <c r="AJ68" s="88"/>
      <c r="AK68" s="88"/>
      <c r="AL68" s="87"/>
    </row>
    <row r="69" spans="1:38" ht="15">
      <c r="A69" s="72">
        <f t="shared" si="39"/>
        <v>9</v>
      </c>
      <c r="B69" s="73">
        <f t="shared" si="27"/>
        <v>42979</v>
      </c>
      <c r="C69" s="74">
        <v>4</v>
      </c>
      <c r="D69" s="75">
        <f t="shared" si="28"/>
        <v>713739</v>
      </c>
      <c r="E69" s="75">
        <f t="shared" si="29"/>
        <v>1250583</v>
      </c>
      <c r="F69" s="75">
        <f t="shared" si="30"/>
        <v>384794.76923076925</v>
      </c>
      <c r="G69" s="75">
        <f t="shared" si="31"/>
        <v>-177531</v>
      </c>
      <c r="H69" s="75">
        <f t="shared" si="32"/>
        <v>-150070</v>
      </c>
      <c r="I69" s="75">
        <f t="shared" si="33"/>
        <v>-46175.38461538462</v>
      </c>
      <c r="J69" s="75">
        <f t="shared" si="34"/>
        <v>-129174</v>
      </c>
      <c r="K69" s="75">
        <f t="shared" si="35"/>
        <v>-75035</v>
      </c>
      <c r="L69" s="75">
        <f t="shared" si="36"/>
        <v>-23087.69230769231</v>
      </c>
      <c r="M69" s="75">
        <f>('Plant &amp; Book Depr Form 2.0'!$F$106/12)*((D69+G69)-(F69+I69))/2+('Plant &amp; Book Depr Form 2.0'!$F$106/12)*((SUM(D61:D68)+SUM(G61:G68))-(SUM(F61:F68)+SUM(I61:I68)))</f>
        <v>3938.9124102564097</v>
      </c>
      <c r="O69" s="99">
        <v>1250583.437037037</v>
      </c>
      <c r="P69" s="86">
        <f t="shared" si="37"/>
        <v>-150070.01244444444</v>
      </c>
      <c r="Q69" s="86">
        <f t="shared" si="38"/>
        <v>-75035.00622222222</v>
      </c>
      <c r="R69" s="86"/>
      <c r="S69" s="80"/>
      <c r="T69" s="99">
        <v>713739.2299999999</v>
      </c>
      <c r="U69" s="86">
        <v>-177530.61839999998</v>
      </c>
      <c r="V69" s="86">
        <v>-129174.05739999998</v>
      </c>
      <c r="W69" s="86"/>
      <c r="X69" s="98"/>
      <c r="Y69" s="87"/>
      <c r="Z69" s="88"/>
      <c r="AA69" s="88"/>
      <c r="AB69" s="87"/>
      <c r="AC69" s="80"/>
      <c r="AD69" s="87"/>
      <c r="AE69" s="88"/>
      <c r="AF69" s="88"/>
      <c r="AG69" s="87"/>
      <c r="AH69" s="80"/>
      <c r="AI69" s="87"/>
      <c r="AJ69" s="88"/>
      <c r="AK69" s="88"/>
      <c r="AL69" s="87"/>
    </row>
    <row r="70" spans="1:38" ht="15">
      <c r="A70" s="72">
        <f t="shared" si="39"/>
        <v>10</v>
      </c>
      <c r="B70" s="73">
        <f t="shared" si="27"/>
        <v>43009</v>
      </c>
      <c r="C70" s="74">
        <v>3</v>
      </c>
      <c r="D70" s="75">
        <f t="shared" si="28"/>
        <v>918342</v>
      </c>
      <c r="E70" s="75">
        <f t="shared" si="29"/>
        <v>1280806</v>
      </c>
      <c r="F70" s="75">
        <f t="shared" si="30"/>
        <v>295570.6153846154</v>
      </c>
      <c r="G70" s="75">
        <f t="shared" si="31"/>
        <v>-129326</v>
      </c>
      <c r="H70" s="75">
        <f t="shared" si="32"/>
        <v>-153697</v>
      </c>
      <c r="I70" s="75">
        <f t="shared" si="33"/>
        <v>-35468.53846153846</v>
      </c>
      <c r="J70" s="75">
        <f t="shared" si="34"/>
        <v>-30061</v>
      </c>
      <c r="K70" s="75">
        <f t="shared" si="35"/>
        <v>-76848</v>
      </c>
      <c r="L70" s="75">
        <f t="shared" si="36"/>
        <v>-17734.153846153848</v>
      </c>
      <c r="M70" s="75">
        <f>('Plant &amp; Book Depr Form 2.0'!$F$106/12)*((D70+G70)-(F70+I70))/2+('Plant &amp; Book Depr Form 2.0'!$F$106/12)*((SUM(D61:D69)+SUM(G61:G69))-(SUM(F61:F69)+SUM(I61:I69)))</f>
        <v>5089.208096153846</v>
      </c>
      <c r="O70" s="99">
        <v>1280805.659259259</v>
      </c>
      <c r="P70" s="86">
        <f t="shared" si="37"/>
        <v>-153696.67911111107</v>
      </c>
      <c r="Q70" s="86">
        <f t="shared" si="38"/>
        <v>-76848.33955555553</v>
      </c>
      <c r="R70" s="86"/>
      <c r="S70" s="80"/>
      <c r="T70" s="99">
        <v>918342.4100000001</v>
      </c>
      <c r="U70" s="86">
        <v>-129326.28099999999</v>
      </c>
      <c r="V70" s="86">
        <v>-30061.369199999997</v>
      </c>
      <c r="W70" s="86"/>
      <c r="X70" s="98"/>
      <c r="Y70" s="87"/>
      <c r="Z70" s="88"/>
      <c r="AA70" s="88"/>
      <c r="AB70" s="87"/>
      <c r="AC70" s="80"/>
      <c r="AD70" s="87"/>
      <c r="AE70" s="88"/>
      <c r="AF70" s="88"/>
      <c r="AG70" s="87"/>
      <c r="AH70" s="80"/>
      <c r="AI70" s="87"/>
      <c r="AJ70" s="88"/>
      <c r="AK70" s="88"/>
      <c r="AL70" s="87"/>
    </row>
    <row r="71" spans="1:38" ht="15">
      <c r="A71" s="72">
        <f t="shared" si="39"/>
        <v>11</v>
      </c>
      <c r="B71" s="73">
        <f t="shared" si="27"/>
        <v>43040</v>
      </c>
      <c r="C71" s="74">
        <v>2</v>
      </c>
      <c r="D71" s="75">
        <f t="shared" si="28"/>
        <v>1249901</v>
      </c>
      <c r="E71" s="75">
        <f t="shared" si="29"/>
        <v>777102</v>
      </c>
      <c r="F71" s="75">
        <f t="shared" si="30"/>
        <v>119554.15384615386</v>
      </c>
      <c r="G71" s="75">
        <f t="shared" si="31"/>
        <v>-160212</v>
      </c>
      <c r="H71" s="75">
        <f t="shared" si="32"/>
        <v>-93252</v>
      </c>
      <c r="I71" s="75">
        <f t="shared" si="33"/>
        <v>-14346.461538461539</v>
      </c>
      <c r="J71" s="75">
        <f t="shared" si="34"/>
        <v>-32180</v>
      </c>
      <c r="K71" s="75">
        <f t="shared" si="35"/>
        <v>-46626</v>
      </c>
      <c r="L71" s="75">
        <f t="shared" si="36"/>
        <v>-7173.2307692307695</v>
      </c>
      <c r="M71" s="75">
        <f>('Plant &amp; Book Depr Form 2.0'!$F$106/12)*((D71+G71)-(F71+I71))/2+('Plant &amp; Book Depr Form 2.0'!$F$106/12)*((SUM(D61:D70)+SUM(G61:G70))-(SUM(F61:F70)+SUM(I61:I70)))</f>
        <v>7485.417211538461</v>
      </c>
      <c r="O71" s="99">
        <v>777101.9555555555</v>
      </c>
      <c r="P71" s="86">
        <f t="shared" si="37"/>
        <v>-93252.23466666666</v>
      </c>
      <c r="Q71" s="86">
        <f t="shared" si="38"/>
        <v>-46626.11733333333</v>
      </c>
      <c r="R71" s="86"/>
      <c r="S71" s="80"/>
      <c r="T71" s="99">
        <v>1249900.9199999997</v>
      </c>
      <c r="U71" s="86">
        <v>-160212.1618</v>
      </c>
      <c r="V71" s="86">
        <v>-32180.1386</v>
      </c>
      <c r="W71" s="86"/>
      <c r="X71" s="98"/>
      <c r="Y71" s="87"/>
      <c r="Z71" s="88"/>
      <c r="AA71" s="88"/>
      <c r="AB71" s="87"/>
      <c r="AC71" s="80"/>
      <c r="AD71" s="87"/>
      <c r="AE71" s="88"/>
      <c r="AF71" s="88"/>
      <c r="AG71" s="87"/>
      <c r="AH71" s="80"/>
      <c r="AI71" s="87"/>
      <c r="AJ71" s="88"/>
      <c r="AK71" s="88"/>
      <c r="AL71" s="87"/>
    </row>
    <row r="72" spans="1:38" ht="16.5">
      <c r="A72" s="72">
        <f t="shared" si="39"/>
        <v>12</v>
      </c>
      <c r="B72" s="73">
        <f t="shared" si="27"/>
        <v>43070</v>
      </c>
      <c r="C72" s="74">
        <v>1</v>
      </c>
      <c r="D72" s="76">
        <f t="shared" si="28"/>
        <v>403331</v>
      </c>
      <c r="E72" s="76">
        <f t="shared" si="29"/>
        <v>777102</v>
      </c>
      <c r="F72" s="76">
        <f t="shared" si="30"/>
        <v>59777.07692307693</v>
      </c>
      <c r="G72" s="76">
        <f t="shared" si="31"/>
        <v>-39695</v>
      </c>
      <c r="H72" s="76">
        <f t="shared" si="32"/>
        <v>-93252</v>
      </c>
      <c r="I72" s="76">
        <f t="shared" si="33"/>
        <v>-7173.2307692307695</v>
      </c>
      <c r="J72" s="76">
        <f t="shared" si="34"/>
        <v>-90317</v>
      </c>
      <c r="K72" s="76">
        <f t="shared" si="35"/>
        <v>-46626</v>
      </c>
      <c r="L72" s="76">
        <f t="shared" si="36"/>
        <v>-3586.6153846153848</v>
      </c>
      <c r="M72" s="76">
        <f>('Plant &amp; Book Depr Form 2.0'!$F$106/12)*((D72+G72)-(F72+I72))/2+('Plant &amp; Book Depr Form 2.0'!$F$106/12)*((SUM(D61:D71)+SUM(G61:G71))-(SUM(F61:F71)+SUM(I61:I71)))</f>
        <v>9536.646858974356</v>
      </c>
      <c r="O72" s="100">
        <v>777101.9555555555</v>
      </c>
      <c r="P72" s="90">
        <f t="shared" si="37"/>
        <v>-93252.23466666666</v>
      </c>
      <c r="Q72" s="90">
        <f t="shared" si="38"/>
        <v>-46626.11733333333</v>
      </c>
      <c r="R72" s="90"/>
      <c r="S72" s="80"/>
      <c r="T72" s="100">
        <v>403330.97</v>
      </c>
      <c r="U72" s="90">
        <v>-39694.555</v>
      </c>
      <c r="V72" s="90">
        <v>-90317.2398</v>
      </c>
      <c r="W72" s="90"/>
      <c r="X72" s="98"/>
      <c r="Y72" s="91"/>
      <c r="Z72" s="92"/>
      <c r="AA72" s="92"/>
      <c r="AB72" s="91"/>
      <c r="AC72" s="80"/>
      <c r="AD72" s="91"/>
      <c r="AE72" s="92"/>
      <c r="AF72" s="92"/>
      <c r="AG72" s="91"/>
      <c r="AH72" s="80"/>
      <c r="AI72" s="91"/>
      <c r="AJ72" s="92"/>
      <c r="AK72" s="92"/>
      <c r="AL72" s="91"/>
    </row>
    <row r="73" spans="1:38" ht="15">
      <c r="A73" s="72">
        <f t="shared" si="39"/>
        <v>13</v>
      </c>
      <c r="C73" s="78"/>
      <c r="D73" s="75">
        <f aca="true" t="shared" si="40" ref="D73:M73">SUM(D61:D72)</f>
        <v>7434373</v>
      </c>
      <c r="E73" s="74">
        <f t="shared" si="40"/>
        <v>8418559</v>
      </c>
      <c r="F73" s="74">
        <f t="shared" si="40"/>
        <v>3270066.0769230775</v>
      </c>
      <c r="G73" s="75">
        <f t="shared" si="40"/>
        <v>-1389626</v>
      </c>
      <c r="H73" s="74">
        <f t="shared" si="40"/>
        <v>-1010227</v>
      </c>
      <c r="I73" s="74">
        <f t="shared" si="40"/>
        <v>-392407.8461538461</v>
      </c>
      <c r="J73" s="74">
        <f t="shared" si="40"/>
        <v>-1227828</v>
      </c>
      <c r="K73" s="74">
        <f t="shared" si="40"/>
        <v>-505113</v>
      </c>
      <c r="L73" s="74">
        <f t="shared" si="40"/>
        <v>-196204</v>
      </c>
      <c r="M73" s="74">
        <f t="shared" si="40"/>
        <v>39164.522910256404</v>
      </c>
      <c r="O73" s="103">
        <f>SUM(O61:O72)</f>
        <v>8418556.799999999</v>
      </c>
      <c r="P73" s="103">
        <f>SUM(P61:P72)</f>
        <v>-1010226.8159999999</v>
      </c>
      <c r="Q73" s="103">
        <f>SUM(Q61:Q72)</f>
        <v>-505113.40799999994</v>
      </c>
      <c r="R73" s="80"/>
      <c r="S73" s="80"/>
      <c r="T73" s="103">
        <f>SUM(T61:T72)</f>
        <v>7434374.129999999</v>
      </c>
      <c r="U73" s="103">
        <f>SUM(U61:U72)</f>
        <v>-1389624.7291999997</v>
      </c>
      <c r="V73" s="103">
        <f>SUM(V61:V72)</f>
        <v>-1227829.4946</v>
      </c>
      <c r="W73" s="80"/>
      <c r="X73" s="80"/>
      <c r="Y73" s="88"/>
      <c r="Z73" s="88"/>
      <c r="AA73" s="88"/>
      <c r="AB73" s="88"/>
      <c r="AC73" s="80"/>
      <c r="AD73" s="88"/>
      <c r="AE73" s="88"/>
      <c r="AF73" s="88"/>
      <c r="AG73" s="88"/>
      <c r="AH73" s="80"/>
      <c r="AI73" s="88"/>
      <c r="AJ73" s="88"/>
      <c r="AK73" s="88"/>
      <c r="AL73" s="88"/>
    </row>
    <row r="74" spans="1:38" ht="15">
      <c r="A74" s="72"/>
      <c r="C74" s="78"/>
      <c r="D74" s="75"/>
      <c r="E74" s="74"/>
      <c r="F74" s="74"/>
      <c r="G74" s="75"/>
      <c r="H74" s="74"/>
      <c r="I74" s="74"/>
      <c r="J74" s="74"/>
      <c r="K74" s="74"/>
      <c r="L74" s="74"/>
      <c r="M74" s="74"/>
      <c r="O74" s="103"/>
      <c r="P74" s="103"/>
      <c r="Q74" s="103"/>
      <c r="R74" s="80"/>
      <c r="S74" s="80"/>
      <c r="T74" s="103"/>
      <c r="U74" s="103"/>
      <c r="V74" s="103"/>
      <c r="W74" s="80"/>
      <c r="X74" s="80"/>
      <c r="Y74" s="88"/>
      <c r="Z74" s="88"/>
      <c r="AA74" s="88"/>
      <c r="AB74" s="88"/>
      <c r="AC74" s="80"/>
      <c r="AD74" s="88"/>
      <c r="AE74" s="88"/>
      <c r="AF74" s="88"/>
      <c r="AG74" s="88"/>
      <c r="AH74" s="80"/>
      <c r="AI74" s="88"/>
      <c r="AJ74" s="88"/>
      <c r="AK74" s="88"/>
      <c r="AL74" s="88"/>
    </row>
    <row r="75" spans="1:38" ht="15">
      <c r="A75" s="72"/>
      <c r="C75" s="78"/>
      <c r="D75" s="75"/>
      <c r="E75" s="74"/>
      <c r="F75" s="74"/>
      <c r="G75" s="75"/>
      <c r="H75" s="74"/>
      <c r="I75" s="74"/>
      <c r="J75" s="75"/>
      <c r="K75" s="75"/>
      <c r="O75" s="80"/>
      <c r="P75" s="80"/>
      <c r="Q75" s="80"/>
      <c r="R75" s="80"/>
      <c r="S75" s="80"/>
      <c r="T75" s="94"/>
      <c r="U75" s="94"/>
      <c r="V75" s="94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</row>
    <row r="76" spans="1:14" ht="77.25">
      <c r="A76" s="72"/>
      <c r="D76" s="69" t="s">
        <v>204</v>
      </c>
      <c r="E76" s="69" t="s">
        <v>205</v>
      </c>
      <c r="F76" s="69" t="s">
        <v>221</v>
      </c>
      <c r="G76" s="75"/>
      <c r="J76" s="69" t="s">
        <v>206</v>
      </c>
      <c r="K76" s="69" t="s">
        <v>207</v>
      </c>
      <c r="L76" s="69" t="s">
        <v>222</v>
      </c>
      <c r="M76" s="74"/>
      <c r="N76" s="74"/>
    </row>
    <row r="77" spans="1:14" ht="15">
      <c r="A77" s="72">
        <f>+A73+1</f>
        <v>14</v>
      </c>
      <c r="B77" s="241" t="s">
        <v>218</v>
      </c>
      <c r="C77" s="241"/>
      <c r="D77" s="74">
        <f>D73+G73</f>
        <v>6044747</v>
      </c>
      <c r="E77" s="74">
        <f>F73+I73</f>
        <v>2877658.2307692314</v>
      </c>
      <c r="F77" s="74">
        <f>D77-E77</f>
        <v>3167088.7692307686</v>
      </c>
      <c r="J77" s="74">
        <f>G73+J73</f>
        <v>-2617454</v>
      </c>
      <c r="K77" s="74">
        <f>I73+L73</f>
        <v>-588611.8461538461</v>
      </c>
      <c r="L77" s="74">
        <f>J77-K77</f>
        <v>-2028842.153846154</v>
      </c>
      <c r="M77" s="74"/>
      <c r="N77" s="74"/>
    </row>
    <row r="78" spans="1:38" ht="15">
      <c r="A78" s="72"/>
      <c r="C78" s="78"/>
      <c r="D78" s="75"/>
      <c r="E78" s="74"/>
      <c r="F78" s="74"/>
      <c r="G78" s="75"/>
      <c r="H78" s="74"/>
      <c r="I78" s="74"/>
      <c r="J78" s="75"/>
      <c r="K78" s="75"/>
      <c r="O78" s="80"/>
      <c r="P78" s="80"/>
      <c r="Q78" s="80"/>
      <c r="R78" s="80"/>
      <c r="S78" s="80"/>
      <c r="T78" s="94"/>
      <c r="U78" s="94"/>
      <c r="V78" s="94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</row>
    <row r="79" spans="1:38" ht="15">
      <c r="A79" s="68" t="s">
        <v>285</v>
      </c>
      <c r="B79" s="67"/>
      <c r="C79" s="67"/>
      <c r="D79" s="67"/>
      <c r="E79" s="67"/>
      <c r="F79" s="67"/>
      <c r="G79" s="67"/>
      <c r="H79" s="67"/>
      <c r="I79" s="67"/>
      <c r="K79" s="75"/>
      <c r="O79" s="138" t="s">
        <v>209</v>
      </c>
      <c r="P79" s="80"/>
      <c r="Q79" s="80"/>
      <c r="R79" s="80"/>
      <c r="S79" s="80"/>
      <c r="T79" s="138" t="s">
        <v>210</v>
      </c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</row>
    <row r="80" spans="1:38" ht="15">
      <c r="A80" s="67"/>
      <c r="B80" s="67"/>
      <c r="C80" s="67"/>
      <c r="D80" s="67"/>
      <c r="E80" s="67"/>
      <c r="F80" s="67"/>
      <c r="G80" s="67"/>
      <c r="H80" s="67"/>
      <c r="I80" s="67"/>
      <c r="K80" s="75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</row>
    <row r="81" spans="1:38" ht="30.75">
      <c r="A81" s="69" t="s">
        <v>139</v>
      </c>
      <c r="B81" s="69" t="s">
        <v>140</v>
      </c>
      <c r="C81" s="69" t="s">
        <v>141</v>
      </c>
      <c r="D81" s="69" t="s">
        <v>293</v>
      </c>
      <c r="E81" s="69" t="s">
        <v>198</v>
      </c>
      <c r="F81" s="69" t="s">
        <v>199</v>
      </c>
      <c r="G81" s="69" t="s">
        <v>200</v>
      </c>
      <c r="H81" s="69" t="s">
        <v>201</v>
      </c>
      <c r="I81" s="69" t="s">
        <v>199</v>
      </c>
      <c r="J81" s="69" t="s">
        <v>202</v>
      </c>
      <c r="K81" s="69" t="s">
        <v>203</v>
      </c>
      <c r="L81" s="69" t="s">
        <v>199</v>
      </c>
      <c r="M81" s="69" t="s">
        <v>223</v>
      </c>
      <c r="O81" s="82" t="s">
        <v>211</v>
      </c>
      <c r="P81" s="82" t="s">
        <v>211</v>
      </c>
      <c r="Q81" s="82" t="s">
        <v>211</v>
      </c>
      <c r="R81" s="82" t="s">
        <v>212</v>
      </c>
      <c r="S81" s="80"/>
      <c r="T81" s="82" t="s">
        <v>211</v>
      </c>
      <c r="U81" s="82" t="s">
        <v>211</v>
      </c>
      <c r="V81" s="82" t="s">
        <v>211</v>
      </c>
      <c r="W81" s="82" t="s">
        <v>212</v>
      </c>
      <c r="X81" s="80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</row>
    <row r="82" spans="1:38" ht="15">
      <c r="A82" s="70"/>
      <c r="B82" s="71" t="str">
        <f>"(A)"</f>
        <v>(A)</v>
      </c>
      <c r="C82" s="71" t="str">
        <f>"(B)"</f>
        <v>(B)</v>
      </c>
      <c r="D82" s="71" t="str">
        <f>"(C)"</f>
        <v>(C)</v>
      </c>
      <c r="E82" s="71" t="str">
        <f>"(D)"</f>
        <v>(D)</v>
      </c>
      <c r="F82" s="71" t="str">
        <f>"(E)"</f>
        <v>(E)</v>
      </c>
      <c r="G82" s="71" t="str">
        <f>"(F)"</f>
        <v>(F)</v>
      </c>
      <c r="H82" s="71" t="str">
        <f>"(G)"</f>
        <v>(G)</v>
      </c>
      <c r="I82" s="71" t="str">
        <f>"(H)"</f>
        <v>(H)</v>
      </c>
      <c r="J82" s="71" t="str">
        <f>"(I)"</f>
        <v>(I)</v>
      </c>
      <c r="K82" s="71" t="str">
        <f>"(J)"</f>
        <v>(J)</v>
      </c>
      <c r="L82" s="71" t="str">
        <f>"(K)"</f>
        <v>(K)</v>
      </c>
      <c r="M82" s="71" t="str">
        <f>"(L)"</f>
        <v>(L)</v>
      </c>
      <c r="O82" s="82" t="s">
        <v>213</v>
      </c>
      <c r="P82" s="82" t="s">
        <v>214</v>
      </c>
      <c r="Q82" s="82" t="s">
        <v>215</v>
      </c>
      <c r="R82" s="82" t="s">
        <v>216</v>
      </c>
      <c r="S82" s="80"/>
      <c r="T82" s="82" t="s">
        <v>213</v>
      </c>
      <c r="U82" s="82" t="s">
        <v>214</v>
      </c>
      <c r="V82" s="82" t="s">
        <v>215</v>
      </c>
      <c r="W82" s="82" t="s">
        <v>216</v>
      </c>
      <c r="X82" s="80"/>
      <c r="Y82" s="82"/>
      <c r="Z82" s="80"/>
      <c r="AA82" s="82"/>
      <c r="AB82" s="82"/>
      <c r="AC82" s="82"/>
      <c r="AD82" s="82"/>
      <c r="AE82" s="80"/>
      <c r="AF82" s="82"/>
      <c r="AG82" s="82"/>
      <c r="AH82" s="82"/>
      <c r="AI82" s="82"/>
      <c r="AJ82" s="80"/>
      <c r="AK82" s="82"/>
      <c r="AL82" s="82"/>
    </row>
    <row r="83" spans="1:38" ht="15">
      <c r="A83" s="72">
        <v>1</v>
      </c>
      <c r="B83" s="73">
        <f aca="true" t="shared" si="41" ref="B83:B94">B61</f>
        <v>42736</v>
      </c>
      <c r="C83" s="74">
        <v>12</v>
      </c>
      <c r="D83" s="75">
        <f>ROUND(T83*$W$83,0)</f>
        <v>276</v>
      </c>
      <c r="E83" s="75">
        <f>ROUND(O83*$R$83,0)</f>
        <v>0</v>
      </c>
      <c r="F83" s="75">
        <f>($C83/13)*E83</f>
        <v>0</v>
      </c>
      <c r="G83" s="75">
        <f>ROUND(U83*$W$83,0)</f>
        <v>-1595</v>
      </c>
      <c r="H83" s="75">
        <f>ROUND(P83*$R$83,0)</f>
        <v>0</v>
      </c>
      <c r="I83" s="75">
        <f>($C83/13)*H83</f>
        <v>0</v>
      </c>
      <c r="J83" s="75">
        <f>ROUND(V83*$W$83,0)</f>
        <v>-1542</v>
      </c>
      <c r="K83" s="75">
        <f>ROUND(Q83*$R$83,0)</f>
        <v>0</v>
      </c>
      <c r="L83" s="75">
        <f aca="true" t="shared" si="42" ref="L83:L94">($C83/13)*K83</f>
        <v>0</v>
      </c>
      <c r="M83" s="75">
        <f>('Plant &amp; Book Depr Form 2.0'!$F$105/12)*((D83+G83)-(F83+I83))/2</f>
        <v>-1.2090833333333333</v>
      </c>
      <c r="O83" s="86">
        <v>0</v>
      </c>
      <c r="P83" s="86">
        <v>0</v>
      </c>
      <c r="Q83" s="86">
        <v>0</v>
      </c>
      <c r="R83" s="139">
        <f>R31</f>
        <v>1</v>
      </c>
      <c r="S83" s="80"/>
      <c r="T83" s="86">
        <v>276.22</v>
      </c>
      <c r="U83" s="86">
        <v>-1595.25</v>
      </c>
      <c r="V83" s="86">
        <v>-1541.76</v>
      </c>
      <c r="W83" s="139">
        <f>W31</f>
        <v>1</v>
      </c>
      <c r="X83" s="80"/>
      <c r="Y83" s="87"/>
      <c r="Z83" s="88"/>
      <c r="AA83" s="88"/>
      <c r="AB83" s="87"/>
      <c r="AC83" s="80"/>
      <c r="AD83" s="87"/>
      <c r="AE83" s="88"/>
      <c r="AF83" s="88"/>
      <c r="AG83" s="101"/>
      <c r="AH83" s="80"/>
      <c r="AI83" s="87"/>
      <c r="AJ83" s="88"/>
      <c r="AK83" s="88"/>
      <c r="AL83" s="87"/>
    </row>
    <row r="84" spans="1:38" ht="15">
      <c r="A84" s="72">
        <f>A83+1</f>
        <v>2</v>
      </c>
      <c r="B84" s="73">
        <f t="shared" si="41"/>
        <v>42767</v>
      </c>
      <c r="C84" s="74">
        <v>11</v>
      </c>
      <c r="D84" s="75">
        <f aca="true" t="shared" si="43" ref="D84:D94">ROUND(T84*$W$83,0)</f>
        <v>9775</v>
      </c>
      <c r="E84" s="75">
        <f aca="true" t="shared" si="44" ref="E84:E94">ROUND(O84*$R$83,0)</f>
        <v>0</v>
      </c>
      <c r="F84" s="75">
        <f aca="true" t="shared" si="45" ref="F84:F94">($C84/13)*E84</f>
        <v>0</v>
      </c>
      <c r="G84" s="75">
        <f aca="true" t="shared" si="46" ref="G84:G94">ROUND(U84*$W$83,0)</f>
        <v>-254</v>
      </c>
      <c r="H84" s="75">
        <f aca="true" t="shared" si="47" ref="H84:H94">ROUND(P84*$R$83,0)</f>
        <v>0</v>
      </c>
      <c r="I84" s="75">
        <f aca="true" t="shared" si="48" ref="I84:I94">($C84/13)*H84</f>
        <v>0</v>
      </c>
      <c r="J84" s="75">
        <f aca="true" t="shared" si="49" ref="J84:J94">ROUND(V84*$W$83,0)</f>
        <v>-254</v>
      </c>
      <c r="K84" s="75">
        <f aca="true" t="shared" si="50" ref="K84:K94">ROUND(Q84*$R$83,0)</f>
        <v>0</v>
      </c>
      <c r="L84" s="75">
        <f t="shared" si="42"/>
        <v>0</v>
      </c>
      <c r="M84" s="75">
        <f>('Plant &amp; Book Depr Form 2.0'!$F$105/12)*((D84+G84)-(F84+I84))/2+('Plant &amp; Book Depr Form 2.0'!$F$105/12)*((D83+G83)-(F83+I83))</f>
        <v>6.309416666666667</v>
      </c>
      <c r="O84" s="86">
        <v>0</v>
      </c>
      <c r="P84" s="86">
        <v>0</v>
      </c>
      <c r="Q84" s="86">
        <v>0</v>
      </c>
      <c r="R84" s="80"/>
      <c r="S84" s="80"/>
      <c r="T84" s="86">
        <v>9774.65</v>
      </c>
      <c r="U84" s="86">
        <v>-254</v>
      </c>
      <c r="V84" s="86">
        <v>-254</v>
      </c>
      <c r="W84" s="80"/>
      <c r="X84" s="80"/>
      <c r="Y84" s="87"/>
      <c r="Z84" s="88"/>
      <c r="AA84" s="88"/>
      <c r="AB84" s="87"/>
      <c r="AC84" s="80"/>
      <c r="AD84" s="87"/>
      <c r="AE84" s="88"/>
      <c r="AF84" s="88"/>
      <c r="AG84" s="101"/>
      <c r="AH84" s="80"/>
      <c r="AI84" s="87"/>
      <c r="AJ84" s="88"/>
      <c r="AK84" s="88"/>
      <c r="AL84" s="87"/>
    </row>
    <row r="85" spans="1:38" ht="15">
      <c r="A85" s="72">
        <f aca="true" t="shared" si="51" ref="A85:A95">A84+1</f>
        <v>3</v>
      </c>
      <c r="B85" s="73">
        <f t="shared" si="41"/>
        <v>42795</v>
      </c>
      <c r="C85" s="74">
        <v>10</v>
      </c>
      <c r="D85" s="75">
        <f t="shared" si="43"/>
        <v>-2414</v>
      </c>
      <c r="E85" s="75">
        <f t="shared" si="44"/>
        <v>0</v>
      </c>
      <c r="F85" s="75">
        <f t="shared" si="45"/>
        <v>0</v>
      </c>
      <c r="G85" s="75">
        <f t="shared" si="46"/>
        <v>0</v>
      </c>
      <c r="H85" s="75">
        <f t="shared" si="47"/>
        <v>0</v>
      </c>
      <c r="I85" s="75">
        <f t="shared" si="48"/>
        <v>0</v>
      </c>
      <c r="J85" s="75">
        <f t="shared" si="49"/>
        <v>0</v>
      </c>
      <c r="K85" s="75">
        <f t="shared" si="50"/>
        <v>0</v>
      </c>
      <c r="L85" s="75">
        <f t="shared" si="42"/>
        <v>0</v>
      </c>
      <c r="M85" s="75">
        <f>('Plant &amp; Book Depr Form 2.0'!$F$105/12)*((D85+G85)-(F85+I85))/2+('Plant &amp; Book Depr Form 2.0'!$F$105/12)*((SUM(D83:D84)+SUM(G83:G84))-(SUM(F83:F84)+SUM(I83:I84)))</f>
        <v>12.824166666666667</v>
      </c>
      <c r="O85" s="86">
        <v>0</v>
      </c>
      <c r="P85" s="86">
        <v>0</v>
      </c>
      <c r="Q85" s="86">
        <v>0</v>
      </c>
      <c r="R85" s="80"/>
      <c r="S85" s="80"/>
      <c r="T85" s="86">
        <v>-2414.26</v>
      </c>
      <c r="U85" s="86">
        <v>0</v>
      </c>
      <c r="V85" s="86">
        <v>0</v>
      </c>
      <c r="W85" s="80"/>
      <c r="X85" s="80"/>
      <c r="Y85" s="87"/>
      <c r="Z85" s="88"/>
      <c r="AA85" s="88"/>
      <c r="AB85" s="87"/>
      <c r="AC85" s="80"/>
      <c r="AD85" s="87"/>
      <c r="AE85" s="88"/>
      <c r="AF85" s="88"/>
      <c r="AG85" s="101"/>
      <c r="AH85" s="80"/>
      <c r="AI85" s="87"/>
      <c r="AJ85" s="88"/>
      <c r="AK85" s="88"/>
      <c r="AL85" s="87"/>
    </row>
    <row r="86" spans="1:38" ht="15">
      <c r="A86" s="72">
        <f t="shared" si="51"/>
        <v>4</v>
      </c>
      <c r="B86" s="73">
        <f t="shared" si="41"/>
        <v>42826</v>
      </c>
      <c r="C86" s="74">
        <v>9</v>
      </c>
      <c r="D86" s="75">
        <f t="shared" si="43"/>
        <v>551</v>
      </c>
      <c r="E86" s="75">
        <f t="shared" si="44"/>
        <v>0</v>
      </c>
      <c r="F86" s="75">
        <f t="shared" si="45"/>
        <v>0</v>
      </c>
      <c r="G86" s="75">
        <f t="shared" si="46"/>
        <v>0</v>
      </c>
      <c r="H86" s="75">
        <f t="shared" si="47"/>
        <v>0</v>
      </c>
      <c r="I86" s="75">
        <f t="shared" si="48"/>
        <v>0</v>
      </c>
      <c r="J86" s="75">
        <f t="shared" si="49"/>
        <v>0</v>
      </c>
      <c r="K86" s="75">
        <f t="shared" si="50"/>
        <v>0</v>
      </c>
      <c r="L86" s="75">
        <f t="shared" si="42"/>
        <v>0</v>
      </c>
      <c r="M86" s="75">
        <f>('Plant &amp; Book Depr Form 2.0'!$F$105/12)*((D86+G86)-(F86+I86))/2+('Plant &amp; Book Depr Form 2.0'!$F$105/12)*((SUM(D83:D85)+SUM(G83:G85))-(SUM(F83:F85)+SUM(I83:I85)))</f>
        <v>11.116416666666666</v>
      </c>
      <c r="O86" s="86">
        <v>0</v>
      </c>
      <c r="P86" s="86">
        <v>0</v>
      </c>
      <c r="Q86" s="86">
        <v>0</v>
      </c>
      <c r="R86" s="80"/>
      <c r="S86" s="80"/>
      <c r="T86" s="86">
        <v>550.85</v>
      </c>
      <c r="U86" s="86">
        <v>0</v>
      </c>
      <c r="V86" s="86">
        <v>0</v>
      </c>
      <c r="W86" s="80"/>
      <c r="X86" s="80"/>
      <c r="Y86" s="87"/>
      <c r="Z86" s="88"/>
      <c r="AA86" s="88"/>
      <c r="AB86" s="87"/>
      <c r="AC86" s="80"/>
      <c r="AD86" s="87"/>
      <c r="AE86" s="88"/>
      <c r="AF86" s="88"/>
      <c r="AG86" s="101"/>
      <c r="AH86" s="80"/>
      <c r="AI86" s="87"/>
      <c r="AJ86" s="88"/>
      <c r="AK86" s="88"/>
      <c r="AL86" s="87"/>
    </row>
    <row r="87" spans="1:38" ht="15">
      <c r="A87" s="72">
        <f t="shared" si="51"/>
        <v>5</v>
      </c>
      <c r="B87" s="73">
        <f t="shared" si="41"/>
        <v>42856</v>
      </c>
      <c r="C87" s="74">
        <v>8</v>
      </c>
      <c r="D87" s="75">
        <f t="shared" si="43"/>
        <v>15722</v>
      </c>
      <c r="E87" s="75">
        <f t="shared" si="44"/>
        <v>0</v>
      </c>
      <c r="F87" s="75">
        <f t="shared" si="45"/>
        <v>0</v>
      </c>
      <c r="G87" s="75">
        <f t="shared" si="46"/>
        <v>0</v>
      </c>
      <c r="H87" s="75">
        <f t="shared" si="47"/>
        <v>0</v>
      </c>
      <c r="I87" s="75">
        <f t="shared" si="48"/>
        <v>0</v>
      </c>
      <c r="J87" s="75">
        <f t="shared" si="49"/>
        <v>0</v>
      </c>
      <c r="K87" s="75">
        <f t="shared" si="50"/>
        <v>0</v>
      </c>
      <c r="L87" s="75">
        <f t="shared" si="42"/>
        <v>0</v>
      </c>
      <c r="M87" s="75">
        <f>('Plant &amp; Book Depr Form 2.0'!$F$105/12)*((D87+G87)-(F87+I87))/2+('Plant &amp; Book Depr Form 2.0'!$F$105/12)*((SUM(D83:D86)+SUM(G83:G86))-(SUM(F83:F86)+SUM(I83:I86)))</f>
        <v>26.03333333333333</v>
      </c>
      <c r="O87" s="86">
        <v>0</v>
      </c>
      <c r="P87" s="86">
        <v>0</v>
      </c>
      <c r="Q87" s="86">
        <v>0</v>
      </c>
      <c r="R87" s="80"/>
      <c r="S87" s="80"/>
      <c r="T87" s="86">
        <v>15721.98</v>
      </c>
      <c r="U87" s="86">
        <v>0</v>
      </c>
      <c r="V87" s="86">
        <v>0</v>
      </c>
      <c r="W87" s="80"/>
      <c r="X87" s="80"/>
      <c r="Y87" s="87"/>
      <c r="Z87" s="88"/>
      <c r="AA87" s="88"/>
      <c r="AB87" s="87"/>
      <c r="AC87" s="80"/>
      <c r="AD87" s="87"/>
      <c r="AE87" s="88"/>
      <c r="AF87" s="88"/>
      <c r="AG87" s="101"/>
      <c r="AH87" s="80"/>
      <c r="AI87" s="87"/>
      <c r="AJ87" s="88"/>
      <c r="AK87" s="88"/>
      <c r="AL87" s="87"/>
    </row>
    <row r="88" spans="1:38" ht="15">
      <c r="A88" s="72">
        <f t="shared" si="51"/>
        <v>6</v>
      </c>
      <c r="B88" s="73">
        <f t="shared" si="41"/>
        <v>42887</v>
      </c>
      <c r="C88" s="74">
        <v>7</v>
      </c>
      <c r="D88" s="75">
        <f t="shared" si="43"/>
        <v>0</v>
      </c>
      <c r="E88" s="75">
        <f t="shared" si="44"/>
        <v>0</v>
      </c>
      <c r="F88" s="75">
        <f t="shared" si="45"/>
        <v>0</v>
      </c>
      <c r="G88" s="75">
        <f t="shared" si="46"/>
        <v>0</v>
      </c>
      <c r="H88" s="75">
        <f t="shared" si="47"/>
        <v>0</v>
      </c>
      <c r="I88" s="75">
        <f t="shared" si="48"/>
        <v>0</v>
      </c>
      <c r="J88" s="75">
        <f t="shared" si="49"/>
        <v>0</v>
      </c>
      <c r="K88" s="75">
        <f t="shared" si="50"/>
        <v>0</v>
      </c>
      <c r="L88" s="75">
        <f t="shared" si="42"/>
        <v>0</v>
      </c>
      <c r="M88" s="75">
        <f>('Plant &amp; Book Depr Form 2.0'!$F$105/12)*((D88+G88)-(F88+I88))/2+('Plant &amp; Book Depr Form 2.0'!$F$105/12)*((SUM(D83:D87)+SUM(G83:G87))-(SUM(F83:F87)+SUM(I83:I87)))</f>
        <v>40.445166666666665</v>
      </c>
      <c r="O88" s="86">
        <v>0</v>
      </c>
      <c r="P88" s="86">
        <v>0</v>
      </c>
      <c r="Q88" s="86">
        <v>0</v>
      </c>
      <c r="R88" s="80"/>
      <c r="S88" s="80"/>
      <c r="T88" s="86">
        <v>0</v>
      </c>
      <c r="U88" s="86">
        <v>0</v>
      </c>
      <c r="V88" s="86">
        <v>0</v>
      </c>
      <c r="W88" s="80"/>
      <c r="X88" s="80"/>
      <c r="Y88" s="87"/>
      <c r="Z88" s="88"/>
      <c r="AA88" s="88"/>
      <c r="AB88" s="87"/>
      <c r="AC88" s="80"/>
      <c r="AD88" s="87"/>
      <c r="AE88" s="88"/>
      <c r="AF88" s="88"/>
      <c r="AG88" s="101"/>
      <c r="AH88" s="80"/>
      <c r="AI88" s="87"/>
      <c r="AJ88" s="88"/>
      <c r="AK88" s="88"/>
      <c r="AL88" s="87"/>
    </row>
    <row r="89" spans="1:38" ht="15">
      <c r="A89" s="72">
        <f t="shared" si="51"/>
        <v>7</v>
      </c>
      <c r="B89" s="73">
        <f t="shared" si="41"/>
        <v>42917</v>
      </c>
      <c r="C89" s="74">
        <v>6</v>
      </c>
      <c r="D89" s="75">
        <f t="shared" si="43"/>
        <v>0</v>
      </c>
      <c r="E89" s="75">
        <f t="shared" si="44"/>
        <v>0</v>
      </c>
      <c r="F89" s="75">
        <f t="shared" si="45"/>
        <v>0</v>
      </c>
      <c r="G89" s="75">
        <f t="shared" si="46"/>
        <v>-79</v>
      </c>
      <c r="H89" s="75">
        <f t="shared" si="47"/>
        <v>0</v>
      </c>
      <c r="I89" s="75">
        <f t="shared" si="48"/>
        <v>0</v>
      </c>
      <c r="J89" s="75">
        <f t="shared" si="49"/>
        <v>-79</v>
      </c>
      <c r="K89" s="75">
        <f t="shared" si="50"/>
        <v>0</v>
      </c>
      <c r="L89" s="75">
        <f t="shared" si="42"/>
        <v>0</v>
      </c>
      <c r="M89" s="75">
        <f>('Plant &amp; Book Depr Form 2.0'!$F$105/12)*((D89+G89)-(F89+I89))/2+('Plant &amp; Book Depr Form 2.0'!$F$105/12)*((SUM(D83:D88)+SUM(G83:G88))-(SUM(F83:F88)+SUM(I83:I88)))</f>
        <v>40.372749999999996</v>
      </c>
      <c r="O89" s="86">
        <v>0</v>
      </c>
      <c r="P89" s="86">
        <v>0</v>
      </c>
      <c r="Q89" s="86">
        <v>0</v>
      </c>
      <c r="R89" s="80"/>
      <c r="S89" s="80"/>
      <c r="T89" s="86">
        <v>0</v>
      </c>
      <c r="U89" s="86">
        <v>-78.5</v>
      </c>
      <c r="V89" s="86">
        <v>-78.5</v>
      </c>
      <c r="W89" s="80"/>
      <c r="X89" s="80"/>
      <c r="Y89" s="87"/>
      <c r="Z89" s="88"/>
      <c r="AA89" s="88"/>
      <c r="AB89" s="87"/>
      <c r="AC89" s="80"/>
      <c r="AD89" s="87"/>
      <c r="AE89" s="88"/>
      <c r="AF89" s="88"/>
      <c r="AG89" s="101"/>
      <c r="AH89" s="80"/>
      <c r="AI89" s="87"/>
      <c r="AJ89" s="88"/>
      <c r="AK89" s="88"/>
      <c r="AL89" s="87"/>
    </row>
    <row r="90" spans="1:38" ht="15">
      <c r="A90" s="72">
        <f t="shared" si="51"/>
        <v>8</v>
      </c>
      <c r="B90" s="73">
        <f t="shared" si="41"/>
        <v>42948</v>
      </c>
      <c r="C90" s="74">
        <v>5</v>
      </c>
      <c r="D90" s="75">
        <f t="shared" si="43"/>
        <v>0</v>
      </c>
      <c r="E90" s="75">
        <f t="shared" si="44"/>
        <v>0</v>
      </c>
      <c r="F90" s="75">
        <f t="shared" si="45"/>
        <v>0</v>
      </c>
      <c r="G90" s="75">
        <f t="shared" si="46"/>
        <v>0</v>
      </c>
      <c r="H90" s="75">
        <f t="shared" si="47"/>
        <v>0</v>
      </c>
      <c r="I90" s="75">
        <f t="shared" si="48"/>
        <v>0</v>
      </c>
      <c r="J90" s="75">
        <f t="shared" si="49"/>
        <v>0</v>
      </c>
      <c r="K90" s="75">
        <f t="shared" si="50"/>
        <v>0</v>
      </c>
      <c r="L90" s="75">
        <f t="shared" si="42"/>
        <v>0</v>
      </c>
      <c r="M90" s="75">
        <f>('Plant &amp; Book Depr Form 2.0'!$F$105/12)*((D90+G90)-(F90+I90))/2+('Plant &amp; Book Depr Form 2.0'!$F$105/12)*((SUM(D83:D89)+SUM(G83:G89))-(SUM(F83:F89)+SUM(I83:I89)))</f>
        <v>40.300333333333334</v>
      </c>
      <c r="O90" s="86">
        <v>0</v>
      </c>
      <c r="P90" s="86">
        <v>0</v>
      </c>
      <c r="Q90" s="86">
        <v>0</v>
      </c>
      <c r="R90" s="80"/>
      <c r="S90" s="80"/>
      <c r="T90" s="86">
        <v>0</v>
      </c>
      <c r="U90" s="86">
        <v>0</v>
      </c>
      <c r="V90" s="86">
        <v>0</v>
      </c>
      <c r="W90" s="80"/>
      <c r="X90" s="80"/>
      <c r="Y90" s="87"/>
      <c r="Z90" s="88"/>
      <c r="AA90" s="88"/>
      <c r="AB90" s="87"/>
      <c r="AC90" s="80"/>
      <c r="AD90" s="87"/>
      <c r="AE90" s="88"/>
      <c r="AF90" s="88"/>
      <c r="AG90" s="101"/>
      <c r="AH90" s="80"/>
      <c r="AI90" s="87"/>
      <c r="AJ90" s="88"/>
      <c r="AK90" s="88"/>
      <c r="AL90" s="87"/>
    </row>
    <row r="91" spans="1:38" ht="15">
      <c r="A91" s="72">
        <f t="shared" si="51"/>
        <v>9</v>
      </c>
      <c r="B91" s="73">
        <f t="shared" si="41"/>
        <v>42979</v>
      </c>
      <c r="C91" s="74">
        <v>4</v>
      </c>
      <c r="D91" s="75">
        <f t="shared" si="43"/>
        <v>71679</v>
      </c>
      <c r="E91" s="75">
        <f t="shared" si="44"/>
        <v>0</v>
      </c>
      <c r="F91" s="75">
        <f t="shared" si="45"/>
        <v>0</v>
      </c>
      <c r="G91" s="75">
        <f t="shared" si="46"/>
        <v>0</v>
      </c>
      <c r="H91" s="75">
        <f t="shared" si="47"/>
        <v>0</v>
      </c>
      <c r="I91" s="75">
        <f t="shared" si="48"/>
        <v>0</v>
      </c>
      <c r="J91" s="75">
        <f t="shared" si="49"/>
        <v>0</v>
      </c>
      <c r="K91" s="75">
        <f t="shared" si="50"/>
        <v>0</v>
      </c>
      <c r="L91" s="75">
        <f t="shared" si="42"/>
        <v>0</v>
      </c>
      <c r="M91" s="75">
        <f>('Plant &amp; Book Depr Form 2.0'!$F$105/12)*((D91+G91)-(F91+I91))/2+('Plant &amp; Book Depr Form 2.0'!$F$105/12)*((SUM(D83:D90)+SUM(G83:G90))-(SUM(F83:F90)+SUM(I83:I90)))</f>
        <v>106.00608333333332</v>
      </c>
      <c r="O91" s="86">
        <v>0</v>
      </c>
      <c r="P91" s="86">
        <v>0</v>
      </c>
      <c r="Q91" s="86">
        <v>0</v>
      </c>
      <c r="R91" s="80"/>
      <c r="S91" s="80"/>
      <c r="T91" s="86">
        <v>71679.09999999999</v>
      </c>
      <c r="U91" s="86">
        <v>0</v>
      </c>
      <c r="V91" s="86">
        <v>0</v>
      </c>
      <c r="W91" s="80"/>
      <c r="X91" s="80"/>
      <c r="Y91" s="87"/>
      <c r="Z91" s="88"/>
      <c r="AA91" s="88"/>
      <c r="AB91" s="87"/>
      <c r="AC91" s="80"/>
      <c r="AD91" s="87"/>
      <c r="AE91" s="88"/>
      <c r="AF91" s="88"/>
      <c r="AG91" s="101"/>
      <c r="AH91" s="80"/>
      <c r="AI91" s="87"/>
      <c r="AJ91" s="88"/>
      <c r="AK91" s="88"/>
      <c r="AL91" s="87"/>
    </row>
    <row r="92" spans="1:38" ht="15">
      <c r="A92" s="72">
        <f t="shared" si="51"/>
        <v>10</v>
      </c>
      <c r="B92" s="73">
        <f t="shared" si="41"/>
        <v>43009</v>
      </c>
      <c r="C92" s="74">
        <v>3</v>
      </c>
      <c r="D92" s="75">
        <f t="shared" si="43"/>
        <v>2653</v>
      </c>
      <c r="E92" s="75">
        <f t="shared" si="44"/>
        <v>0</v>
      </c>
      <c r="F92" s="75">
        <f t="shared" si="45"/>
        <v>0</v>
      </c>
      <c r="G92" s="75">
        <f t="shared" si="46"/>
        <v>0</v>
      </c>
      <c r="H92" s="75">
        <f t="shared" si="47"/>
        <v>0</v>
      </c>
      <c r="I92" s="75">
        <f t="shared" si="48"/>
        <v>0</v>
      </c>
      <c r="J92" s="75">
        <f t="shared" si="49"/>
        <v>0</v>
      </c>
      <c r="K92" s="75">
        <f t="shared" si="50"/>
        <v>0</v>
      </c>
      <c r="L92" s="75">
        <f t="shared" si="42"/>
        <v>0</v>
      </c>
      <c r="M92" s="75">
        <f>('Plant &amp; Book Depr Form 2.0'!$F$105/12)*((D92+G92)-(F92+I92))/2+('Plant &amp; Book Depr Form 2.0'!$F$105/12)*((SUM(D83:D91)+SUM(G83:G91))-(SUM(F83:F91)+SUM(I83:I91)))</f>
        <v>174.14374999999998</v>
      </c>
      <c r="O92" s="86">
        <v>0</v>
      </c>
      <c r="P92" s="86">
        <v>0</v>
      </c>
      <c r="Q92" s="86">
        <v>0</v>
      </c>
      <c r="R92" s="80"/>
      <c r="S92" s="80"/>
      <c r="T92" s="86">
        <v>2652.83</v>
      </c>
      <c r="U92" s="86">
        <v>0</v>
      </c>
      <c r="V92" s="86">
        <v>0</v>
      </c>
      <c r="W92" s="80"/>
      <c r="X92" s="80"/>
      <c r="Y92" s="87"/>
      <c r="Z92" s="88"/>
      <c r="AA92" s="88"/>
      <c r="AB92" s="87"/>
      <c r="AC92" s="80"/>
      <c r="AD92" s="87"/>
      <c r="AE92" s="88"/>
      <c r="AF92" s="88"/>
      <c r="AG92" s="101"/>
      <c r="AH92" s="80"/>
      <c r="AI92" s="87"/>
      <c r="AJ92" s="88"/>
      <c r="AK92" s="88"/>
      <c r="AL92" s="87"/>
    </row>
    <row r="93" spans="1:38" ht="15">
      <c r="A93" s="72">
        <f t="shared" si="51"/>
        <v>11</v>
      </c>
      <c r="B93" s="73">
        <f t="shared" si="41"/>
        <v>43040</v>
      </c>
      <c r="C93" s="74">
        <v>2</v>
      </c>
      <c r="D93" s="75">
        <f t="shared" si="43"/>
        <v>0</v>
      </c>
      <c r="E93" s="75">
        <f t="shared" si="44"/>
        <v>0</v>
      </c>
      <c r="F93" s="75">
        <f t="shared" si="45"/>
        <v>0</v>
      </c>
      <c r="G93" s="75">
        <f t="shared" si="46"/>
        <v>-2200</v>
      </c>
      <c r="H93" s="75">
        <f t="shared" si="47"/>
        <v>0</v>
      </c>
      <c r="I93" s="75">
        <f t="shared" si="48"/>
        <v>0</v>
      </c>
      <c r="J93" s="75">
        <f t="shared" si="49"/>
        <v>-2160</v>
      </c>
      <c r="K93" s="75">
        <f t="shared" si="50"/>
        <v>0</v>
      </c>
      <c r="L93" s="75">
        <f t="shared" si="42"/>
        <v>0</v>
      </c>
      <c r="M93" s="75">
        <f>('Plant &amp; Book Depr Form 2.0'!$F$105/12)*((D93+G93)-(F93+I93))/2+('Plant &amp; Book Depr Form 2.0'!$F$105/12)*((SUM(D83:D92)+SUM(G83:G92))-(SUM(F83:F92)+SUM(I83:I92)))</f>
        <v>174.559</v>
      </c>
      <c r="O93" s="86">
        <v>0</v>
      </c>
      <c r="P93" s="86">
        <v>0</v>
      </c>
      <c r="Q93" s="86">
        <v>0</v>
      </c>
      <c r="R93" s="80"/>
      <c r="S93" s="80"/>
      <c r="T93" s="86">
        <v>0</v>
      </c>
      <c r="U93" s="86">
        <v>-2199.77</v>
      </c>
      <c r="V93" s="86">
        <v>-2159.59</v>
      </c>
      <c r="W93" s="80"/>
      <c r="X93" s="80"/>
      <c r="Y93" s="87"/>
      <c r="Z93" s="88"/>
      <c r="AA93" s="88"/>
      <c r="AB93" s="87"/>
      <c r="AC93" s="80"/>
      <c r="AD93" s="87"/>
      <c r="AE93" s="88"/>
      <c r="AF93" s="88"/>
      <c r="AG93" s="101"/>
      <c r="AH93" s="80"/>
      <c r="AI93" s="87"/>
      <c r="AJ93" s="88"/>
      <c r="AK93" s="88"/>
      <c r="AL93" s="87"/>
    </row>
    <row r="94" spans="1:38" ht="16.5">
      <c r="A94" s="72">
        <f t="shared" si="51"/>
        <v>12</v>
      </c>
      <c r="B94" s="73">
        <f t="shared" si="41"/>
        <v>43070</v>
      </c>
      <c r="C94" s="74">
        <v>1</v>
      </c>
      <c r="D94" s="76">
        <f t="shared" si="43"/>
        <v>0</v>
      </c>
      <c r="E94" s="76">
        <f t="shared" si="44"/>
        <v>0</v>
      </c>
      <c r="F94" s="76">
        <f t="shared" si="45"/>
        <v>0</v>
      </c>
      <c r="G94" s="76">
        <f t="shared" si="46"/>
        <v>0</v>
      </c>
      <c r="H94" s="76">
        <f t="shared" si="47"/>
        <v>0</v>
      </c>
      <c r="I94" s="76">
        <f t="shared" si="48"/>
        <v>0</v>
      </c>
      <c r="J94" s="76">
        <f t="shared" si="49"/>
        <v>0</v>
      </c>
      <c r="K94" s="76">
        <f t="shared" si="50"/>
        <v>0</v>
      </c>
      <c r="L94" s="76">
        <f t="shared" si="42"/>
        <v>0</v>
      </c>
      <c r="M94" s="76">
        <f>('Plant &amp; Book Depr Form 2.0'!$F$105/12)*((D94+G94)-(F94+I94))/2+('Plant &amp; Book Depr Form 2.0'!$F$105/12)*((SUM(D83:D93)+SUM(G83:G93))-(SUM(F83:F93)+SUM(I83:I93)))</f>
        <v>172.54233333333332</v>
      </c>
      <c r="O94" s="90">
        <v>0</v>
      </c>
      <c r="P94" s="90">
        <v>0</v>
      </c>
      <c r="Q94" s="90">
        <v>0</v>
      </c>
      <c r="R94" s="80"/>
      <c r="S94" s="80"/>
      <c r="T94" s="90">
        <v>0</v>
      </c>
      <c r="U94" s="90">
        <v>0</v>
      </c>
      <c r="V94" s="90">
        <v>0</v>
      </c>
      <c r="W94" s="80"/>
      <c r="X94" s="80"/>
      <c r="Y94" s="91"/>
      <c r="Z94" s="92"/>
      <c r="AA94" s="92"/>
      <c r="AB94" s="91"/>
      <c r="AC94" s="80"/>
      <c r="AD94" s="91"/>
      <c r="AE94" s="92"/>
      <c r="AF94" s="92"/>
      <c r="AG94" s="101"/>
      <c r="AH94" s="80"/>
      <c r="AI94" s="91"/>
      <c r="AJ94" s="92"/>
      <c r="AK94" s="92"/>
      <c r="AL94" s="91"/>
    </row>
    <row r="95" spans="1:38" ht="15">
      <c r="A95" s="72">
        <f t="shared" si="51"/>
        <v>13</v>
      </c>
      <c r="C95" s="78"/>
      <c r="D95" s="75">
        <f>SUM(D83:D94)</f>
        <v>98242</v>
      </c>
      <c r="E95" s="74">
        <f>SUM(E83:E94)</f>
        <v>0</v>
      </c>
      <c r="F95" s="74">
        <f>SUM(F83:F94)</f>
        <v>0</v>
      </c>
      <c r="G95" s="75">
        <f aca="true" t="shared" si="52" ref="G95:L95">SUM(G83:G94)</f>
        <v>-4128</v>
      </c>
      <c r="H95" s="74">
        <f t="shared" si="52"/>
        <v>0</v>
      </c>
      <c r="I95" s="74">
        <f t="shared" si="52"/>
        <v>0</v>
      </c>
      <c r="J95" s="74">
        <f t="shared" si="52"/>
        <v>-4035</v>
      </c>
      <c r="K95" s="74">
        <f t="shared" si="52"/>
        <v>0</v>
      </c>
      <c r="L95" s="74">
        <f t="shared" si="52"/>
        <v>0</v>
      </c>
      <c r="M95" s="74">
        <f>SUM(M83:M94)</f>
        <v>803.4436666666666</v>
      </c>
      <c r="O95" s="103">
        <f>SUM(O83:O94)</f>
        <v>0</v>
      </c>
      <c r="P95" s="103">
        <f>SUM(P83:P94)</f>
        <v>0</v>
      </c>
      <c r="Q95" s="103">
        <f>SUM(Q83:Q94)</f>
        <v>0</v>
      </c>
      <c r="R95" s="80"/>
      <c r="S95" s="80"/>
      <c r="T95" s="103">
        <f>SUM(T83:T94)</f>
        <v>98241.37</v>
      </c>
      <c r="U95" s="103">
        <f>SUM(U83:U94)</f>
        <v>-4127.52</v>
      </c>
      <c r="V95" s="103">
        <f>SUM(V83:V94)</f>
        <v>-4033.8500000000004</v>
      </c>
      <c r="W95" s="80"/>
      <c r="X95" s="80"/>
      <c r="Y95" s="88"/>
      <c r="Z95" s="88"/>
      <c r="AA95" s="88"/>
      <c r="AB95" s="88"/>
      <c r="AC95" s="80"/>
      <c r="AD95" s="88"/>
      <c r="AE95" s="88"/>
      <c r="AF95" s="88"/>
      <c r="AG95" s="88"/>
      <c r="AH95" s="80"/>
      <c r="AI95" s="88"/>
      <c r="AJ95" s="88"/>
      <c r="AK95" s="88"/>
      <c r="AL95" s="88"/>
    </row>
    <row r="96" spans="1:38" ht="15">
      <c r="A96" s="72"/>
      <c r="C96" s="78"/>
      <c r="D96" s="75"/>
      <c r="E96" s="74"/>
      <c r="F96" s="74"/>
      <c r="G96" s="75"/>
      <c r="H96" s="74"/>
      <c r="I96" s="74"/>
      <c r="J96" s="74"/>
      <c r="K96" s="74"/>
      <c r="L96" s="74"/>
      <c r="M96" s="74"/>
      <c r="O96" s="103"/>
      <c r="P96" s="103"/>
      <c r="Q96" s="103"/>
      <c r="R96" s="80"/>
      <c r="S96" s="80"/>
      <c r="T96" s="103"/>
      <c r="U96" s="103"/>
      <c r="V96" s="103"/>
      <c r="W96" s="80"/>
      <c r="X96" s="80"/>
      <c r="Y96" s="88"/>
      <c r="Z96" s="88"/>
      <c r="AA96" s="88"/>
      <c r="AB96" s="88"/>
      <c r="AC96" s="80"/>
      <c r="AD96" s="88"/>
      <c r="AE96" s="88"/>
      <c r="AF96" s="88"/>
      <c r="AG96" s="88"/>
      <c r="AH96" s="80"/>
      <c r="AI96" s="88"/>
      <c r="AJ96" s="88"/>
      <c r="AK96" s="88"/>
      <c r="AL96" s="88"/>
    </row>
    <row r="97" spans="1:38" ht="15">
      <c r="A97" s="72"/>
      <c r="C97" s="78"/>
      <c r="D97" s="75"/>
      <c r="E97" s="74"/>
      <c r="F97" s="74"/>
      <c r="G97" s="75"/>
      <c r="H97" s="74"/>
      <c r="I97" s="74"/>
      <c r="J97" s="75"/>
      <c r="K97" s="75"/>
      <c r="O97" s="80"/>
      <c r="P97" s="80"/>
      <c r="Q97" s="80"/>
      <c r="R97" s="80"/>
      <c r="S97" s="80"/>
      <c r="T97" s="94"/>
      <c r="U97" s="94"/>
      <c r="V97" s="94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</row>
    <row r="98" spans="1:14" ht="77.25">
      <c r="A98" s="72"/>
      <c r="D98" s="69" t="s">
        <v>204</v>
      </c>
      <c r="E98" s="69" t="s">
        <v>205</v>
      </c>
      <c r="F98" s="69" t="s">
        <v>221</v>
      </c>
      <c r="G98" s="75"/>
      <c r="J98" s="69" t="s">
        <v>206</v>
      </c>
      <c r="K98" s="69" t="s">
        <v>207</v>
      </c>
      <c r="L98" s="69" t="s">
        <v>222</v>
      </c>
      <c r="M98" s="74"/>
      <c r="N98" s="74"/>
    </row>
    <row r="99" spans="1:14" ht="15">
      <c r="A99" s="72">
        <f>+A95+1</f>
        <v>14</v>
      </c>
      <c r="B99" s="241" t="s">
        <v>219</v>
      </c>
      <c r="C99" s="241"/>
      <c r="D99" s="74">
        <f>D95+G95</f>
        <v>94114</v>
      </c>
      <c r="E99" s="74">
        <f>F95+I95</f>
        <v>0</v>
      </c>
      <c r="F99" s="74">
        <f>D99-E99</f>
        <v>94114</v>
      </c>
      <c r="J99" s="74">
        <f>G95+J95</f>
        <v>-8163</v>
      </c>
      <c r="K99" s="74">
        <f>I95+L95</f>
        <v>0</v>
      </c>
      <c r="L99" s="74">
        <f>J99-K99</f>
        <v>-8163</v>
      </c>
      <c r="M99" s="74"/>
      <c r="N99" s="74"/>
    </row>
    <row r="100" spans="1:14" ht="15">
      <c r="A100" s="72"/>
      <c r="C100" s="74"/>
      <c r="D100" s="102"/>
      <c r="E100" s="74"/>
      <c r="F100" s="74"/>
      <c r="I100" s="74"/>
      <c r="J100" s="74"/>
      <c r="K100" s="74"/>
      <c r="L100" s="74"/>
      <c r="M100" s="74"/>
      <c r="N100" s="74"/>
    </row>
    <row r="101" spans="1:38" ht="15">
      <c r="A101" s="198" t="s">
        <v>131</v>
      </c>
      <c r="C101" s="78"/>
      <c r="D101" s="75"/>
      <c r="E101" s="74"/>
      <c r="F101" s="74"/>
      <c r="G101" s="75"/>
      <c r="H101" s="74"/>
      <c r="I101" s="74"/>
      <c r="J101" s="75"/>
      <c r="K101" s="75"/>
      <c r="M101" s="74"/>
      <c r="O101" s="80"/>
      <c r="P101" s="80"/>
      <c r="Q101" s="80"/>
      <c r="R101" s="80"/>
      <c r="S101" s="80"/>
      <c r="T101" s="94"/>
      <c r="U101" s="94"/>
      <c r="V101" s="94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</row>
    <row r="102" s="80" customFormat="1" ht="18">
      <c r="A102" s="95" t="s">
        <v>289</v>
      </c>
    </row>
    <row r="103" spans="1:4" s="80" customFormat="1" ht="18">
      <c r="A103" s="95" t="s">
        <v>290</v>
      </c>
      <c r="D103" s="103"/>
    </row>
    <row r="104" spans="1:13" ht="15">
      <c r="A104" s="242" t="str">
        <f>+A52</f>
        <v>Columbia Gas of Kentucky, Inc.</v>
      </c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64" t="str">
        <f>M52</f>
        <v>SMRP Form 2.2</v>
      </c>
    </row>
    <row r="105" spans="1:13" ht="15">
      <c r="A105" s="242" t="str">
        <f>+A53</f>
        <v>Actual Annual Adjustment to the Safety Modification and Replacement Program ("SMRP")</v>
      </c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64" t="s">
        <v>227</v>
      </c>
    </row>
    <row r="106" spans="1:13" ht="15">
      <c r="A106" s="242" t="str">
        <f>+A54</f>
        <v>Development of AMRP Plant Excluded From Base Rates</v>
      </c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96"/>
    </row>
    <row r="107" spans="1:13" ht="1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</row>
    <row r="108" spans="1:38" ht="15">
      <c r="A108" s="68" t="s">
        <v>286</v>
      </c>
      <c r="B108" s="67"/>
      <c r="C108" s="67"/>
      <c r="D108" s="67"/>
      <c r="E108" s="67"/>
      <c r="F108" s="67"/>
      <c r="G108" s="67"/>
      <c r="H108" s="67"/>
      <c r="I108" s="67"/>
      <c r="K108" s="75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</row>
    <row r="109" spans="1:38" ht="15">
      <c r="A109" s="67"/>
      <c r="B109" s="67"/>
      <c r="C109" s="67"/>
      <c r="D109" s="67"/>
      <c r="E109" s="67"/>
      <c r="F109" s="67"/>
      <c r="G109" s="67"/>
      <c r="H109" s="67"/>
      <c r="I109" s="67"/>
      <c r="K109" s="75"/>
      <c r="O109" s="138" t="s">
        <v>209</v>
      </c>
      <c r="P109" s="80"/>
      <c r="Q109" s="80"/>
      <c r="R109" s="80"/>
      <c r="S109" s="80"/>
      <c r="T109" s="138" t="s">
        <v>210</v>
      </c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</row>
    <row r="110" spans="1:38" ht="30.75">
      <c r="A110" s="69" t="s">
        <v>139</v>
      </c>
      <c r="B110" s="69" t="s">
        <v>140</v>
      </c>
      <c r="C110" s="69" t="s">
        <v>141</v>
      </c>
      <c r="D110" s="69" t="s">
        <v>293</v>
      </c>
      <c r="E110" s="69" t="s">
        <v>198</v>
      </c>
      <c r="F110" s="69" t="s">
        <v>199</v>
      </c>
      <c r="G110" s="69" t="s">
        <v>200</v>
      </c>
      <c r="H110" s="69" t="s">
        <v>201</v>
      </c>
      <c r="I110" s="69" t="s">
        <v>199</v>
      </c>
      <c r="J110" s="69" t="s">
        <v>202</v>
      </c>
      <c r="K110" s="69" t="s">
        <v>203</v>
      </c>
      <c r="L110" s="69" t="s">
        <v>199</v>
      </c>
      <c r="M110" s="69" t="s">
        <v>223</v>
      </c>
      <c r="O110" s="82" t="s">
        <v>211</v>
      </c>
      <c r="P110" s="82" t="s">
        <v>211</v>
      </c>
      <c r="Q110" s="82" t="s">
        <v>211</v>
      </c>
      <c r="R110" s="82" t="s">
        <v>212</v>
      </c>
      <c r="S110" s="80"/>
      <c r="T110" s="82" t="s">
        <v>211</v>
      </c>
      <c r="U110" s="82" t="s">
        <v>211</v>
      </c>
      <c r="V110" s="82" t="s">
        <v>211</v>
      </c>
      <c r="W110" s="82" t="s">
        <v>212</v>
      </c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</row>
    <row r="111" spans="1:38" ht="15">
      <c r="A111" s="70"/>
      <c r="B111" s="71" t="str">
        <f>"(A)"</f>
        <v>(A)</v>
      </c>
      <c r="C111" s="71" t="str">
        <f>"(B)"</f>
        <v>(B)</v>
      </c>
      <c r="D111" s="71" t="str">
        <f>"(C)"</f>
        <v>(C)</v>
      </c>
      <c r="E111" s="71" t="str">
        <f>"(D)"</f>
        <v>(D)</v>
      </c>
      <c r="F111" s="71" t="str">
        <f>"(E)"</f>
        <v>(E)</v>
      </c>
      <c r="G111" s="71" t="str">
        <f>"(F)"</f>
        <v>(F)</v>
      </c>
      <c r="H111" s="71" t="str">
        <f>"(G)"</f>
        <v>(G)</v>
      </c>
      <c r="I111" s="71" t="str">
        <f>"(H)"</f>
        <v>(H)</v>
      </c>
      <c r="J111" s="71" t="str">
        <f>"(I)"</f>
        <v>(I)</v>
      </c>
      <c r="K111" s="71" t="str">
        <f>"(J)"</f>
        <v>(J)</v>
      </c>
      <c r="L111" s="71" t="str">
        <f>"(K)"</f>
        <v>(K)</v>
      </c>
      <c r="M111" s="71" t="str">
        <f>"(L)"</f>
        <v>(L)</v>
      </c>
      <c r="O111" s="82" t="s">
        <v>213</v>
      </c>
      <c r="P111" s="82" t="s">
        <v>214</v>
      </c>
      <c r="Q111" s="82" t="s">
        <v>215</v>
      </c>
      <c r="R111" s="82" t="s">
        <v>216</v>
      </c>
      <c r="S111" s="80"/>
      <c r="T111" s="82" t="s">
        <v>213</v>
      </c>
      <c r="U111" s="82" t="s">
        <v>214</v>
      </c>
      <c r="V111" s="82" t="s">
        <v>215</v>
      </c>
      <c r="W111" s="82" t="s">
        <v>216</v>
      </c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</row>
    <row r="112" spans="1:38" ht="15">
      <c r="A112" s="72">
        <v>1</v>
      </c>
      <c r="B112" s="73">
        <f aca="true" t="shared" si="53" ref="B112:B123">B83</f>
        <v>42736</v>
      </c>
      <c r="C112" s="74">
        <v>12</v>
      </c>
      <c r="D112" s="75">
        <f>ROUND(T112*$W$112,0)</f>
        <v>0</v>
      </c>
      <c r="E112" s="75">
        <f>ROUND(O112*$R$112,0)</f>
        <v>0</v>
      </c>
      <c r="F112" s="75">
        <f aca="true" t="shared" si="54" ref="F112:F123">($C112/13)*E112</f>
        <v>0</v>
      </c>
      <c r="G112" s="75">
        <f>ROUND(U112*$W$112,0)</f>
        <v>-376</v>
      </c>
      <c r="H112" s="75">
        <f>ROUND(P112*$R$112,0)</f>
        <v>0</v>
      </c>
      <c r="I112" s="75">
        <f>($C112/13)*H112</f>
        <v>0</v>
      </c>
      <c r="J112" s="75">
        <f>ROUND(V112*$W$112,0)</f>
        <v>0</v>
      </c>
      <c r="K112" s="75">
        <f>ROUND(Q112*$R$112,0)</f>
        <v>0</v>
      </c>
      <c r="L112" s="75">
        <f>($C112/13)*K112</f>
        <v>0</v>
      </c>
      <c r="M112" s="75">
        <f>('Plant &amp; Book Depr Form 2.0'!$F$107/12)*((D112+G112)-(F112+I112))/2</f>
        <v>-0.32586666666666664</v>
      </c>
      <c r="O112" s="86">
        <v>0</v>
      </c>
      <c r="P112" s="86">
        <v>0</v>
      </c>
      <c r="Q112" s="86">
        <v>0</v>
      </c>
      <c r="R112" s="139">
        <f>R83</f>
        <v>1</v>
      </c>
      <c r="S112" s="80"/>
      <c r="T112" s="86">
        <v>0</v>
      </c>
      <c r="U112" s="86">
        <v>-376.46999999999997</v>
      </c>
      <c r="V112" s="86">
        <v>0</v>
      </c>
      <c r="W112" s="139">
        <f>W83</f>
        <v>1</v>
      </c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</row>
    <row r="113" spans="1:38" ht="15">
      <c r="A113" s="72">
        <f>A112+1</f>
        <v>2</v>
      </c>
      <c r="B113" s="73">
        <f t="shared" si="53"/>
        <v>42767</v>
      </c>
      <c r="C113" s="74">
        <v>11</v>
      </c>
      <c r="D113" s="75">
        <f aca="true" t="shared" si="55" ref="D113:D123">ROUND(T113*$W$112,0)</f>
        <v>4788</v>
      </c>
      <c r="E113" s="75">
        <f aca="true" t="shared" si="56" ref="E113:E123">ROUND(O113*$R$112,0)</f>
        <v>0</v>
      </c>
      <c r="F113" s="75">
        <f t="shared" si="54"/>
        <v>0</v>
      </c>
      <c r="G113" s="75">
        <f aca="true" t="shared" si="57" ref="G113:G123">ROUND(U113*$W$112,0)</f>
        <v>-782</v>
      </c>
      <c r="H113" s="75">
        <f aca="true" t="shared" si="58" ref="H113:H123">ROUND(P113*$R$112,0)</f>
        <v>0</v>
      </c>
      <c r="I113" s="75">
        <f aca="true" t="shared" si="59" ref="I113:I123">($C113/13)*H113</f>
        <v>0</v>
      </c>
      <c r="J113" s="75">
        <f aca="true" t="shared" si="60" ref="J113:J123">ROUND(V113*$W$112,0)</f>
        <v>0</v>
      </c>
      <c r="K113" s="75">
        <f aca="true" t="shared" si="61" ref="K113:K123">ROUND(Q113*$R$112,0)</f>
        <v>0</v>
      </c>
      <c r="L113" s="75">
        <f aca="true" t="shared" si="62" ref="L113:L123">($C113/13)*K113</f>
        <v>0</v>
      </c>
      <c r="M113" s="75">
        <f>('Plant &amp; Book Depr Form 2.0'!$F$107/12)*((D113+G113)-(F113+I113))/2+('Plant &amp; Book Depr Form 2.0'!$F$107/12)*((D112+G112)-(F112+I112))</f>
        <v>2.8201333333333336</v>
      </c>
      <c r="O113" s="86">
        <v>0</v>
      </c>
      <c r="P113" s="86">
        <v>0</v>
      </c>
      <c r="Q113" s="86">
        <v>0</v>
      </c>
      <c r="R113" s="80"/>
      <c r="S113" s="80"/>
      <c r="T113" s="86">
        <v>4787.689999999999</v>
      </c>
      <c r="U113" s="86">
        <v>-782.3713999999999</v>
      </c>
      <c r="V113" s="86">
        <v>0</v>
      </c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</row>
    <row r="114" spans="1:38" ht="15">
      <c r="A114" s="72">
        <f aca="true" t="shared" si="63" ref="A114:A124">A113+1</f>
        <v>3</v>
      </c>
      <c r="B114" s="73">
        <f t="shared" si="53"/>
        <v>42795</v>
      </c>
      <c r="C114" s="74">
        <v>10</v>
      </c>
      <c r="D114" s="75">
        <f t="shared" si="55"/>
        <v>3883</v>
      </c>
      <c r="E114" s="75">
        <f t="shared" si="56"/>
        <v>0</v>
      </c>
      <c r="F114" s="75">
        <f t="shared" si="54"/>
        <v>0</v>
      </c>
      <c r="G114" s="75">
        <f t="shared" si="57"/>
        <v>-1120</v>
      </c>
      <c r="H114" s="75">
        <f t="shared" si="58"/>
        <v>0</v>
      </c>
      <c r="I114" s="75">
        <f t="shared" si="59"/>
        <v>0</v>
      </c>
      <c r="J114" s="75">
        <f t="shared" si="60"/>
        <v>0</v>
      </c>
      <c r="K114" s="75">
        <f t="shared" si="61"/>
        <v>0</v>
      </c>
      <c r="L114" s="75">
        <f t="shared" si="62"/>
        <v>0</v>
      </c>
      <c r="M114" s="75">
        <f>('Plant &amp; Book Depr Form 2.0'!$F$107/12)*((D114+G114)-(F114+I114))/2+('Plant &amp; Book Depr Form 2.0'!$F$107/12)*((SUM(D112:D113)+SUM(G112:G113))-(SUM(F112:F113)+SUM(I112:I113)))</f>
        <v>8.6866</v>
      </c>
      <c r="O114" s="86">
        <v>0</v>
      </c>
      <c r="P114" s="86">
        <v>0</v>
      </c>
      <c r="Q114" s="86">
        <v>0</v>
      </c>
      <c r="R114" s="80"/>
      <c r="S114" s="80"/>
      <c r="T114" s="86">
        <v>3883.0800000000004</v>
      </c>
      <c r="U114" s="86">
        <v>-1119.7092</v>
      </c>
      <c r="V114" s="86">
        <v>0</v>
      </c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</row>
    <row r="115" spans="1:38" ht="15">
      <c r="A115" s="72">
        <f t="shared" si="63"/>
        <v>4</v>
      </c>
      <c r="B115" s="73">
        <f t="shared" si="53"/>
        <v>42826</v>
      </c>
      <c r="C115" s="74">
        <v>9</v>
      </c>
      <c r="D115" s="75">
        <f t="shared" si="55"/>
        <v>1149</v>
      </c>
      <c r="E115" s="75">
        <f t="shared" si="56"/>
        <v>0</v>
      </c>
      <c r="F115" s="75">
        <f t="shared" si="54"/>
        <v>0</v>
      </c>
      <c r="G115" s="75">
        <f t="shared" si="57"/>
        <v>-973</v>
      </c>
      <c r="H115" s="75">
        <f t="shared" si="58"/>
        <v>0</v>
      </c>
      <c r="I115" s="75">
        <f t="shared" si="59"/>
        <v>0</v>
      </c>
      <c r="J115" s="75">
        <f t="shared" si="60"/>
        <v>0</v>
      </c>
      <c r="K115" s="75">
        <f t="shared" si="61"/>
        <v>0</v>
      </c>
      <c r="L115" s="75">
        <f t="shared" si="62"/>
        <v>0</v>
      </c>
      <c r="M115" s="75">
        <f>('Plant &amp; Book Depr Form 2.0'!$F$107/12)*((D115+G115)-(F115+I115))/2+('Plant &amp; Book Depr Form 2.0'!$F$107/12)*((SUM(D112:D114)+SUM(G112:G114))-(SUM(F112:F114)+SUM(I112:I114)))</f>
        <v>11.233733333333332</v>
      </c>
      <c r="O115" s="86">
        <v>0</v>
      </c>
      <c r="P115" s="86">
        <v>0</v>
      </c>
      <c r="Q115" s="86">
        <v>0</v>
      </c>
      <c r="R115" s="80"/>
      <c r="S115" s="80"/>
      <c r="T115" s="86">
        <v>1148.9099999999999</v>
      </c>
      <c r="U115" s="86">
        <v>-973.3042</v>
      </c>
      <c r="V115" s="86">
        <v>0</v>
      </c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</row>
    <row r="116" spans="1:38" ht="15">
      <c r="A116" s="72">
        <f t="shared" si="63"/>
        <v>5</v>
      </c>
      <c r="B116" s="73">
        <f t="shared" si="53"/>
        <v>42856</v>
      </c>
      <c r="C116" s="74">
        <v>8</v>
      </c>
      <c r="D116" s="75">
        <f t="shared" si="55"/>
        <v>4974</v>
      </c>
      <c r="E116" s="75">
        <f t="shared" si="56"/>
        <v>0</v>
      </c>
      <c r="F116" s="75">
        <f t="shared" si="54"/>
        <v>0</v>
      </c>
      <c r="G116" s="75">
        <f t="shared" si="57"/>
        <v>-954</v>
      </c>
      <c r="H116" s="75">
        <f t="shared" si="58"/>
        <v>0</v>
      </c>
      <c r="I116" s="75">
        <f t="shared" si="59"/>
        <v>0</v>
      </c>
      <c r="J116" s="75">
        <f t="shared" si="60"/>
        <v>0</v>
      </c>
      <c r="K116" s="75">
        <f t="shared" si="61"/>
        <v>0</v>
      </c>
      <c r="L116" s="75">
        <f t="shared" si="62"/>
        <v>0</v>
      </c>
      <c r="M116" s="75">
        <f>('Plant &amp; Book Depr Form 2.0'!$F$107/12)*((D116+G116)-(F116+I116))/2+('Plant &amp; Book Depr Form 2.0'!$F$107/12)*((SUM(D112:D115)+SUM(G112:G115))-(SUM(F112:F115)+SUM(I112:I115)))</f>
        <v>14.870266666666666</v>
      </c>
      <c r="O116" s="86">
        <v>0</v>
      </c>
      <c r="P116" s="86">
        <v>0</v>
      </c>
      <c r="Q116" s="86">
        <v>0</v>
      </c>
      <c r="R116" s="80"/>
      <c r="S116" s="80"/>
      <c r="T116" s="86">
        <v>4974.31</v>
      </c>
      <c r="U116" s="86">
        <v>-953.7428</v>
      </c>
      <c r="V116" s="86">
        <v>0</v>
      </c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</row>
    <row r="117" spans="1:38" ht="15">
      <c r="A117" s="72">
        <f t="shared" si="63"/>
        <v>6</v>
      </c>
      <c r="B117" s="73">
        <f t="shared" si="53"/>
        <v>42887</v>
      </c>
      <c r="C117" s="74">
        <v>7</v>
      </c>
      <c r="D117" s="75">
        <f t="shared" si="55"/>
        <v>2114</v>
      </c>
      <c r="E117" s="75">
        <f t="shared" si="56"/>
        <v>0</v>
      </c>
      <c r="F117" s="75">
        <f t="shared" si="54"/>
        <v>0</v>
      </c>
      <c r="G117" s="75">
        <f t="shared" si="57"/>
        <v>-546</v>
      </c>
      <c r="H117" s="75">
        <f t="shared" si="58"/>
        <v>0</v>
      </c>
      <c r="I117" s="75">
        <f t="shared" si="59"/>
        <v>0</v>
      </c>
      <c r="J117" s="75">
        <f t="shared" si="60"/>
        <v>0</v>
      </c>
      <c r="K117" s="75">
        <f t="shared" si="61"/>
        <v>0</v>
      </c>
      <c r="L117" s="75">
        <f t="shared" si="62"/>
        <v>0</v>
      </c>
      <c r="M117" s="75">
        <f>('Plant &amp; Book Depr Form 2.0'!$F$107/12)*((D117+G117)-(F117+I117))/2+('Plant &amp; Book Depr Form 2.0'!$F$107/12)*((SUM(D112:D116)+SUM(G112:G116))-(SUM(F112:F116)+SUM(I112:I116)))</f>
        <v>19.713199999999997</v>
      </c>
      <c r="O117" s="86">
        <v>0</v>
      </c>
      <c r="P117" s="86">
        <v>0</v>
      </c>
      <c r="Q117" s="86">
        <v>0</v>
      </c>
      <c r="R117" s="80"/>
      <c r="S117" s="80"/>
      <c r="T117" s="86">
        <v>2113.55</v>
      </c>
      <c r="U117" s="86">
        <v>-545.8016</v>
      </c>
      <c r="V117" s="86">
        <v>0</v>
      </c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</row>
    <row r="118" spans="1:38" ht="15">
      <c r="A118" s="72">
        <f t="shared" si="63"/>
        <v>7</v>
      </c>
      <c r="B118" s="73">
        <f t="shared" si="53"/>
        <v>42917</v>
      </c>
      <c r="C118" s="74">
        <v>6</v>
      </c>
      <c r="D118" s="75">
        <f t="shared" si="55"/>
        <v>5345</v>
      </c>
      <c r="E118" s="75">
        <f t="shared" si="56"/>
        <v>0</v>
      </c>
      <c r="F118" s="75">
        <f t="shared" si="54"/>
        <v>0</v>
      </c>
      <c r="G118" s="75">
        <f t="shared" si="57"/>
        <v>-1674</v>
      </c>
      <c r="H118" s="75">
        <f t="shared" si="58"/>
        <v>0</v>
      </c>
      <c r="I118" s="75">
        <f t="shared" si="59"/>
        <v>0</v>
      </c>
      <c r="J118" s="75">
        <f t="shared" si="60"/>
        <v>0</v>
      </c>
      <c r="K118" s="75">
        <f t="shared" si="61"/>
        <v>0</v>
      </c>
      <c r="L118" s="75">
        <f t="shared" si="62"/>
        <v>0</v>
      </c>
      <c r="M118" s="75">
        <f>('Plant &amp; Book Depr Form 2.0'!$F$107/12)*((D118+G118)-(F118+I118))/2+('Plant &amp; Book Depr Form 2.0'!$F$107/12)*((SUM(D112:D117)+SUM(G112:G117))-(SUM(F112:F117)+SUM(I112:I117)))</f>
        <v>24.253666666666668</v>
      </c>
      <c r="O118" s="86">
        <v>0</v>
      </c>
      <c r="P118" s="86">
        <v>0</v>
      </c>
      <c r="Q118" s="86">
        <v>0</v>
      </c>
      <c r="R118" s="80"/>
      <c r="S118" s="80"/>
      <c r="T118" s="86">
        <v>5345.139999999999</v>
      </c>
      <c r="U118" s="86">
        <v>-1674.4314</v>
      </c>
      <c r="V118" s="86">
        <v>0</v>
      </c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</row>
    <row r="119" spans="1:38" ht="15">
      <c r="A119" s="72">
        <f t="shared" si="63"/>
        <v>8</v>
      </c>
      <c r="B119" s="73">
        <f t="shared" si="53"/>
        <v>42948</v>
      </c>
      <c r="C119" s="74">
        <v>5</v>
      </c>
      <c r="D119" s="75">
        <f t="shared" si="55"/>
        <v>1464</v>
      </c>
      <c r="E119" s="75">
        <f t="shared" si="56"/>
        <v>0</v>
      </c>
      <c r="F119" s="75">
        <f t="shared" si="54"/>
        <v>0</v>
      </c>
      <c r="G119" s="75">
        <f t="shared" si="57"/>
        <v>-721</v>
      </c>
      <c r="H119" s="75">
        <f t="shared" si="58"/>
        <v>0</v>
      </c>
      <c r="I119" s="75">
        <f t="shared" si="59"/>
        <v>0</v>
      </c>
      <c r="J119" s="75">
        <f t="shared" si="60"/>
        <v>0</v>
      </c>
      <c r="K119" s="75">
        <f t="shared" si="61"/>
        <v>0</v>
      </c>
      <c r="L119" s="75">
        <f t="shared" si="62"/>
        <v>0</v>
      </c>
      <c r="M119" s="75">
        <f>('Plant &amp; Book Depr Form 2.0'!$F$107/12)*((D119+G119)-(F119+I119))/2+('Plant &amp; Book Depr Form 2.0'!$F$107/12)*((SUM(D112:D118)+SUM(G112:G118))-(SUM(F112:F118)+SUM(I112:I118)))</f>
        <v>28.07913333333333</v>
      </c>
      <c r="O119" s="86">
        <v>0</v>
      </c>
      <c r="P119" s="86">
        <v>0</v>
      </c>
      <c r="Q119" s="86">
        <v>0</v>
      </c>
      <c r="R119" s="80"/>
      <c r="S119" s="80"/>
      <c r="T119" s="86">
        <v>1463.59</v>
      </c>
      <c r="U119" s="86">
        <v>-720.933</v>
      </c>
      <c r="V119" s="86">
        <v>0</v>
      </c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</row>
    <row r="120" spans="1:38" ht="15">
      <c r="A120" s="72">
        <f t="shared" si="63"/>
        <v>9</v>
      </c>
      <c r="B120" s="73">
        <f t="shared" si="53"/>
        <v>42979</v>
      </c>
      <c r="C120" s="74">
        <v>4</v>
      </c>
      <c r="D120" s="75">
        <f t="shared" si="55"/>
        <v>3093</v>
      </c>
      <c r="E120" s="75">
        <f t="shared" si="56"/>
        <v>0</v>
      </c>
      <c r="F120" s="75">
        <f t="shared" si="54"/>
        <v>0</v>
      </c>
      <c r="G120" s="75">
        <f t="shared" si="57"/>
        <v>-1337</v>
      </c>
      <c r="H120" s="75">
        <f t="shared" si="58"/>
        <v>0</v>
      </c>
      <c r="I120" s="75">
        <f t="shared" si="59"/>
        <v>0</v>
      </c>
      <c r="J120" s="75">
        <f t="shared" si="60"/>
        <v>0</v>
      </c>
      <c r="K120" s="75">
        <f t="shared" si="61"/>
        <v>0</v>
      </c>
      <c r="L120" s="75">
        <f t="shared" si="62"/>
        <v>0</v>
      </c>
      <c r="M120" s="75">
        <f>('Plant &amp; Book Depr Form 2.0'!$F$107/12)*((D120+G120)-(F120+I120))/2+('Plant &amp; Book Depr Form 2.0'!$F$107/12)*((SUM(D112:D119)+SUM(G112:G119))-(SUM(F112:F119)+SUM(I112:I119)))</f>
        <v>30.244933333333332</v>
      </c>
      <c r="O120" s="86">
        <v>0</v>
      </c>
      <c r="P120" s="86">
        <v>0</v>
      </c>
      <c r="Q120" s="86">
        <v>0</v>
      </c>
      <c r="R120" s="80"/>
      <c r="S120" s="80"/>
      <c r="T120" s="86">
        <v>3093.13</v>
      </c>
      <c r="U120" s="86">
        <v>-1336.8116</v>
      </c>
      <c r="V120" s="86">
        <v>0</v>
      </c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</row>
    <row r="121" spans="1:38" ht="15">
      <c r="A121" s="72">
        <f t="shared" si="63"/>
        <v>10</v>
      </c>
      <c r="B121" s="73">
        <f t="shared" si="53"/>
        <v>43009</v>
      </c>
      <c r="C121" s="74">
        <v>3</v>
      </c>
      <c r="D121" s="75">
        <f t="shared" si="55"/>
        <v>1317</v>
      </c>
      <c r="E121" s="75">
        <f t="shared" si="56"/>
        <v>0</v>
      </c>
      <c r="F121" s="75">
        <f t="shared" si="54"/>
        <v>0</v>
      </c>
      <c r="G121" s="75">
        <f t="shared" si="57"/>
        <v>-1565</v>
      </c>
      <c r="H121" s="75">
        <f t="shared" si="58"/>
        <v>0</v>
      </c>
      <c r="I121" s="75">
        <f t="shared" si="59"/>
        <v>0</v>
      </c>
      <c r="J121" s="75">
        <f t="shared" si="60"/>
        <v>0</v>
      </c>
      <c r="K121" s="75">
        <f t="shared" si="61"/>
        <v>0</v>
      </c>
      <c r="L121" s="75">
        <f t="shared" si="62"/>
        <v>0</v>
      </c>
      <c r="M121" s="75">
        <f>('Plant &amp; Book Depr Form 2.0'!$F$107/12)*((D121+G121)-(F121+I121))/2+('Plant &amp; Book Depr Form 2.0'!$F$107/12)*((SUM(D112:D120)+SUM(G112:G120))-(SUM(F112:F120)+SUM(I112:I120)))</f>
        <v>31.551866666666665</v>
      </c>
      <c r="O121" s="86">
        <v>0</v>
      </c>
      <c r="P121" s="86">
        <v>0</v>
      </c>
      <c r="Q121" s="86">
        <v>0</v>
      </c>
      <c r="R121" s="80"/>
      <c r="S121" s="80"/>
      <c r="T121" s="86">
        <v>1317.23</v>
      </c>
      <c r="U121" s="86">
        <v>-1564.9683999999997</v>
      </c>
      <c r="V121" s="86">
        <v>0</v>
      </c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</row>
    <row r="122" spans="1:38" ht="15">
      <c r="A122" s="72">
        <f t="shared" si="63"/>
        <v>11</v>
      </c>
      <c r="B122" s="73">
        <f t="shared" si="53"/>
        <v>43040</v>
      </c>
      <c r="C122" s="74">
        <v>2</v>
      </c>
      <c r="D122" s="75">
        <f t="shared" si="55"/>
        <v>4763</v>
      </c>
      <c r="E122" s="75">
        <f t="shared" si="56"/>
        <v>0</v>
      </c>
      <c r="F122" s="75">
        <f t="shared" si="54"/>
        <v>0</v>
      </c>
      <c r="G122" s="75">
        <f t="shared" si="57"/>
        <v>-1255</v>
      </c>
      <c r="H122" s="75">
        <f t="shared" si="58"/>
        <v>0</v>
      </c>
      <c r="I122" s="75">
        <f t="shared" si="59"/>
        <v>0</v>
      </c>
      <c r="J122" s="75">
        <f t="shared" si="60"/>
        <v>0</v>
      </c>
      <c r="K122" s="75">
        <f t="shared" si="61"/>
        <v>0</v>
      </c>
      <c r="L122" s="75">
        <f t="shared" si="62"/>
        <v>0</v>
      </c>
      <c r="M122" s="75">
        <f>('Plant &amp; Book Depr Form 2.0'!$F$107/12)*((D122+G122)-(F122+I122))/2+('Plant &amp; Book Depr Form 2.0'!$F$107/12)*((SUM(D112:D121)+SUM(G112:G121))-(SUM(F112:F121)+SUM(I112:I121)))</f>
        <v>34.377199999999995</v>
      </c>
      <c r="O122" s="86">
        <v>0</v>
      </c>
      <c r="P122" s="86">
        <v>0</v>
      </c>
      <c r="Q122" s="86">
        <v>0</v>
      </c>
      <c r="R122" s="80"/>
      <c r="S122" s="80"/>
      <c r="T122" s="86">
        <v>4762.860000000001</v>
      </c>
      <c r="U122" s="86">
        <v>-1254.9376</v>
      </c>
      <c r="V122" s="86">
        <v>0</v>
      </c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</row>
    <row r="123" spans="1:38" ht="16.5">
      <c r="A123" s="72">
        <f t="shared" si="63"/>
        <v>12</v>
      </c>
      <c r="B123" s="73">
        <f t="shared" si="53"/>
        <v>43070</v>
      </c>
      <c r="C123" s="74">
        <v>1</v>
      </c>
      <c r="D123" s="76">
        <f t="shared" si="55"/>
        <v>-215</v>
      </c>
      <c r="E123" s="76">
        <f t="shared" si="56"/>
        <v>0</v>
      </c>
      <c r="F123" s="76">
        <f t="shared" si="54"/>
        <v>0</v>
      </c>
      <c r="G123" s="76">
        <f t="shared" si="57"/>
        <v>-781</v>
      </c>
      <c r="H123" s="76">
        <f t="shared" si="58"/>
        <v>0</v>
      </c>
      <c r="I123" s="76">
        <f t="shared" si="59"/>
        <v>0</v>
      </c>
      <c r="J123" s="76">
        <f t="shared" si="60"/>
        <v>0</v>
      </c>
      <c r="K123" s="76">
        <f t="shared" si="61"/>
        <v>0</v>
      </c>
      <c r="L123" s="76">
        <f t="shared" si="62"/>
        <v>0</v>
      </c>
      <c r="M123" s="76">
        <f>('Plant &amp; Book Depr Form 2.0'!$F$107/12)*((D123+G123)-(F123+I123))/2+('Plant &amp; Book Depr Form 2.0'!$F$107/12)*((SUM(D112:D122)+SUM(G112:G122))-(SUM(F112:F122)+SUM(I112:I122)))</f>
        <v>36.55426666666666</v>
      </c>
      <c r="O123" s="90">
        <v>0</v>
      </c>
      <c r="P123" s="90">
        <v>0</v>
      </c>
      <c r="Q123" s="90">
        <v>0</v>
      </c>
      <c r="R123" s="80"/>
      <c r="S123" s="80"/>
      <c r="T123" s="90">
        <v>-214.99</v>
      </c>
      <c r="U123" s="90">
        <v>-780.5853999999999</v>
      </c>
      <c r="V123" s="90">
        <v>0</v>
      </c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</row>
    <row r="124" spans="1:38" ht="15">
      <c r="A124" s="72">
        <f t="shared" si="63"/>
        <v>13</v>
      </c>
      <c r="C124" s="78"/>
      <c r="D124" s="75">
        <f>SUM(D112:D123)</f>
        <v>32675</v>
      </c>
      <c r="E124" s="74">
        <f aca="true" t="shared" si="64" ref="E124:L124">SUM(E112:E123)</f>
        <v>0</v>
      </c>
      <c r="F124" s="74">
        <f>SUM(F112:F123)</f>
        <v>0</v>
      </c>
      <c r="G124" s="75">
        <f t="shared" si="64"/>
        <v>-12084</v>
      </c>
      <c r="H124" s="74">
        <f t="shared" si="64"/>
        <v>0</v>
      </c>
      <c r="I124" s="74">
        <f t="shared" si="64"/>
        <v>0</v>
      </c>
      <c r="J124" s="74">
        <f t="shared" si="64"/>
        <v>0</v>
      </c>
      <c r="K124" s="74">
        <f t="shared" si="64"/>
        <v>0</v>
      </c>
      <c r="L124" s="74">
        <f t="shared" si="64"/>
        <v>0</v>
      </c>
      <c r="M124" s="74">
        <f>SUM(M112:M123)</f>
        <v>242.0591333333333</v>
      </c>
      <c r="O124" s="103">
        <f>SUM(O112:O123)</f>
        <v>0</v>
      </c>
      <c r="P124" s="103">
        <f>SUM(P112:P123)</f>
        <v>0</v>
      </c>
      <c r="Q124" s="103">
        <f>SUM(Q112:Q123)</f>
        <v>0</v>
      </c>
      <c r="R124" s="80"/>
      <c r="S124" s="80"/>
      <c r="T124" s="103">
        <f>SUM(T112:T123)</f>
        <v>32674.499999999996</v>
      </c>
      <c r="U124" s="103">
        <f>SUM(U112:U123)</f>
        <v>-12084.066599999998</v>
      </c>
      <c r="V124" s="103">
        <f>SUM(V112:V123)</f>
        <v>0</v>
      </c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</row>
    <row r="125" spans="1:38" ht="15">
      <c r="A125" s="72"/>
      <c r="C125" s="78"/>
      <c r="D125" s="75"/>
      <c r="E125" s="74"/>
      <c r="F125" s="74"/>
      <c r="G125" s="75"/>
      <c r="H125" s="74"/>
      <c r="I125" s="74"/>
      <c r="J125" s="74"/>
      <c r="K125" s="74"/>
      <c r="L125" s="74"/>
      <c r="M125" s="74"/>
      <c r="O125" s="103"/>
      <c r="P125" s="103"/>
      <c r="Q125" s="103"/>
      <c r="R125" s="80"/>
      <c r="S125" s="80"/>
      <c r="T125" s="103"/>
      <c r="U125" s="103"/>
      <c r="V125" s="103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</row>
    <row r="126" spans="1:38" ht="15">
      <c r="A126" s="72"/>
      <c r="C126" s="78"/>
      <c r="D126" s="75"/>
      <c r="E126" s="74"/>
      <c r="F126" s="74"/>
      <c r="G126" s="75"/>
      <c r="H126" s="74"/>
      <c r="I126" s="74"/>
      <c r="J126" s="75"/>
      <c r="K126" s="75"/>
      <c r="O126" s="80"/>
      <c r="P126" s="80"/>
      <c r="Q126" s="80"/>
      <c r="R126" s="80"/>
      <c r="S126" s="80"/>
      <c r="T126" s="94"/>
      <c r="U126" s="94"/>
      <c r="V126" s="94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</row>
    <row r="127" spans="1:14" ht="77.25">
      <c r="A127" s="72"/>
      <c r="D127" s="69" t="s">
        <v>204</v>
      </c>
      <c r="E127" s="69" t="s">
        <v>205</v>
      </c>
      <c r="F127" s="69" t="s">
        <v>221</v>
      </c>
      <c r="G127" s="75"/>
      <c r="J127" s="69" t="s">
        <v>206</v>
      </c>
      <c r="K127" s="69" t="s">
        <v>207</v>
      </c>
      <c r="L127" s="69" t="s">
        <v>222</v>
      </c>
      <c r="M127" s="74"/>
      <c r="N127" s="74"/>
    </row>
    <row r="128" spans="1:14" ht="15">
      <c r="A128" s="72">
        <f>+A124+1</f>
        <v>14</v>
      </c>
      <c r="B128" s="241" t="s">
        <v>224</v>
      </c>
      <c r="C128" s="241"/>
      <c r="D128" s="74">
        <f>D124+G124</f>
        <v>20591</v>
      </c>
      <c r="E128" s="74">
        <f>F124+I124</f>
        <v>0</v>
      </c>
      <c r="F128" s="74">
        <f>D128-E128</f>
        <v>20591</v>
      </c>
      <c r="J128" s="74">
        <f>G124+J124</f>
        <v>-12084</v>
      </c>
      <c r="K128" s="74">
        <f>I124+L124</f>
        <v>0</v>
      </c>
      <c r="L128" s="74">
        <f>J128-K128</f>
        <v>-12084</v>
      </c>
      <c r="M128" s="74"/>
      <c r="N128" s="74"/>
    </row>
    <row r="130" spans="1:11" s="80" customFormat="1" ht="15">
      <c r="A130" s="68" t="s">
        <v>287</v>
      </c>
      <c r="B130" s="67"/>
      <c r="C130" s="67"/>
      <c r="D130" s="67"/>
      <c r="E130" s="67"/>
      <c r="F130" s="67"/>
      <c r="G130" s="67"/>
      <c r="H130" s="67"/>
      <c r="I130" s="67"/>
      <c r="J130" s="65"/>
      <c r="K130" s="103"/>
    </row>
    <row r="131" spans="1:20" s="80" customFormat="1" ht="15">
      <c r="A131" s="67"/>
      <c r="B131" s="67"/>
      <c r="C131" s="67"/>
      <c r="D131" s="67"/>
      <c r="E131" s="67"/>
      <c r="F131" s="67"/>
      <c r="G131" s="67"/>
      <c r="H131" s="67"/>
      <c r="I131" s="67"/>
      <c r="J131" s="65"/>
      <c r="K131" s="103"/>
      <c r="O131" s="138" t="s">
        <v>209</v>
      </c>
      <c r="T131" s="138" t="s">
        <v>210</v>
      </c>
    </row>
    <row r="132" spans="1:23" s="80" customFormat="1" ht="30.75">
      <c r="A132" s="69" t="s">
        <v>139</v>
      </c>
      <c r="B132" s="69" t="s">
        <v>140</v>
      </c>
      <c r="C132" s="69" t="s">
        <v>141</v>
      </c>
      <c r="D132" s="69" t="s">
        <v>293</v>
      </c>
      <c r="E132" s="69" t="s">
        <v>198</v>
      </c>
      <c r="F132" s="69" t="s">
        <v>199</v>
      </c>
      <c r="G132" s="69" t="s">
        <v>200</v>
      </c>
      <c r="H132" s="69" t="s">
        <v>201</v>
      </c>
      <c r="I132" s="69" t="s">
        <v>199</v>
      </c>
      <c r="J132" s="69" t="s">
        <v>202</v>
      </c>
      <c r="K132" s="69" t="s">
        <v>203</v>
      </c>
      <c r="L132" s="69" t="s">
        <v>199</v>
      </c>
      <c r="M132" s="69" t="s">
        <v>223</v>
      </c>
      <c r="O132" s="82" t="s">
        <v>211</v>
      </c>
      <c r="P132" s="82" t="s">
        <v>211</v>
      </c>
      <c r="Q132" s="82" t="s">
        <v>211</v>
      </c>
      <c r="R132" s="82" t="s">
        <v>212</v>
      </c>
      <c r="T132" s="82" t="s">
        <v>211</v>
      </c>
      <c r="U132" s="82" t="s">
        <v>211</v>
      </c>
      <c r="V132" s="82" t="s">
        <v>211</v>
      </c>
      <c r="W132" s="82" t="s">
        <v>212</v>
      </c>
    </row>
    <row r="133" spans="1:23" s="80" customFormat="1" ht="15">
      <c r="A133" s="70"/>
      <c r="B133" s="71" t="str">
        <f>"(A)"</f>
        <v>(A)</v>
      </c>
      <c r="C133" s="71" t="str">
        <f>"(B)"</f>
        <v>(B)</v>
      </c>
      <c r="D133" s="71" t="str">
        <f>"(C)"</f>
        <v>(C)</v>
      </c>
      <c r="E133" s="71" t="str">
        <f>"(D)"</f>
        <v>(D)</v>
      </c>
      <c r="F133" s="71" t="str">
        <f>"(E)"</f>
        <v>(E)</v>
      </c>
      <c r="G133" s="71" t="str">
        <f>"(F)"</f>
        <v>(F)</v>
      </c>
      <c r="H133" s="71" t="str">
        <f>"(G)"</f>
        <v>(G)</v>
      </c>
      <c r="I133" s="71" t="str">
        <f>"(H)"</f>
        <v>(H)</v>
      </c>
      <c r="J133" s="71" t="str">
        <f>"(I)"</f>
        <v>(I)</v>
      </c>
      <c r="K133" s="71" t="str">
        <f>"(J)"</f>
        <v>(J)</v>
      </c>
      <c r="L133" s="71" t="str">
        <f>"(K)"</f>
        <v>(K)</v>
      </c>
      <c r="M133" s="71" t="str">
        <f>"(L)"</f>
        <v>(L)</v>
      </c>
      <c r="O133" s="82" t="s">
        <v>213</v>
      </c>
      <c r="P133" s="82" t="s">
        <v>214</v>
      </c>
      <c r="Q133" s="82" t="s">
        <v>215</v>
      </c>
      <c r="R133" s="82" t="s">
        <v>216</v>
      </c>
      <c r="T133" s="82" t="s">
        <v>213</v>
      </c>
      <c r="U133" s="82" t="s">
        <v>214</v>
      </c>
      <c r="V133" s="82" t="s">
        <v>215</v>
      </c>
      <c r="W133" s="82" t="s">
        <v>216</v>
      </c>
    </row>
    <row r="134" spans="1:23" s="80" customFormat="1" ht="15">
      <c r="A134" s="72">
        <v>1</v>
      </c>
      <c r="B134" s="73">
        <f aca="true" t="shared" si="65" ref="B134:B145">B112</f>
        <v>42736</v>
      </c>
      <c r="C134" s="74">
        <v>12</v>
      </c>
      <c r="D134" s="75">
        <f>ROUND(T134*$W$134,0)</f>
        <v>0</v>
      </c>
      <c r="E134" s="75">
        <f>ROUND(O134*$R$134,0)</f>
        <v>0</v>
      </c>
      <c r="F134" s="75">
        <f>($C134/13)*E134</f>
        <v>0</v>
      </c>
      <c r="G134" s="75">
        <f>ROUND(U134*$W$134,0)</f>
        <v>-123</v>
      </c>
      <c r="H134" s="75">
        <f>ROUND(P134*$R$134,0)</f>
        <v>0</v>
      </c>
      <c r="I134" s="75">
        <f>($C134/13)*H134</f>
        <v>0</v>
      </c>
      <c r="J134" s="75">
        <f>ROUND(V134*$W$134,0)</f>
        <v>0</v>
      </c>
      <c r="K134" s="75">
        <f>ROUND(Q134*$R$134,0)</f>
        <v>0</v>
      </c>
      <c r="L134" s="75">
        <f>($C134/13)*K134</f>
        <v>0</v>
      </c>
      <c r="M134" s="75">
        <f>('Plant &amp; Book Depr Form 2.0'!$F$108/12)*((D134+G134)-(F134+I134))/2</f>
        <v>-0.1153125</v>
      </c>
      <c r="O134" s="86">
        <v>0</v>
      </c>
      <c r="P134" s="86">
        <v>0</v>
      </c>
      <c r="Q134" s="86">
        <v>0</v>
      </c>
      <c r="R134" s="139">
        <f>R112</f>
        <v>1</v>
      </c>
      <c r="T134" s="86">
        <v>0</v>
      </c>
      <c r="U134" s="86">
        <v>-122.82039999999999</v>
      </c>
      <c r="V134" s="86">
        <v>0</v>
      </c>
      <c r="W134" s="139">
        <f>W112</f>
        <v>1</v>
      </c>
    </row>
    <row r="135" spans="1:22" s="80" customFormat="1" ht="15">
      <c r="A135" s="72">
        <f>A134+1</f>
        <v>2</v>
      </c>
      <c r="B135" s="73">
        <f t="shared" si="65"/>
        <v>42767</v>
      </c>
      <c r="C135" s="74">
        <v>11</v>
      </c>
      <c r="D135" s="75">
        <f aca="true" t="shared" si="66" ref="D135:D145">ROUND(T135*$W$134,0)</f>
        <v>7104</v>
      </c>
      <c r="E135" s="75">
        <f aca="true" t="shared" si="67" ref="E135:E145">ROUND(O135*$R$134,0)</f>
        <v>0</v>
      </c>
      <c r="F135" s="75">
        <f aca="true" t="shared" si="68" ref="F135:F145">($C135/13)*E135</f>
        <v>0</v>
      </c>
      <c r="G135" s="75">
        <f aca="true" t="shared" si="69" ref="G135:G145">ROUND(U135*$W$134,0)</f>
        <v>-62</v>
      </c>
      <c r="H135" s="75">
        <f aca="true" t="shared" si="70" ref="H135:H145">ROUND(P135*$R$134,0)</f>
        <v>0</v>
      </c>
      <c r="I135" s="75">
        <f aca="true" t="shared" si="71" ref="I135:I145">($C135/13)*H135</f>
        <v>0</v>
      </c>
      <c r="J135" s="75">
        <f aca="true" t="shared" si="72" ref="J135:J145">ROUND(V135*$W$134,0)</f>
        <v>0</v>
      </c>
      <c r="K135" s="75">
        <f aca="true" t="shared" si="73" ref="K135:K145">ROUND(Q135*$R$134,0)</f>
        <v>0</v>
      </c>
      <c r="L135" s="75">
        <f aca="true" t="shared" si="74" ref="L135:L145">($C135/13)*K135</f>
        <v>0</v>
      </c>
      <c r="M135" s="75">
        <f>('Plant &amp; Book Depr Form 2.0'!$F$108/12)*((D135+G135)-(F135+I135))/2+('Plant &amp; Book Depr Form 2.0'!$F$108/12)*((D134+G134)-(F134+I134))</f>
        <v>6.37125</v>
      </c>
      <c r="O135" s="86">
        <v>0</v>
      </c>
      <c r="P135" s="86">
        <v>0</v>
      </c>
      <c r="Q135" s="86">
        <v>0</v>
      </c>
      <c r="T135" s="86">
        <v>7103.759999999999</v>
      </c>
      <c r="U135" s="86">
        <v>-61.9366</v>
      </c>
      <c r="V135" s="86">
        <v>0</v>
      </c>
    </row>
    <row r="136" spans="1:22" s="80" customFormat="1" ht="15">
      <c r="A136" s="72">
        <f aca="true" t="shared" si="75" ref="A136:A146">A135+1</f>
        <v>3</v>
      </c>
      <c r="B136" s="73">
        <f t="shared" si="65"/>
        <v>42795</v>
      </c>
      <c r="C136" s="74">
        <v>10</v>
      </c>
      <c r="D136" s="75">
        <f t="shared" si="66"/>
        <v>83</v>
      </c>
      <c r="E136" s="75">
        <f t="shared" si="67"/>
        <v>0</v>
      </c>
      <c r="F136" s="75">
        <f t="shared" si="68"/>
        <v>0</v>
      </c>
      <c r="G136" s="75">
        <f t="shared" si="69"/>
        <v>-147</v>
      </c>
      <c r="H136" s="75">
        <f t="shared" si="70"/>
        <v>0</v>
      </c>
      <c r="I136" s="75">
        <f t="shared" si="71"/>
        <v>0</v>
      </c>
      <c r="J136" s="75">
        <f t="shared" si="72"/>
        <v>0</v>
      </c>
      <c r="K136" s="75">
        <f t="shared" si="73"/>
        <v>0</v>
      </c>
      <c r="L136" s="75">
        <f t="shared" si="74"/>
        <v>0</v>
      </c>
      <c r="M136" s="75">
        <f>('Plant &amp; Book Depr Form 2.0'!$F$108/12)*((D136+G136)-(F136+I136))/2+('Plant &amp; Book Depr Form 2.0'!$F$108/12)*((SUM(D134:D135)+SUM(G134:G135))-(SUM(F134:F135)+SUM(I134:I135)))</f>
        <v>12.913124999999999</v>
      </c>
      <c r="O136" s="86">
        <v>0</v>
      </c>
      <c r="P136" s="86">
        <v>0</v>
      </c>
      <c r="Q136" s="86">
        <v>0</v>
      </c>
      <c r="T136" s="86">
        <v>82.93</v>
      </c>
      <c r="U136" s="86">
        <v>-146.66819999999998</v>
      </c>
      <c r="V136" s="86">
        <v>0</v>
      </c>
    </row>
    <row r="137" spans="1:22" s="80" customFormat="1" ht="15">
      <c r="A137" s="72">
        <f t="shared" si="75"/>
        <v>4</v>
      </c>
      <c r="B137" s="73">
        <f t="shared" si="65"/>
        <v>42826</v>
      </c>
      <c r="C137" s="74">
        <v>9</v>
      </c>
      <c r="D137" s="75">
        <f t="shared" si="66"/>
        <v>11236</v>
      </c>
      <c r="E137" s="75">
        <f t="shared" si="67"/>
        <v>0</v>
      </c>
      <c r="F137" s="75">
        <f t="shared" si="68"/>
        <v>0</v>
      </c>
      <c r="G137" s="75">
        <f t="shared" si="69"/>
        <v>-27</v>
      </c>
      <c r="H137" s="75">
        <f t="shared" si="70"/>
        <v>0</v>
      </c>
      <c r="I137" s="75">
        <f t="shared" si="71"/>
        <v>0</v>
      </c>
      <c r="J137" s="75">
        <f t="shared" si="72"/>
        <v>0</v>
      </c>
      <c r="K137" s="75">
        <f t="shared" si="73"/>
        <v>0</v>
      </c>
      <c r="L137" s="75">
        <f t="shared" si="74"/>
        <v>0</v>
      </c>
      <c r="M137" s="75">
        <f>('Plant &amp; Book Depr Form 2.0'!$F$108/12)*((D137+G137)-(F137+I137))/2+('Plant &amp; Book Depr Form 2.0'!$F$108/12)*((SUM(D134:D136)+SUM(G134:G136))-(SUM(F134:F136)+SUM(I134:I136)))</f>
        <v>23.361562499999998</v>
      </c>
      <c r="O137" s="86">
        <v>0</v>
      </c>
      <c r="P137" s="86">
        <v>0</v>
      </c>
      <c r="Q137" s="86">
        <v>0</v>
      </c>
      <c r="T137" s="86">
        <v>11235.669999999998</v>
      </c>
      <c r="U137" s="86">
        <v>-26.808799999999998</v>
      </c>
      <c r="V137" s="86">
        <v>0</v>
      </c>
    </row>
    <row r="138" spans="1:22" s="80" customFormat="1" ht="15">
      <c r="A138" s="72">
        <f t="shared" si="75"/>
        <v>5</v>
      </c>
      <c r="B138" s="73">
        <f t="shared" si="65"/>
        <v>42856</v>
      </c>
      <c r="C138" s="74">
        <v>8</v>
      </c>
      <c r="D138" s="75">
        <f t="shared" si="66"/>
        <v>1474</v>
      </c>
      <c r="E138" s="75">
        <f t="shared" si="67"/>
        <v>0</v>
      </c>
      <c r="F138" s="75">
        <f t="shared" si="68"/>
        <v>0</v>
      </c>
      <c r="G138" s="75">
        <f t="shared" si="69"/>
        <v>-108</v>
      </c>
      <c r="H138" s="75">
        <f t="shared" si="70"/>
        <v>0</v>
      </c>
      <c r="I138" s="75">
        <f t="shared" si="71"/>
        <v>0</v>
      </c>
      <c r="J138" s="75">
        <f t="shared" si="72"/>
        <v>0</v>
      </c>
      <c r="K138" s="75">
        <f t="shared" si="73"/>
        <v>0</v>
      </c>
      <c r="L138" s="75">
        <f t="shared" si="74"/>
        <v>0</v>
      </c>
      <c r="M138" s="75">
        <f>('Plant &amp; Book Depr Form 2.0'!$F$108/12)*((D138+G138)-(F138+I138))/2+('Plant &amp; Book Depr Form 2.0'!$F$108/12)*((SUM(D134:D137)+SUM(G134:G137))-(SUM(F134:F137)+SUM(I134:I137)))</f>
        <v>35.150625</v>
      </c>
      <c r="O138" s="86">
        <v>0</v>
      </c>
      <c r="P138" s="86">
        <v>0</v>
      </c>
      <c r="Q138" s="86">
        <v>0</v>
      </c>
      <c r="T138" s="86">
        <v>1474.28</v>
      </c>
      <c r="U138" s="86">
        <v>-107.7428</v>
      </c>
      <c r="V138" s="86">
        <v>0</v>
      </c>
    </row>
    <row r="139" spans="1:22" s="80" customFormat="1" ht="15">
      <c r="A139" s="72">
        <f t="shared" si="75"/>
        <v>6</v>
      </c>
      <c r="B139" s="73">
        <f t="shared" si="65"/>
        <v>42887</v>
      </c>
      <c r="C139" s="74">
        <v>7</v>
      </c>
      <c r="D139" s="75">
        <f t="shared" si="66"/>
        <v>1963</v>
      </c>
      <c r="E139" s="75">
        <f t="shared" si="67"/>
        <v>0</v>
      </c>
      <c r="F139" s="75">
        <f t="shared" si="68"/>
        <v>0</v>
      </c>
      <c r="G139" s="75">
        <f t="shared" si="69"/>
        <v>-35</v>
      </c>
      <c r="H139" s="75">
        <f t="shared" si="70"/>
        <v>0</v>
      </c>
      <c r="I139" s="75">
        <f t="shared" si="71"/>
        <v>0</v>
      </c>
      <c r="J139" s="75">
        <f t="shared" si="72"/>
        <v>0</v>
      </c>
      <c r="K139" s="75">
        <f t="shared" si="73"/>
        <v>0</v>
      </c>
      <c r="L139" s="75">
        <f t="shared" si="74"/>
        <v>0</v>
      </c>
      <c r="M139" s="75">
        <f>('Plant &amp; Book Depr Form 2.0'!$F$108/12)*((D139+G139)-(F139+I139))/2+('Plant &amp; Book Depr Form 2.0'!$F$108/12)*((SUM(D134:D138)+SUM(G134:G138))-(SUM(F134:F138)+SUM(I134:I138)))</f>
        <v>38.238749999999996</v>
      </c>
      <c r="O139" s="86">
        <v>0</v>
      </c>
      <c r="P139" s="86">
        <v>0</v>
      </c>
      <c r="Q139" s="86">
        <v>0</v>
      </c>
      <c r="T139" s="86">
        <v>1962.92</v>
      </c>
      <c r="U139" s="86">
        <v>-35.25</v>
      </c>
      <c r="V139" s="86">
        <v>0</v>
      </c>
    </row>
    <row r="140" spans="1:22" s="80" customFormat="1" ht="15">
      <c r="A140" s="72">
        <f t="shared" si="75"/>
        <v>7</v>
      </c>
      <c r="B140" s="73">
        <f t="shared" si="65"/>
        <v>42917</v>
      </c>
      <c r="C140" s="74">
        <v>6</v>
      </c>
      <c r="D140" s="75">
        <f t="shared" si="66"/>
        <v>911</v>
      </c>
      <c r="E140" s="75">
        <f t="shared" si="67"/>
        <v>0</v>
      </c>
      <c r="F140" s="75">
        <f t="shared" si="68"/>
        <v>0</v>
      </c>
      <c r="G140" s="75">
        <f t="shared" si="69"/>
        <v>-81</v>
      </c>
      <c r="H140" s="75">
        <f t="shared" si="70"/>
        <v>0</v>
      </c>
      <c r="I140" s="75">
        <f t="shared" si="71"/>
        <v>0</v>
      </c>
      <c r="J140" s="75">
        <f t="shared" si="72"/>
        <v>0</v>
      </c>
      <c r="K140" s="75">
        <f t="shared" si="73"/>
        <v>0</v>
      </c>
      <c r="L140" s="75">
        <f t="shared" si="74"/>
        <v>0</v>
      </c>
      <c r="M140" s="75">
        <f>('Plant &amp; Book Depr Form 2.0'!$F$108/12)*((D140+G140)-(F140+I140))/2+('Plant &amp; Book Depr Form 2.0'!$F$108/12)*((SUM(D134:D139)+SUM(G134:G139))-(SUM(F134:F139)+SUM(I134:I139)))</f>
        <v>40.824375</v>
      </c>
      <c r="O140" s="86">
        <v>0</v>
      </c>
      <c r="P140" s="86">
        <v>0</v>
      </c>
      <c r="Q140" s="86">
        <v>0</v>
      </c>
      <c r="T140" s="86">
        <v>910.97</v>
      </c>
      <c r="U140" s="86">
        <v>-81.1126</v>
      </c>
      <c r="V140" s="86">
        <v>0</v>
      </c>
    </row>
    <row r="141" spans="1:22" s="80" customFormat="1" ht="15">
      <c r="A141" s="72">
        <f t="shared" si="75"/>
        <v>8</v>
      </c>
      <c r="B141" s="73">
        <f t="shared" si="65"/>
        <v>42948</v>
      </c>
      <c r="C141" s="74">
        <v>5</v>
      </c>
      <c r="D141" s="75">
        <f t="shared" si="66"/>
        <v>38757</v>
      </c>
      <c r="E141" s="75">
        <f t="shared" si="67"/>
        <v>0</v>
      </c>
      <c r="F141" s="75">
        <f t="shared" si="68"/>
        <v>0</v>
      </c>
      <c r="G141" s="75">
        <f t="shared" si="69"/>
        <v>-47</v>
      </c>
      <c r="H141" s="75">
        <f t="shared" si="70"/>
        <v>0</v>
      </c>
      <c r="I141" s="75">
        <f t="shared" si="71"/>
        <v>0</v>
      </c>
      <c r="J141" s="75">
        <f t="shared" si="72"/>
        <v>0</v>
      </c>
      <c r="K141" s="75">
        <f t="shared" si="73"/>
        <v>0</v>
      </c>
      <c r="L141" s="75">
        <f t="shared" si="74"/>
        <v>0</v>
      </c>
      <c r="M141" s="75">
        <f>('Plant &amp; Book Depr Form 2.0'!$F$108/12)*((D141+G141)-(F141+I141))/2+('Plant &amp; Book Depr Form 2.0'!$F$108/12)*((SUM(D134:D140)+SUM(G134:G140))-(SUM(F134:F140)+SUM(I134:I140)))</f>
        <v>77.893125</v>
      </c>
      <c r="O141" s="86">
        <v>0</v>
      </c>
      <c r="P141" s="86">
        <v>0</v>
      </c>
      <c r="Q141" s="86">
        <v>0</v>
      </c>
      <c r="T141" s="86">
        <v>38756.86</v>
      </c>
      <c r="U141" s="86">
        <v>-46.642799999999994</v>
      </c>
      <c r="V141" s="86">
        <v>0</v>
      </c>
    </row>
    <row r="142" spans="1:22" s="80" customFormat="1" ht="15">
      <c r="A142" s="72">
        <f t="shared" si="75"/>
        <v>9</v>
      </c>
      <c r="B142" s="73">
        <f t="shared" si="65"/>
        <v>42979</v>
      </c>
      <c r="C142" s="74">
        <v>4</v>
      </c>
      <c r="D142" s="75">
        <f t="shared" si="66"/>
        <v>995</v>
      </c>
      <c r="E142" s="75">
        <f t="shared" si="67"/>
        <v>0</v>
      </c>
      <c r="F142" s="75">
        <f t="shared" si="68"/>
        <v>0</v>
      </c>
      <c r="G142" s="75">
        <f t="shared" si="69"/>
        <v>-208</v>
      </c>
      <c r="H142" s="75">
        <f t="shared" si="70"/>
        <v>0</v>
      </c>
      <c r="I142" s="75">
        <f t="shared" si="71"/>
        <v>0</v>
      </c>
      <c r="J142" s="75">
        <f t="shared" si="72"/>
        <v>0</v>
      </c>
      <c r="K142" s="75">
        <f t="shared" si="73"/>
        <v>0</v>
      </c>
      <c r="L142" s="75">
        <f t="shared" si="74"/>
        <v>0</v>
      </c>
      <c r="M142" s="75">
        <f>('Plant &amp; Book Depr Form 2.0'!$F$108/12)*((D142+G142)-(F142+I142))/2+('Plant &amp; Book Depr Form 2.0'!$F$108/12)*((SUM(D134:D141)+SUM(G134:G141))-(SUM(F134:F141)+SUM(I134:I141)))</f>
        <v>114.9215625</v>
      </c>
      <c r="O142" s="86">
        <v>0</v>
      </c>
      <c r="P142" s="86">
        <v>0</v>
      </c>
      <c r="Q142" s="86">
        <v>0</v>
      </c>
      <c r="T142" s="86">
        <v>995.06</v>
      </c>
      <c r="U142" s="86">
        <v>-208.33219999999997</v>
      </c>
      <c r="V142" s="86">
        <v>0</v>
      </c>
    </row>
    <row r="143" spans="1:22" s="80" customFormat="1" ht="15">
      <c r="A143" s="72">
        <f t="shared" si="75"/>
        <v>10</v>
      </c>
      <c r="B143" s="73">
        <f t="shared" si="65"/>
        <v>43009</v>
      </c>
      <c r="C143" s="74">
        <v>3</v>
      </c>
      <c r="D143" s="75">
        <f t="shared" si="66"/>
        <v>2042</v>
      </c>
      <c r="E143" s="75">
        <f t="shared" si="67"/>
        <v>0</v>
      </c>
      <c r="F143" s="75">
        <f t="shared" si="68"/>
        <v>0</v>
      </c>
      <c r="G143" s="75">
        <f t="shared" si="69"/>
        <v>-136</v>
      </c>
      <c r="H143" s="75">
        <f t="shared" si="70"/>
        <v>0</v>
      </c>
      <c r="I143" s="75">
        <f t="shared" si="71"/>
        <v>0</v>
      </c>
      <c r="J143" s="75">
        <f t="shared" si="72"/>
        <v>0</v>
      </c>
      <c r="K143" s="75">
        <f t="shared" si="73"/>
        <v>0</v>
      </c>
      <c r="L143" s="75">
        <f t="shared" si="74"/>
        <v>0</v>
      </c>
      <c r="M143" s="75">
        <f>('Plant &amp; Book Depr Form 2.0'!$F$108/12)*((D143+G143)-(F143+I143))/2+('Plant &amp; Book Depr Form 2.0'!$F$108/12)*((SUM(D134:D142)+SUM(G134:G142))-(SUM(F134:F142)+SUM(I134:I142)))</f>
        <v>117.44624999999999</v>
      </c>
      <c r="O143" s="86">
        <v>0</v>
      </c>
      <c r="P143" s="86">
        <v>0</v>
      </c>
      <c r="Q143" s="86">
        <v>0</v>
      </c>
      <c r="T143" s="86">
        <v>2041.69</v>
      </c>
      <c r="U143" s="86">
        <v>-135.9804</v>
      </c>
      <c r="V143" s="86">
        <v>0</v>
      </c>
    </row>
    <row r="144" spans="1:22" s="80" customFormat="1" ht="15">
      <c r="A144" s="72">
        <f t="shared" si="75"/>
        <v>11</v>
      </c>
      <c r="B144" s="73">
        <f t="shared" si="65"/>
        <v>43040</v>
      </c>
      <c r="C144" s="74">
        <v>2</v>
      </c>
      <c r="D144" s="75">
        <f t="shared" si="66"/>
        <v>453</v>
      </c>
      <c r="E144" s="75">
        <f t="shared" si="67"/>
        <v>0</v>
      </c>
      <c r="F144" s="75">
        <f t="shared" si="68"/>
        <v>0</v>
      </c>
      <c r="G144" s="75">
        <f t="shared" si="69"/>
        <v>-118</v>
      </c>
      <c r="H144" s="75">
        <f t="shared" si="70"/>
        <v>0</v>
      </c>
      <c r="I144" s="75">
        <f t="shared" si="71"/>
        <v>0</v>
      </c>
      <c r="J144" s="75">
        <f t="shared" si="72"/>
        <v>0</v>
      </c>
      <c r="K144" s="75">
        <f t="shared" si="73"/>
        <v>0</v>
      </c>
      <c r="L144" s="75">
        <f t="shared" si="74"/>
        <v>0</v>
      </c>
      <c r="M144" s="75">
        <f>('Plant &amp; Book Depr Form 2.0'!$F$108/12)*((D144+G144)-(F144+I144))/2+('Plant &amp; Book Depr Form 2.0'!$F$108/12)*((SUM(D134:D143)+SUM(G134:G143))-(SUM(F134:F143)+SUM(I134:I143)))</f>
        <v>119.5471875</v>
      </c>
      <c r="O144" s="86">
        <v>0</v>
      </c>
      <c r="P144" s="86">
        <v>0</v>
      </c>
      <c r="Q144" s="86">
        <v>0</v>
      </c>
      <c r="T144" s="86">
        <v>453.49</v>
      </c>
      <c r="U144" s="86">
        <v>-117.93239999999999</v>
      </c>
      <c r="V144" s="86">
        <v>0</v>
      </c>
    </row>
    <row r="145" spans="1:22" s="80" customFormat="1" ht="16.5">
      <c r="A145" s="72">
        <f t="shared" si="75"/>
        <v>12</v>
      </c>
      <c r="B145" s="73">
        <f t="shared" si="65"/>
        <v>43070</v>
      </c>
      <c r="C145" s="74">
        <v>1</v>
      </c>
      <c r="D145" s="76">
        <f t="shared" si="66"/>
        <v>202</v>
      </c>
      <c r="E145" s="76">
        <f t="shared" si="67"/>
        <v>0</v>
      </c>
      <c r="F145" s="76">
        <f t="shared" si="68"/>
        <v>0</v>
      </c>
      <c r="G145" s="76">
        <f t="shared" si="69"/>
        <v>-60</v>
      </c>
      <c r="H145" s="76">
        <f t="shared" si="70"/>
        <v>0</v>
      </c>
      <c r="I145" s="76">
        <f t="shared" si="71"/>
        <v>0</v>
      </c>
      <c r="J145" s="76">
        <f t="shared" si="72"/>
        <v>0</v>
      </c>
      <c r="K145" s="76">
        <f t="shared" si="73"/>
        <v>0</v>
      </c>
      <c r="L145" s="76">
        <f t="shared" si="74"/>
        <v>0</v>
      </c>
      <c r="M145" s="76">
        <f>('Plant &amp; Book Depr Form 2.0'!$F$108/12)*((D145+G145)-(F145+I145))/2+('Plant &amp; Book Depr Form 2.0'!$F$108/12)*((SUM(D134:D144)+SUM(G134:G144))-(SUM(F134:F144)+SUM(I134:I144)))</f>
        <v>119.994375</v>
      </c>
      <c r="O145" s="90">
        <v>0</v>
      </c>
      <c r="P145" s="90">
        <v>0</v>
      </c>
      <c r="Q145" s="90">
        <v>0</v>
      </c>
      <c r="T145" s="90">
        <v>201.97</v>
      </c>
      <c r="U145" s="90">
        <v>-59.5396</v>
      </c>
      <c r="V145" s="90">
        <v>0</v>
      </c>
    </row>
    <row r="146" spans="1:22" s="80" customFormat="1" ht="15">
      <c r="A146" s="72">
        <f t="shared" si="75"/>
        <v>13</v>
      </c>
      <c r="B146" s="65"/>
      <c r="C146" s="78"/>
      <c r="D146" s="75">
        <f aca="true" t="shared" si="76" ref="D146:M146">SUM(D134:D145)</f>
        <v>65220</v>
      </c>
      <c r="E146" s="74">
        <f t="shared" si="76"/>
        <v>0</v>
      </c>
      <c r="F146" s="74">
        <f t="shared" si="76"/>
        <v>0</v>
      </c>
      <c r="G146" s="75">
        <f t="shared" si="76"/>
        <v>-1152</v>
      </c>
      <c r="H146" s="74">
        <f t="shared" si="76"/>
        <v>0</v>
      </c>
      <c r="I146" s="74">
        <f t="shared" si="76"/>
        <v>0</v>
      </c>
      <c r="J146" s="74">
        <f t="shared" si="76"/>
        <v>0</v>
      </c>
      <c r="K146" s="74">
        <f t="shared" si="76"/>
        <v>0</v>
      </c>
      <c r="L146" s="74">
        <f t="shared" si="76"/>
        <v>0</v>
      </c>
      <c r="M146" s="74">
        <f t="shared" si="76"/>
        <v>706.546875</v>
      </c>
      <c r="O146" s="103">
        <f>SUM(O134:O145)</f>
        <v>0</v>
      </c>
      <c r="P146" s="103">
        <f>SUM(P134:P145)</f>
        <v>0</v>
      </c>
      <c r="Q146" s="103">
        <f>SUM(Q134:Q145)</f>
        <v>0</v>
      </c>
      <c r="T146" s="103">
        <f>SUM(T134:T145)</f>
        <v>65219.6</v>
      </c>
      <c r="U146" s="103">
        <f>SUM(U134:U145)</f>
        <v>-1150.7668</v>
      </c>
      <c r="V146" s="103">
        <f>SUM(V134:V145)</f>
        <v>0</v>
      </c>
    </row>
    <row r="147" spans="1:22" s="80" customFormat="1" ht="15">
      <c r="A147" s="72"/>
      <c r="B147" s="65"/>
      <c r="C147" s="78"/>
      <c r="D147" s="75"/>
      <c r="E147" s="74"/>
      <c r="F147" s="74"/>
      <c r="G147" s="75"/>
      <c r="H147" s="74"/>
      <c r="I147" s="74"/>
      <c r="J147" s="74"/>
      <c r="K147" s="74"/>
      <c r="L147" s="74"/>
      <c r="M147" s="74"/>
      <c r="O147" s="103"/>
      <c r="P147" s="103"/>
      <c r="Q147" s="103"/>
      <c r="T147" s="103"/>
      <c r="U147" s="103"/>
      <c r="V147" s="103"/>
    </row>
    <row r="148" spans="1:38" ht="15">
      <c r="A148" s="72"/>
      <c r="C148" s="78"/>
      <c r="D148" s="75"/>
      <c r="E148" s="74"/>
      <c r="F148" s="74"/>
      <c r="G148" s="75"/>
      <c r="H148" s="74"/>
      <c r="I148" s="74"/>
      <c r="J148" s="75"/>
      <c r="K148" s="75"/>
      <c r="O148" s="80"/>
      <c r="P148" s="80"/>
      <c r="Q148" s="80"/>
      <c r="R148" s="80"/>
      <c r="S148" s="80"/>
      <c r="T148" s="94"/>
      <c r="U148" s="94"/>
      <c r="V148" s="94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</row>
    <row r="149" spans="1:14" ht="77.25">
      <c r="A149" s="72"/>
      <c r="D149" s="69" t="s">
        <v>204</v>
      </c>
      <c r="E149" s="69" t="s">
        <v>205</v>
      </c>
      <c r="F149" s="69" t="s">
        <v>221</v>
      </c>
      <c r="G149" s="75"/>
      <c r="J149" s="69" t="s">
        <v>206</v>
      </c>
      <c r="K149" s="69" t="s">
        <v>207</v>
      </c>
      <c r="L149" s="69" t="s">
        <v>222</v>
      </c>
      <c r="M149" s="74"/>
      <c r="N149" s="74"/>
    </row>
    <row r="150" spans="1:14" ht="15">
      <c r="A150" s="72">
        <f>+A146+1</f>
        <v>14</v>
      </c>
      <c r="B150" s="241" t="s">
        <v>225</v>
      </c>
      <c r="C150" s="241"/>
      <c r="D150" s="74">
        <f>D146+G146</f>
        <v>64068</v>
      </c>
      <c r="E150" s="74">
        <f>F146+I146</f>
        <v>0</v>
      </c>
      <c r="F150" s="74">
        <f>D150-E150</f>
        <v>64068</v>
      </c>
      <c r="J150" s="74">
        <f>G146+J146</f>
        <v>-1152</v>
      </c>
      <c r="K150" s="74">
        <f>I146+L146</f>
        <v>0</v>
      </c>
      <c r="L150" s="74">
        <f>J150-K150</f>
        <v>-1152</v>
      </c>
      <c r="M150" s="74"/>
      <c r="N150" s="74"/>
    </row>
    <row r="151" spans="1:22" s="80" customFormat="1" ht="15">
      <c r="A151" s="72"/>
      <c r="B151" s="65"/>
      <c r="C151" s="78"/>
      <c r="D151" s="75"/>
      <c r="E151" s="75"/>
      <c r="F151" s="75"/>
      <c r="G151" s="75"/>
      <c r="H151" s="75"/>
      <c r="I151" s="75"/>
      <c r="J151" s="75"/>
      <c r="O151" s="103"/>
      <c r="P151" s="103"/>
      <c r="Q151" s="103"/>
      <c r="T151" s="103">
        <v>0</v>
      </c>
      <c r="U151" s="103"/>
      <c r="V151" s="103"/>
    </row>
    <row r="152" s="80" customFormat="1" ht="15">
      <c r="A152" s="198" t="s">
        <v>131</v>
      </c>
    </row>
    <row r="153" spans="1:4" s="80" customFormat="1" ht="18">
      <c r="A153" s="95" t="s">
        <v>289</v>
      </c>
      <c r="D153" s="103"/>
    </row>
    <row r="154" spans="1:7" ht="18">
      <c r="A154" s="95" t="s">
        <v>290</v>
      </c>
      <c r="G154" s="75"/>
    </row>
    <row r="155" spans="1:13" ht="15">
      <c r="A155" s="242" t="str">
        <f>+A104</f>
        <v>Columbia Gas of Kentucky, Inc.</v>
      </c>
      <c r="B155" s="242"/>
      <c r="C155" s="242"/>
      <c r="D155" s="242"/>
      <c r="E155" s="242"/>
      <c r="F155" s="242"/>
      <c r="G155" s="242"/>
      <c r="H155" s="242"/>
      <c r="I155" s="242"/>
      <c r="J155" s="242"/>
      <c r="K155" s="242"/>
      <c r="L155" s="242"/>
      <c r="M155" s="64" t="str">
        <f>M104</f>
        <v>SMRP Form 2.2</v>
      </c>
    </row>
    <row r="156" spans="1:13" ht="15">
      <c r="A156" s="242" t="str">
        <f>+A105</f>
        <v>Actual Annual Adjustment to the Safety Modification and Replacement Program ("SMRP")</v>
      </c>
      <c r="B156" s="242"/>
      <c r="C156" s="242"/>
      <c r="D156" s="242"/>
      <c r="E156" s="242"/>
      <c r="F156" s="242"/>
      <c r="G156" s="242"/>
      <c r="H156" s="242"/>
      <c r="I156" s="242"/>
      <c r="J156" s="242"/>
      <c r="K156" s="242"/>
      <c r="L156" s="242"/>
      <c r="M156" s="64" t="s">
        <v>226</v>
      </c>
    </row>
    <row r="157" spans="1:13" ht="15">
      <c r="A157" s="242" t="str">
        <f>+A106</f>
        <v>Development of AMRP Plant Excluded From Base Rates</v>
      </c>
      <c r="B157" s="242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96"/>
    </row>
    <row r="159" spans="1:11" s="80" customFormat="1" ht="15">
      <c r="A159" s="68" t="s">
        <v>288</v>
      </c>
      <c r="B159" s="67"/>
      <c r="C159" s="67"/>
      <c r="D159" s="67"/>
      <c r="E159" s="67"/>
      <c r="F159" s="67"/>
      <c r="G159" s="67"/>
      <c r="H159" s="67"/>
      <c r="I159" s="67"/>
      <c r="J159" s="65"/>
      <c r="K159" s="103"/>
    </row>
    <row r="160" spans="1:20" s="80" customFormat="1" ht="15">
      <c r="A160" s="67"/>
      <c r="B160" s="67"/>
      <c r="C160" s="67"/>
      <c r="D160" s="67"/>
      <c r="E160" s="67"/>
      <c r="F160" s="67"/>
      <c r="G160" s="67"/>
      <c r="H160" s="67"/>
      <c r="I160" s="67"/>
      <c r="J160" s="65"/>
      <c r="K160" s="103"/>
      <c r="O160" s="138" t="s">
        <v>209</v>
      </c>
      <c r="T160" s="138" t="s">
        <v>210</v>
      </c>
    </row>
    <row r="161" spans="1:23" s="80" customFormat="1" ht="30.75">
      <c r="A161" s="69" t="s">
        <v>139</v>
      </c>
      <c r="B161" s="69" t="s">
        <v>140</v>
      </c>
      <c r="C161" s="69" t="s">
        <v>141</v>
      </c>
      <c r="D161" s="69" t="s">
        <v>293</v>
      </c>
      <c r="E161" s="69" t="s">
        <v>198</v>
      </c>
      <c r="F161" s="69" t="s">
        <v>199</v>
      </c>
      <c r="G161" s="69" t="s">
        <v>200</v>
      </c>
      <c r="H161" s="69" t="s">
        <v>201</v>
      </c>
      <c r="I161" s="69" t="s">
        <v>199</v>
      </c>
      <c r="J161" s="69" t="s">
        <v>202</v>
      </c>
      <c r="K161" s="69" t="s">
        <v>203</v>
      </c>
      <c r="L161" s="69" t="s">
        <v>199</v>
      </c>
      <c r="M161" s="69" t="s">
        <v>223</v>
      </c>
      <c r="O161" s="82" t="s">
        <v>211</v>
      </c>
      <c r="P161" s="82" t="s">
        <v>211</v>
      </c>
      <c r="Q161" s="82" t="s">
        <v>211</v>
      </c>
      <c r="R161" s="82" t="s">
        <v>212</v>
      </c>
      <c r="T161" s="82" t="s">
        <v>211</v>
      </c>
      <c r="U161" s="82" t="s">
        <v>211</v>
      </c>
      <c r="V161" s="82" t="s">
        <v>211</v>
      </c>
      <c r="W161" s="82" t="s">
        <v>212</v>
      </c>
    </row>
    <row r="162" spans="1:23" s="80" customFormat="1" ht="15">
      <c r="A162" s="70"/>
      <c r="B162" s="71" t="str">
        <f>"(A)"</f>
        <v>(A)</v>
      </c>
      <c r="C162" s="71" t="str">
        <f>"(B)"</f>
        <v>(B)</v>
      </c>
      <c r="D162" s="71" t="str">
        <f>"(C)"</f>
        <v>(C)</v>
      </c>
      <c r="E162" s="71" t="str">
        <f>"(D)"</f>
        <v>(D)</v>
      </c>
      <c r="F162" s="71" t="str">
        <f>"(E)"</f>
        <v>(E)</v>
      </c>
      <c r="G162" s="71" t="str">
        <f>"(F)"</f>
        <v>(F)</v>
      </c>
      <c r="H162" s="71" t="str">
        <f>"(G)"</f>
        <v>(G)</v>
      </c>
      <c r="I162" s="71" t="str">
        <f>"(H)"</f>
        <v>(H)</v>
      </c>
      <c r="J162" s="71" t="str">
        <f>"(I)"</f>
        <v>(I)</v>
      </c>
      <c r="K162" s="71" t="str">
        <f>"(J)"</f>
        <v>(J)</v>
      </c>
      <c r="L162" s="71" t="str">
        <f>"(K)"</f>
        <v>(K)</v>
      </c>
      <c r="M162" s="71" t="str">
        <f>"(L)"</f>
        <v>(L)</v>
      </c>
      <c r="O162" s="82" t="s">
        <v>213</v>
      </c>
      <c r="P162" s="82" t="s">
        <v>214</v>
      </c>
      <c r="Q162" s="82" t="s">
        <v>215</v>
      </c>
      <c r="R162" s="82" t="s">
        <v>216</v>
      </c>
      <c r="T162" s="82" t="s">
        <v>213</v>
      </c>
      <c r="U162" s="82" t="s">
        <v>214</v>
      </c>
      <c r="V162" s="82" t="s">
        <v>215</v>
      </c>
      <c r="W162" s="82" t="s">
        <v>216</v>
      </c>
    </row>
    <row r="163" spans="1:23" s="80" customFormat="1" ht="15">
      <c r="A163" s="72">
        <v>1</v>
      </c>
      <c r="B163" s="73">
        <f>B134</f>
        <v>42736</v>
      </c>
      <c r="C163" s="74">
        <v>12</v>
      </c>
      <c r="D163" s="75">
        <f>ROUND(T163*$W$134,0)</f>
        <v>0</v>
      </c>
      <c r="E163" s="75">
        <f>ROUND(O163*$R$134,0)</f>
        <v>0</v>
      </c>
      <c r="F163" s="75">
        <f>($C163/13)*E163</f>
        <v>0</v>
      </c>
      <c r="G163" s="75">
        <f>ROUND(U163*$W$134,0)</f>
        <v>0</v>
      </c>
      <c r="H163" s="75">
        <f>ROUND(P163*$R$134,0)</f>
        <v>0</v>
      </c>
      <c r="I163" s="75">
        <f>($C163/13)*H163</f>
        <v>0</v>
      </c>
      <c r="J163" s="75">
        <f>ROUND(V163*$W$134,0)</f>
        <v>0</v>
      </c>
      <c r="K163" s="75">
        <f>ROUND(Q163*$R$134,0)</f>
        <v>0</v>
      </c>
      <c r="L163" s="75">
        <f>($C163/13)*K163</f>
        <v>0</v>
      </c>
      <c r="M163" s="75">
        <f>('Plant &amp; Book Depr Form 2.0'!$F$109/12)*((D163+G163)-(F163+I163))/2</f>
        <v>0</v>
      </c>
      <c r="O163" s="86">
        <v>0</v>
      </c>
      <c r="P163" s="86">
        <v>0</v>
      </c>
      <c r="Q163" s="86">
        <v>0</v>
      </c>
      <c r="R163" s="139">
        <f>R138</f>
        <v>0</v>
      </c>
      <c r="T163" s="86">
        <v>0</v>
      </c>
      <c r="U163" s="86">
        <v>0</v>
      </c>
      <c r="V163" s="86">
        <v>0</v>
      </c>
      <c r="W163" s="139">
        <f>W138</f>
        <v>0</v>
      </c>
    </row>
    <row r="164" spans="1:22" s="80" customFormat="1" ht="15">
      <c r="A164" s="72">
        <f>A163+1</f>
        <v>2</v>
      </c>
      <c r="B164" s="73">
        <f aca="true" t="shared" si="77" ref="B164:B174">B135</f>
        <v>42767</v>
      </c>
      <c r="C164" s="74">
        <v>11</v>
      </c>
      <c r="D164" s="75">
        <f aca="true" t="shared" si="78" ref="D164:D174">ROUND(T164*$W$134,0)</f>
        <v>0</v>
      </c>
      <c r="E164" s="75">
        <f aca="true" t="shared" si="79" ref="E164:E174">ROUND(O164*$R$134,0)</f>
        <v>0</v>
      </c>
      <c r="F164" s="75">
        <f aca="true" t="shared" si="80" ref="F164:F174">($C164/13)*E164</f>
        <v>0</v>
      </c>
      <c r="G164" s="75">
        <f aca="true" t="shared" si="81" ref="G164:G174">ROUND(U164*$W$134,0)</f>
        <v>0</v>
      </c>
      <c r="H164" s="75">
        <f aca="true" t="shared" si="82" ref="H164:H174">ROUND(P164*$R$134,0)</f>
        <v>0</v>
      </c>
      <c r="I164" s="75">
        <f aca="true" t="shared" si="83" ref="I164:I174">($C164/13)*H164</f>
        <v>0</v>
      </c>
      <c r="J164" s="75">
        <f aca="true" t="shared" si="84" ref="J164:J174">ROUND(V164*$W$134,0)</f>
        <v>0</v>
      </c>
      <c r="K164" s="75">
        <f aca="true" t="shared" si="85" ref="K164:K174">ROUND(Q164*$R$134,0)</f>
        <v>0</v>
      </c>
      <c r="L164" s="75">
        <f aca="true" t="shared" si="86" ref="L164:L174">($C164/13)*K164</f>
        <v>0</v>
      </c>
      <c r="M164" s="75">
        <f>('Plant &amp; Book Depr Form 2.0'!$F$109/12)*((D164+G164)-(F164+I164))/2+('Plant &amp; Book Depr Form 2.0'!$F$109/12)*((D163+G163)-(F163+I163))</f>
        <v>0</v>
      </c>
      <c r="O164" s="86">
        <v>0</v>
      </c>
      <c r="P164" s="86">
        <v>0</v>
      </c>
      <c r="Q164" s="86">
        <v>0</v>
      </c>
      <c r="T164" s="86">
        <v>0</v>
      </c>
      <c r="U164" s="86">
        <v>0</v>
      </c>
      <c r="V164" s="86">
        <v>0</v>
      </c>
    </row>
    <row r="165" spans="1:22" s="80" customFormat="1" ht="15">
      <c r="A165" s="72">
        <f aca="true" t="shared" si="87" ref="A165:A175">A164+1</f>
        <v>3</v>
      </c>
      <c r="B165" s="73">
        <f t="shared" si="77"/>
        <v>42795</v>
      </c>
      <c r="C165" s="74">
        <v>10</v>
      </c>
      <c r="D165" s="75">
        <f t="shared" si="78"/>
        <v>0</v>
      </c>
      <c r="E165" s="75">
        <f t="shared" si="79"/>
        <v>0</v>
      </c>
      <c r="F165" s="75">
        <f t="shared" si="80"/>
        <v>0</v>
      </c>
      <c r="G165" s="75">
        <f t="shared" si="81"/>
        <v>0</v>
      </c>
      <c r="H165" s="75">
        <f t="shared" si="82"/>
        <v>0</v>
      </c>
      <c r="I165" s="75">
        <f t="shared" si="83"/>
        <v>0</v>
      </c>
      <c r="J165" s="75">
        <f t="shared" si="84"/>
        <v>0</v>
      </c>
      <c r="K165" s="75">
        <f t="shared" si="85"/>
        <v>0</v>
      </c>
      <c r="L165" s="75">
        <f t="shared" si="86"/>
        <v>0</v>
      </c>
      <c r="M165" s="75">
        <f>('Plant &amp; Book Depr Form 2.0'!$F$109/12)*((D165+G165)-(F165+I165))/2+('Plant &amp; Book Depr Form 2.0'!$F$109/12)*((SUM(D163:D164)+SUM(G163:G164))-(SUM(F163:F164)+SUM(I163:I164)))</f>
        <v>0</v>
      </c>
      <c r="O165" s="86">
        <v>0</v>
      </c>
      <c r="P165" s="86">
        <v>0</v>
      </c>
      <c r="Q165" s="86">
        <v>0</v>
      </c>
      <c r="T165" s="86">
        <v>0</v>
      </c>
      <c r="U165" s="86">
        <v>0</v>
      </c>
      <c r="V165" s="86">
        <v>0</v>
      </c>
    </row>
    <row r="166" spans="1:22" s="80" customFormat="1" ht="15">
      <c r="A166" s="72">
        <f t="shared" si="87"/>
        <v>4</v>
      </c>
      <c r="B166" s="73">
        <f t="shared" si="77"/>
        <v>42826</v>
      </c>
      <c r="C166" s="74">
        <v>9</v>
      </c>
      <c r="D166" s="75">
        <f t="shared" si="78"/>
        <v>0</v>
      </c>
      <c r="E166" s="75">
        <f t="shared" si="79"/>
        <v>0</v>
      </c>
      <c r="F166" s="75">
        <f t="shared" si="80"/>
        <v>0</v>
      </c>
      <c r="G166" s="75">
        <f t="shared" si="81"/>
        <v>0</v>
      </c>
      <c r="H166" s="75">
        <f t="shared" si="82"/>
        <v>0</v>
      </c>
      <c r="I166" s="75">
        <f t="shared" si="83"/>
        <v>0</v>
      </c>
      <c r="J166" s="75">
        <f t="shared" si="84"/>
        <v>0</v>
      </c>
      <c r="K166" s="75">
        <f t="shared" si="85"/>
        <v>0</v>
      </c>
      <c r="L166" s="75">
        <f t="shared" si="86"/>
        <v>0</v>
      </c>
      <c r="M166" s="75">
        <f>('Plant &amp; Book Depr Form 2.0'!$F$109/12)*((D166+G166)-(F166+I166))/2+('Plant &amp; Book Depr Form 2.0'!$F$109/12)*((SUM(D163:D165)+SUM(G163:G165))-(SUM(F163:F165)+SUM(I163:I165)))</f>
        <v>0</v>
      </c>
      <c r="O166" s="86">
        <v>0</v>
      </c>
      <c r="P166" s="86">
        <v>0</v>
      </c>
      <c r="Q166" s="86">
        <v>0</v>
      </c>
      <c r="T166" s="86">
        <v>0</v>
      </c>
      <c r="U166" s="86">
        <v>0</v>
      </c>
      <c r="V166" s="86">
        <v>0</v>
      </c>
    </row>
    <row r="167" spans="1:22" s="80" customFormat="1" ht="15">
      <c r="A167" s="72">
        <f t="shared" si="87"/>
        <v>5</v>
      </c>
      <c r="B167" s="73">
        <f t="shared" si="77"/>
        <v>42856</v>
      </c>
      <c r="C167" s="74">
        <v>8</v>
      </c>
      <c r="D167" s="75">
        <f t="shared" si="78"/>
        <v>0</v>
      </c>
      <c r="E167" s="75">
        <f t="shared" si="79"/>
        <v>0</v>
      </c>
      <c r="F167" s="75">
        <f t="shared" si="80"/>
        <v>0</v>
      </c>
      <c r="G167" s="75">
        <f t="shared" si="81"/>
        <v>0</v>
      </c>
      <c r="H167" s="75">
        <f t="shared" si="82"/>
        <v>0</v>
      </c>
      <c r="I167" s="75">
        <f t="shared" si="83"/>
        <v>0</v>
      </c>
      <c r="J167" s="75">
        <f t="shared" si="84"/>
        <v>0</v>
      </c>
      <c r="K167" s="75">
        <f t="shared" si="85"/>
        <v>0</v>
      </c>
      <c r="L167" s="75">
        <f t="shared" si="86"/>
        <v>0</v>
      </c>
      <c r="M167" s="75">
        <f>('Plant &amp; Book Depr Form 2.0'!$F$109/12)*((D167+G167)-(F167+I167))/2+('Plant &amp; Book Depr Form 2.0'!$F$109/12)*((SUM(D163:D166)+SUM(G163:G166))-(SUM(F163:F166)+SUM(I163:I166)))</f>
        <v>0</v>
      </c>
      <c r="O167" s="86">
        <v>0</v>
      </c>
      <c r="P167" s="86">
        <v>0</v>
      </c>
      <c r="Q167" s="86">
        <v>0</v>
      </c>
      <c r="T167" s="86">
        <v>0</v>
      </c>
      <c r="U167" s="86">
        <v>0</v>
      </c>
      <c r="V167" s="86">
        <v>0</v>
      </c>
    </row>
    <row r="168" spans="1:22" s="80" customFormat="1" ht="15">
      <c r="A168" s="72">
        <f t="shared" si="87"/>
        <v>6</v>
      </c>
      <c r="B168" s="73">
        <f t="shared" si="77"/>
        <v>42887</v>
      </c>
      <c r="C168" s="74">
        <v>7</v>
      </c>
      <c r="D168" s="75">
        <f t="shared" si="78"/>
        <v>0</v>
      </c>
      <c r="E168" s="75">
        <f t="shared" si="79"/>
        <v>0</v>
      </c>
      <c r="F168" s="75">
        <f t="shared" si="80"/>
        <v>0</v>
      </c>
      <c r="G168" s="75">
        <f t="shared" si="81"/>
        <v>0</v>
      </c>
      <c r="H168" s="75">
        <f t="shared" si="82"/>
        <v>0</v>
      </c>
      <c r="I168" s="75">
        <f t="shared" si="83"/>
        <v>0</v>
      </c>
      <c r="J168" s="75">
        <f t="shared" si="84"/>
        <v>0</v>
      </c>
      <c r="K168" s="75">
        <f t="shared" si="85"/>
        <v>0</v>
      </c>
      <c r="L168" s="75">
        <f t="shared" si="86"/>
        <v>0</v>
      </c>
      <c r="M168" s="75">
        <f>('Plant &amp; Book Depr Form 2.0'!$F$109/12)*((D168+G168)-(F168+I168))/2+('Plant &amp; Book Depr Form 2.0'!$F$109/12)*((SUM(D163:D167)+SUM(G163:G167))-(SUM(F163:F167)+SUM(I163:I167)))</f>
        <v>0</v>
      </c>
      <c r="O168" s="86">
        <v>0</v>
      </c>
      <c r="P168" s="86">
        <v>0</v>
      </c>
      <c r="Q168" s="86">
        <v>0</v>
      </c>
      <c r="T168" s="86">
        <v>0</v>
      </c>
      <c r="U168" s="86">
        <v>0</v>
      </c>
      <c r="V168" s="86">
        <v>0</v>
      </c>
    </row>
    <row r="169" spans="1:22" s="80" customFormat="1" ht="15">
      <c r="A169" s="72">
        <f t="shared" si="87"/>
        <v>7</v>
      </c>
      <c r="B169" s="73">
        <f t="shared" si="77"/>
        <v>42917</v>
      </c>
      <c r="C169" s="74">
        <v>6</v>
      </c>
      <c r="D169" s="75">
        <f t="shared" si="78"/>
        <v>0</v>
      </c>
      <c r="E169" s="75">
        <f t="shared" si="79"/>
        <v>0</v>
      </c>
      <c r="F169" s="75">
        <f t="shared" si="80"/>
        <v>0</v>
      </c>
      <c r="G169" s="75">
        <f t="shared" si="81"/>
        <v>0</v>
      </c>
      <c r="H169" s="75">
        <f t="shared" si="82"/>
        <v>0</v>
      </c>
      <c r="I169" s="75">
        <f t="shared" si="83"/>
        <v>0</v>
      </c>
      <c r="J169" s="75">
        <f t="shared" si="84"/>
        <v>0</v>
      </c>
      <c r="K169" s="75">
        <f t="shared" si="85"/>
        <v>0</v>
      </c>
      <c r="L169" s="75">
        <f t="shared" si="86"/>
        <v>0</v>
      </c>
      <c r="M169" s="75">
        <f>('Plant &amp; Book Depr Form 2.0'!$F$109/12)*((D169+G169)-(F169+I169))/2+('Plant &amp; Book Depr Form 2.0'!$F$109/12)*((SUM(D163:D168)+SUM(G163:G168))-(SUM(F163:F168)+SUM(I163:I168)))</f>
        <v>0</v>
      </c>
      <c r="O169" s="86">
        <v>0</v>
      </c>
      <c r="P169" s="86">
        <v>0</v>
      </c>
      <c r="Q169" s="86">
        <v>0</v>
      </c>
      <c r="T169" s="86">
        <v>0</v>
      </c>
      <c r="U169" s="86">
        <v>0</v>
      </c>
      <c r="V169" s="86">
        <v>0</v>
      </c>
    </row>
    <row r="170" spans="1:22" s="80" customFormat="1" ht="15">
      <c r="A170" s="72">
        <f t="shared" si="87"/>
        <v>8</v>
      </c>
      <c r="B170" s="73">
        <f t="shared" si="77"/>
        <v>42948</v>
      </c>
      <c r="C170" s="74">
        <v>5</v>
      </c>
      <c r="D170" s="75">
        <f t="shared" si="78"/>
        <v>0</v>
      </c>
      <c r="E170" s="75">
        <f t="shared" si="79"/>
        <v>0</v>
      </c>
      <c r="F170" s="75">
        <f t="shared" si="80"/>
        <v>0</v>
      </c>
      <c r="G170" s="75">
        <f t="shared" si="81"/>
        <v>0</v>
      </c>
      <c r="H170" s="75">
        <f t="shared" si="82"/>
        <v>0</v>
      </c>
      <c r="I170" s="75">
        <f t="shared" si="83"/>
        <v>0</v>
      </c>
      <c r="J170" s="75">
        <f t="shared" si="84"/>
        <v>0</v>
      </c>
      <c r="K170" s="75">
        <f t="shared" si="85"/>
        <v>0</v>
      </c>
      <c r="L170" s="75">
        <f t="shared" si="86"/>
        <v>0</v>
      </c>
      <c r="M170" s="75">
        <f>('Plant &amp; Book Depr Form 2.0'!$F$109/12)*((D170+G170)-(F170+I170))/2+('Plant &amp; Book Depr Form 2.0'!$F$109/12)*((SUM(D163:D169)+SUM(G163:G169))-(SUM(F163:F169)+SUM(I163:I169)))</f>
        <v>0</v>
      </c>
      <c r="O170" s="86">
        <v>0</v>
      </c>
      <c r="P170" s="86">
        <v>0</v>
      </c>
      <c r="Q170" s="86">
        <v>0</v>
      </c>
      <c r="T170" s="86">
        <v>0</v>
      </c>
      <c r="U170" s="86">
        <v>0</v>
      </c>
      <c r="V170" s="86">
        <v>0</v>
      </c>
    </row>
    <row r="171" spans="1:22" s="80" customFormat="1" ht="15">
      <c r="A171" s="72">
        <f t="shared" si="87"/>
        <v>9</v>
      </c>
      <c r="B171" s="73">
        <f t="shared" si="77"/>
        <v>42979</v>
      </c>
      <c r="C171" s="74">
        <v>4</v>
      </c>
      <c r="D171" s="75">
        <f t="shared" si="78"/>
        <v>210921</v>
      </c>
      <c r="E171" s="75">
        <f t="shared" si="79"/>
        <v>0</v>
      </c>
      <c r="F171" s="75">
        <f t="shared" si="80"/>
        <v>0</v>
      </c>
      <c r="G171" s="75">
        <f t="shared" si="81"/>
        <v>0</v>
      </c>
      <c r="H171" s="75">
        <f t="shared" si="82"/>
        <v>0</v>
      </c>
      <c r="I171" s="75">
        <f t="shared" si="83"/>
        <v>0</v>
      </c>
      <c r="J171" s="75">
        <f t="shared" si="84"/>
        <v>0</v>
      </c>
      <c r="K171" s="75">
        <f t="shared" si="85"/>
        <v>0</v>
      </c>
      <c r="L171" s="75">
        <f t="shared" si="86"/>
        <v>0</v>
      </c>
      <c r="M171" s="75">
        <f>('Plant &amp; Book Depr Form 2.0'!$F$109/12)*((D171+G171)-(F171+I171))/2+('Plant &amp; Book Depr Form 2.0'!$F$109/12)*((SUM(D163:D170)+SUM(G163:G170))-(SUM(F163:F170)+SUM(I163:I170)))</f>
        <v>275.0761375</v>
      </c>
      <c r="O171" s="86">
        <v>0</v>
      </c>
      <c r="P171" s="86">
        <v>0</v>
      </c>
      <c r="Q171" s="86">
        <v>0</v>
      </c>
      <c r="T171" s="86">
        <v>210920.87</v>
      </c>
      <c r="U171" s="86">
        <v>0</v>
      </c>
      <c r="V171" s="86">
        <v>0</v>
      </c>
    </row>
    <row r="172" spans="1:22" s="80" customFormat="1" ht="15">
      <c r="A172" s="72">
        <f t="shared" si="87"/>
        <v>10</v>
      </c>
      <c r="B172" s="73">
        <f t="shared" si="77"/>
        <v>43009</v>
      </c>
      <c r="C172" s="74">
        <v>3</v>
      </c>
      <c r="D172" s="75">
        <f t="shared" si="78"/>
        <v>0</v>
      </c>
      <c r="E172" s="75">
        <f t="shared" si="79"/>
        <v>0</v>
      </c>
      <c r="F172" s="75">
        <f t="shared" si="80"/>
        <v>0</v>
      </c>
      <c r="G172" s="75">
        <f t="shared" si="81"/>
        <v>0</v>
      </c>
      <c r="H172" s="75">
        <f t="shared" si="82"/>
        <v>0</v>
      </c>
      <c r="I172" s="75">
        <f t="shared" si="83"/>
        <v>0</v>
      </c>
      <c r="J172" s="75">
        <f t="shared" si="84"/>
        <v>0</v>
      </c>
      <c r="K172" s="75">
        <f t="shared" si="85"/>
        <v>0</v>
      </c>
      <c r="L172" s="75">
        <f t="shared" si="86"/>
        <v>0</v>
      </c>
      <c r="M172" s="75">
        <f>('Plant &amp; Book Depr Form 2.0'!$F$109/12)*((D172+G172)-(F172+I172))/2+('Plant &amp; Book Depr Form 2.0'!$F$109/12)*((SUM(D163:D171)+SUM(G163:G171))-(SUM(F163:F171)+SUM(I163:I171)))</f>
        <v>550.152275</v>
      </c>
      <c r="O172" s="86">
        <v>0</v>
      </c>
      <c r="P172" s="86">
        <v>0</v>
      </c>
      <c r="Q172" s="86">
        <v>0</v>
      </c>
      <c r="T172" s="86">
        <v>0</v>
      </c>
      <c r="U172" s="86">
        <v>0</v>
      </c>
      <c r="V172" s="86">
        <v>0</v>
      </c>
    </row>
    <row r="173" spans="1:22" s="80" customFormat="1" ht="15">
      <c r="A173" s="72">
        <f t="shared" si="87"/>
        <v>11</v>
      </c>
      <c r="B173" s="73">
        <f t="shared" si="77"/>
        <v>43040</v>
      </c>
      <c r="C173" s="74">
        <v>2</v>
      </c>
      <c r="D173" s="75">
        <f t="shared" si="78"/>
        <v>2460</v>
      </c>
      <c r="E173" s="75">
        <f t="shared" si="79"/>
        <v>0</v>
      </c>
      <c r="F173" s="75">
        <f t="shared" si="80"/>
        <v>0</v>
      </c>
      <c r="G173" s="75">
        <f t="shared" si="81"/>
        <v>0</v>
      </c>
      <c r="H173" s="75">
        <f t="shared" si="82"/>
        <v>0</v>
      </c>
      <c r="I173" s="75">
        <f t="shared" si="83"/>
        <v>0</v>
      </c>
      <c r="J173" s="75">
        <f t="shared" si="84"/>
        <v>0</v>
      </c>
      <c r="K173" s="75">
        <f t="shared" si="85"/>
        <v>0</v>
      </c>
      <c r="L173" s="75">
        <f t="shared" si="86"/>
        <v>0</v>
      </c>
      <c r="M173" s="75">
        <f>('Plant &amp; Book Depr Form 2.0'!$F$109/12)*((D173+G173)-(F173+I173))/2+('Plant &amp; Book Depr Form 2.0'!$F$109/12)*((SUM(D163:D172)+SUM(G163:G172))-(SUM(F163:F172)+SUM(I163:I172)))</f>
        <v>553.360525</v>
      </c>
      <c r="O173" s="86">
        <v>0</v>
      </c>
      <c r="P173" s="86">
        <v>0</v>
      </c>
      <c r="Q173" s="86">
        <v>0</v>
      </c>
      <c r="T173" s="86">
        <v>2460.000000000008</v>
      </c>
      <c r="U173" s="86">
        <v>0</v>
      </c>
      <c r="V173" s="86">
        <v>0</v>
      </c>
    </row>
    <row r="174" spans="1:22" s="80" customFormat="1" ht="16.5">
      <c r="A174" s="72">
        <f t="shared" si="87"/>
        <v>12</v>
      </c>
      <c r="B174" s="73">
        <f t="shared" si="77"/>
        <v>43070</v>
      </c>
      <c r="C174" s="74">
        <v>1</v>
      </c>
      <c r="D174" s="76">
        <f t="shared" si="78"/>
        <v>0</v>
      </c>
      <c r="E174" s="76">
        <f t="shared" si="79"/>
        <v>0</v>
      </c>
      <c r="F174" s="76">
        <f t="shared" si="80"/>
        <v>0</v>
      </c>
      <c r="G174" s="76">
        <f t="shared" si="81"/>
        <v>0</v>
      </c>
      <c r="H174" s="76">
        <f t="shared" si="82"/>
        <v>0</v>
      </c>
      <c r="I174" s="76">
        <f t="shared" si="83"/>
        <v>0</v>
      </c>
      <c r="J174" s="76">
        <f t="shared" si="84"/>
        <v>0</v>
      </c>
      <c r="K174" s="76">
        <f t="shared" si="85"/>
        <v>0</v>
      </c>
      <c r="L174" s="76">
        <f t="shared" si="86"/>
        <v>0</v>
      </c>
      <c r="M174" s="76">
        <f>('Plant &amp; Book Depr Form 2.0'!$F$109/12)*((D174+G174)-(F174+I174))/2+('Plant &amp; Book Depr Form 2.0'!$F$109/12)*((SUM(D163:D173)+SUM(G163:G173))-(SUM(F163:F173)+SUM(I163:I173)))</f>
        <v>556.5687750000001</v>
      </c>
      <c r="O174" s="90">
        <v>0</v>
      </c>
      <c r="P174" s="90">
        <v>0</v>
      </c>
      <c r="Q174" s="90">
        <v>0</v>
      </c>
      <c r="T174" s="90">
        <v>0</v>
      </c>
      <c r="U174" s="90">
        <v>0</v>
      </c>
      <c r="V174" s="90">
        <v>0</v>
      </c>
    </row>
    <row r="175" spans="1:22" s="80" customFormat="1" ht="15">
      <c r="A175" s="72">
        <f t="shared" si="87"/>
        <v>13</v>
      </c>
      <c r="B175" s="65"/>
      <c r="C175" s="78"/>
      <c r="D175" s="75">
        <f aca="true" t="shared" si="88" ref="D175:M175">SUM(D163:D174)</f>
        <v>213381</v>
      </c>
      <c r="E175" s="74">
        <f t="shared" si="88"/>
        <v>0</v>
      </c>
      <c r="F175" s="74">
        <f t="shared" si="88"/>
        <v>0</v>
      </c>
      <c r="G175" s="75">
        <f t="shared" si="88"/>
        <v>0</v>
      </c>
      <c r="H175" s="74">
        <f t="shared" si="88"/>
        <v>0</v>
      </c>
      <c r="I175" s="74">
        <f t="shared" si="88"/>
        <v>0</v>
      </c>
      <c r="J175" s="74">
        <f t="shared" si="88"/>
        <v>0</v>
      </c>
      <c r="K175" s="74">
        <f t="shared" si="88"/>
        <v>0</v>
      </c>
      <c r="L175" s="74">
        <f t="shared" si="88"/>
        <v>0</v>
      </c>
      <c r="M175" s="74">
        <f t="shared" si="88"/>
        <v>1935.1577125000003</v>
      </c>
      <c r="O175" s="103">
        <f>SUM(O163:O174)</f>
        <v>0</v>
      </c>
      <c r="P175" s="103">
        <f>SUM(P163:P174)</f>
        <v>0</v>
      </c>
      <c r="Q175" s="103">
        <f>SUM(Q163:Q174)</f>
        <v>0</v>
      </c>
      <c r="T175" s="103">
        <f>SUM(T163:T174)</f>
        <v>213380.87</v>
      </c>
      <c r="U175" s="103">
        <f>SUM(U163:U174)</f>
        <v>0</v>
      </c>
      <c r="V175" s="103">
        <f>SUM(V163:V174)</f>
        <v>0</v>
      </c>
    </row>
    <row r="176" spans="1:22" s="80" customFormat="1" ht="15">
      <c r="A176" s="72"/>
      <c r="B176" s="65"/>
      <c r="C176" s="78"/>
      <c r="D176" s="75"/>
      <c r="E176" s="74"/>
      <c r="F176" s="74"/>
      <c r="G176" s="75"/>
      <c r="H176" s="74"/>
      <c r="I176" s="74"/>
      <c r="J176" s="74"/>
      <c r="K176" s="74"/>
      <c r="L176" s="74"/>
      <c r="M176" s="74"/>
      <c r="O176" s="103"/>
      <c r="P176" s="103"/>
      <c r="Q176" s="103"/>
      <c r="T176" s="103"/>
      <c r="U176" s="103"/>
      <c r="V176" s="103"/>
    </row>
    <row r="177" spans="1:38" ht="15">
      <c r="A177" s="72"/>
      <c r="C177" s="78"/>
      <c r="D177" s="75"/>
      <c r="E177" s="74"/>
      <c r="F177" s="74"/>
      <c r="G177" s="75"/>
      <c r="H177" s="74"/>
      <c r="I177" s="74"/>
      <c r="J177" s="75"/>
      <c r="K177" s="75"/>
      <c r="O177" s="80"/>
      <c r="P177" s="80"/>
      <c r="Q177" s="80"/>
      <c r="R177" s="80"/>
      <c r="S177" s="80"/>
      <c r="T177" s="94">
        <v>0</v>
      </c>
      <c r="U177" s="94"/>
      <c r="V177" s="94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</row>
    <row r="178" spans="1:14" ht="77.25">
      <c r="A178" s="72"/>
      <c r="D178" s="69" t="s">
        <v>204</v>
      </c>
      <c r="E178" s="69" t="s">
        <v>205</v>
      </c>
      <c r="F178" s="69" t="s">
        <v>221</v>
      </c>
      <c r="G178" s="75"/>
      <c r="J178" s="69" t="s">
        <v>206</v>
      </c>
      <c r="K178" s="69" t="s">
        <v>207</v>
      </c>
      <c r="L178" s="69" t="s">
        <v>222</v>
      </c>
      <c r="M178" s="74"/>
      <c r="N178" s="74"/>
    </row>
    <row r="179" spans="1:14" ht="15">
      <c r="A179" s="72">
        <f>+A175+1</f>
        <v>14</v>
      </c>
      <c r="B179" s="240" t="s">
        <v>220</v>
      </c>
      <c r="C179" s="240"/>
      <c r="D179" s="74">
        <f>D175+G175</f>
        <v>213381</v>
      </c>
      <c r="E179" s="74">
        <f>F175+I175</f>
        <v>0</v>
      </c>
      <c r="F179" s="74">
        <f>D179-E179</f>
        <v>213381</v>
      </c>
      <c r="J179" s="74">
        <f>G175+J175</f>
        <v>0</v>
      </c>
      <c r="K179" s="74">
        <f>I175+L175</f>
        <v>0</v>
      </c>
      <c r="L179" s="74">
        <f>J179-K179</f>
        <v>0</v>
      </c>
      <c r="M179" s="74"/>
      <c r="N179" s="74"/>
    </row>
    <row r="180" spans="1:22" s="80" customFormat="1" ht="15">
      <c r="A180" s="72"/>
      <c r="B180" s="65"/>
      <c r="C180" s="78"/>
      <c r="D180" s="75"/>
      <c r="E180" s="75"/>
      <c r="F180" s="75"/>
      <c r="G180" s="75"/>
      <c r="H180" s="75"/>
      <c r="I180" s="75"/>
      <c r="J180" s="75"/>
      <c r="O180" s="103"/>
      <c r="P180" s="103"/>
      <c r="Q180" s="103"/>
      <c r="T180" s="103">
        <v>0</v>
      </c>
      <c r="U180" s="103"/>
      <c r="V180" s="103"/>
    </row>
    <row r="181" s="80" customFormat="1" ht="15">
      <c r="A181" s="198" t="s">
        <v>131</v>
      </c>
    </row>
    <row r="182" spans="1:4" s="80" customFormat="1" ht="18">
      <c r="A182" s="95" t="s">
        <v>289</v>
      </c>
      <c r="D182" s="103"/>
    </row>
    <row r="183" spans="1:7" ht="18">
      <c r="A183" s="95" t="s">
        <v>290</v>
      </c>
      <c r="G183" s="75"/>
    </row>
  </sheetData>
  <sheetProtection/>
  <mergeCells count="19">
    <mergeCell ref="A105:L105"/>
    <mergeCell ref="A106:L106"/>
    <mergeCell ref="A1:L1"/>
    <mergeCell ref="A2:L2"/>
    <mergeCell ref="A3:L3"/>
    <mergeCell ref="A52:L52"/>
    <mergeCell ref="A53:L53"/>
    <mergeCell ref="A54:L54"/>
    <mergeCell ref="B25:C25"/>
    <mergeCell ref="B179:C179"/>
    <mergeCell ref="B150:C150"/>
    <mergeCell ref="B128:C128"/>
    <mergeCell ref="B99:C99"/>
    <mergeCell ref="B77:C77"/>
    <mergeCell ref="B47:C47"/>
    <mergeCell ref="A155:L155"/>
    <mergeCell ref="A156:L156"/>
    <mergeCell ref="A157:L157"/>
    <mergeCell ref="A104:L104"/>
  </mergeCells>
  <printOptions horizontalCentered="1"/>
  <pageMargins left="0" right="0" top="0.5" bottom="0.5" header="0.5" footer="0.5"/>
  <pageSetup fitToHeight="4" horizontalDpi="600" verticalDpi="600" orientation="landscape" scale="55" r:id="rId3"/>
  <rowBreaks count="3" manualBreakCount="3">
    <brk id="51" max="12" man="1"/>
    <brk id="103" max="12" man="1"/>
    <brk id="154" max="12" man="1"/>
  </rowBreaks>
  <ignoredErrors>
    <ignoredError sqref="K112:K123 H112:H123 E112:E123 E134:E145 H134:H145 K134:K145 E31:E42 H31:H42 K31:K42 E61:E72 H61:H72 K61:K72 E83:E94 H83:H94 K83:K94 E163:E174 H163:H174 K163:K174 G31:G42 J31:J42 G61:G72 J61:J72 G83:G94 J83:J94 G112:G123 J112:J123 G134:G145 J134:J145 G163:G174 J163:J174" 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D9" sqref="D9:D10"/>
    </sheetView>
  </sheetViews>
  <sheetFormatPr defaultColWidth="8.8515625" defaultRowHeight="12.75"/>
  <cols>
    <col min="1" max="1" width="53.140625" style="3" bestFit="1" customWidth="1"/>
    <col min="2" max="3" width="10.57421875" style="3" customWidth="1"/>
    <col min="4" max="4" width="20.57421875" style="3" customWidth="1"/>
    <col min="5" max="5" width="10.421875" style="3" bestFit="1" customWidth="1"/>
    <col min="6" max="6" width="14.57421875" style="3" bestFit="1" customWidth="1"/>
    <col min="7" max="7" width="11.421875" style="3" bestFit="1" customWidth="1"/>
    <col min="8" max="8" width="10.421875" style="3" bestFit="1" customWidth="1"/>
    <col min="9" max="16384" width="8.8515625" style="3" customWidth="1"/>
  </cols>
  <sheetData>
    <row r="1" ht="12.75">
      <c r="D1" s="124" t="s">
        <v>255</v>
      </c>
    </row>
    <row r="2" spans="1:7" ht="12.75">
      <c r="A2" s="235" t="s">
        <v>12</v>
      </c>
      <c r="B2" s="235"/>
      <c r="C2" s="235"/>
      <c r="D2" s="235"/>
      <c r="E2" s="132"/>
      <c r="F2" s="132"/>
      <c r="G2" s="132"/>
    </row>
    <row r="3" spans="1:7" ht="12.75">
      <c r="A3" s="235" t="s">
        <v>257</v>
      </c>
      <c r="B3" s="235"/>
      <c r="C3" s="235"/>
      <c r="D3" s="235"/>
      <c r="E3" s="132"/>
      <c r="F3" s="132"/>
      <c r="G3" s="132"/>
    </row>
    <row r="4" spans="1:7" ht="12.75">
      <c r="A4" s="235" t="s">
        <v>137</v>
      </c>
      <c r="B4" s="235"/>
      <c r="C4" s="235"/>
      <c r="D4" s="235"/>
      <c r="E4" s="132"/>
      <c r="F4" s="132"/>
      <c r="G4" s="132"/>
    </row>
    <row r="7" ht="12.75">
      <c r="D7" s="11" t="s">
        <v>138</v>
      </c>
    </row>
    <row r="8" ht="12.75">
      <c r="D8" s="1" t="s">
        <v>13</v>
      </c>
    </row>
    <row r="9" spans="1:8" ht="12">
      <c r="A9" s="35" t="s">
        <v>315</v>
      </c>
      <c r="D9" s="204">
        <v>2617806.5</v>
      </c>
      <c r="F9" s="118"/>
      <c r="G9" s="119"/>
      <c r="H9" s="43"/>
    </row>
    <row r="10" spans="1:7" ht="13.5">
      <c r="A10" s="35" t="s">
        <v>232</v>
      </c>
      <c r="D10" s="233">
        <v>2886706</v>
      </c>
      <c r="F10" s="118"/>
      <c r="G10" s="27"/>
    </row>
    <row r="11" spans="1:7" ht="12">
      <c r="A11" s="35" t="s">
        <v>248</v>
      </c>
      <c r="D11" s="43">
        <f>IF(+D9-D10&lt;0,+D9-D10,0)</f>
        <v>-268899.5</v>
      </c>
      <c r="F11" s="118"/>
      <c r="G11" s="27"/>
    </row>
  </sheetData>
  <sheetProtection/>
  <mergeCells count="3">
    <mergeCell ref="A2:D2"/>
    <mergeCell ref="A3:D3"/>
    <mergeCell ref="A4:D4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90" zoomScaleNormal="90" zoomScalePageLayoutView="0" workbookViewId="0" topLeftCell="A1">
      <selection activeCell="O35" sqref="O35"/>
    </sheetView>
  </sheetViews>
  <sheetFormatPr defaultColWidth="8.8515625" defaultRowHeight="12.75"/>
  <cols>
    <col min="1" max="1" width="29.57421875" style="3" bestFit="1" customWidth="1"/>
    <col min="2" max="2" width="9.57421875" style="3" bestFit="1" customWidth="1"/>
    <col min="3" max="5" width="10.140625" style="3" bestFit="1" customWidth="1"/>
    <col min="6" max="6" width="9.8515625" style="3" bestFit="1" customWidth="1"/>
    <col min="7" max="7" width="9.421875" style="3" bestFit="1" customWidth="1"/>
    <col min="8" max="8" width="9.8515625" style="3" bestFit="1" customWidth="1"/>
    <col min="9" max="9" width="10.140625" style="3" bestFit="1" customWidth="1"/>
    <col min="10" max="10" width="9.8515625" style="3" bestFit="1" customWidth="1"/>
    <col min="11" max="12" width="9.57421875" style="3" bestFit="1" customWidth="1"/>
    <col min="13" max="13" width="10.140625" style="3" bestFit="1" customWidth="1"/>
    <col min="14" max="14" width="15.00390625" style="3" bestFit="1" customWidth="1"/>
    <col min="15" max="16" width="9.57421875" style="3" bestFit="1" customWidth="1"/>
    <col min="17" max="18" width="9.57421875" style="3" customWidth="1"/>
    <col min="19" max="16384" width="8.8515625" style="3" customWidth="1"/>
  </cols>
  <sheetData>
    <row r="1" spans="1:14" ht="12.75">
      <c r="A1" s="235" t="s">
        <v>12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124" t="s">
        <v>253</v>
      </c>
    </row>
    <row r="2" spans="1:14" ht="12.75">
      <c r="A2" s="235" t="s">
        <v>254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132"/>
    </row>
    <row r="3" spans="1:14" ht="12.75">
      <c r="A3" s="235" t="s">
        <v>316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133"/>
    </row>
    <row r="4" spans="1:8" ht="12.75">
      <c r="A4" s="1"/>
      <c r="B4" s="1"/>
      <c r="C4" s="1"/>
      <c r="D4" s="1"/>
      <c r="E4" s="1"/>
      <c r="F4" s="1"/>
      <c r="G4" s="1"/>
      <c r="H4" s="1"/>
    </row>
    <row r="5" spans="4:8" ht="12.75">
      <c r="D5" s="1"/>
      <c r="E5" s="1"/>
      <c r="F5" s="1"/>
      <c r="G5" s="1"/>
      <c r="H5" s="1"/>
    </row>
    <row r="6" spans="2:18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  <c r="Q6" s="1"/>
      <c r="R6" s="1"/>
    </row>
    <row r="7" spans="1:18" ht="12.75">
      <c r="A7" s="134" t="s">
        <v>79</v>
      </c>
      <c r="B7" s="105" t="s">
        <v>146</v>
      </c>
      <c r="C7" s="105" t="s">
        <v>147</v>
      </c>
      <c r="D7" s="105" t="s">
        <v>148</v>
      </c>
      <c r="E7" s="105" t="s">
        <v>149</v>
      </c>
      <c r="F7" s="105" t="s">
        <v>150</v>
      </c>
      <c r="G7" s="105" t="s">
        <v>151</v>
      </c>
      <c r="H7" s="105" t="s">
        <v>152</v>
      </c>
      <c r="I7" s="105" t="s">
        <v>153</v>
      </c>
      <c r="J7" s="105" t="s">
        <v>154</v>
      </c>
      <c r="K7" s="105" t="s">
        <v>155</v>
      </c>
      <c r="L7" s="105" t="s">
        <v>156</v>
      </c>
      <c r="M7" s="105" t="s">
        <v>157</v>
      </c>
      <c r="N7" s="11" t="s">
        <v>9</v>
      </c>
      <c r="P7" s="105"/>
      <c r="Q7" s="105"/>
      <c r="R7" s="105"/>
    </row>
    <row r="8" spans="1:13" ht="12.75">
      <c r="A8" s="13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4" s="107" customFormat="1" ht="12">
      <c r="A9" s="136" t="s">
        <v>105</v>
      </c>
      <c r="B9" s="20">
        <f>B22</f>
        <v>106297</v>
      </c>
      <c r="C9" s="20">
        <f aca="true" t="shared" si="0" ref="C9:M9">C22</f>
        <v>106439</v>
      </c>
      <c r="D9" s="20">
        <f t="shared" si="0"/>
        <v>106333</v>
      </c>
      <c r="E9" s="20">
        <f t="shared" si="0"/>
        <v>106338</v>
      </c>
      <c r="F9" s="20">
        <f t="shared" si="0"/>
        <v>106382</v>
      </c>
      <c r="G9" s="20">
        <f t="shared" si="0"/>
        <v>106367</v>
      </c>
      <c r="H9" s="20">
        <f t="shared" si="0"/>
        <v>106300</v>
      </c>
      <c r="I9" s="20">
        <f t="shared" si="0"/>
        <v>106313</v>
      </c>
      <c r="J9" s="20">
        <f t="shared" si="0"/>
        <v>106421</v>
      </c>
      <c r="K9" s="20">
        <f t="shared" si="0"/>
        <v>106768</v>
      </c>
      <c r="L9" s="20">
        <f t="shared" si="0"/>
        <v>107321</v>
      </c>
      <c r="M9" s="20">
        <f t="shared" si="0"/>
        <v>108355</v>
      </c>
      <c r="N9" s="107">
        <f aca="true" t="shared" si="1" ref="N9:N16">SUM(B9:M9)</f>
        <v>1279634</v>
      </c>
    </row>
    <row r="10" spans="1:14" s="107" customFormat="1" ht="12">
      <c r="A10" s="136" t="s">
        <v>106</v>
      </c>
      <c r="B10" s="20">
        <f>B26</f>
        <v>16634</v>
      </c>
      <c r="C10" s="20">
        <f aca="true" t="shared" si="2" ref="C10:M10">C26</f>
        <v>16528</v>
      </c>
      <c r="D10" s="20">
        <f t="shared" si="2"/>
        <v>16622</v>
      </c>
      <c r="E10" s="20">
        <f t="shared" si="2"/>
        <v>16566</v>
      </c>
      <c r="F10" s="20">
        <f t="shared" si="2"/>
        <v>16479</v>
      </c>
      <c r="G10" s="20">
        <f t="shared" si="2"/>
        <v>16388</v>
      </c>
      <c r="H10" s="20">
        <f t="shared" si="2"/>
        <v>16288</v>
      </c>
      <c r="I10" s="20">
        <f t="shared" si="2"/>
        <v>16154</v>
      </c>
      <c r="J10" s="20">
        <f t="shared" si="2"/>
        <v>16052</v>
      </c>
      <c r="K10" s="20">
        <f t="shared" si="2"/>
        <v>15949</v>
      </c>
      <c r="L10" s="20">
        <f t="shared" si="2"/>
        <v>15994</v>
      </c>
      <c r="M10" s="20">
        <f t="shared" si="2"/>
        <v>15552</v>
      </c>
      <c r="N10" s="107">
        <f t="shared" si="1"/>
        <v>195206</v>
      </c>
    </row>
    <row r="11" spans="1:14" s="107" customFormat="1" ht="12">
      <c r="A11" s="136" t="s">
        <v>107</v>
      </c>
      <c r="B11" s="20">
        <f>B21+B29</f>
        <v>11178</v>
      </c>
      <c r="C11" s="20">
        <f aca="true" t="shared" si="3" ref="C11:M11">C21+C29</f>
        <v>11209</v>
      </c>
      <c r="D11" s="20">
        <f t="shared" si="3"/>
        <v>11168</v>
      </c>
      <c r="E11" s="20">
        <f t="shared" si="3"/>
        <v>11082</v>
      </c>
      <c r="F11" s="20">
        <f t="shared" si="3"/>
        <v>11048</v>
      </c>
      <c r="G11" s="20">
        <f t="shared" si="3"/>
        <v>11009</v>
      </c>
      <c r="H11" s="20">
        <f t="shared" si="3"/>
        <v>10989</v>
      </c>
      <c r="I11" s="20">
        <f t="shared" si="3"/>
        <v>10967</v>
      </c>
      <c r="J11" s="20">
        <f t="shared" si="3"/>
        <v>10956</v>
      </c>
      <c r="K11" s="20">
        <f t="shared" si="3"/>
        <v>10994</v>
      </c>
      <c r="L11" s="20">
        <f t="shared" si="3"/>
        <v>11106</v>
      </c>
      <c r="M11" s="20">
        <f t="shared" si="3"/>
        <v>11258</v>
      </c>
      <c r="N11" s="107">
        <f t="shared" si="1"/>
        <v>132964</v>
      </c>
    </row>
    <row r="12" spans="1:14" s="107" customFormat="1" ht="12">
      <c r="A12" s="136" t="s">
        <v>108</v>
      </c>
      <c r="B12" s="20">
        <f>B37</f>
        <v>21</v>
      </c>
      <c r="C12" s="20">
        <f aca="true" t="shared" si="4" ref="C12:M12">C37</f>
        <v>20</v>
      </c>
      <c r="D12" s="20">
        <f t="shared" si="4"/>
        <v>20</v>
      </c>
      <c r="E12" s="20">
        <f t="shared" si="4"/>
        <v>20</v>
      </c>
      <c r="F12" s="20">
        <f t="shared" si="4"/>
        <v>20</v>
      </c>
      <c r="G12" s="20">
        <f t="shared" si="4"/>
        <v>20</v>
      </c>
      <c r="H12" s="20">
        <f t="shared" si="4"/>
        <v>20</v>
      </c>
      <c r="I12" s="20">
        <f t="shared" si="4"/>
        <v>20</v>
      </c>
      <c r="J12" s="20">
        <f t="shared" si="4"/>
        <v>20</v>
      </c>
      <c r="K12" s="20">
        <f t="shared" si="4"/>
        <v>20</v>
      </c>
      <c r="L12" s="20">
        <f t="shared" si="4"/>
        <v>23</v>
      </c>
      <c r="M12" s="20">
        <f t="shared" si="4"/>
        <v>23</v>
      </c>
      <c r="N12" s="107">
        <f t="shared" si="1"/>
        <v>247</v>
      </c>
    </row>
    <row r="13" spans="1:14" s="107" customFormat="1" ht="12">
      <c r="A13" s="136" t="s">
        <v>109</v>
      </c>
      <c r="B13" s="20">
        <f>B25+B33</f>
        <v>2912</v>
      </c>
      <c r="C13" s="20">
        <f aca="true" t="shared" si="5" ref="C13:M13">C25+C33</f>
        <v>2895</v>
      </c>
      <c r="D13" s="20">
        <f t="shared" si="5"/>
        <v>2883</v>
      </c>
      <c r="E13" s="20">
        <f t="shared" si="5"/>
        <v>2874</v>
      </c>
      <c r="F13" s="20">
        <f t="shared" si="5"/>
        <v>2866</v>
      </c>
      <c r="G13" s="20">
        <f t="shared" si="5"/>
        <v>2853</v>
      </c>
      <c r="H13" s="20">
        <f t="shared" si="5"/>
        <v>2846</v>
      </c>
      <c r="I13" s="20">
        <f t="shared" si="5"/>
        <v>2832</v>
      </c>
      <c r="J13" s="20">
        <f t="shared" si="5"/>
        <v>2824</v>
      </c>
      <c r="K13" s="20">
        <f t="shared" si="5"/>
        <v>2814</v>
      </c>
      <c r="L13" s="20">
        <f t="shared" si="5"/>
        <v>2804</v>
      </c>
      <c r="M13" s="20">
        <f t="shared" si="5"/>
        <v>2788</v>
      </c>
      <c r="N13" s="107">
        <f t="shared" si="1"/>
        <v>34191</v>
      </c>
    </row>
    <row r="14" spans="1:14" s="107" customFormat="1" ht="12">
      <c r="A14" s="136" t="s">
        <v>110</v>
      </c>
      <c r="B14" s="20">
        <f>B30</f>
        <v>2</v>
      </c>
      <c r="C14" s="20">
        <f aca="true" t="shared" si="6" ref="C14:M14">C30</f>
        <v>2</v>
      </c>
      <c r="D14" s="20">
        <f t="shared" si="6"/>
        <v>2</v>
      </c>
      <c r="E14" s="20">
        <f t="shared" si="6"/>
        <v>2</v>
      </c>
      <c r="F14" s="20">
        <f t="shared" si="6"/>
        <v>2</v>
      </c>
      <c r="G14" s="20">
        <f t="shared" si="6"/>
        <v>2</v>
      </c>
      <c r="H14" s="20">
        <f t="shared" si="6"/>
        <v>2</v>
      </c>
      <c r="I14" s="20">
        <f t="shared" si="6"/>
        <v>2</v>
      </c>
      <c r="J14" s="20">
        <f t="shared" si="6"/>
        <v>2</v>
      </c>
      <c r="K14" s="20">
        <f t="shared" si="6"/>
        <v>2</v>
      </c>
      <c r="L14" s="20">
        <f t="shared" si="6"/>
        <v>2</v>
      </c>
      <c r="M14" s="20">
        <f t="shared" si="6"/>
        <v>2</v>
      </c>
      <c r="N14" s="107">
        <f t="shared" si="1"/>
        <v>24</v>
      </c>
    </row>
    <row r="15" spans="1:14" s="107" customFormat="1" ht="12">
      <c r="A15" s="136" t="s">
        <v>111</v>
      </c>
      <c r="B15" s="20">
        <f>B36</f>
        <v>70</v>
      </c>
      <c r="C15" s="20">
        <f aca="true" t="shared" si="7" ref="C15:M15">C36</f>
        <v>69</v>
      </c>
      <c r="D15" s="20">
        <f t="shared" si="7"/>
        <v>69</v>
      </c>
      <c r="E15" s="20">
        <f t="shared" si="7"/>
        <v>70</v>
      </c>
      <c r="F15" s="20">
        <f t="shared" si="7"/>
        <v>70</v>
      </c>
      <c r="G15" s="20">
        <f t="shared" si="7"/>
        <v>70</v>
      </c>
      <c r="H15" s="20">
        <f t="shared" si="7"/>
        <v>70</v>
      </c>
      <c r="I15" s="20">
        <f t="shared" si="7"/>
        <v>70</v>
      </c>
      <c r="J15" s="20">
        <f t="shared" si="7"/>
        <v>70</v>
      </c>
      <c r="K15" s="20">
        <f t="shared" si="7"/>
        <v>70</v>
      </c>
      <c r="L15" s="20">
        <f t="shared" si="7"/>
        <v>66</v>
      </c>
      <c r="M15" s="20">
        <f t="shared" si="7"/>
        <v>66</v>
      </c>
      <c r="N15" s="107">
        <f t="shared" si="1"/>
        <v>830</v>
      </c>
    </row>
    <row r="16" spans="1:14" s="107" customFormat="1" ht="12">
      <c r="A16" s="136" t="s">
        <v>112</v>
      </c>
      <c r="B16" s="120">
        <f>B38</f>
        <v>0</v>
      </c>
      <c r="C16" s="120">
        <f aca="true" t="shared" si="8" ref="C16:M16">C38</f>
        <v>0</v>
      </c>
      <c r="D16" s="120">
        <f t="shared" si="8"/>
        <v>0</v>
      </c>
      <c r="E16" s="120">
        <f t="shared" si="8"/>
        <v>0</v>
      </c>
      <c r="F16" s="120">
        <f t="shared" si="8"/>
        <v>0</v>
      </c>
      <c r="G16" s="120">
        <f t="shared" si="8"/>
        <v>0</v>
      </c>
      <c r="H16" s="120">
        <f t="shared" si="8"/>
        <v>0</v>
      </c>
      <c r="I16" s="120">
        <f t="shared" si="8"/>
        <v>0</v>
      </c>
      <c r="J16" s="120">
        <f t="shared" si="8"/>
        <v>0</v>
      </c>
      <c r="K16" s="120">
        <f t="shared" si="8"/>
        <v>0</v>
      </c>
      <c r="L16" s="120">
        <f t="shared" si="8"/>
        <v>0</v>
      </c>
      <c r="M16" s="120">
        <f t="shared" si="8"/>
        <v>0</v>
      </c>
      <c r="N16" s="120">
        <f t="shared" si="1"/>
        <v>0</v>
      </c>
    </row>
    <row r="17" spans="1:14" s="107" customFormat="1" ht="12">
      <c r="A17" s="136" t="s">
        <v>9</v>
      </c>
      <c r="B17" s="20">
        <f aca="true" t="shared" si="9" ref="B17:M17">SUM(B9:B16)</f>
        <v>137114</v>
      </c>
      <c r="C17" s="20">
        <f t="shared" si="9"/>
        <v>137162</v>
      </c>
      <c r="D17" s="20">
        <f t="shared" si="9"/>
        <v>137097</v>
      </c>
      <c r="E17" s="20">
        <f t="shared" si="9"/>
        <v>136952</v>
      </c>
      <c r="F17" s="20">
        <f t="shared" si="9"/>
        <v>136867</v>
      </c>
      <c r="G17" s="20">
        <f t="shared" si="9"/>
        <v>136709</v>
      </c>
      <c r="H17" s="20">
        <f t="shared" si="9"/>
        <v>136515</v>
      </c>
      <c r="I17" s="20">
        <f t="shared" si="9"/>
        <v>136358</v>
      </c>
      <c r="J17" s="20">
        <f t="shared" si="9"/>
        <v>136345</v>
      </c>
      <c r="K17" s="20">
        <f t="shared" si="9"/>
        <v>136617</v>
      </c>
      <c r="L17" s="20">
        <f t="shared" si="9"/>
        <v>137316</v>
      </c>
      <c r="M17" s="20">
        <f t="shared" si="9"/>
        <v>138044</v>
      </c>
      <c r="N17" s="20">
        <f>SUM(N9:N16)</f>
        <v>1643096</v>
      </c>
    </row>
    <row r="18" spans="1:2" s="107" customFormat="1" ht="12">
      <c r="A18" s="136"/>
      <c r="B18" s="136"/>
    </row>
    <row r="19" spans="1:15" s="107" customFormat="1" ht="12.75">
      <c r="A19" s="136"/>
      <c r="B19" s="136"/>
      <c r="O19" s="1"/>
    </row>
    <row r="20" spans="1:15" s="107" customFormat="1" ht="12.75">
      <c r="A20" s="136" t="s">
        <v>113</v>
      </c>
      <c r="B20" s="136"/>
      <c r="O20" s="105"/>
    </row>
    <row r="21" spans="1:15" ht="12">
      <c r="A21" s="3" t="s">
        <v>114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O21" s="137"/>
    </row>
    <row r="22" spans="1:15" ht="12">
      <c r="A22" s="3" t="s">
        <v>115</v>
      </c>
      <c r="B22" s="39">
        <v>106297</v>
      </c>
      <c r="C22" s="39">
        <v>106439</v>
      </c>
      <c r="D22" s="39">
        <v>106333</v>
      </c>
      <c r="E22" s="39">
        <v>106338</v>
      </c>
      <c r="F22" s="39">
        <v>106382</v>
      </c>
      <c r="G22" s="39">
        <v>106367</v>
      </c>
      <c r="H22" s="39">
        <v>106300</v>
      </c>
      <c r="I22" s="39">
        <v>106313</v>
      </c>
      <c r="J22" s="39">
        <v>106421</v>
      </c>
      <c r="K22" s="39">
        <v>106768</v>
      </c>
      <c r="L22" s="39">
        <v>107321</v>
      </c>
      <c r="M22" s="39">
        <v>108355</v>
      </c>
      <c r="O22" s="137"/>
    </row>
    <row r="23" spans="2:15" ht="12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O23" s="137"/>
    </row>
    <row r="24" spans="1:15" ht="12">
      <c r="A24" s="136" t="s">
        <v>116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O24" s="137"/>
    </row>
    <row r="25" spans="1:15" ht="12">
      <c r="A25" s="3" t="s">
        <v>117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O25" s="137"/>
    </row>
    <row r="26" spans="1:15" ht="12">
      <c r="A26" s="3" t="s">
        <v>118</v>
      </c>
      <c r="B26" s="39">
        <v>16634</v>
      </c>
      <c r="C26" s="39">
        <v>16528</v>
      </c>
      <c r="D26" s="39">
        <v>16622</v>
      </c>
      <c r="E26" s="39">
        <v>16566</v>
      </c>
      <c r="F26" s="39">
        <v>16479</v>
      </c>
      <c r="G26" s="39">
        <v>16388</v>
      </c>
      <c r="H26" s="39">
        <v>16288</v>
      </c>
      <c r="I26" s="39">
        <v>16154</v>
      </c>
      <c r="J26" s="39">
        <v>16052</v>
      </c>
      <c r="K26" s="39">
        <v>15949</v>
      </c>
      <c r="L26" s="39">
        <v>15994</v>
      </c>
      <c r="M26" s="39">
        <v>15552</v>
      </c>
      <c r="O26" s="137"/>
    </row>
    <row r="27" spans="1:15" ht="12">
      <c r="A27" s="136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O27" s="137"/>
    </row>
    <row r="28" spans="1:15" ht="12">
      <c r="A28" s="136" t="s">
        <v>119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O28" s="137"/>
    </row>
    <row r="29" spans="1:15" ht="12">
      <c r="A29" s="136" t="s">
        <v>114</v>
      </c>
      <c r="B29" s="39">
        <v>11178</v>
      </c>
      <c r="C29" s="39">
        <v>11209</v>
      </c>
      <c r="D29" s="39">
        <v>11168</v>
      </c>
      <c r="E29" s="39">
        <v>11082</v>
      </c>
      <c r="F29" s="39">
        <v>11048</v>
      </c>
      <c r="G29" s="39">
        <v>11009</v>
      </c>
      <c r="H29" s="39">
        <v>10989</v>
      </c>
      <c r="I29" s="39">
        <v>10967</v>
      </c>
      <c r="J29" s="39">
        <v>10956</v>
      </c>
      <c r="K29" s="39">
        <v>10994</v>
      </c>
      <c r="L29" s="39">
        <v>11106</v>
      </c>
      <c r="M29" s="39">
        <v>11258</v>
      </c>
      <c r="O29" s="137"/>
    </row>
    <row r="30" spans="1:13" ht="12">
      <c r="A30" s="136" t="s">
        <v>120</v>
      </c>
      <c r="B30" s="39">
        <v>2</v>
      </c>
      <c r="C30" s="39">
        <v>2</v>
      </c>
      <c r="D30" s="39">
        <v>2</v>
      </c>
      <c r="E30" s="39">
        <v>2</v>
      </c>
      <c r="F30" s="39">
        <v>2</v>
      </c>
      <c r="G30" s="39">
        <v>2</v>
      </c>
      <c r="H30" s="39">
        <v>2</v>
      </c>
      <c r="I30" s="39">
        <v>2</v>
      </c>
      <c r="J30" s="39">
        <v>2</v>
      </c>
      <c r="K30" s="39">
        <v>2</v>
      </c>
      <c r="L30" s="39">
        <v>2</v>
      </c>
      <c r="M30" s="39">
        <v>2</v>
      </c>
    </row>
    <row r="31" spans="1:13" ht="12">
      <c r="A31" s="136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">
      <c r="A32" s="136" t="s">
        <v>121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">
      <c r="A33" s="136" t="s">
        <v>117</v>
      </c>
      <c r="B33" s="39">
        <v>2912</v>
      </c>
      <c r="C33" s="39">
        <v>2895</v>
      </c>
      <c r="D33" s="39">
        <v>2883</v>
      </c>
      <c r="E33" s="39">
        <v>2874</v>
      </c>
      <c r="F33" s="39">
        <v>2866</v>
      </c>
      <c r="G33" s="39">
        <v>2853</v>
      </c>
      <c r="H33" s="39">
        <v>2846</v>
      </c>
      <c r="I33" s="39">
        <v>2832</v>
      </c>
      <c r="J33" s="39">
        <v>2824</v>
      </c>
      <c r="K33" s="39">
        <v>2814</v>
      </c>
      <c r="L33" s="39">
        <v>2804</v>
      </c>
      <c r="M33" s="39">
        <v>2788</v>
      </c>
    </row>
    <row r="34" spans="1:13" ht="12">
      <c r="A34" s="136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2">
      <c r="A35" s="136" t="s">
        <v>122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">
      <c r="A36" s="136" t="s">
        <v>123</v>
      </c>
      <c r="B36" s="39">
        <v>70</v>
      </c>
      <c r="C36" s="39">
        <v>69</v>
      </c>
      <c r="D36" s="39">
        <v>69</v>
      </c>
      <c r="E36" s="39">
        <v>70</v>
      </c>
      <c r="F36" s="39">
        <v>70</v>
      </c>
      <c r="G36" s="39">
        <v>70</v>
      </c>
      <c r="H36" s="39">
        <v>70</v>
      </c>
      <c r="I36" s="39">
        <v>70</v>
      </c>
      <c r="J36" s="39">
        <v>70</v>
      </c>
      <c r="K36" s="39">
        <v>70</v>
      </c>
      <c r="L36" s="39">
        <v>66</v>
      </c>
      <c r="M36" s="39">
        <v>66</v>
      </c>
    </row>
    <row r="37" spans="1:13" ht="12">
      <c r="A37" s="136" t="s">
        <v>124</v>
      </c>
      <c r="B37" s="39">
        <v>21</v>
      </c>
      <c r="C37" s="39">
        <v>20</v>
      </c>
      <c r="D37" s="39">
        <v>20</v>
      </c>
      <c r="E37" s="39">
        <v>20</v>
      </c>
      <c r="F37" s="39">
        <v>20</v>
      </c>
      <c r="G37" s="39">
        <v>20</v>
      </c>
      <c r="H37" s="39">
        <v>20</v>
      </c>
      <c r="I37" s="39">
        <v>20</v>
      </c>
      <c r="J37" s="39">
        <v>20</v>
      </c>
      <c r="K37" s="39">
        <v>20</v>
      </c>
      <c r="L37" s="39">
        <v>23</v>
      </c>
      <c r="M37" s="39">
        <v>23</v>
      </c>
    </row>
    <row r="38" spans="1:13" ht="12">
      <c r="A38" s="136" t="s">
        <v>112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</row>
    <row r="39" spans="2:13" ht="12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">
      <c r="A40" s="136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2:13" ht="12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2:13" ht="1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</sheetData>
  <sheetProtection/>
  <mergeCells count="3">
    <mergeCell ref="A1:M1"/>
    <mergeCell ref="A2:M2"/>
    <mergeCell ref="A3:M3"/>
  </mergeCells>
  <printOptions horizontalCentered="1"/>
  <pageMargins left="0.5" right="0.5" top="0.5" bottom="0.5" header="0.5" footer="0.5"/>
  <pageSetup fitToHeight="1" fitToWidth="1" horizontalDpi="600" verticalDpi="600" orientation="landscape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90" zoomScaleNormal="90" zoomScalePageLayoutView="0" workbookViewId="0" topLeftCell="A1">
      <pane ySplit="7" topLeftCell="A13" activePane="bottomLeft" state="frozen"/>
      <selection pane="topLeft" activeCell="D25" sqref="D25"/>
      <selection pane="bottomLeft" activeCell="P40" sqref="P40"/>
    </sheetView>
  </sheetViews>
  <sheetFormatPr defaultColWidth="8.8515625" defaultRowHeight="12.75"/>
  <cols>
    <col min="1" max="1" width="29.57421875" style="3" bestFit="1" customWidth="1"/>
    <col min="2" max="3" width="9.421875" style="3" bestFit="1" customWidth="1"/>
    <col min="4" max="4" width="9.57421875" style="3" bestFit="1" customWidth="1"/>
    <col min="5" max="5" width="9.140625" style="3" bestFit="1" customWidth="1"/>
    <col min="6" max="7" width="9.57421875" style="3" bestFit="1" customWidth="1"/>
    <col min="8" max="10" width="10.140625" style="3" bestFit="1" customWidth="1"/>
    <col min="11" max="11" width="9.421875" style="3" bestFit="1" customWidth="1"/>
    <col min="12" max="12" width="10.140625" style="3" bestFit="1" customWidth="1"/>
    <col min="13" max="13" width="9.421875" style="3" bestFit="1" customWidth="1"/>
    <col min="14" max="14" width="15.00390625" style="3" bestFit="1" customWidth="1"/>
    <col min="15" max="16384" width="8.8515625" style="3" customWidth="1"/>
  </cols>
  <sheetData>
    <row r="1" spans="1:14" ht="12.75">
      <c r="A1" s="235" t="s">
        <v>12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124" t="s">
        <v>252</v>
      </c>
    </row>
    <row r="2" spans="1:14" ht="12.75">
      <c r="A2" s="235" t="s">
        <v>254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132"/>
    </row>
    <row r="3" spans="1:14" ht="12.75">
      <c r="A3" s="235" t="s">
        <v>317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133"/>
    </row>
    <row r="4" spans="1:8" ht="12.75">
      <c r="A4" s="1"/>
      <c r="B4" s="1"/>
      <c r="C4" s="1"/>
      <c r="D4" s="1"/>
      <c r="E4" s="1"/>
      <c r="F4" s="1"/>
      <c r="G4" s="1"/>
      <c r="H4" s="1"/>
    </row>
    <row r="5" spans="4:8" ht="12.75">
      <c r="D5" s="1"/>
      <c r="E5" s="1"/>
      <c r="F5" s="1"/>
      <c r="G5" s="1"/>
      <c r="H5" s="1"/>
    </row>
    <row r="7" spans="1:14" ht="12.75">
      <c r="A7" s="134" t="s">
        <v>79</v>
      </c>
      <c r="B7" s="105" t="s">
        <v>151</v>
      </c>
      <c r="C7" s="105" t="s">
        <v>152</v>
      </c>
      <c r="D7" s="105" t="s">
        <v>153</v>
      </c>
      <c r="E7" s="105" t="s">
        <v>154</v>
      </c>
      <c r="F7" s="105" t="s">
        <v>155</v>
      </c>
      <c r="G7" s="105" t="s">
        <v>156</v>
      </c>
      <c r="H7" s="105" t="s">
        <v>157</v>
      </c>
      <c r="I7" s="105" t="s">
        <v>146</v>
      </c>
      <c r="J7" s="105" t="s">
        <v>147</v>
      </c>
      <c r="K7" s="105" t="s">
        <v>148</v>
      </c>
      <c r="L7" s="105" t="s">
        <v>149</v>
      </c>
      <c r="M7" s="105" t="s">
        <v>150</v>
      </c>
      <c r="N7" s="11" t="s">
        <v>9</v>
      </c>
    </row>
    <row r="8" spans="1:13" ht="12.75">
      <c r="A8" s="13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</row>
    <row r="9" spans="1:14" s="107" customFormat="1" ht="12">
      <c r="A9" s="136" t="s">
        <v>105</v>
      </c>
      <c r="B9" s="20">
        <f>B22</f>
        <v>105868</v>
      </c>
      <c r="C9" s="20">
        <f aca="true" t="shared" si="0" ref="C9:M9">C22</f>
        <v>105435</v>
      </c>
      <c r="D9" s="20">
        <f t="shared" si="0"/>
        <v>105228</v>
      </c>
      <c r="E9" s="20">
        <f t="shared" si="0"/>
        <v>105097</v>
      </c>
      <c r="F9" s="20">
        <f t="shared" si="0"/>
        <v>105459</v>
      </c>
      <c r="G9" s="20">
        <f t="shared" si="0"/>
        <v>106858</v>
      </c>
      <c r="H9" s="20">
        <f t="shared" si="0"/>
        <v>108288</v>
      </c>
      <c r="I9" s="20">
        <f t="shared" si="0"/>
        <v>108921</v>
      </c>
      <c r="J9" s="20">
        <f t="shared" si="0"/>
        <v>109232</v>
      </c>
      <c r="K9" s="20">
        <f t="shared" si="0"/>
        <v>109210</v>
      </c>
      <c r="L9" s="20">
        <f t="shared" si="0"/>
        <v>108733</v>
      </c>
      <c r="M9" s="20">
        <f t="shared" si="0"/>
        <v>108084</v>
      </c>
      <c r="N9" s="107">
        <f aca="true" t="shared" si="1" ref="N9:N16">SUM(B9:M9)</f>
        <v>1286413</v>
      </c>
    </row>
    <row r="10" spans="1:14" s="107" customFormat="1" ht="12">
      <c r="A10" s="136" t="s">
        <v>106</v>
      </c>
      <c r="B10" s="20">
        <f>B26</f>
        <v>15061</v>
      </c>
      <c r="C10" s="20">
        <f aca="true" t="shared" si="2" ref="C10:M10">C26</f>
        <v>14970</v>
      </c>
      <c r="D10" s="20">
        <f t="shared" si="2"/>
        <v>14878</v>
      </c>
      <c r="E10" s="20">
        <f t="shared" si="2"/>
        <v>14786</v>
      </c>
      <c r="F10" s="20">
        <f t="shared" si="2"/>
        <v>14695</v>
      </c>
      <c r="G10" s="20">
        <f t="shared" si="2"/>
        <v>14603</v>
      </c>
      <c r="H10" s="20">
        <f t="shared" si="2"/>
        <v>14511</v>
      </c>
      <c r="I10" s="20">
        <f t="shared" si="2"/>
        <v>14420</v>
      </c>
      <c r="J10" s="20">
        <f t="shared" si="2"/>
        <v>14328</v>
      </c>
      <c r="K10" s="20">
        <f t="shared" si="2"/>
        <v>14236</v>
      </c>
      <c r="L10" s="20">
        <f t="shared" si="2"/>
        <v>14145</v>
      </c>
      <c r="M10" s="20">
        <f t="shared" si="2"/>
        <v>14053</v>
      </c>
      <c r="N10" s="107">
        <f t="shared" si="1"/>
        <v>174686</v>
      </c>
    </row>
    <row r="11" spans="1:14" s="107" customFormat="1" ht="12">
      <c r="A11" s="136" t="s">
        <v>107</v>
      </c>
      <c r="B11" s="20">
        <f>B21+B29</f>
        <v>11225</v>
      </c>
      <c r="C11" s="20">
        <f aca="true" t="shared" si="3" ref="C11:M11">C21+C29</f>
        <v>11177</v>
      </c>
      <c r="D11" s="20">
        <f t="shared" si="3"/>
        <v>11151</v>
      </c>
      <c r="E11" s="20">
        <f t="shared" si="3"/>
        <v>11153</v>
      </c>
      <c r="F11" s="20">
        <f t="shared" si="3"/>
        <v>11195</v>
      </c>
      <c r="G11" s="20">
        <f t="shared" si="3"/>
        <v>11376</v>
      </c>
      <c r="H11" s="20">
        <f t="shared" si="3"/>
        <v>11542</v>
      </c>
      <c r="I11" s="20">
        <f t="shared" si="3"/>
        <v>11634</v>
      </c>
      <c r="J11" s="20">
        <f t="shared" si="3"/>
        <v>11686</v>
      </c>
      <c r="K11" s="20">
        <f t="shared" si="3"/>
        <v>11687</v>
      </c>
      <c r="L11" s="20">
        <f t="shared" si="3"/>
        <v>11638</v>
      </c>
      <c r="M11" s="20">
        <f t="shared" si="3"/>
        <v>11566</v>
      </c>
      <c r="N11" s="107">
        <f t="shared" si="1"/>
        <v>137030</v>
      </c>
    </row>
    <row r="12" spans="1:14" s="107" customFormat="1" ht="12">
      <c r="A12" s="136" t="s">
        <v>108</v>
      </c>
      <c r="B12" s="20">
        <f>B37</f>
        <v>20</v>
      </c>
      <c r="C12" s="20">
        <f aca="true" t="shared" si="4" ref="C12:M12">C37</f>
        <v>21</v>
      </c>
      <c r="D12" s="20">
        <f t="shared" si="4"/>
        <v>21</v>
      </c>
      <c r="E12" s="20">
        <f t="shared" si="4"/>
        <v>21</v>
      </c>
      <c r="F12" s="20">
        <f t="shared" si="4"/>
        <v>21</v>
      </c>
      <c r="G12" s="20">
        <f t="shared" si="4"/>
        <v>21</v>
      </c>
      <c r="H12" s="20">
        <f t="shared" si="4"/>
        <v>21</v>
      </c>
      <c r="I12" s="20">
        <f t="shared" si="4"/>
        <v>21</v>
      </c>
      <c r="J12" s="20">
        <f t="shared" si="4"/>
        <v>20</v>
      </c>
      <c r="K12" s="20">
        <f t="shared" si="4"/>
        <v>20</v>
      </c>
      <c r="L12" s="20">
        <f t="shared" si="4"/>
        <v>20</v>
      </c>
      <c r="M12" s="20">
        <f t="shared" si="4"/>
        <v>20</v>
      </c>
      <c r="N12" s="107">
        <f t="shared" si="1"/>
        <v>247</v>
      </c>
    </row>
    <row r="13" spans="1:14" s="107" customFormat="1" ht="12">
      <c r="A13" s="136" t="s">
        <v>109</v>
      </c>
      <c r="B13" s="20">
        <f>B25+B33</f>
        <v>2853</v>
      </c>
      <c r="C13" s="20">
        <f aca="true" t="shared" si="5" ref="C13:M13">C25+C33</f>
        <v>2993</v>
      </c>
      <c r="D13" s="20">
        <f t="shared" si="5"/>
        <v>2977</v>
      </c>
      <c r="E13" s="20">
        <f t="shared" si="5"/>
        <v>2966</v>
      </c>
      <c r="F13" s="20">
        <f t="shared" si="5"/>
        <v>2951</v>
      </c>
      <c r="G13" s="20">
        <f t="shared" si="5"/>
        <v>2944</v>
      </c>
      <c r="H13" s="20">
        <f t="shared" si="5"/>
        <v>2925</v>
      </c>
      <c r="I13" s="20">
        <f t="shared" si="5"/>
        <v>2904</v>
      </c>
      <c r="J13" s="20">
        <f t="shared" si="5"/>
        <v>2889</v>
      </c>
      <c r="K13" s="20">
        <f t="shared" si="5"/>
        <v>2881</v>
      </c>
      <c r="L13" s="20">
        <f t="shared" si="5"/>
        <v>2870</v>
      </c>
      <c r="M13" s="20">
        <f t="shared" si="5"/>
        <v>2865</v>
      </c>
      <c r="N13" s="107">
        <f t="shared" si="1"/>
        <v>35018</v>
      </c>
    </row>
    <row r="14" spans="1:14" s="107" customFormat="1" ht="12">
      <c r="A14" s="136" t="s">
        <v>110</v>
      </c>
      <c r="B14" s="20">
        <f>B30</f>
        <v>2</v>
      </c>
      <c r="C14" s="20">
        <f aca="true" t="shared" si="6" ref="C14:M14">C30</f>
        <v>2</v>
      </c>
      <c r="D14" s="20">
        <f t="shared" si="6"/>
        <v>2</v>
      </c>
      <c r="E14" s="20">
        <f t="shared" si="6"/>
        <v>2</v>
      </c>
      <c r="F14" s="20">
        <f t="shared" si="6"/>
        <v>2</v>
      </c>
      <c r="G14" s="20">
        <f t="shared" si="6"/>
        <v>2</v>
      </c>
      <c r="H14" s="20">
        <f t="shared" si="6"/>
        <v>2</v>
      </c>
      <c r="I14" s="20">
        <f t="shared" si="6"/>
        <v>2</v>
      </c>
      <c r="J14" s="20">
        <f t="shared" si="6"/>
        <v>2</v>
      </c>
      <c r="K14" s="20">
        <f t="shared" si="6"/>
        <v>2</v>
      </c>
      <c r="L14" s="20">
        <f t="shared" si="6"/>
        <v>2</v>
      </c>
      <c r="M14" s="20">
        <f t="shared" si="6"/>
        <v>2</v>
      </c>
      <c r="N14" s="107">
        <f t="shared" si="1"/>
        <v>24</v>
      </c>
    </row>
    <row r="15" spans="1:14" s="107" customFormat="1" ht="12">
      <c r="A15" s="136" t="s">
        <v>111</v>
      </c>
      <c r="B15" s="20">
        <f>B36</f>
        <v>71</v>
      </c>
      <c r="C15" s="20">
        <f aca="true" t="shared" si="7" ref="C15:M15">C36</f>
        <v>72</v>
      </c>
      <c r="D15" s="20">
        <f t="shared" si="7"/>
        <v>72</v>
      </c>
      <c r="E15" s="20">
        <f t="shared" si="7"/>
        <v>72</v>
      </c>
      <c r="F15" s="20">
        <f t="shared" si="7"/>
        <v>72</v>
      </c>
      <c r="G15" s="20">
        <f t="shared" si="7"/>
        <v>72</v>
      </c>
      <c r="H15" s="20">
        <f t="shared" si="7"/>
        <v>72</v>
      </c>
      <c r="I15" s="20">
        <f t="shared" si="7"/>
        <v>72</v>
      </c>
      <c r="J15" s="20">
        <f t="shared" si="7"/>
        <v>72</v>
      </c>
      <c r="K15" s="20">
        <f t="shared" si="7"/>
        <v>71</v>
      </c>
      <c r="L15" s="20">
        <f t="shared" si="7"/>
        <v>71</v>
      </c>
      <c r="M15" s="20">
        <f t="shared" si="7"/>
        <v>71</v>
      </c>
      <c r="N15" s="107">
        <f t="shared" si="1"/>
        <v>860</v>
      </c>
    </row>
    <row r="16" spans="1:14" s="107" customFormat="1" ht="12">
      <c r="A16" s="136" t="s">
        <v>112</v>
      </c>
      <c r="B16" s="120">
        <f>B38</f>
        <v>0</v>
      </c>
      <c r="C16" s="120">
        <f aca="true" t="shared" si="8" ref="C16:M16">C38</f>
        <v>0</v>
      </c>
      <c r="D16" s="120">
        <f t="shared" si="8"/>
        <v>0</v>
      </c>
      <c r="E16" s="120">
        <f t="shared" si="8"/>
        <v>0</v>
      </c>
      <c r="F16" s="120">
        <f t="shared" si="8"/>
        <v>0</v>
      </c>
      <c r="G16" s="120">
        <f t="shared" si="8"/>
        <v>0</v>
      </c>
      <c r="H16" s="120">
        <f t="shared" si="8"/>
        <v>0</v>
      </c>
      <c r="I16" s="120">
        <f t="shared" si="8"/>
        <v>0</v>
      </c>
      <c r="J16" s="120">
        <f t="shared" si="8"/>
        <v>0</v>
      </c>
      <c r="K16" s="120">
        <f t="shared" si="8"/>
        <v>0</v>
      </c>
      <c r="L16" s="120">
        <f t="shared" si="8"/>
        <v>0</v>
      </c>
      <c r="M16" s="120">
        <f t="shared" si="8"/>
        <v>0</v>
      </c>
      <c r="N16" s="120">
        <f t="shared" si="1"/>
        <v>0</v>
      </c>
    </row>
    <row r="17" spans="1:14" s="107" customFormat="1" ht="12">
      <c r="A17" s="136" t="s">
        <v>9</v>
      </c>
      <c r="B17" s="20">
        <f aca="true" t="shared" si="9" ref="B17:M17">SUM(B9:B16)</f>
        <v>135100</v>
      </c>
      <c r="C17" s="20">
        <f t="shared" si="9"/>
        <v>134670</v>
      </c>
      <c r="D17" s="20">
        <f t="shared" si="9"/>
        <v>134329</v>
      </c>
      <c r="E17" s="20">
        <f t="shared" si="9"/>
        <v>134097</v>
      </c>
      <c r="F17" s="20">
        <f t="shared" si="9"/>
        <v>134395</v>
      </c>
      <c r="G17" s="20">
        <f t="shared" si="9"/>
        <v>135876</v>
      </c>
      <c r="H17" s="20">
        <f t="shared" si="9"/>
        <v>137361</v>
      </c>
      <c r="I17" s="20">
        <f t="shared" si="9"/>
        <v>137974</v>
      </c>
      <c r="J17" s="20">
        <f t="shared" si="9"/>
        <v>138229</v>
      </c>
      <c r="K17" s="20">
        <f t="shared" si="9"/>
        <v>138107</v>
      </c>
      <c r="L17" s="20">
        <f t="shared" si="9"/>
        <v>137479</v>
      </c>
      <c r="M17" s="20">
        <f t="shared" si="9"/>
        <v>136661</v>
      </c>
      <c r="N17" s="107">
        <f>SUM(N9:N16)</f>
        <v>1634278</v>
      </c>
    </row>
    <row r="18" spans="1:2" s="107" customFormat="1" ht="12">
      <c r="A18" s="136"/>
      <c r="B18" s="136"/>
    </row>
    <row r="19" spans="1:2" s="107" customFormat="1" ht="12">
      <c r="A19" s="136"/>
      <c r="B19" s="136"/>
    </row>
    <row r="20" spans="1:2" s="107" customFormat="1" ht="12">
      <c r="A20" s="136" t="s">
        <v>113</v>
      </c>
      <c r="B20" s="136"/>
    </row>
    <row r="21" spans="1:13" ht="12">
      <c r="A21" s="3" t="s">
        <v>114</v>
      </c>
      <c r="B21" s="39">
        <v>216</v>
      </c>
      <c r="C21" s="39">
        <v>368</v>
      </c>
      <c r="D21" s="39">
        <v>383</v>
      </c>
      <c r="E21" s="39">
        <v>408</v>
      </c>
      <c r="F21" s="39">
        <v>427</v>
      </c>
      <c r="G21" s="39">
        <v>413</v>
      </c>
      <c r="H21" s="39">
        <v>416</v>
      </c>
      <c r="I21" s="39">
        <v>449</v>
      </c>
      <c r="J21" s="39">
        <v>473</v>
      </c>
      <c r="K21" s="39">
        <v>518</v>
      </c>
      <c r="L21" s="39">
        <v>552</v>
      </c>
      <c r="M21" s="39">
        <v>517</v>
      </c>
    </row>
    <row r="22" spans="1:13" ht="12">
      <c r="A22" s="3" t="s">
        <v>115</v>
      </c>
      <c r="B22" s="39">
        <v>105868</v>
      </c>
      <c r="C22" s="39">
        <v>105435</v>
      </c>
      <c r="D22" s="39">
        <v>105228</v>
      </c>
      <c r="E22" s="39">
        <v>105097</v>
      </c>
      <c r="F22" s="39">
        <v>105459</v>
      </c>
      <c r="G22" s="39">
        <v>106858</v>
      </c>
      <c r="H22" s="39">
        <v>108288</v>
      </c>
      <c r="I22" s="39">
        <v>108921</v>
      </c>
      <c r="J22" s="39">
        <v>109232</v>
      </c>
      <c r="K22" s="39">
        <v>109210</v>
      </c>
      <c r="L22" s="39">
        <v>108733</v>
      </c>
      <c r="M22" s="39">
        <v>108084</v>
      </c>
    </row>
    <row r="23" spans="2:13" ht="12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">
      <c r="A24" s="136" t="s">
        <v>116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">
      <c r="A25" s="3" t="s">
        <v>117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</row>
    <row r="26" spans="1:13" ht="12">
      <c r="A26" s="3" t="s">
        <v>118</v>
      </c>
      <c r="B26" s="39">
        <v>15061</v>
      </c>
      <c r="C26" s="39">
        <v>14970</v>
      </c>
      <c r="D26" s="39">
        <v>14878</v>
      </c>
      <c r="E26" s="39">
        <v>14786</v>
      </c>
      <c r="F26" s="39">
        <v>14695</v>
      </c>
      <c r="G26" s="39">
        <v>14603</v>
      </c>
      <c r="H26" s="39">
        <v>14511</v>
      </c>
      <c r="I26" s="39">
        <v>14420</v>
      </c>
      <c r="J26" s="39">
        <v>14328</v>
      </c>
      <c r="K26" s="39">
        <v>14236</v>
      </c>
      <c r="L26" s="39">
        <v>14145</v>
      </c>
      <c r="M26" s="39">
        <v>14053</v>
      </c>
    </row>
    <row r="27" spans="1:13" ht="12">
      <c r="A27" s="136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">
      <c r="A28" s="136" t="s">
        <v>119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">
      <c r="A29" s="136" t="s">
        <v>114</v>
      </c>
      <c r="B29" s="39">
        <v>11009</v>
      </c>
      <c r="C29" s="39">
        <v>10809</v>
      </c>
      <c r="D29" s="39">
        <v>10768</v>
      </c>
      <c r="E29" s="39">
        <v>10745</v>
      </c>
      <c r="F29" s="39">
        <v>10768</v>
      </c>
      <c r="G29" s="39">
        <v>10963</v>
      </c>
      <c r="H29" s="39">
        <v>11126</v>
      </c>
      <c r="I29" s="39">
        <v>11185</v>
      </c>
      <c r="J29" s="39">
        <v>11213</v>
      </c>
      <c r="K29" s="39">
        <v>11169</v>
      </c>
      <c r="L29" s="39">
        <v>11086</v>
      </c>
      <c r="M29" s="39">
        <v>11049</v>
      </c>
    </row>
    <row r="30" spans="1:13" ht="12">
      <c r="A30" s="136" t="s">
        <v>120</v>
      </c>
      <c r="B30" s="39">
        <v>2</v>
      </c>
      <c r="C30" s="39">
        <v>2</v>
      </c>
      <c r="D30" s="39">
        <v>2</v>
      </c>
      <c r="E30" s="39">
        <v>2</v>
      </c>
      <c r="F30" s="39">
        <v>2</v>
      </c>
      <c r="G30" s="39">
        <v>2</v>
      </c>
      <c r="H30" s="39">
        <v>2</v>
      </c>
      <c r="I30" s="39">
        <v>2</v>
      </c>
      <c r="J30" s="39">
        <v>2</v>
      </c>
      <c r="K30" s="39">
        <v>2</v>
      </c>
      <c r="L30" s="39">
        <v>2</v>
      </c>
      <c r="M30" s="39">
        <v>2</v>
      </c>
    </row>
    <row r="31" spans="1:13" ht="12">
      <c r="A31" s="136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">
      <c r="A32" s="136" t="s">
        <v>121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">
      <c r="A33" s="136" t="s">
        <v>117</v>
      </c>
      <c r="B33" s="39">
        <v>2853</v>
      </c>
      <c r="C33" s="39">
        <v>2993</v>
      </c>
      <c r="D33" s="39">
        <v>2977</v>
      </c>
      <c r="E33" s="39">
        <v>2966</v>
      </c>
      <c r="F33" s="39">
        <v>2951</v>
      </c>
      <c r="G33" s="39">
        <v>2944</v>
      </c>
      <c r="H33" s="39">
        <v>2925</v>
      </c>
      <c r="I33" s="39">
        <v>2904</v>
      </c>
      <c r="J33" s="39">
        <v>2889</v>
      </c>
      <c r="K33" s="39">
        <v>2881</v>
      </c>
      <c r="L33" s="39">
        <v>2870</v>
      </c>
      <c r="M33" s="39">
        <v>2865</v>
      </c>
    </row>
    <row r="34" spans="1:13" ht="12">
      <c r="A34" s="136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2">
      <c r="A35" s="136" t="s">
        <v>122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2">
      <c r="A36" s="136" t="s">
        <v>123</v>
      </c>
      <c r="B36" s="39">
        <v>71</v>
      </c>
      <c r="C36" s="39">
        <v>72</v>
      </c>
      <c r="D36" s="39">
        <v>72</v>
      </c>
      <c r="E36" s="39">
        <v>72</v>
      </c>
      <c r="F36" s="39">
        <v>72</v>
      </c>
      <c r="G36" s="39">
        <v>72</v>
      </c>
      <c r="H36" s="39">
        <v>72</v>
      </c>
      <c r="I36" s="39">
        <v>72</v>
      </c>
      <c r="J36" s="39">
        <v>72</v>
      </c>
      <c r="K36" s="39">
        <v>71</v>
      </c>
      <c r="L36" s="39">
        <v>71</v>
      </c>
      <c r="M36" s="39">
        <v>71</v>
      </c>
    </row>
    <row r="37" spans="1:13" ht="12">
      <c r="A37" s="136" t="s">
        <v>124</v>
      </c>
      <c r="B37" s="39">
        <v>20</v>
      </c>
      <c r="C37" s="39">
        <v>21</v>
      </c>
      <c r="D37" s="39">
        <v>21</v>
      </c>
      <c r="E37" s="39">
        <v>21</v>
      </c>
      <c r="F37" s="39">
        <v>21</v>
      </c>
      <c r="G37" s="39">
        <v>21</v>
      </c>
      <c r="H37" s="39">
        <v>21</v>
      </c>
      <c r="I37" s="39">
        <v>21</v>
      </c>
      <c r="J37" s="39">
        <v>20</v>
      </c>
      <c r="K37" s="39">
        <v>20</v>
      </c>
      <c r="L37" s="39">
        <v>20</v>
      </c>
      <c r="M37" s="39">
        <v>20</v>
      </c>
    </row>
    <row r="38" spans="1:13" ht="12">
      <c r="A38" s="136" t="s">
        <v>112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</row>
    <row r="39" spans="2:13" ht="12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2">
      <c r="A40" s="136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2:13" ht="12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2:13" ht="12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</sheetData>
  <sheetProtection/>
  <mergeCells count="3">
    <mergeCell ref="A1:M1"/>
    <mergeCell ref="A2:M2"/>
    <mergeCell ref="A3:M3"/>
  </mergeCells>
  <printOptions horizontalCentered="1"/>
  <pageMargins left="0.5" right="0.5" top="0.5" bottom="0.5" header="0.5" footer="0.5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="90" zoomScaleNormal="90" zoomScalePageLayoutView="0" workbookViewId="0" topLeftCell="A1">
      <selection activeCell="J28" sqref="J28"/>
    </sheetView>
  </sheetViews>
  <sheetFormatPr defaultColWidth="8.8515625" defaultRowHeight="12.75"/>
  <cols>
    <col min="1" max="1" width="4.57421875" style="3" customWidth="1"/>
    <col min="2" max="2" width="49.140625" style="3" customWidth="1"/>
    <col min="3" max="3" width="19.00390625" style="3" customWidth="1"/>
    <col min="4" max="9" width="12.57421875" style="3" customWidth="1"/>
    <col min="10" max="10" width="15.00390625" style="3" bestFit="1" customWidth="1"/>
    <col min="11" max="11" width="13.8515625" style="3" bestFit="1" customWidth="1"/>
    <col min="12" max="16384" width="8.8515625" style="3" customWidth="1"/>
  </cols>
  <sheetData>
    <row r="1" spans="1:11" ht="12.75">
      <c r="A1" s="35"/>
      <c r="B1" s="35"/>
      <c r="C1" s="35"/>
      <c r="D1" s="35"/>
      <c r="E1" s="35"/>
      <c r="F1" s="35"/>
      <c r="G1" s="35"/>
      <c r="H1" s="35"/>
      <c r="I1" s="35"/>
      <c r="J1" s="124"/>
      <c r="K1" s="124" t="s">
        <v>264</v>
      </c>
    </row>
    <row r="2" spans="1:10" ht="12.75">
      <c r="A2" s="235" t="s">
        <v>12</v>
      </c>
      <c r="B2" s="235"/>
      <c r="C2" s="235"/>
      <c r="D2" s="235"/>
      <c r="E2" s="235"/>
      <c r="F2" s="235"/>
      <c r="G2" s="235"/>
      <c r="H2" s="235"/>
      <c r="I2" s="235"/>
      <c r="J2" s="235"/>
    </row>
    <row r="3" spans="1:10" ht="12.75">
      <c r="A3" s="235" t="s">
        <v>261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2.75">
      <c r="A4" s="235" t="s">
        <v>265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1" ht="12.75">
      <c r="A5" s="1"/>
      <c r="B5" s="1"/>
      <c r="C5" s="1"/>
      <c r="D5" s="1"/>
      <c r="E5" s="1"/>
      <c r="F5" s="1"/>
      <c r="G5" s="1"/>
      <c r="H5" s="1" t="s">
        <v>244</v>
      </c>
      <c r="I5" s="1" t="s">
        <v>332</v>
      </c>
      <c r="J5" s="1" t="s">
        <v>9</v>
      </c>
      <c r="K5" s="1" t="s">
        <v>9</v>
      </c>
    </row>
    <row r="6" spans="1:11" ht="12.75">
      <c r="A6" s="35"/>
      <c r="B6" s="35"/>
      <c r="C6" s="1" t="s">
        <v>101</v>
      </c>
      <c r="D6" s="35"/>
      <c r="E6" s="1"/>
      <c r="F6" s="1" t="s">
        <v>83</v>
      </c>
      <c r="G6" s="1" t="s">
        <v>243</v>
      </c>
      <c r="H6" s="1" t="s">
        <v>277</v>
      </c>
      <c r="I6" s="1" t="s">
        <v>277</v>
      </c>
      <c r="J6" s="1" t="s">
        <v>86</v>
      </c>
      <c r="K6" s="1" t="s">
        <v>86</v>
      </c>
    </row>
    <row r="7" spans="1:11" ht="12.75">
      <c r="A7" s="1" t="s">
        <v>51</v>
      </c>
      <c r="B7" s="35"/>
      <c r="C7" s="1" t="s">
        <v>87</v>
      </c>
      <c r="D7" s="1" t="s">
        <v>80</v>
      </c>
      <c r="E7" s="1" t="s">
        <v>81</v>
      </c>
      <c r="F7" s="1" t="s">
        <v>84</v>
      </c>
      <c r="G7" s="1" t="s">
        <v>188</v>
      </c>
      <c r="H7" s="1" t="s">
        <v>330</v>
      </c>
      <c r="I7" s="1" t="s">
        <v>331</v>
      </c>
      <c r="J7" s="1" t="s">
        <v>244</v>
      </c>
      <c r="K7" s="1" t="s">
        <v>332</v>
      </c>
    </row>
    <row r="8" spans="1:11" ht="17.25">
      <c r="A8" s="11" t="s">
        <v>52</v>
      </c>
      <c r="B8" s="11" t="s">
        <v>79</v>
      </c>
      <c r="C8" s="11" t="s">
        <v>192</v>
      </c>
      <c r="D8" s="109" t="s">
        <v>158</v>
      </c>
      <c r="E8" s="109" t="s">
        <v>82</v>
      </c>
      <c r="F8" s="109" t="s">
        <v>159</v>
      </c>
      <c r="G8" s="11" t="s">
        <v>266</v>
      </c>
      <c r="H8" s="11" t="s">
        <v>278</v>
      </c>
      <c r="I8" s="11" t="s">
        <v>333</v>
      </c>
      <c r="J8" s="109" t="s">
        <v>334</v>
      </c>
      <c r="K8" s="109" t="s">
        <v>338</v>
      </c>
    </row>
    <row r="9" spans="1:12" ht="12.75">
      <c r="A9" s="1"/>
      <c r="B9" s="15">
        <v>-1</v>
      </c>
      <c r="C9" s="15">
        <f aca="true" t="shared" si="0" ref="C9:H9">+B9-1</f>
        <v>-2</v>
      </c>
      <c r="D9" s="15">
        <f t="shared" si="0"/>
        <v>-3</v>
      </c>
      <c r="E9" s="15">
        <f t="shared" si="0"/>
        <v>-4</v>
      </c>
      <c r="F9" s="15">
        <f t="shared" si="0"/>
        <v>-5</v>
      </c>
      <c r="G9" s="15">
        <f t="shared" si="0"/>
        <v>-6</v>
      </c>
      <c r="H9" s="15">
        <f t="shared" si="0"/>
        <v>-7</v>
      </c>
      <c r="I9" s="15">
        <f>+H9-1</f>
        <v>-8</v>
      </c>
      <c r="J9" s="15">
        <f>+I9-1</f>
        <v>-9</v>
      </c>
      <c r="K9" s="15">
        <f>+J9-1</f>
        <v>-10</v>
      </c>
      <c r="L9" s="15"/>
    </row>
    <row r="10" spans="1:10" ht="12.75">
      <c r="A10" s="35"/>
      <c r="B10" s="35"/>
      <c r="C10" s="35"/>
      <c r="D10" s="35"/>
      <c r="E10" s="35"/>
      <c r="F10" s="35"/>
      <c r="G10" s="35"/>
      <c r="H10" s="35"/>
      <c r="I10" s="15"/>
      <c r="J10" s="35"/>
    </row>
    <row r="11" spans="1:11" ht="12">
      <c r="A11" s="125">
        <v>1</v>
      </c>
      <c r="B11" s="53" t="s">
        <v>102</v>
      </c>
      <c r="C11" s="202">
        <v>51773586.6</v>
      </c>
      <c r="D11" s="16">
        <f>ROUND(C11/$C$19,7)</f>
        <v>0.6499646</v>
      </c>
      <c r="E11" s="203">
        <f>ROUND(D11*$E$19,0)</f>
        <v>338533</v>
      </c>
      <c r="F11" s="204">
        <f>'May 21 Projected Bills Form 4.1'!N9+'May 21 Projected Bills Form 4.1'!N10</f>
        <v>1461099</v>
      </c>
      <c r="G11" s="110">
        <f>ROUND(E11/F11,2)</f>
        <v>0.23</v>
      </c>
      <c r="H11" s="205">
        <v>5.44</v>
      </c>
      <c r="I11" s="205">
        <v>8.04</v>
      </c>
      <c r="J11" s="206">
        <f>G11+H11</f>
        <v>5.670000000000001</v>
      </c>
      <c r="K11" s="128">
        <f>G11+I11</f>
        <v>8.27</v>
      </c>
    </row>
    <row r="12" spans="1:11" ht="12">
      <c r="A12" s="125"/>
      <c r="B12" s="125"/>
      <c r="C12" s="202"/>
      <c r="D12" s="16"/>
      <c r="E12" s="203"/>
      <c r="F12" s="35"/>
      <c r="G12" s="110"/>
      <c r="H12" s="205"/>
      <c r="I12" s="205"/>
      <c r="J12" s="206"/>
      <c r="K12" s="128"/>
    </row>
    <row r="13" spans="1:11" ht="12">
      <c r="A13" s="125">
        <f>A11+1</f>
        <v>2</v>
      </c>
      <c r="B13" s="53" t="s">
        <v>103</v>
      </c>
      <c r="C13" s="202">
        <v>22237376.290000003</v>
      </c>
      <c r="D13" s="16">
        <f>ROUND(C13/$C$19,7)</f>
        <v>0.2791676</v>
      </c>
      <c r="E13" s="203">
        <f>ROUND(D13*$E$19,0)</f>
        <v>145404</v>
      </c>
      <c r="F13" s="204">
        <f>'May 21 Projected Bills Form 4.1'!N11+'May 21 Projected Bills Form 4.1'!N12+'May 21 Projected Bills Form 4.1'!N13</f>
        <v>172295</v>
      </c>
      <c r="G13" s="110">
        <f>ROUND(E13/F13,2)</f>
        <v>0.84</v>
      </c>
      <c r="H13" s="205">
        <v>20.44</v>
      </c>
      <c r="I13" s="205">
        <v>29.5</v>
      </c>
      <c r="J13" s="206">
        <f>G13+H13</f>
        <v>21.28</v>
      </c>
      <c r="K13" s="128">
        <f>G13+I13</f>
        <v>30.34</v>
      </c>
    </row>
    <row r="14" spans="1:11" ht="12">
      <c r="A14" s="125"/>
      <c r="B14" s="125"/>
      <c r="C14" s="202"/>
      <c r="D14" s="16"/>
      <c r="E14" s="203"/>
      <c r="F14" s="35"/>
      <c r="G14" s="110"/>
      <c r="H14" s="205"/>
      <c r="I14" s="205"/>
      <c r="J14" s="206"/>
      <c r="K14" s="128"/>
    </row>
    <row r="15" spans="1:11" ht="12">
      <c r="A15" s="125">
        <f>A13+1</f>
        <v>3</v>
      </c>
      <c r="B15" s="53" t="s">
        <v>104</v>
      </c>
      <c r="C15" s="202">
        <v>26686.22</v>
      </c>
      <c r="D15" s="16">
        <f>ROUND(C15/$C$19,7)</f>
        <v>0.000335</v>
      </c>
      <c r="E15" s="203">
        <f>ROUND(D15*$E$19,0)</f>
        <v>174</v>
      </c>
      <c r="F15" s="204">
        <f>'May 21 Projected Bills Form 4.1'!N14</f>
        <v>24</v>
      </c>
      <c r="G15" s="110">
        <f>ROUND(E15/F15,2)</f>
        <v>7.25</v>
      </c>
      <c r="H15" s="205">
        <v>170.33</v>
      </c>
      <c r="I15" s="205">
        <v>252.13</v>
      </c>
      <c r="J15" s="206">
        <f>G15+H15</f>
        <v>177.58</v>
      </c>
      <c r="K15" s="128">
        <f>G15+I15</f>
        <v>259.38</v>
      </c>
    </row>
    <row r="16" spans="1:11" ht="12">
      <c r="A16" s="125"/>
      <c r="B16" s="53"/>
      <c r="C16" s="202"/>
      <c r="D16" s="129"/>
      <c r="E16" s="203"/>
      <c r="F16" s="35"/>
      <c r="G16" s="110"/>
      <c r="H16" s="205"/>
      <c r="I16" s="205"/>
      <c r="J16" s="206"/>
      <c r="K16" s="128"/>
    </row>
    <row r="17" spans="1:11" ht="18">
      <c r="A17" s="125">
        <f>A15+1</f>
        <v>4</v>
      </c>
      <c r="B17" s="53" t="s">
        <v>341</v>
      </c>
      <c r="C17" s="207">
        <v>5618357.680000001</v>
      </c>
      <c r="D17" s="33">
        <f>ROUND(C17/$C$19,7)</f>
        <v>0.0705328</v>
      </c>
      <c r="E17" s="208">
        <f>ROUND(D17*$E$19,0)</f>
        <v>36737</v>
      </c>
      <c r="F17" s="120">
        <f>'May 21 Projected Bills Form 4.1'!N15+'May 21 Projected Bills Form 4.1'!N16</f>
        <v>860</v>
      </c>
      <c r="G17" s="110">
        <f>ROUND(E17/F17,2)</f>
        <v>42.72</v>
      </c>
      <c r="H17" s="205">
        <v>1070.53</v>
      </c>
      <c r="I17" s="205">
        <v>1481.7</v>
      </c>
      <c r="J17" s="206">
        <f>G17+H17</f>
        <v>1113.25</v>
      </c>
      <c r="K17" s="128">
        <f>G17+I17</f>
        <v>1524.42</v>
      </c>
    </row>
    <row r="18" spans="1:10" ht="12.75">
      <c r="A18" s="125"/>
      <c r="B18" s="53"/>
      <c r="C18" s="209"/>
      <c r="D18" s="129"/>
      <c r="E18" s="210"/>
      <c r="F18" s="119"/>
      <c r="G18" s="35"/>
      <c r="H18" s="35"/>
      <c r="I18" s="15"/>
      <c r="J18" s="35"/>
    </row>
    <row r="19" spans="1:10" ht="13.5" thickBot="1">
      <c r="A19" s="125">
        <f>A17+1</f>
        <v>5</v>
      </c>
      <c r="B19" s="53" t="s">
        <v>89</v>
      </c>
      <c r="C19" s="211">
        <f>SUM(C11:C17)</f>
        <v>79656006.79</v>
      </c>
      <c r="D19" s="212">
        <f>SUM(D11:D18)</f>
        <v>1</v>
      </c>
      <c r="E19" s="213">
        <f>+'Revenue Req. BA Form 1.1'!G35</f>
        <v>520847.8323536031</v>
      </c>
      <c r="F19" s="214">
        <f>SUM(F11:F18)</f>
        <v>1634278</v>
      </c>
      <c r="G19" s="215"/>
      <c r="H19" s="35"/>
      <c r="I19" s="15"/>
      <c r="J19" s="205"/>
    </row>
    <row r="20" spans="1:10" ht="12.75" thickTop="1">
      <c r="A20" s="125"/>
      <c r="B20" s="125"/>
      <c r="C20" s="125"/>
      <c r="D20" s="35"/>
      <c r="E20" s="35"/>
      <c r="F20" s="35"/>
      <c r="G20" s="35"/>
      <c r="H20" s="35"/>
      <c r="I20" s="205"/>
      <c r="J20" s="35"/>
    </row>
    <row r="21" spans="1:10" ht="12">
      <c r="A21" s="125"/>
      <c r="B21" s="125"/>
      <c r="C21" s="125"/>
      <c r="D21" s="35"/>
      <c r="E21" s="216"/>
      <c r="F21" s="35"/>
      <c r="G21" s="35"/>
      <c r="H21" s="35"/>
      <c r="I21" s="35"/>
      <c r="J21" s="35"/>
    </row>
    <row r="22" spans="1:10" ht="12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2">
      <c r="A23" s="35" t="s">
        <v>131</v>
      </c>
      <c r="B23" s="35"/>
      <c r="C23" s="35"/>
      <c r="D23" s="35"/>
      <c r="E23" s="35"/>
      <c r="F23" s="35"/>
      <c r="G23" s="110"/>
      <c r="H23" s="35"/>
      <c r="I23" s="35"/>
      <c r="J23" s="35"/>
    </row>
    <row r="24" spans="1:10" ht="18">
      <c r="A24" s="130" t="s">
        <v>294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8">
      <c r="A25" s="35" t="s">
        <v>342</v>
      </c>
      <c r="B25" s="35"/>
      <c r="C25" s="35"/>
      <c r="D25" s="35"/>
      <c r="E25" s="35"/>
      <c r="F25" s="35"/>
      <c r="G25" s="110"/>
      <c r="H25" s="35"/>
      <c r="I25" s="35"/>
      <c r="J25" s="35"/>
    </row>
    <row r="26" spans="1:10" ht="18">
      <c r="A26" s="35" t="s">
        <v>343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8">
      <c r="A27" s="35" t="s">
        <v>335</v>
      </c>
      <c r="B27" s="35"/>
      <c r="C27" s="35"/>
      <c r="D27" s="35"/>
      <c r="E27" s="35"/>
      <c r="F27" s="35"/>
      <c r="G27" s="110"/>
      <c r="H27" s="35"/>
      <c r="I27" s="35"/>
      <c r="J27" s="35"/>
    </row>
    <row r="28" spans="1:10" ht="18">
      <c r="A28" s="35" t="s">
        <v>337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8">
      <c r="A29" s="35" t="s">
        <v>339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8">
      <c r="A30" s="35" t="s">
        <v>340</v>
      </c>
      <c r="B30" s="35"/>
      <c r="C30" s="35"/>
      <c r="D30" s="35"/>
      <c r="E30" s="35"/>
      <c r="F30" s="35"/>
      <c r="G30" s="110"/>
      <c r="H30" s="35"/>
      <c r="I30" s="35"/>
      <c r="J30" s="35"/>
    </row>
    <row r="31" spans="1:10" ht="12">
      <c r="A31" s="35"/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2">
      <c r="A32" s="35"/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2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2">
      <c r="A34" s="35"/>
      <c r="B34" s="35"/>
      <c r="C34" s="35"/>
      <c r="D34" s="35"/>
      <c r="E34" s="35"/>
      <c r="F34" s="35"/>
      <c r="G34" s="35"/>
      <c r="H34" s="35"/>
      <c r="I34" s="35"/>
      <c r="J34" s="35"/>
    </row>
    <row r="35" spans="1:10" ht="12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2">
      <c r="A36" s="35"/>
      <c r="B36" s="35"/>
      <c r="C36" s="35"/>
      <c r="D36" s="35"/>
      <c r="E36" s="35"/>
      <c r="F36" s="35"/>
      <c r="G36" s="35"/>
      <c r="H36" s="35"/>
      <c r="I36" s="35"/>
      <c r="J36" s="35"/>
    </row>
    <row r="37" spans="1:10" ht="12">
      <c r="A37" s="35"/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2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39" spans="1:10" ht="12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2">
      <c r="A40" s="35"/>
      <c r="B40" s="35"/>
      <c r="C40" s="35"/>
      <c r="D40" s="35"/>
      <c r="E40" s="35"/>
      <c r="F40" s="35"/>
      <c r="G40" s="35"/>
      <c r="H40" s="35"/>
      <c r="I40" s="35"/>
      <c r="J40" s="35"/>
    </row>
    <row r="41" spans="7:9" ht="12.75">
      <c r="G41" s="11"/>
      <c r="H41" s="11"/>
      <c r="I41" s="11"/>
    </row>
    <row r="42" spans="7:10" ht="12">
      <c r="G42" s="40"/>
      <c r="H42" s="40"/>
      <c r="I42" s="40"/>
      <c r="J42" s="131"/>
    </row>
    <row r="43" spans="7:9" ht="12">
      <c r="G43" s="40"/>
      <c r="H43" s="40"/>
      <c r="I43" s="40"/>
    </row>
    <row r="44" spans="7:10" ht="12">
      <c r="G44" s="40"/>
      <c r="H44" s="40"/>
      <c r="I44" s="40"/>
      <c r="J44" s="131"/>
    </row>
    <row r="45" spans="7:9" ht="12">
      <c r="G45" s="40"/>
      <c r="H45" s="40"/>
      <c r="I45" s="40"/>
    </row>
    <row r="46" spans="7:10" ht="12">
      <c r="G46" s="40"/>
      <c r="H46" s="40"/>
      <c r="I46" s="40"/>
      <c r="J46" s="131"/>
    </row>
    <row r="47" spans="7:9" ht="12">
      <c r="G47" s="40"/>
      <c r="H47" s="40"/>
      <c r="I47" s="40"/>
    </row>
    <row r="48" spans="7:10" ht="12">
      <c r="G48" s="40"/>
      <c r="H48" s="40"/>
      <c r="I48" s="40"/>
      <c r="J48" s="131"/>
    </row>
  </sheetData>
  <sheetProtection/>
  <mergeCells count="3">
    <mergeCell ref="A4:J4"/>
    <mergeCell ref="A2:J2"/>
    <mergeCell ref="A3:J3"/>
  </mergeCells>
  <printOptions horizontalCentered="1"/>
  <pageMargins left="0.5" right="0.5" top="1" bottom="0" header="0.5" footer="0.5"/>
  <pageSetup fitToHeight="1" fitToWidth="1" horizontalDpi="600" verticalDpi="600" orientation="landscape" scale="72" r:id="rId1"/>
  <ignoredErrors>
    <ignoredError sqref="E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90" zoomScaleNormal="90" workbookViewId="0" topLeftCell="A33">
      <selection activeCell="G30" sqref="G30"/>
    </sheetView>
  </sheetViews>
  <sheetFormatPr defaultColWidth="8.8515625" defaultRowHeight="12.75"/>
  <cols>
    <col min="1" max="1" width="5.421875" style="3" customWidth="1"/>
    <col min="2" max="2" width="2.57421875" style="3" customWidth="1"/>
    <col min="3" max="3" width="3.421875" style="3" customWidth="1"/>
    <col min="4" max="4" width="8.8515625" style="3" customWidth="1"/>
    <col min="5" max="5" width="35.8515625" style="3" customWidth="1"/>
    <col min="6" max="6" width="12.57421875" style="3" customWidth="1"/>
    <col min="7" max="7" width="23.57421875" style="3" bestFit="1" customWidth="1"/>
    <col min="8" max="8" width="2.00390625" style="3" customWidth="1"/>
    <col min="9" max="9" width="36.00390625" style="3" bestFit="1" customWidth="1"/>
    <col min="10" max="10" width="11.421875" style="3" bestFit="1" customWidth="1"/>
    <col min="11" max="11" width="12.8515625" style="3" bestFit="1" customWidth="1"/>
    <col min="12" max="12" width="8.8515625" style="3" customWidth="1"/>
    <col min="13" max="13" width="12.421875" style="3" bestFit="1" customWidth="1"/>
    <col min="14" max="14" width="19.00390625" style="3" customWidth="1"/>
    <col min="15" max="16384" width="8.8515625" style="3" customWidth="1"/>
  </cols>
  <sheetData>
    <row r="1" ht="12.75">
      <c r="I1" s="124" t="s">
        <v>267</v>
      </c>
    </row>
    <row r="2" spans="1:9" ht="12.75">
      <c r="A2" s="235" t="s">
        <v>12</v>
      </c>
      <c r="B2" s="235"/>
      <c r="C2" s="235"/>
      <c r="D2" s="235"/>
      <c r="E2" s="235"/>
      <c r="F2" s="235"/>
      <c r="G2" s="235"/>
      <c r="H2" s="235"/>
      <c r="I2" s="235"/>
    </row>
    <row r="3" spans="1:9" ht="12.75">
      <c r="A3" s="235" t="s">
        <v>261</v>
      </c>
      <c r="B3" s="235"/>
      <c r="C3" s="235"/>
      <c r="D3" s="235"/>
      <c r="E3" s="235"/>
      <c r="F3" s="235"/>
      <c r="G3" s="235"/>
      <c r="H3" s="235"/>
      <c r="I3" s="235"/>
    </row>
    <row r="4" spans="1:9" ht="12.75">
      <c r="A4" s="235" t="s">
        <v>306</v>
      </c>
      <c r="B4" s="235"/>
      <c r="C4" s="235"/>
      <c r="D4" s="235"/>
      <c r="E4" s="235"/>
      <c r="F4" s="235"/>
      <c r="G4" s="235"/>
      <c r="H4" s="235"/>
      <c r="I4" s="235"/>
    </row>
    <row r="5" spans="1:9" ht="12.75">
      <c r="A5" s="53"/>
      <c r="B5" s="1"/>
      <c r="C5" s="1"/>
      <c r="D5" s="1"/>
      <c r="E5" s="1"/>
      <c r="F5" s="1"/>
      <c r="G5" s="1"/>
      <c r="H5" s="1"/>
      <c r="I5" s="1"/>
    </row>
    <row r="6" ht="12.75">
      <c r="F6" s="4"/>
    </row>
    <row r="7" spans="1:16" ht="12.75">
      <c r="A7" s="1" t="s">
        <v>51</v>
      </c>
      <c r="F7" s="4"/>
      <c r="G7" s="1" t="s">
        <v>268</v>
      </c>
      <c r="H7" s="189"/>
      <c r="I7" s="189"/>
      <c r="J7" s="189"/>
      <c r="K7" s="189"/>
      <c r="L7" s="189"/>
      <c r="M7" s="189"/>
      <c r="N7" s="189"/>
      <c r="O7" s="189"/>
      <c r="P7" s="189"/>
    </row>
    <row r="8" spans="1:16" ht="12.75">
      <c r="A8" s="11" t="s">
        <v>52</v>
      </c>
      <c r="E8" s="54"/>
      <c r="F8" s="44"/>
      <c r="G8" s="217" t="s">
        <v>305</v>
      </c>
      <c r="H8" s="189"/>
      <c r="I8" s="11" t="s">
        <v>53</v>
      </c>
      <c r="J8" s="189"/>
      <c r="K8" s="189"/>
      <c r="L8" s="189"/>
      <c r="M8" s="189"/>
      <c r="N8" s="189"/>
      <c r="O8" s="189"/>
      <c r="P8" s="189"/>
    </row>
    <row r="9" spans="1:16" ht="12.75">
      <c r="A9" s="1"/>
      <c r="E9" s="54"/>
      <c r="F9" s="45"/>
      <c r="G9" s="15">
        <f>+F9-1</f>
        <v>-1</v>
      </c>
      <c r="H9" s="15"/>
      <c r="I9" s="15">
        <f>+G9-1</f>
        <v>-2</v>
      </c>
      <c r="J9" s="189"/>
      <c r="K9" s="189"/>
      <c r="L9" s="189"/>
      <c r="M9" s="189"/>
      <c r="N9" s="189"/>
      <c r="O9" s="189"/>
      <c r="P9" s="189"/>
    </row>
    <row r="10" ht="12">
      <c r="F10" s="46"/>
    </row>
    <row r="11" spans="1:6" ht="12.75">
      <c r="A11" s="54"/>
      <c r="B11" s="189" t="s">
        <v>54</v>
      </c>
      <c r="F11" s="46"/>
    </row>
    <row r="12" spans="1:6" ht="12.75">
      <c r="A12" s="54"/>
      <c r="C12" s="18" t="s">
        <v>69</v>
      </c>
      <c r="F12" s="46"/>
    </row>
    <row r="13" spans="1:9" ht="18" customHeight="1">
      <c r="A13" s="54">
        <v>1</v>
      </c>
      <c r="D13" s="35" t="s">
        <v>269</v>
      </c>
      <c r="F13" s="48"/>
      <c r="G13" s="26">
        <f>'Plant &amp; Book Depr Form 2.0'!J34</f>
        <v>103339116.06415385</v>
      </c>
      <c r="I13" s="3" t="s">
        <v>61</v>
      </c>
    </row>
    <row r="14" spans="1:9" ht="18" customHeight="1">
      <c r="A14" s="54">
        <f>A13+1</f>
        <v>2</v>
      </c>
      <c r="D14" s="3" t="s">
        <v>55</v>
      </c>
      <c r="F14" s="48"/>
      <c r="G14" s="13">
        <f>'Plant &amp; Book Depr Form 2.0'!J44</f>
        <v>5913440.441046153</v>
      </c>
      <c r="I14" s="3" t="s">
        <v>61</v>
      </c>
    </row>
    <row r="15" spans="1:9" ht="18" customHeight="1">
      <c r="A15" s="54">
        <f>A14+1</f>
        <v>3</v>
      </c>
      <c r="D15" s="3" t="s">
        <v>70</v>
      </c>
      <c r="F15" s="49"/>
      <c r="G15" s="10">
        <f>-'2017 AMRP Calc Form 2.2'!M21-'Plant &amp; Book Depr Form 2.0'!G122-'Plant &amp; Book Depr Form 2.0'!I122-'Plant &amp; Book Depr Form 2.0'!G79-'Plant &amp; Book Depr Form 2.0'!I79-'Plant &amp; Book Depr Form 2.0'!G34-'Plant &amp; Book Depr Form 2.0'!I34-'Plant &amp; Book Depr Form 2.0'!J32</f>
        <v>9140414.737178206</v>
      </c>
      <c r="I15" s="35" t="s">
        <v>230</v>
      </c>
    </row>
    <row r="16" spans="1:7" ht="18" customHeight="1">
      <c r="A16" s="54">
        <f>A15+1</f>
        <v>4</v>
      </c>
      <c r="E16" s="3" t="s">
        <v>71</v>
      </c>
      <c r="F16" s="48"/>
      <c r="G16" s="26">
        <f>SUM(G13:G15)</f>
        <v>118392971.2423782</v>
      </c>
    </row>
    <row r="17" spans="1:7" ht="12">
      <c r="A17" s="54"/>
      <c r="F17" s="48"/>
      <c r="G17" s="26"/>
    </row>
    <row r="18" spans="1:9" ht="13.5">
      <c r="A18" s="54">
        <f>A16+1</f>
        <v>5</v>
      </c>
      <c r="D18" s="3" t="s">
        <v>56</v>
      </c>
      <c r="F18" s="49"/>
      <c r="G18" s="10">
        <f>-'Tax Depr Form 2.1 p.1'!AM21</f>
        <v>-12429090.748476038</v>
      </c>
      <c r="I18" s="3" t="s">
        <v>68</v>
      </c>
    </row>
    <row r="19" spans="1:7" ht="12">
      <c r="A19" s="54"/>
      <c r="F19" s="48"/>
      <c r="G19" s="26"/>
    </row>
    <row r="20" spans="1:9" ht="12">
      <c r="A20" s="54">
        <f>A18+1</f>
        <v>6</v>
      </c>
      <c r="E20" s="3" t="s">
        <v>57</v>
      </c>
      <c r="F20" s="50"/>
      <c r="G20" s="9">
        <f>G16+G18</f>
        <v>105963880.49390216</v>
      </c>
      <c r="I20" s="3" t="s">
        <v>93</v>
      </c>
    </row>
    <row r="21" spans="1:7" ht="12">
      <c r="A21" s="54"/>
      <c r="F21" s="50"/>
      <c r="G21" s="9"/>
    </row>
    <row r="22" spans="1:10" ht="12">
      <c r="A22" s="54">
        <f>A20+1</f>
        <v>7</v>
      </c>
      <c r="D22" s="35" t="s">
        <v>72</v>
      </c>
      <c r="F22" s="51"/>
      <c r="G22" s="163">
        <f>'ROR Form 1.3'!F18</f>
        <v>0.09279389999999998</v>
      </c>
      <c r="I22" s="3" t="s">
        <v>78</v>
      </c>
      <c r="J22" s="43"/>
    </row>
    <row r="23" spans="1:11" ht="12">
      <c r="A23" s="54"/>
      <c r="F23" s="50"/>
      <c r="G23" s="9"/>
      <c r="J23" s="43"/>
      <c r="K23" s="43"/>
    </row>
    <row r="24" spans="1:11" ht="13.5">
      <c r="A24" s="54">
        <f>A22+1</f>
        <v>8</v>
      </c>
      <c r="D24" s="35" t="s">
        <v>270</v>
      </c>
      <c r="F24" s="52"/>
      <c r="G24" s="190">
        <f>ROUND(G20*G22,0)</f>
        <v>9832802</v>
      </c>
      <c r="I24" s="3" t="s">
        <v>94</v>
      </c>
      <c r="J24" s="191"/>
      <c r="K24" s="131"/>
    </row>
    <row r="25" spans="1:10" ht="12">
      <c r="A25" s="54"/>
      <c r="F25" s="46"/>
      <c r="J25" s="46"/>
    </row>
    <row r="26" spans="1:10" ht="12.75">
      <c r="A26" s="54"/>
      <c r="B26" s="18" t="s">
        <v>58</v>
      </c>
      <c r="C26" s="189"/>
      <c r="D26" s="189"/>
      <c r="E26" s="189"/>
      <c r="F26" s="46"/>
      <c r="J26" s="46"/>
    </row>
    <row r="27" spans="1:10" ht="18" customHeight="1">
      <c r="A27" s="54">
        <f>A24+1</f>
        <v>9</v>
      </c>
      <c r="D27" s="35" t="s">
        <v>25</v>
      </c>
      <c r="F27" s="47"/>
      <c r="G27" s="192">
        <f>'Plant &amp; Book Depr Form 2.0'!G34+'Plant &amp; Book Depr Form 2.0'!I34</f>
        <v>1864544</v>
      </c>
      <c r="I27" s="3" t="s">
        <v>61</v>
      </c>
      <c r="J27" s="46"/>
    </row>
    <row r="28" spans="1:14" ht="18">
      <c r="A28" s="54">
        <f>A27+1</f>
        <v>10</v>
      </c>
      <c r="D28" s="35" t="s">
        <v>160</v>
      </c>
      <c r="F28" s="28"/>
      <c r="G28" s="201">
        <f>ROUND(G13*0.0136,0)</f>
        <v>1405412</v>
      </c>
      <c r="I28" s="35" t="s">
        <v>318</v>
      </c>
      <c r="J28" s="46"/>
      <c r="N28" s="107"/>
    </row>
    <row r="29" spans="1:14" ht="18" customHeight="1">
      <c r="A29" s="54">
        <f>A28+1</f>
        <v>11</v>
      </c>
      <c r="D29" s="35" t="s">
        <v>143</v>
      </c>
      <c r="F29" s="28"/>
      <c r="G29" s="39">
        <f>'O&amp;M Savings Form 3.0'!D11</f>
        <v>-268899.5</v>
      </c>
      <c r="I29" s="35" t="s">
        <v>144</v>
      </c>
      <c r="J29" s="46"/>
      <c r="M29" s="193"/>
      <c r="N29" s="9"/>
    </row>
    <row r="30" spans="1:14" ht="18.75">
      <c r="A30" s="54">
        <f>A29+1</f>
        <v>12</v>
      </c>
      <c r="D30" s="35" t="s">
        <v>162</v>
      </c>
      <c r="F30" s="28"/>
      <c r="G30" s="10">
        <f>SUM(G24,G27:G29)*(0.001901/(1-0.001901))</f>
        <v>24443.632353604204</v>
      </c>
      <c r="I30" s="35" t="s">
        <v>194</v>
      </c>
      <c r="J30" s="46"/>
      <c r="N30" s="9"/>
    </row>
    <row r="31" spans="1:14" ht="18" customHeight="1">
      <c r="A31" s="54">
        <f>A30+1</f>
        <v>13</v>
      </c>
      <c r="C31" s="3" t="s">
        <v>73</v>
      </c>
      <c r="D31" s="3" t="s">
        <v>74</v>
      </c>
      <c r="F31" s="27"/>
      <c r="G31" s="27">
        <f>SUM(G27:G30)</f>
        <v>3025500.1323536043</v>
      </c>
      <c r="I31" s="35" t="s">
        <v>145</v>
      </c>
      <c r="J31" s="191"/>
      <c r="N31" s="9"/>
    </row>
    <row r="32" spans="1:14" ht="12">
      <c r="A32" s="54"/>
      <c r="F32" s="29"/>
      <c r="G32" s="131"/>
      <c r="K32" s="46"/>
      <c r="N32" s="43"/>
    </row>
    <row r="33" spans="1:11" ht="12.75">
      <c r="A33" s="54">
        <f>A31+1</f>
        <v>14</v>
      </c>
      <c r="B33" s="189" t="s">
        <v>307</v>
      </c>
      <c r="C33" s="35"/>
      <c r="D33" s="35"/>
      <c r="E33" s="35"/>
      <c r="F33" s="30"/>
      <c r="G33" s="194">
        <f>+G31+G24</f>
        <v>12858302.132353604</v>
      </c>
      <c r="I33" s="3" t="s">
        <v>95</v>
      </c>
      <c r="K33" s="30"/>
    </row>
    <row r="34" spans="1:11" ht="15.75">
      <c r="A34" s="54">
        <f>A33+1</f>
        <v>15</v>
      </c>
      <c r="B34" s="189" t="s">
        <v>308</v>
      </c>
      <c r="C34" s="35"/>
      <c r="D34" s="35"/>
      <c r="E34" s="35"/>
      <c r="F34" s="30"/>
      <c r="G34" s="195">
        <f>'Billed Rider Revenue Form 1.2'!E19</f>
        <v>12337454.3</v>
      </c>
      <c r="K34" s="195"/>
    </row>
    <row r="35" spans="1:11" ht="14.25">
      <c r="A35" s="54">
        <f>A34+1</f>
        <v>16</v>
      </c>
      <c r="B35" s="189" t="s">
        <v>309</v>
      </c>
      <c r="C35" s="35"/>
      <c r="D35" s="35"/>
      <c r="E35" s="35"/>
      <c r="F35" s="30"/>
      <c r="G35" s="121">
        <f>G33-G34</f>
        <v>520847.8323536031</v>
      </c>
      <c r="K35" s="30"/>
    </row>
    <row r="37" spans="1:10" s="189" customFormat="1" ht="12.75">
      <c r="A37" s="37" t="s">
        <v>131</v>
      </c>
      <c r="B37" s="5"/>
      <c r="C37" s="5"/>
      <c r="D37" s="5"/>
      <c r="E37" s="5"/>
      <c r="F37" s="6"/>
      <c r="G37" s="6"/>
      <c r="H37" s="5"/>
      <c r="I37" s="5"/>
      <c r="J37" s="5"/>
    </row>
    <row r="38" spans="1:7" ht="18">
      <c r="A38" s="35" t="s">
        <v>319</v>
      </c>
      <c r="F38" s="7"/>
      <c r="G38" s="7"/>
    </row>
    <row r="39" spans="1:7" ht="18">
      <c r="A39" s="53" t="s">
        <v>196</v>
      </c>
      <c r="F39" s="7"/>
      <c r="G39" s="7"/>
    </row>
    <row r="41" spans="6:7" ht="12">
      <c r="F41" s="43"/>
      <c r="G41" s="43"/>
    </row>
    <row r="42" spans="6:7" ht="12">
      <c r="F42" s="43"/>
      <c r="G42" s="43"/>
    </row>
    <row r="43" spans="1:7" ht="12.75">
      <c r="A43" s="196"/>
      <c r="F43" s="43"/>
      <c r="G43" s="43"/>
    </row>
    <row r="44" spans="1:11" ht="15.75">
      <c r="A44" s="54"/>
      <c r="B44" s="189"/>
      <c r="C44" s="35"/>
      <c r="D44" s="35"/>
      <c r="E44" s="35"/>
      <c r="F44" s="30"/>
      <c r="G44" s="104"/>
      <c r="J44" s="131"/>
      <c r="K44" s="104"/>
    </row>
    <row r="45" spans="1:11" ht="14.25">
      <c r="A45" s="54"/>
      <c r="B45" s="189"/>
      <c r="F45" s="30"/>
      <c r="G45" s="121"/>
      <c r="K45" s="121"/>
    </row>
    <row r="46" spans="6:10" ht="12">
      <c r="F46" s="161"/>
      <c r="G46" s="161"/>
      <c r="H46" s="163"/>
      <c r="J46" s="163"/>
    </row>
    <row r="47" ht="12">
      <c r="A47" s="53"/>
    </row>
    <row r="49" spans="8:10" ht="12">
      <c r="H49" s="163"/>
      <c r="J49" s="197"/>
    </row>
  </sheetData>
  <sheetProtection/>
  <mergeCells count="3">
    <mergeCell ref="A2:I2"/>
    <mergeCell ref="A3:I3"/>
    <mergeCell ref="A4:I4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="90" zoomScaleNormal="90" zoomScalePageLayoutView="0" workbookViewId="0" topLeftCell="A2">
      <selection activeCell="A24" sqref="A24:D26"/>
    </sheetView>
  </sheetViews>
  <sheetFormatPr defaultColWidth="9.140625" defaultRowHeight="12.75"/>
  <cols>
    <col min="1" max="1" width="4.57421875" style="170" customWidth="1"/>
    <col min="2" max="2" width="49.140625" style="170" customWidth="1"/>
    <col min="3" max="5" width="15.00390625" style="170" customWidth="1"/>
    <col min="6" max="6" width="16.00390625" style="170" bestFit="1" customWidth="1"/>
    <col min="7" max="7" width="11.421875" style="170" bestFit="1" customWidth="1"/>
    <col min="8" max="16384" width="9.140625" style="170" customWidth="1"/>
  </cols>
  <sheetData>
    <row r="1" ht="12.75">
      <c r="F1" s="171" t="s">
        <v>272</v>
      </c>
    </row>
    <row r="2" spans="1:6" ht="12.75">
      <c r="A2" s="236" t="s">
        <v>12</v>
      </c>
      <c r="B2" s="236"/>
      <c r="C2" s="236"/>
      <c r="D2" s="236"/>
      <c r="E2" s="236"/>
      <c r="F2" s="236"/>
    </row>
    <row r="3" spans="1:6" ht="12.75">
      <c r="A3" s="236" t="s">
        <v>271</v>
      </c>
      <c r="B3" s="236"/>
      <c r="C3" s="236"/>
      <c r="D3" s="236"/>
      <c r="E3" s="236"/>
      <c r="F3" s="236"/>
    </row>
    <row r="4" spans="1:6" ht="12.75">
      <c r="A4" s="236" t="s">
        <v>310</v>
      </c>
      <c r="B4" s="236"/>
      <c r="C4" s="236"/>
      <c r="D4" s="236"/>
      <c r="E4" s="236"/>
      <c r="F4" s="236"/>
    </row>
    <row r="5" spans="1:4" ht="12.75">
      <c r="A5" s="172"/>
      <c r="B5" s="172"/>
      <c r="C5" s="172"/>
      <c r="D5" s="172"/>
    </row>
    <row r="6" spans="3:5" ht="12.75">
      <c r="C6" s="172" t="s">
        <v>245</v>
      </c>
      <c r="D6" s="172" t="s">
        <v>275</v>
      </c>
      <c r="E6" s="172">
        <v>2020</v>
      </c>
    </row>
    <row r="7" spans="1:5" ht="12.75">
      <c r="A7" s="172" t="s">
        <v>51</v>
      </c>
      <c r="C7" s="172" t="s">
        <v>84</v>
      </c>
      <c r="D7" s="172" t="s">
        <v>85</v>
      </c>
      <c r="E7" s="172" t="s">
        <v>276</v>
      </c>
    </row>
    <row r="8" spans="1:5" ht="18.75" customHeight="1">
      <c r="A8" s="173" t="s">
        <v>52</v>
      </c>
      <c r="B8" s="173" t="s">
        <v>79</v>
      </c>
      <c r="C8" s="174" t="s">
        <v>246</v>
      </c>
      <c r="D8" s="173" t="s">
        <v>295</v>
      </c>
      <c r="E8" s="173" t="s">
        <v>81</v>
      </c>
    </row>
    <row r="9" spans="1:5" ht="12.75">
      <c r="A9" s="172"/>
      <c r="B9" s="175">
        <v>-1</v>
      </c>
      <c r="C9" s="175">
        <v>-2</v>
      </c>
      <c r="D9" s="175">
        <f>+C9-1</f>
        <v>-3</v>
      </c>
      <c r="E9" s="175">
        <f>+D9-1</f>
        <v>-4</v>
      </c>
    </row>
    <row r="11" spans="1:8" ht="14.25">
      <c r="A11" s="176">
        <v>1</v>
      </c>
      <c r="B11" s="177" t="s">
        <v>102</v>
      </c>
      <c r="C11" s="111">
        <f>+'Dec. 20 Actual Bills Form 4.0'!N9+'Dec. 20 Actual Bills Form 4.0'!N10</f>
        <v>1474840</v>
      </c>
      <c r="D11" s="218">
        <v>5.44</v>
      </c>
      <c r="E11" s="178">
        <f>C11*D11</f>
        <v>8023129.600000001</v>
      </c>
      <c r="F11" s="179"/>
      <c r="G11" s="180"/>
      <c r="H11" s="181"/>
    </row>
    <row r="12" spans="1:8" ht="14.25">
      <c r="A12" s="176"/>
      <c r="B12" s="176"/>
      <c r="C12" s="112"/>
      <c r="D12" s="218"/>
      <c r="E12" s="178"/>
      <c r="F12" s="179"/>
      <c r="G12" s="180"/>
      <c r="H12" s="181"/>
    </row>
    <row r="13" spans="1:8" ht="14.25">
      <c r="A13" s="176">
        <f>A11+1</f>
        <v>2</v>
      </c>
      <c r="B13" s="177" t="s">
        <v>103</v>
      </c>
      <c r="C13" s="111">
        <f>+'Dec. 20 Actual Bills Form 4.0'!N11+'Dec. 20 Actual Bills Form 4.0'!N12+'Dec. 20 Actual Bills Form 4.0'!N13</f>
        <v>167402</v>
      </c>
      <c r="D13" s="218">
        <v>20.44</v>
      </c>
      <c r="E13" s="178">
        <f>C13*D13</f>
        <v>3421696.8800000004</v>
      </c>
      <c r="F13" s="179"/>
      <c r="G13" s="180"/>
      <c r="H13" s="181"/>
    </row>
    <row r="14" spans="1:8" ht="14.25">
      <c r="A14" s="176"/>
      <c r="B14" s="176"/>
      <c r="C14" s="112"/>
      <c r="D14" s="218"/>
      <c r="E14" s="178"/>
      <c r="F14" s="179"/>
      <c r="G14" s="180"/>
      <c r="H14" s="181"/>
    </row>
    <row r="15" spans="1:8" ht="14.25">
      <c r="A15" s="176">
        <f>A13+1</f>
        <v>3</v>
      </c>
      <c r="B15" s="177" t="s">
        <v>104</v>
      </c>
      <c r="C15" s="111">
        <f>+'Dec. 20 Actual Bills Form 4.0'!N14</f>
        <v>24</v>
      </c>
      <c r="D15" s="218">
        <v>170.33</v>
      </c>
      <c r="E15" s="178">
        <f>C15*D15</f>
        <v>4087.92</v>
      </c>
      <c r="F15" s="179"/>
      <c r="G15" s="180"/>
      <c r="H15" s="181"/>
    </row>
    <row r="16" spans="1:8" ht="14.25">
      <c r="A16" s="176"/>
      <c r="B16" s="177"/>
      <c r="C16" s="112"/>
      <c r="D16" s="218"/>
      <c r="E16" s="178"/>
      <c r="F16" s="179"/>
      <c r="G16" s="180"/>
      <c r="H16" s="181"/>
    </row>
    <row r="17" spans="1:8" ht="18">
      <c r="A17" s="176">
        <f>A15+1</f>
        <v>4</v>
      </c>
      <c r="B17" s="182" t="s">
        <v>247</v>
      </c>
      <c r="C17" s="113">
        <f>+'Dec. 20 Actual Bills Form 4.0'!N15+'Dec. 20 Actual Bills Form 4.0'!N16</f>
        <v>830</v>
      </c>
      <c r="D17" s="218">
        <v>1070.53</v>
      </c>
      <c r="E17" s="183">
        <f>C17*D17</f>
        <v>888539.9</v>
      </c>
      <c r="F17" s="179"/>
      <c r="G17" s="180"/>
      <c r="H17" s="181"/>
    </row>
    <row r="18" spans="1:3" ht="12">
      <c r="A18" s="176"/>
      <c r="B18" s="177"/>
      <c r="C18" s="184"/>
    </row>
    <row r="19" spans="1:6" ht="12.75" thickBot="1">
      <c r="A19" s="176">
        <f>A17+1</f>
        <v>5</v>
      </c>
      <c r="B19" s="177" t="s">
        <v>89</v>
      </c>
      <c r="C19" s="185">
        <f>SUM(C11:C18)</f>
        <v>1643096</v>
      </c>
      <c r="D19" s="186"/>
      <c r="E19" s="187">
        <f>SUM(E11:E18)</f>
        <v>12337454.3</v>
      </c>
      <c r="F19" s="179"/>
    </row>
    <row r="20" spans="1:2" ht="12.75" thickTop="1">
      <c r="A20" s="176"/>
      <c r="B20" s="176"/>
    </row>
    <row r="21" spans="1:6" ht="12">
      <c r="A21" s="176"/>
      <c r="B21" s="177"/>
      <c r="C21" s="184"/>
      <c r="D21" s="186"/>
      <c r="E21" s="188"/>
      <c r="F21" s="179"/>
    </row>
    <row r="23" ht="12">
      <c r="A23" s="170" t="s">
        <v>131</v>
      </c>
    </row>
    <row r="24" spans="1:4" ht="18">
      <c r="A24" s="112" t="s">
        <v>344</v>
      </c>
      <c r="B24" s="112"/>
      <c r="C24" s="112"/>
      <c r="D24" s="112"/>
    </row>
    <row r="25" spans="1:4" ht="18">
      <c r="A25" s="112" t="s">
        <v>345</v>
      </c>
      <c r="B25" s="112"/>
      <c r="C25" s="112"/>
      <c r="D25" s="112"/>
    </row>
    <row r="26" spans="1:4" ht="18">
      <c r="A26" s="112" t="s">
        <v>336</v>
      </c>
      <c r="B26" s="112"/>
      <c r="C26" s="112"/>
      <c r="D26" s="112"/>
    </row>
  </sheetData>
  <sheetProtection/>
  <mergeCells count="3">
    <mergeCell ref="A2:F2"/>
    <mergeCell ref="A3:F3"/>
    <mergeCell ref="A4:F4"/>
  </mergeCells>
  <printOptions horizontalCentered="1"/>
  <pageMargins left="0.5" right="0.5" top="0.5" bottom="0.5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1">
      <selection activeCell="I18" sqref="I18"/>
    </sheetView>
  </sheetViews>
  <sheetFormatPr defaultColWidth="8.8515625" defaultRowHeight="12.75"/>
  <cols>
    <col min="1" max="1" width="5.57421875" style="3" customWidth="1"/>
    <col min="2" max="2" width="22.421875" style="3" customWidth="1"/>
    <col min="3" max="3" width="12.421875" style="3" customWidth="1"/>
    <col min="4" max="4" width="11.57421875" style="3" customWidth="1"/>
    <col min="5" max="5" width="13.8515625" style="3" customWidth="1"/>
    <col min="6" max="6" width="18.421875" style="3" customWidth="1"/>
    <col min="7" max="16384" width="8.8515625" style="3" customWidth="1"/>
  </cols>
  <sheetData>
    <row r="1" ht="12.75">
      <c r="F1" s="124" t="s">
        <v>272</v>
      </c>
    </row>
    <row r="2" spans="2:13" ht="12.75">
      <c r="B2" s="235" t="s">
        <v>12</v>
      </c>
      <c r="C2" s="235"/>
      <c r="D2" s="235"/>
      <c r="E2" s="235"/>
      <c r="F2" s="235"/>
      <c r="G2" s="132"/>
      <c r="H2" s="132"/>
      <c r="I2" s="132"/>
      <c r="J2" s="132"/>
      <c r="K2" s="132"/>
      <c r="L2" s="132"/>
      <c r="M2" s="132"/>
    </row>
    <row r="3" spans="2:13" ht="12.75">
      <c r="B3" s="235" t="s">
        <v>261</v>
      </c>
      <c r="C3" s="235"/>
      <c r="D3" s="235"/>
      <c r="E3" s="235"/>
      <c r="F3" s="235"/>
      <c r="G3" s="132"/>
      <c r="H3" s="132"/>
      <c r="I3" s="132"/>
      <c r="J3" s="132"/>
      <c r="K3" s="132"/>
      <c r="L3" s="132"/>
      <c r="M3" s="132"/>
    </row>
    <row r="4" spans="2:13" ht="12.75">
      <c r="B4" s="235" t="s">
        <v>167</v>
      </c>
      <c r="C4" s="235"/>
      <c r="D4" s="235"/>
      <c r="E4" s="235"/>
      <c r="F4" s="235"/>
      <c r="G4" s="132"/>
      <c r="H4" s="132"/>
      <c r="I4" s="132"/>
      <c r="J4" s="132"/>
      <c r="K4" s="132"/>
      <c r="L4" s="132"/>
      <c r="M4" s="132"/>
    </row>
    <row r="8" spans="3:6" ht="12.75">
      <c r="C8" s="1"/>
      <c r="D8" s="1"/>
      <c r="F8" s="1" t="s">
        <v>11</v>
      </c>
    </row>
    <row r="9" spans="1:6" ht="12.75">
      <c r="A9" s="1" t="s">
        <v>51</v>
      </c>
      <c r="C9" s="1"/>
      <c r="D9" s="1"/>
      <c r="E9" s="1" t="s">
        <v>10</v>
      </c>
      <c r="F9" s="1" t="s">
        <v>38</v>
      </c>
    </row>
    <row r="10" spans="1:6" ht="12.75">
      <c r="A10" s="11" t="s">
        <v>52</v>
      </c>
      <c r="B10" s="11" t="s">
        <v>3</v>
      </c>
      <c r="C10" s="11" t="s">
        <v>7</v>
      </c>
      <c r="D10" s="11" t="s">
        <v>8</v>
      </c>
      <c r="E10" s="11" t="s">
        <v>8</v>
      </c>
      <c r="F10" s="165">
        <v>0.2495</v>
      </c>
    </row>
    <row r="11" spans="1:6" ht="12.75">
      <c r="A11" s="1"/>
      <c r="B11" s="15">
        <v>-1</v>
      </c>
      <c r="C11" s="17">
        <f>+B11-1</f>
        <v>-2</v>
      </c>
      <c r="D11" s="17">
        <f>+C11-1</f>
        <v>-3</v>
      </c>
      <c r="E11" s="17">
        <f>+D11-1</f>
        <v>-4</v>
      </c>
      <c r="F11" s="17">
        <f>+E11-1</f>
        <v>-5</v>
      </c>
    </row>
    <row r="12" spans="1:6" ht="12.75">
      <c r="A12" s="1"/>
      <c r="B12" s="18"/>
      <c r="C12" s="11"/>
      <c r="D12" s="11"/>
      <c r="E12" s="11"/>
      <c r="F12" s="165"/>
    </row>
    <row r="13" spans="3:6" ht="12">
      <c r="C13" s="35"/>
      <c r="D13" s="35"/>
      <c r="E13" s="35"/>
      <c r="F13" s="35"/>
    </row>
    <row r="14" spans="1:6" ht="12">
      <c r="A14" s="54">
        <v>1</v>
      </c>
      <c r="B14" s="3" t="s">
        <v>6</v>
      </c>
      <c r="C14" s="219">
        <v>0.0126</v>
      </c>
      <c r="D14" s="220">
        <v>0.025</v>
      </c>
      <c r="E14" s="219">
        <f>ROUND(C14*D14,7)</f>
        <v>0.000315</v>
      </c>
      <c r="F14" s="221">
        <f>E14</f>
        <v>0.000315</v>
      </c>
    </row>
    <row r="15" spans="1:6" ht="12">
      <c r="A15" s="54">
        <f>+A14+1</f>
        <v>2</v>
      </c>
      <c r="B15" s="3" t="s">
        <v>5</v>
      </c>
      <c r="C15" s="219">
        <v>0.4632</v>
      </c>
      <c r="D15" s="220">
        <v>0.0564</v>
      </c>
      <c r="E15" s="219">
        <f>ROUND(C15*D15,7)</f>
        <v>0.0261245</v>
      </c>
      <c r="F15" s="221">
        <f>E15</f>
        <v>0.0261245</v>
      </c>
    </row>
    <row r="16" spans="1:6" ht="12">
      <c r="A16" s="54">
        <f>+A15+1</f>
        <v>3</v>
      </c>
      <c r="B16" s="3" t="s">
        <v>4</v>
      </c>
      <c r="C16" s="166">
        <v>0.5242</v>
      </c>
      <c r="D16" s="220">
        <v>0.095</v>
      </c>
      <c r="E16" s="166">
        <f>ROUND(C16*D16,7)</f>
        <v>0.049799</v>
      </c>
      <c r="F16" s="166">
        <f>ROUND(E16/(1-F10),7)</f>
        <v>0.0663544</v>
      </c>
    </row>
    <row r="17" spans="1:6" ht="12">
      <c r="A17" s="54"/>
      <c r="C17" s="222"/>
      <c r="D17" s="219"/>
      <c r="E17" s="166"/>
      <c r="F17" s="166"/>
    </row>
    <row r="18" spans="1:6" ht="12">
      <c r="A18" s="54">
        <f>A16+1</f>
        <v>4</v>
      </c>
      <c r="B18" s="3" t="s">
        <v>9</v>
      </c>
      <c r="C18" s="163">
        <f>SUM(C14:C16)</f>
        <v>1</v>
      </c>
      <c r="E18" s="161">
        <f>SUM(E14:E16)</f>
        <v>0.0762385</v>
      </c>
      <c r="F18" s="163">
        <f>SUM(F14:F16)</f>
        <v>0.09279389999999998</v>
      </c>
    </row>
    <row r="19" ht="12">
      <c r="F19" s="167"/>
    </row>
    <row r="20" ht="12">
      <c r="F20" s="168"/>
    </row>
    <row r="21" ht="12">
      <c r="F21" s="169"/>
    </row>
    <row r="22" ht="12">
      <c r="F22" s="169"/>
    </row>
    <row r="23" ht="12">
      <c r="F23" s="169"/>
    </row>
    <row r="24" ht="12">
      <c r="F24" s="169"/>
    </row>
    <row r="25" ht="12">
      <c r="F25" s="169"/>
    </row>
    <row r="26" ht="12">
      <c r="F26" s="169"/>
    </row>
    <row r="27" ht="12">
      <c r="F27" s="169"/>
    </row>
    <row r="28" ht="12">
      <c r="F28" s="169"/>
    </row>
    <row r="29" ht="12">
      <c r="F29" s="169"/>
    </row>
    <row r="30" ht="12">
      <c r="F30" s="169"/>
    </row>
    <row r="31" ht="12">
      <c r="F31" s="169"/>
    </row>
    <row r="32" ht="12">
      <c r="F32" s="169"/>
    </row>
    <row r="33" ht="12">
      <c r="F33" s="169"/>
    </row>
    <row r="34" ht="12">
      <c r="F34" s="169"/>
    </row>
  </sheetData>
  <sheetProtection/>
  <mergeCells count="3">
    <mergeCell ref="B2:F2"/>
    <mergeCell ref="B3:F3"/>
    <mergeCell ref="B4:F4"/>
  </mergeCells>
  <printOptions horizontalCentered="1"/>
  <pageMargins left="0.5" right="0.5" top="0.5" bottom="0.5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97"/>
  <sheetViews>
    <sheetView zoomScale="90" zoomScaleNormal="90" workbookViewId="0" topLeftCell="A1">
      <selection activeCell="E7" sqref="A7:J193"/>
    </sheetView>
  </sheetViews>
  <sheetFormatPr defaultColWidth="8.8515625" defaultRowHeight="12.75"/>
  <cols>
    <col min="1" max="1" width="4.57421875" style="54" customWidth="1"/>
    <col min="2" max="2" width="2.57421875" style="54" customWidth="1"/>
    <col min="3" max="3" width="28.421875" style="3" customWidth="1"/>
    <col min="4" max="4" width="8.57421875" style="3" customWidth="1"/>
    <col min="5" max="5" width="13.421875" style="3" customWidth="1"/>
    <col min="6" max="6" width="8.421875" style="3" customWidth="1"/>
    <col min="7" max="7" width="10.57421875" style="3" customWidth="1"/>
    <col min="8" max="8" width="13.140625" style="3" customWidth="1"/>
    <col min="9" max="9" width="14.00390625" style="3" customWidth="1"/>
    <col min="10" max="10" width="13.421875" style="3" customWidth="1"/>
    <col min="11" max="13" width="12.140625" style="3" customWidth="1"/>
    <col min="14" max="14" width="11.57421875" style="3" bestFit="1" customWidth="1"/>
    <col min="15" max="15" width="12.140625" style="3" customWidth="1"/>
    <col min="16" max="16" width="6.421875" style="3" bestFit="1" customWidth="1"/>
    <col min="17" max="17" width="13.8515625" style="3" bestFit="1" customWidth="1"/>
    <col min="18" max="16384" width="8.8515625" style="3" customWidth="1"/>
  </cols>
  <sheetData>
    <row r="1" ht="12.75">
      <c r="J1" s="124" t="s">
        <v>273</v>
      </c>
    </row>
    <row r="2" ht="12.75">
      <c r="J2" s="124" t="s">
        <v>312</v>
      </c>
    </row>
    <row r="3" spans="1:10" ht="12.75">
      <c r="A3" s="235" t="s">
        <v>12</v>
      </c>
      <c r="B3" s="235"/>
      <c r="C3" s="235"/>
      <c r="D3" s="235"/>
      <c r="E3" s="235"/>
      <c r="F3" s="235"/>
      <c r="G3" s="235"/>
      <c r="H3" s="235"/>
      <c r="I3" s="235"/>
      <c r="J3" s="235"/>
    </row>
    <row r="4" spans="1:10" ht="12.75">
      <c r="A4" s="235" t="s">
        <v>256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ht="12.75">
      <c r="A5" s="235" t="s">
        <v>311</v>
      </c>
      <c r="B5" s="235"/>
      <c r="C5" s="235"/>
      <c r="D5" s="235"/>
      <c r="E5" s="235"/>
      <c r="F5" s="235"/>
      <c r="G5" s="235"/>
      <c r="H5" s="235"/>
      <c r="I5" s="235"/>
      <c r="J5" s="235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25"/>
      <c r="B7" s="125"/>
      <c r="C7" s="35"/>
      <c r="D7" s="35"/>
      <c r="E7" s="1">
        <v>2020</v>
      </c>
      <c r="F7" s="35"/>
      <c r="G7" s="35"/>
      <c r="H7" s="35"/>
      <c r="I7" s="35"/>
      <c r="J7" s="1">
        <v>2020</v>
      </c>
    </row>
    <row r="8" spans="1:10" ht="12.75">
      <c r="A8" s="1"/>
      <c r="B8" s="1"/>
      <c r="C8" s="35"/>
      <c r="D8" s="35"/>
      <c r="E8" s="1" t="s">
        <v>62</v>
      </c>
      <c r="F8" s="35"/>
      <c r="G8" s="1" t="s">
        <v>66</v>
      </c>
      <c r="H8" s="1">
        <v>2020</v>
      </c>
      <c r="I8" s="1" t="s">
        <v>125</v>
      </c>
      <c r="J8" s="1" t="s">
        <v>129</v>
      </c>
    </row>
    <row r="9" spans="1:10" ht="12.75">
      <c r="A9" s="1" t="s">
        <v>51</v>
      </c>
      <c r="B9" s="1"/>
      <c r="C9" s="11"/>
      <c r="D9" s="1" t="s">
        <v>76</v>
      </c>
      <c r="E9" s="1" t="s">
        <v>63</v>
      </c>
      <c r="F9" s="1" t="s">
        <v>65</v>
      </c>
      <c r="G9" s="1" t="s">
        <v>62</v>
      </c>
      <c r="H9" s="1" t="s">
        <v>98</v>
      </c>
      <c r="I9" s="1" t="s">
        <v>66</v>
      </c>
      <c r="J9" s="1" t="s">
        <v>63</v>
      </c>
    </row>
    <row r="10" spans="1:10" ht="12.75">
      <c r="A10" s="11" t="s">
        <v>52</v>
      </c>
      <c r="B10" s="1"/>
      <c r="C10" s="11" t="s">
        <v>50</v>
      </c>
      <c r="D10" s="11" t="s">
        <v>77</v>
      </c>
      <c r="E10" s="11" t="s">
        <v>279</v>
      </c>
      <c r="F10" s="11" t="s">
        <v>23</v>
      </c>
      <c r="G10" s="11" t="s">
        <v>64</v>
      </c>
      <c r="H10" s="127" t="s">
        <v>97</v>
      </c>
      <c r="I10" s="11" t="s">
        <v>67</v>
      </c>
      <c r="J10" s="127" t="s">
        <v>64</v>
      </c>
    </row>
    <row r="11" spans="1:10" ht="12.75">
      <c r="A11" s="1"/>
      <c r="B11" s="1"/>
      <c r="C11" s="15">
        <v>-1</v>
      </c>
      <c r="D11" s="15">
        <f>+C11-1</f>
        <v>-2</v>
      </c>
      <c r="E11" s="17">
        <f>+D11-1</f>
        <v>-3</v>
      </c>
      <c r="F11" s="17">
        <f>+E11-1</f>
        <v>-4</v>
      </c>
      <c r="G11" s="15" t="s">
        <v>75</v>
      </c>
      <c r="H11" s="17">
        <f>+F11-2</f>
        <v>-6</v>
      </c>
      <c r="I11" s="15" t="s">
        <v>99</v>
      </c>
      <c r="J11" s="15" t="s">
        <v>142</v>
      </c>
    </row>
    <row r="12" spans="1:10" ht="12">
      <c r="A12" s="35"/>
      <c r="B12" s="35"/>
      <c r="C12" s="38"/>
      <c r="D12" s="38"/>
      <c r="E12" s="12"/>
      <c r="F12" s="12"/>
      <c r="G12" s="12"/>
      <c r="H12" s="12"/>
      <c r="I12" s="12"/>
      <c r="J12" s="12"/>
    </row>
    <row r="13" spans="1:10" ht="12.75">
      <c r="A13" s="125"/>
      <c r="B13" s="158" t="s">
        <v>24</v>
      </c>
      <c r="C13" s="38"/>
      <c r="D13" s="35"/>
      <c r="E13" s="39"/>
      <c r="F13" s="39"/>
      <c r="G13" s="39"/>
      <c r="H13" s="39"/>
      <c r="I13" s="39"/>
      <c r="J13" s="39"/>
    </row>
    <row r="14" spans="1:16" ht="12">
      <c r="A14" s="125">
        <v>1</v>
      </c>
      <c r="B14" s="125"/>
      <c r="C14" s="38" t="s">
        <v>130</v>
      </c>
      <c r="D14" s="125">
        <v>376</v>
      </c>
      <c r="E14" s="39">
        <f>J59</f>
        <v>50165499.893846154</v>
      </c>
      <c r="F14" s="223">
        <v>0.0165</v>
      </c>
      <c r="G14" s="39">
        <f aca="true" t="shared" si="0" ref="G14:G20">ROUND(+F14*E14,0)</f>
        <v>827731</v>
      </c>
      <c r="H14" s="39">
        <v>27603467.709999993</v>
      </c>
      <c r="I14" s="39">
        <f aca="true" t="shared" si="1" ref="I14:I20">ROUND(F14*H14*0.5,0)</f>
        <v>227729</v>
      </c>
      <c r="J14" s="39">
        <f aca="true" t="shared" si="2" ref="J14:J20">H14+E14</f>
        <v>77768967.60384615</v>
      </c>
      <c r="N14" s="159"/>
      <c r="O14" s="160"/>
      <c r="P14" s="161"/>
    </row>
    <row r="15" spans="1:16" ht="12">
      <c r="A15" s="125">
        <f>A14+1</f>
        <v>2</v>
      </c>
      <c r="B15" s="125"/>
      <c r="C15" s="38" t="s">
        <v>90</v>
      </c>
      <c r="D15" s="125">
        <v>378</v>
      </c>
      <c r="E15" s="39">
        <f aca="true" t="shared" si="3" ref="E15:E20">J60</f>
        <v>302449.08</v>
      </c>
      <c r="F15" s="223">
        <v>0.022</v>
      </c>
      <c r="G15" s="39">
        <f t="shared" si="0"/>
        <v>6654</v>
      </c>
      <c r="H15" s="39">
        <v>29017.41000000043</v>
      </c>
      <c r="I15" s="39">
        <f t="shared" si="1"/>
        <v>319</v>
      </c>
      <c r="J15" s="39">
        <f t="shared" si="2"/>
        <v>331466.49000000046</v>
      </c>
      <c r="N15" s="43"/>
      <c r="O15" s="160"/>
      <c r="P15" s="161"/>
    </row>
    <row r="16" spans="1:16" ht="12">
      <c r="A16" s="125">
        <v>3</v>
      </c>
      <c r="B16" s="125"/>
      <c r="C16" s="38" t="s">
        <v>280</v>
      </c>
      <c r="D16" s="125">
        <v>378</v>
      </c>
      <c r="E16" s="39">
        <f t="shared" si="3"/>
        <v>288929.18000000005</v>
      </c>
      <c r="F16" s="223">
        <v>0.022</v>
      </c>
      <c r="G16" s="39">
        <f t="shared" si="0"/>
        <v>6356</v>
      </c>
      <c r="H16" s="39">
        <v>3059616.2300000004</v>
      </c>
      <c r="I16" s="39">
        <f t="shared" si="1"/>
        <v>33656</v>
      </c>
      <c r="J16" s="39">
        <f t="shared" si="2"/>
        <v>3348545.4100000006</v>
      </c>
      <c r="N16" s="43"/>
      <c r="O16" s="160"/>
      <c r="P16" s="161"/>
    </row>
    <row r="17" spans="1:16" ht="12">
      <c r="A17" s="125">
        <v>4</v>
      </c>
      <c r="B17" s="125"/>
      <c r="C17" s="38" t="s">
        <v>91</v>
      </c>
      <c r="D17" s="125">
        <v>380</v>
      </c>
      <c r="E17" s="39">
        <f t="shared" si="3"/>
        <v>21294795.793076925</v>
      </c>
      <c r="F17" s="223">
        <v>0.038</v>
      </c>
      <c r="G17" s="39">
        <f t="shared" si="0"/>
        <v>809202</v>
      </c>
      <c r="H17" s="39">
        <v>12593508.720000003</v>
      </c>
      <c r="I17" s="39">
        <f t="shared" si="1"/>
        <v>239277</v>
      </c>
      <c r="J17" s="39">
        <f t="shared" si="2"/>
        <v>33888304.51307693</v>
      </c>
      <c r="N17" s="159"/>
      <c r="O17" s="160"/>
      <c r="P17" s="161"/>
    </row>
    <row r="18" spans="1:16" ht="12">
      <c r="A18" s="125">
        <f>+A17+1</f>
        <v>5</v>
      </c>
      <c r="B18" s="125"/>
      <c r="C18" s="38" t="s">
        <v>92</v>
      </c>
      <c r="D18" s="125">
        <v>382</v>
      </c>
      <c r="E18" s="39">
        <f t="shared" si="3"/>
        <v>184798.24</v>
      </c>
      <c r="F18" s="223">
        <v>0.0208</v>
      </c>
      <c r="G18" s="39">
        <f t="shared" si="0"/>
        <v>3844</v>
      </c>
      <c r="H18" s="39">
        <v>34340.69</v>
      </c>
      <c r="I18" s="39">
        <f t="shared" si="1"/>
        <v>357</v>
      </c>
      <c r="J18" s="39">
        <f t="shared" si="2"/>
        <v>219138.93</v>
      </c>
      <c r="N18" s="159"/>
      <c r="O18" s="160"/>
      <c r="P18" s="161"/>
    </row>
    <row r="19" spans="1:16" ht="12">
      <c r="A19" s="125">
        <f>+A18+1</f>
        <v>6</v>
      </c>
      <c r="B19" s="125"/>
      <c r="C19" s="38" t="s">
        <v>88</v>
      </c>
      <c r="D19" s="125">
        <v>383</v>
      </c>
      <c r="E19" s="39">
        <f t="shared" si="3"/>
        <v>232393.37</v>
      </c>
      <c r="F19" s="223">
        <v>0.0225</v>
      </c>
      <c r="G19" s="39">
        <f t="shared" si="0"/>
        <v>5229</v>
      </c>
      <c r="H19" s="39">
        <v>25840.660000000003</v>
      </c>
      <c r="I19" s="39">
        <f t="shared" si="1"/>
        <v>291</v>
      </c>
      <c r="J19" s="39">
        <f t="shared" si="2"/>
        <v>258234.03</v>
      </c>
      <c r="N19" s="43"/>
      <c r="O19" s="160"/>
      <c r="P19" s="161"/>
    </row>
    <row r="20" spans="1:16" ht="13.5">
      <c r="A20" s="125">
        <f>+A19+1</f>
        <v>7</v>
      </c>
      <c r="B20" s="125"/>
      <c r="C20" s="38" t="s">
        <v>191</v>
      </c>
      <c r="D20" s="125">
        <v>387</v>
      </c>
      <c r="E20" s="10">
        <f t="shared" si="3"/>
        <v>213381</v>
      </c>
      <c r="F20" s="223">
        <v>0.0313</v>
      </c>
      <c r="G20" s="10">
        <f t="shared" si="0"/>
        <v>6679</v>
      </c>
      <c r="H20" s="10">
        <v>0</v>
      </c>
      <c r="I20" s="10">
        <f t="shared" si="1"/>
        <v>0</v>
      </c>
      <c r="J20" s="10">
        <f t="shared" si="2"/>
        <v>213381</v>
      </c>
      <c r="O20" s="162"/>
      <c r="P20" s="161"/>
    </row>
    <row r="21" spans="1:16" ht="13.5">
      <c r="A21" s="125"/>
      <c r="B21" s="125"/>
      <c r="C21" s="38"/>
      <c r="D21" s="125"/>
      <c r="E21" s="10"/>
      <c r="F21" s="223"/>
      <c r="G21" s="10"/>
      <c r="H21" s="10"/>
      <c r="I21" s="39"/>
      <c r="J21" s="39"/>
      <c r="O21" s="43"/>
      <c r="P21" s="163"/>
    </row>
    <row r="22" spans="1:14" ht="12">
      <c r="A22" s="125">
        <f>A20+1</f>
        <v>8</v>
      </c>
      <c r="B22" s="125"/>
      <c r="C22" s="53" t="s">
        <v>59</v>
      </c>
      <c r="D22" s="224"/>
      <c r="E22" s="39">
        <f>SUM(E14:E20)</f>
        <v>72682246.55692308</v>
      </c>
      <c r="F22" s="225"/>
      <c r="G22" s="39">
        <f>SUM(G14:G20)</f>
        <v>1665695</v>
      </c>
      <c r="H22" s="39">
        <f>SUM(H14:H20)</f>
        <v>43345791.41999999</v>
      </c>
      <c r="I22" s="39">
        <f>SUM(I14:I20)</f>
        <v>501629</v>
      </c>
      <c r="J22" s="39">
        <f>SUM(J14:J20)</f>
        <v>116028037.97692308</v>
      </c>
      <c r="L22" s="43"/>
      <c r="M22" s="43"/>
      <c r="N22" s="43"/>
    </row>
    <row r="23" spans="1:10" ht="12">
      <c r="A23" s="125"/>
      <c r="B23" s="125"/>
      <c r="C23" s="38"/>
      <c r="D23" s="35"/>
      <c r="E23" s="39"/>
      <c r="F23" s="225"/>
      <c r="G23" s="39"/>
      <c r="H23" s="39"/>
      <c r="I23" s="39"/>
      <c r="J23" s="39"/>
    </row>
    <row r="24" spans="1:10" ht="12.75">
      <c r="A24" s="125"/>
      <c r="B24" s="158" t="s">
        <v>97</v>
      </c>
      <c r="C24" s="38"/>
      <c r="D24" s="35"/>
      <c r="E24" s="35"/>
      <c r="F24" s="225"/>
      <c r="G24" s="35"/>
      <c r="H24" s="35"/>
      <c r="I24" s="35"/>
      <c r="J24" s="35"/>
    </row>
    <row r="25" spans="1:10" ht="12">
      <c r="A25" s="125">
        <f>A22+1</f>
        <v>9</v>
      </c>
      <c r="B25" s="125"/>
      <c r="C25" s="38" t="s">
        <v>130</v>
      </c>
      <c r="D25" s="125">
        <v>376</v>
      </c>
      <c r="E25" s="39">
        <f>J70</f>
        <v>-3156204.066923077</v>
      </c>
      <c r="F25" s="225">
        <f aca="true" t="shared" si="4" ref="F25:F31">F14</f>
        <v>0.0165</v>
      </c>
      <c r="G25" s="39">
        <f aca="true" t="shared" si="5" ref="G25:G31">ROUND(+F25*E25,0)</f>
        <v>-52077</v>
      </c>
      <c r="H25" s="39">
        <v>-1600146.4500000004</v>
      </c>
      <c r="I25" s="39">
        <f aca="true" t="shared" si="6" ref="I25:I31">ROUND(F25*H25*0.5,0)</f>
        <v>-13201</v>
      </c>
      <c r="J25" s="39">
        <f aca="true" t="shared" si="7" ref="J25:J31">H25+E25</f>
        <v>-4756350.516923077</v>
      </c>
    </row>
    <row r="26" spans="1:10" ht="12">
      <c r="A26" s="125">
        <f aca="true" t="shared" si="8" ref="A26:A32">A25+1</f>
        <v>10</v>
      </c>
      <c r="B26" s="125"/>
      <c r="C26" s="38" t="s">
        <v>90</v>
      </c>
      <c r="D26" s="125">
        <v>378</v>
      </c>
      <c r="E26" s="39">
        <f aca="true" t="shared" si="9" ref="E26:E31">J71</f>
        <v>-4302.45</v>
      </c>
      <c r="F26" s="225">
        <f t="shared" si="4"/>
        <v>0.022</v>
      </c>
      <c r="G26" s="39">
        <f t="shared" si="5"/>
        <v>-95</v>
      </c>
      <c r="H26" s="39">
        <v>-4915.84999999998</v>
      </c>
      <c r="I26" s="39">
        <f t="shared" si="6"/>
        <v>-54</v>
      </c>
      <c r="J26" s="39">
        <f t="shared" si="7"/>
        <v>-9218.299999999981</v>
      </c>
    </row>
    <row r="27" spans="1:10" ht="12">
      <c r="A27" s="125">
        <f t="shared" si="8"/>
        <v>11</v>
      </c>
      <c r="B27" s="125"/>
      <c r="C27" s="38" t="s">
        <v>281</v>
      </c>
      <c r="D27" s="125">
        <v>378</v>
      </c>
      <c r="E27" s="39">
        <f t="shared" si="9"/>
        <v>-21732.17</v>
      </c>
      <c r="F27" s="225">
        <f t="shared" si="4"/>
        <v>0.022</v>
      </c>
      <c r="G27" s="39">
        <f t="shared" si="5"/>
        <v>-478</v>
      </c>
      <c r="H27" s="39">
        <v>-172990.9</v>
      </c>
      <c r="I27" s="39">
        <f t="shared" si="6"/>
        <v>-1903</v>
      </c>
      <c r="J27" s="39">
        <f t="shared" si="7"/>
        <v>-194723.07</v>
      </c>
    </row>
    <row r="28" spans="1:15" ht="12.75">
      <c r="A28" s="125">
        <f t="shared" si="8"/>
        <v>12</v>
      </c>
      <c r="B28" s="125"/>
      <c r="C28" s="38" t="s">
        <v>91</v>
      </c>
      <c r="D28" s="125">
        <v>380</v>
      </c>
      <c r="E28" s="39">
        <f t="shared" si="9"/>
        <v>-4645131.703046154</v>
      </c>
      <c r="F28" s="225">
        <f t="shared" si="4"/>
        <v>0.038</v>
      </c>
      <c r="G28" s="39">
        <f t="shared" si="5"/>
        <v>-176515</v>
      </c>
      <c r="H28" s="39">
        <v>-3004437.090800001</v>
      </c>
      <c r="I28" s="39">
        <f t="shared" si="6"/>
        <v>-57084</v>
      </c>
      <c r="J28" s="39">
        <f t="shared" si="7"/>
        <v>-7649568.793846155</v>
      </c>
      <c r="O28" s="124"/>
    </row>
    <row r="29" spans="1:15" ht="12.75">
      <c r="A29" s="125">
        <f t="shared" si="8"/>
        <v>13</v>
      </c>
      <c r="B29" s="125"/>
      <c r="C29" s="38" t="s">
        <v>92</v>
      </c>
      <c r="D29" s="125">
        <v>382</v>
      </c>
      <c r="E29" s="39">
        <f t="shared" si="9"/>
        <v>-47173.121199999994</v>
      </c>
      <c r="F29" s="225">
        <f t="shared" si="4"/>
        <v>0.0208</v>
      </c>
      <c r="G29" s="39">
        <f t="shared" si="5"/>
        <v>-981</v>
      </c>
      <c r="H29" s="39">
        <v>-23991.0608</v>
      </c>
      <c r="I29" s="39">
        <f t="shared" si="6"/>
        <v>-250</v>
      </c>
      <c r="J29" s="39">
        <f t="shared" si="7"/>
        <v>-71164.182</v>
      </c>
      <c r="O29" s="124"/>
    </row>
    <row r="30" spans="1:15" ht="12.75">
      <c r="A30" s="125">
        <f t="shared" si="8"/>
        <v>14</v>
      </c>
      <c r="B30" s="125"/>
      <c r="C30" s="38" t="s">
        <v>88</v>
      </c>
      <c r="D30" s="125">
        <v>383</v>
      </c>
      <c r="E30" s="39">
        <f t="shared" si="9"/>
        <v>-4650.3148</v>
      </c>
      <c r="F30" s="225">
        <f t="shared" si="4"/>
        <v>0.0225</v>
      </c>
      <c r="G30" s="39">
        <f t="shared" si="5"/>
        <v>-105</v>
      </c>
      <c r="H30" s="39">
        <v>-3246.7352000000005</v>
      </c>
      <c r="I30" s="39">
        <f t="shared" si="6"/>
        <v>-37</v>
      </c>
      <c r="J30" s="39">
        <f t="shared" si="7"/>
        <v>-7897.050000000001</v>
      </c>
      <c r="O30" s="124"/>
    </row>
    <row r="31" spans="1:10" ht="13.5">
      <c r="A31" s="125">
        <f t="shared" si="8"/>
        <v>15</v>
      </c>
      <c r="B31" s="125"/>
      <c r="C31" s="38" t="s">
        <v>191</v>
      </c>
      <c r="D31" s="125">
        <v>387</v>
      </c>
      <c r="E31" s="10">
        <f t="shared" si="9"/>
        <v>0</v>
      </c>
      <c r="F31" s="225">
        <f t="shared" si="4"/>
        <v>0.0313</v>
      </c>
      <c r="G31" s="10">
        <f t="shared" si="5"/>
        <v>0</v>
      </c>
      <c r="H31" s="10">
        <v>0</v>
      </c>
      <c r="I31" s="10">
        <f t="shared" si="6"/>
        <v>0</v>
      </c>
      <c r="J31" s="10">
        <f t="shared" si="7"/>
        <v>0</v>
      </c>
    </row>
    <row r="32" spans="1:14" ht="12">
      <c r="A32" s="125">
        <f t="shared" si="8"/>
        <v>16</v>
      </c>
      <c r="B32" s="125"/>
      <c r="C32" s="53" t="s">
        <v>60</v>
      </c>
      <c r="D32" s="224"/>
      <c r="E32" s="39">
        <f>SUM(E25:E31)</f>
        <v>-7879193.825969231</v>
      </c>
      <c r="F32" s="225"/>
      <c r="G32" s="39">
        <f>SUM(G25:G31)</f>
        <v>-230251</v>
      </c>
      <c r="H32" s="39">
        <f>SUM(H25:H31)</f>
        <v>-4809728.086800002</v>
      </c>
      <c r="I32" s="39">
        <f>SUM(I25:I31)</f>
        <v>-72529</v>
      </c>
      <c r="J32" s="39">
        <f>SUM(J25:J31)</f>
        <v>-12688921.912769232</v>
      </c>
      <c r="L32" s="43"/>
      <c r="M32" s="43"/>
      <c r="N32" s="43"/>
    </row>
    <row r="33" spans="1:10" ht="12">
      <c r="A33" s="125"/>
      <c r="B33" s="125"/>
      <c r="C33" s="38"/>
      <c r="D33" s="35"/>
      <c r="E33" s="39"/>
      <c r="F33" s="225"/>
      <c r="G33" s="39"/>
      <c r="H33" s="39"/>
      <c r="I33" s="35"/>
      <c r="J33" s="39"/>
    </row>
    <row r="34" spans="1:15" ht="13.5">
      <c r="A34" s="125">
        <f>A32+1</f>
        <v>17</v>
      </c>
      <c r="B34" s="158" t="s">
        <v>100</v>
      </c>
      <c r="C34" s="38"/>
      <c r="D34" s="35"/>
      <c r="E34" s="14">
        <f>+E32+E22</f>
        <v>64803052.73095384</v>
      </c>
      <c r="F34" s="225"/>
      <c r="G34" s="14">
        <f>+G32+G22</f>
        <v>1435444</v>
      </c>
      <c r="H34" s="14">
        <f>+H32+H22</f>
        <v>38536063.333199985</v>
      </c>
      <c r="I34" s="14">
        <f>+I32+I22</f>
        <v>429100</v>
      </c>
      <c r="J34" s="14">
        <f>+J32+J22</f>
        <v>103339116.06415385</v>
      </c>
      <c r="L34" s="43"/>
      <c r="M34" s="43"/>
      <c r="N34" s="9"/>
      <c r="O34" s="43"/>
    </row>
    <row r="35" spans="1:15" ht="13.5">
      <c r="A35" s="125"/>
      <c r="B35" s="158"/>
      <c r="C35" s="38"/>
      <c r="D35" s="35"/>
      <c r="E35" s="14"/>
      <c r="F35" s="225"/>
      <c r="G35" s="14"/>
      <c r="H35" s="14"/>
      <c r="I35" s="14"/>
      <c r="J35" s="39"/>
      <c r="K35" s="11"/>
      <c r="L35" s="11"/>
      <c r="M35" s="11"/>
      <c r="N35" s="11"/>
      <c r="O35" s="11"/>
    </row>
    <row r="36" spans="1:15" ht="13.5">
      <c r="A36" s="125"/>
      <c r="B36" s="18" t="s">
        <v>96</v>
      </c>
      <c r="C36" s="35"/>
      <c r="D36" s="35"/>
      <c r="E36" s="10"/>
      <c r="F36" s="226"/>
      <c r="G36" s="226"/>
      <c r="H36" s="35"/>
      <c r="I36" s="226"/>
      <c r="J36" s="226"/>
      <c r="K36" s="41"/>
      <c r="L36" s="41"/>
      <c r="M36" s="41"/>
      <c r="N36" s="41"/>
      <c r="O36" s="41"/>
    </row>
    <row r="37" spans="1:15" ht="12">
      <c r="A37" s="125">
        <f>A34+1</f>
        <v>18</v>
      </c>
      <c r="B37" s="125"/>
      <c r="C37" s="38" t="s">
        <v>130</v>
      </c>
      <c r="D37" s="125">
        <v>376</v>
      </c>
      <c r="E37" s="39">
        <f>J82</f>
        <v>496384.7338461538</v>
      </c>
      <c r="F37" s="223"/>
      <c r="G37" s="39"/>
      <c r="H37" s="39">
        <v>345882.07</v>
      </c>
      <c r="I37" s="39"/>
      <c r="J37" s="39">
        <f aca="true" t="shared" si="10" ref="J37:J43">H37+E37</f>
        <v>842266.8038461538</v>
      </c>
      <c r="K37" s="12"/>
      <c r="L37" s="12"/>
      <c r="M37" s="12"/>
      <c r="N37" s="12"/>
      <c r="O37" s="12"/>
    </row>
    <row r="38" spans="1:15" ht="12">
      <c r="A38" s="125">
        <f aca="true" t="shared" si="11" ref="A38:A44">A37+1</f>
        <v>19</v>
      </c>
      <c r="B38" s="125"/>
      <c r="C38" s="38" t="s">
        <v>90</v>
      </c>
      <c r="D38" s="125">
        <v>378</v>
      </c>
      <c r="E38" s="39">
        <f aca="true" t="shared" si="12" ref="E38:E43">J83</f>
        <v>5109.82</v>
      </c>
      <c r="F38" s="223"/>
      <c r="G38" s="39"/>
      <c r="H38" s="39">
        <v>-0.35999999999959187</v>
      </c>
      <c r="I38" s="39"/>
      <c r="J38" s="39">
        <f t="shared" si="10"/>
        <v>5109.46</v>
      </c>
      <c r="K38" s="9"/>
      <c r="L38" s="9"/>
      <c r="M38" s="9"/>
      <c r="N38" s="9"/>
      <c r="O38" s="9"/>
    </row>
    <row r="39" spans="1:15" ht="12">
      <c r="A39" s="125">
        <f t="shared" si="11"/>
        <v>20</v>
      </c>
      <c r="B39" s="125"/>
      <c r="C39" s="38" t="s">
        <v>280</v>
      </c>
      <c r="D39" s="125">
        <v>378</v>
      </c>
      <c r="E39" s="39">
        <f t="shared" si="12"/>
        <v>3368.4500000000003</v>
      </c>
      <c r="F39" s="223"/>
      <c r="G39" s="39"/>
      <c r="H39" s="39">
        <v>6911.33</v>
      </c>
      <c r="I39" s="39"/>
      <c r="J39" s="39">
        <f t="shared" si="10"/>
        <v>10279.78</v>
      </c>
      <c r="K39" s="9"/>
      <c r="L39" s="9"/>
      <c r="M39" s="9"/>
      <c r="N39" s="9"/>
      <c r="O39" s="9"/>
    </row>
    <row r="40" spans="1:15" ht="13.5">
      <c r="A40" s="125">
        <f t="shared" si="11"/>
        <v>21</v>
      </c>
      <c r="B40" s="125"/>
      <c r="C40" s="38" t="s">
        <v>91</v>
      </c>
      <c r="D40" s="125">
        <v>380</v>
      </c>
      <c r="E40" s="39">
        <f t="shared" si="12"/>
        <v>3244206.8219999997</v>
      </c>
      <c r="F40" s="223"/>
      <c r="G40" s="10"/>
      <c r="H40" s="39">
        <v>1811577.5751999994</v>
      </c>
      <c r="I40" s="10"/>
      <c r="J40" s="39">
        <f t="shared" si="10"/>
        <v>5055784.3972</v>
      </c>
      <c r="K40" s="9"/>
      <c r="L40" s="9"/>
      <c r="M40" s="9"/>
      <c r="N40" s="9"/>
      <c r="O40" s="9"/>
    </row>
    <row r="41" spans="1:15" ht="12">
      <c r="A41" s="125">
        <f t="shared" si="11"/>
        <v>22</v>
      </c>
      <c r="B41" s="125"/>
      <c r="C41" s="38" t="s">
        <v>92</v>
      </c>
      <c r="D41" s="125">
        <v>382</v>
      </c>
      <c r="E41" s="39">
        <f t="shared" si="12"/>
        <v>0</v>
      </c>
      <c r="F41" s="223"/>
      <c r="G41" s="39"/>
      <c r="H41" s="39">
        <v>0</v>
      </c>
      <c r="I41" s="39"/>
      <c r="J41" s="39">
        <f t="shared" si="10"/>
        <v>0</v>
      </c>
      <c r="K41" s="9"/>
      <c r="L41" s="9"/>
      <c r="M41" s="9"/>
      <c r="N41" s="9"/>
      <c r="O41" s="9"/>
    </row>
    <row r="42" spans="1:15" ht="12">
      <c r="A42" s="125">
        <f t="shared" si="11"/>
        <v>23</v>
      </c>
      <c r="B42" s="125"/>
      <c r="C42" s="38" t="s">
        <v>88</v>
      </c>
      <c r="D42" s="125">
        <v>383</v>
      </c>
      <c r="E42" s="39">
        <f t="shared" si="12"/>
        <v>0</v>
      </c>
      <c r="F42" s="35"/>
      <c r="G42" s="35"/>
      <c r="H42" s="39">
        <v>0</v>
      </c>
      <c r="I42" s="35"/>
      <c r="J42" s="39">
        <f t="shared" si="10"/>
        <v>0</v>
      </c>
      <c r="K42" s="9"/>
      <c r="L42" s="9"/>
      <c r="M42" s="9"/>
      <c r="N42" s="9"/>
      <c r="O42" s="9"/>
    </row>
    <row r="43" spans="1:15" ht="13.5">
      <c r="A43" s="125">
        <f t="shared" si="11"/>
        <v>24</v>
      </c>
      <c r="B43" s="125"/>
      <c r="C43" s="38" t="s">
        <v>191</v>
      </c>
      <c r="D43" s="125">
        <v>387</v>
      </c>
      <c r="E43" s="10">
        <f t="shared" si="12"/>
        <v>0</v>
      </c>
      <c r="F43" s="35"/>
      <c r="G43" s="35"/>
      <c r="H43" s="10">
        <v>0</v>
      </c>
      <c r="I43" s="164"/>
      <c r="J43" s="10">
        <f t="shared" si="10"/>
        <v>0</v>
      </c>
      <c r="K43" s="9"/>
      <c r="L43" s="9"/>
      <c r="M43" s="9"/>
      <c r="N43" s="9"/>
      <c r="O43" s="9"/>
    </row>
    <row r="44" spans="1:17" ht="13.5">
      <c r="A44" s="125">
        <f t="shared" si="11"/>
        <v>25</v>
      </c>
      <c r="B44" s="125"/>
      <c r="C44" s="35" t="s">
        <v>126</v>
      </c>
      <c r="D44" s="35"/>
      <c r="E44" s="227">
        <f>SUM(E37:E43)</f>
        <v>3749069.8258461533</v>
      </c>
      <c r="F44" s="35"/>
      <c r="G44" s="39"/>
      <c r="H44" s="227">
        <f>SUM(H37:H43)</f>
        <v>2164370.6151999994</v>
      </c>
      <c r="I44" s="39"/>
      <c r="J44" s="227">
        <f>SUM(J37:J43)</f>
        <v>5913440.441046153</v>
      </c>
      <c r="K44" s="10"/>
      <c r="L44" s="10"/>
      <c r="M44" s="10"/>
      <c r="N44" s="10"/>
      <c r="O44" s="10"/>
      <c r="Q44" s="43"/>
    </row>
    <row r="45" spans="1:15" ht="12">
      <c r="A45" s="125"/>
      <c r="B45" s="125"/>
      <c r="C45" s="35"/>
      <c r="D45" s="35"/>
      <c r="E45" s="35"/>
      <c r="F45" s="35"/>
      <c r="G45" s="35"/>
      <c r="H45" s="35"/>
      <c r="I45" s="35"/>
      <c r="J45" s="35"/>
      <c r="K45" s="9"/>
      <c r="L45" s="9"/>
      <c r="M45" s="9"/>
      <c r="N45" s="9"/>
      <c r="O45" s="9"/>
    </row>
    <row r="46" spans="1:10" ht="12.75">
      <c r="A46" s="125"/>
      <c r="B46" s="125"/>
      <c r="C46" s="35"/>
      <c r="D46" s="35"/>
      <c r="E46" s="35"/>
      <c r="F46" s="35"/>
      <c r="G46" s="35"/>
      <c r="H46" s="35"/>
      <c r="I46" s="35"/>
      <c r="J46" s="124" t="s">
        <v>273</v>
      </c>
    </row>
    <row r="47" spans="1:10" ht="12.75">
      <c r="A47" s="125"/>
      <c r="B47" s="125"/>
      <c r="C47" s="35"/>
      <c r="D47" s="35"/>
      <c r="E47" s="35"/>
      <c r="F47" s="35"/>
      <c r="G47" s="35"/>
      <c r="H47" s="35"/>
      <c r="I47" s="35"/>
      <c r="J47" s="124" t="s">
        <v>313</v>
      </c>
    </row>
    <row r="48" spans="1:10" ht="12.75">
      <c r="A48" s="235" t="s">
        <v>12</v>
      </c>
      <c r="B48" s="235"/>
      <c r="C48" s="235"/>
      <c r="D48" s="235"/>
      <c r="E48" s="235"/>
      <c r="F48" s="235"/>
      <c r="G48" s="235"/>
      <c r="H48" s="235"/>
      <c r="I48" s="235"/>
      <c r="J48" s="235"/>
    </row>
    <row r="49" spans="1:10" ht="12.75">
      <c r="A49" s="235" t="s">
        <v>256</v>
      </c>
      <c r="B49" s="235"/>
      <c r="C49" s="235"/>
      <c r="D49" s="235"/>
      <c r="E49" s="235"/>
      <c r="F49" s="235"/>
      <c r="G49" s="235"/>
      <c r="H49" s="235"/>
      <c r="I49" s="235"/>
      <c r="J49" s="235"/>
    </row>
    <row r="50" spans="1:10" ht="12.75">
      <c r="A50" s="235" t="s">
        <v>274</v>
      </c>
      <c r="B50" s="235"/>
      <c r="C50" s="235"/>
      <c r="D50" s="235"/>
      <c r="E50" s="235"/>
      <c r="F50" s="235"/>
      <c r="G50" s="235"/>
      <c r="H50" s="235"/>
      <c r="I50" s="235"/>
      <c r="J50" s="235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25"/>
      <c r="B52" s="125"/>
      <c r="C52" s="35"/>
      <c r="D52" s="35"/>
      <c r="E52" s="1">
        <v>2019</v>
      </c>
      <c r="F52" s="35"/>
      <c r="G52" s="35"/>
      <c r="H52" s="35"/>
      <c r="I52" s="35"/>
      <c r="J52" s="1">
        <v>2019</v>
      </c>
    </row>
    <row r="53" spans="1:10" ht="12.75">
      <c r="A53" s="1"/>
      <c r="B53" s="1"/>
      <c r="C53" s="35"/>
      <c r="D53" s="35"/>
      <c r="E53" s="1" t="s">
        <v>62</v>
      </c>
      <c r="F53" s="35"/>
      <c r="G53" s="1" t="s">
        <v>66</v>
      </c>
      <c r="H53" s="1">
        <v>2019</v>
      </c>
      <c r="I53" s="1" t="s">
        <v>125</v>
      </c>
      <c r="J53" s="1" t="s">
        <v>129</v>
      </c>
    </row>
    <row r="54" spans="1:10" ht="12.75">
      <c r="A54" s="1" t="s">
        <v>51</v>
      </c>
      <c r="B54" s="1"/>
      <c r="C54" s="11"/>
      <c r="D54" s="1" t="s">
        <v>76</v>
      </c>
      <c r="E54" s="1" t="s">
        <v>63</v>
      </c>
      <c r="F54" s="1" t="s">
        <v>65</v>
      </c>
      <c r="G54" s="1" t="s">
        <v>62</v>
      </c>
      <c r="H54" s="1" t="s">
        <v>98</v>
      </c>
      <c r="I54" s="1" t="s">
        <v>66</v>
      </c>
      <c r="J54" s="1" t="s">
        <v>63</v>
      </c>
    </row>
    <row r="55" spans="1:10" ht="12.75">
      <c r="A55" s="11" t="s">
        <v>52</v>
      </c>
      <c r="B55" s="1"/>
      <c r="C55" s="11" t="s">
        <v>50</v>
      </c>
      <c r="D55" s="11" t="s">
        <v>77</v>
      </c>
      <c r="E55" s="11" t="s">
        <v>279</v>
      </c>
      <c r="F55" s="11" t="s">
        <v>23</v>
      </c>
      <c r="G55" s="11" t="s">
        <v>64</v>
      </c>
      <c r="H55" s="127" t="s">
        <v>97</v>
      </c>
      <c r="I55" s="11" t="s">
        <v>67</v>
      </c>
      <c r="J55" s="127" t="s">
        <v>64</v>
      </c>
    </row>
    <row r="56" spans="1:10" ht="12.75">
      <c r="A56" s="1"/>
      <c r="B56" s="1"/>
      <c r="C56" s="15">
        <v>-1</v>
      </c>
      <c r="D56" s="15">
        <f>+C56-1</f>
        <v>-2</v>
      </c>
      <c r="E56" s="17">
        <f>+D56-1</f>
        <v>-3</v>
      </c>
      <c r="F56" s="17">
        <f>+E56-1</f>
        <v>-4</v>
      </c>
      <c r="G56" s="15" t="s">
        <v>75</v>
      </c>
      <c r="H56" s="17">
        <f>+F56-2</f>
        <v>-6</v>
      </c>
      <c r="I56" s="15" t="s">
        <v>99</v>
      </c>
      <c r="J56" s="15" t="s">
        <v>142</v>
      </c>
    </row>
    <row r="57" spans="1:10" ht="12">
      <c r="A57" s="35"/>
      <c r="B57" s="35"/>
      <c r="C57" s="38"/>
      <c r="D57" s="38"/>
      <c r="E57" s="12"/>
      <c r="F57" s="12"/>
      <c r="G57" s="12"/>
      <c r="H57" s="12"/>
      <c r="I57" s="12"/>
      <c r="J57" s="12"/>
    </row>
    <row r="58" spans="1:10" ht="12.75">
      <c r="A58" s="125"/>
      <c r="B58" s="158" t="s">
        <v>24</v>
      </c>
      <c r="C58" s="38"/>
      <c r="D58" s="35"/>
      <c r="E58" s="39"/>
      <c r="F58" s="39"/>
      <c r="G58" s="39"/>
      <c r="H58" s="39"/>
      <c r="I58" s="39"/>
      <c r="J58" s="39"/>
    </row>
    <row r="59" spans="1:16" ht="12">
      <c r="A59" s="125">
        <v>1</v>
      </c>
      <c r="B59" s="125"/>
      <c r="C59" s="38" t="s">
        <v>130</v>
      </c>
      <c r="D59" s="125">
        <v>376</v>
      </c>
      <c r="E59" s="39">
        <f>J104</f>
        <v>24991378.033846155</v>
      </c>
      <c r="F59" s="223">
        <v>0.0165</v>
      </c>
      <c r="G59" s="39">
        <f aca="true" t="shared" si="13" ref="G59:G65">ROUND(+F59*E59,0)</f>
        <v>412358</v>
      </c>
      <c r="H59" s="39">
        <v>25174121.86</v>
      </c>
      <c r="I59" s="39">
        <f aca="true" t="shared" si="14" ref="I59:I65">ROUND(F59*H59*0.5,0)</f>
        <v>207687</v>
      </c>
      <c r="J59" s="39">
        <f aca="true" t="shared" si="15" ref="J59:J65">H59+E59</f>
        <v>50165499.893846154</v>
      </c>
      <c r="N59" s="159"/>
      <c r="O59" s="160"/>
      <c r="P59" s="161"/>
    </row>
    <row r="60" spans="1:16" ht="12">
      <c r="A60" s="125">
        <f>A59+1</f>
        <v>2</v>
      </c>
      <c r="B60" s="125"/>
      <c r="C60" s="38" t="s">
        <v>90</v>
      </c>
      <c r="D60" s="125">
        <v>378</v>
      </c>
      <c r="E60" s="39">
        <f>J105</f>
        <v>227813.26</v>
      </c>
      <c r="F60" s="223">
        <v>0.022</v>
      </c>
      <c r="G60" s="39">
        <f t="shared" si="13"/>
        <v>5012</v>
      </c>
      <c r="H60" s="39">
        <v>74635.81999999999</v>
      </c>
      <c r="I60" s="39">
        <f t="shared" si="14"/>
        <v>821</v>
      </c>
      <c r="J60" s="39">
        <f t="shared" si="15"/>
        <v>302449.08</v>
      </c>
      <c r="N60" s="43"/>
      <c r="O60" s="160"/>
      <c r="P60" s="161"/>
    </row>
    <row r="61" spans="1:16" ht="12">
      <c r="A61" s="125">
        <v>3</v>
      </c>
      <c r="B61" s="125"/>
      <c r="C61" s="38" t="s">
        <v>280</v>
      </c>
      <c r="D61" s="125">
        <v>378</v>
      </c>
      <c r="E61" s="39">
        <v>0</v>
      </c>
      <c r="F61" s="223">
        <v>0.022</v>
      </c>
      <c r="G61" s="39">
        <f t="shared" si="13"/>
        <v>0</v>
      </c>
      <c r="H61" s="39">
        <v>288929.18000000005</v>
      </c>
      <c r="I61" s="39">
        <f t="shared" si="14"/>
        <v>3178</v>
      </c>
      <c r="J61" s="39">
        <f t="shared" si="15"/>
        <v>288929.18000000005</v>
      </c>
      <c r="N61" s="43"/>
      <c r="O61" s="160"/>
      <c r="P61" s="161"/>
    </row>
    <row r="62" spans="1:16" ht="12">
      <c r="A62" s="125">
        <v>4</v>
      </c>
      <c r="B62" s="125"/>
      <c r="C62" s="38" t="s">
        <v>91</v>
      </c>
      <c r="D62" s="125">
        <v>380</v>
      </c>
      <c r="E62" s="39">
        <f>J106</f>
        <v>11779616.123076923</v>
      </c>
      <c r="F62" s="223">
        <v>0.038</v>
      </c>
      <c r="G62" s="39">
        <f t="shared" si="13"/>
        <v>447625</v>
      </c>
      <c r="H62" s="39">
        <v>9515179.67</v>
      </c>
      <c r="I62" s="39">
        <f t="shared" si="14"/>
        <v>180788</v>
      </c>
      <c r="J62" s="39">
        <f t="shared" si="15"/>
        <v>21294795.793076925</v>
      </c>
      <c r="N62" s="159"/>
      <c r="O62" s="160"/>
      <c r="P62" s="161"/>
    </row>
    <row r="63" spans="1:16" ht="12">
      <c r="A63" s="125">
        <f>+A62+1</f>
        <v>5</v>
      </c>
      <c r="B63" s="125"/>
      <c r="C63" s="38" t="s">
        <v>92</v>
      </c>
      <c r="D63" s="125">
        <v>382</v>
      </c>
      <c r="E63" s="39">
        <f>J107</f>
        <v>143423.12</v>
      </c>
      <c r="F63" s="223">
        <v>0.0208</v>
      </c>
      <c r="G63" s="39">
        <f t="shared" si="13"/>
        <v>2983</v>
      </c>
      <c r="H63" s="39">
        <v>41375.119999999995</v>
      </c>
      <c r="I63" s="39">
        <f t="shared" si="14"/>
        <v>430</v>
      </c>
      <c r="J63" s="39">
        <f t="shared" si="15"/>
        <v>184798.24</v>
      </c>
      <c r="N63" s="159"/>
      <c r="O63" s="160"/>
      <c r="P63" s="161"/>
    </row>
    <row r="64" spans="1:16" ht="12">
      <c r="A64" s="125">
        <f>+A63+1</f>
        <v>6</v>
      </c>
      <c r="B64" s="125"/>
      <c r="C64" s="38" t="s">
        <v>88</v>
      </c>
      <c r="D64" s="125">
        <v>383</v>
      </c>
      <c r="E64" s="39">
        <f>J108</f>
        <v>120945.75</v>
      </c>
      <c r="F64" s="223">
        <v>0.0225</v>
      </c>
      <c r="G64" s="39">
        <f t="shared" si="13"/>
        <v>2721</v>
      </c>
      <c r="H64" s="39">
        <v>111447.62</v>
      </c>
      <c r="I64" s="39">
        <f t="shared" si="14"/>
        <v>1254</v>
      </c>
      <c r="J64" s="39">
        <f t="shared" si="15"/>
        <v>232393.37</v>
      </c>
      <c r="N64" s="43"/>
      <c r="O64" s="160"/>
      <c r="P64" s="161"/>
    </row>
    <row r="65" spans="1:16" ht="13.5">
      <c r="A65" s="125">
        <f>+A64+1</f>
        <v>7</v>
      </c>
      <c r="B65" s="125"/>
      <c r="C65" s="38" t="s">
        <v>191</v>
      </c>
      <c r="D65" s="125">
        <v>387</v>
      </c>
      <c r="E65" s="10">
        <f>J109</f>
        <v>213381</v>
      </c>
      <c r="F65" s="223">
        <v>0.0313</v>
      </c>
      <c r="G65" s="10">
        <f t="shared" si="13"/>
        <v>6679</v>
      </c>
      <c r="H65" s="10">
        <v>0</v>
      </c>
      <c r="I65" s="10">
        <f t="shared" si="14"/>
        <v>0</v>
      </c>
      <c r="J65" s="10">
        <f t="shared" si="15"/>
        <v>213381</v>
      </c>
      <c r="O65" s="162"/>
      <c r="P65" s="161"/>
    </row>
    <row r="66" spans="1:16" ht="13.5">
      <c r="A66" s="125"/>
      <c r="B66" s="125"/>
      <c r="C66" s="38"/>
      <c r="D66" s="125"/>
      <c r="E66" s="10"/>
      <c r="F66" s="223"/>
      <c r="G66" s="10"/>
      <c r="H66" s="10"/>
      <c r="I66" s="39"/>
      <c r="J66" s="39"/>
      <c r="O66" s="43"/>
      <c r="P66" s="163"/>
    </row>
    <row r="67" spans="1:14" ht="12">
      <c r="A67" s="125">
        <f>A65+1</f>
        <v>8</v>
      </c>
      <c r="B67" s="125"/>
      <c r="C67" s="53" t="s">
        <v>59</v>
      </c>
      <c r="D67" s="224"/>
      <c r="E67" s="39">
        <f>SUM(E59:E65)</f>
        <v>37476557.28692307</v>
      </c>
      <c r="F67" s="225"/>
      <c r="G67" s="39">
        <f>SUM(G59:G65)</f>
        <v>877378</v>
      </c>
      <c r="H67" s="39">
        <f>SUM(H59:H65)</f>
        <v>35205689.269999996</v>
      </c>
      <c r="I67" s="39">
        <f>SUM(I59:I65)</f>
        <v>394158</v>
      </c>
      <c r="J67" s="39">
        <f>SUM(J59:J65)</f>
        <v>72682246.55692308</v>
      </c>
      <c r="L67" s="43"/>
      <c r="M67" s="43"/>
      <c r="N67" s="43"/>
    </row>
    <row r="68" spans="1:10" ht="12">
      <c r="A68" s="125"/>
      <c r="B68" s="125"/>
      <c r="C68" s="38"/>
      <c r="D68" s="35"/>
      <c r="E68" s="39"/>
      <c r="F68" s="225"/>
      <c r="G68" s="39"/>
      <c r="H68" s="39"/>
      <c r="I68" s="39"/>
      <c r="J68" s="39"/>
    </row>
    <row r="69" spans="1:10" ht="12.75">
      <c r="A69" s="125"/>
      <c r="B69" s="158" t="s">
        <v>97</v>
      </c>
      <c r="C69" s="38"/>
      <c r="D69" s="35"/>
      <c r="E69" s="35"/>
      <c r="F69" s="225"/>
      <c r="G69" s="35"/>
      <c r="H69" s="35"/>
      <c r="I69" s="35"/>
      <c r="J69" s="35"/>
    </row>
    <row r="70" spans="1:10" ht="12">
      <c r="A70" s="125">
        <f>A67+1</f>
        <v>9</v>
      </c>
      <c r="B70" s="125"/>
      <c r="C70" s="38" t="s">
        <v>130</v>
      </c>
      <c r="D70" s="125">
        <v>376</v>
      </c>
      <c r="E70" s="39">
        <f>J114</f>
        <v>-1312590.926923077</v>
      </c>
      <c r="F70" s="225">
        <f aca="true" t="shared" si="16" ref="F70:F76">F59</f>
        <v>0.0165</v>
      </c>
      <c r="G70" s="39">
        <f aca="true" t="shared" si="17" ref="G70:G76">ROUND(+F70*E70,0)</f>
        <v>-21658</v>
      </c>
      <c r="H70" s="39">
        <v>-1843613.1400000004</v>
      </c>
      <c r="I70" s="39">
        <f aca="true" t="shared" si="18" ref="I70:I76">ROUND(F70*H70*0.5,0)</f>
        <v>-15210</v>
      </c>
      <c r="J70" s="39">
        <f aca="true" t="shared" si="19" ref="J70:J76">H70+E70</f>
        <v>-3156204.066923077</v>
      </c>
    </row>
    <row r="71" spans="1:10" ht="12">
      <c r="A71" s="125">
        <f aca="true" t="shared" si="20" ref="A71:A77">A70+1</f>
        <v>10</v>
      </c>
      <c r="B71" s="125"/>
      <c r="C71" s="38" t="s">
        <v>90</v>
      </c>
      <c r="D71" s="125">
        <v>378</v>
      </c>
      <c r="E71" s="39">
        <f>J115</f>
        <v>-4276.92</v>
      </c>
      <c r="F71" s="225">
        <f t="shared" si="16"/>
        <v>0.022</v>
      </c>
      <c r="G71" s="39">
        <f t="shared" si="17"/>
        <v>-94</v>
      </c>
      <c r="H71" s="39">
        <v>-25.53</v>
      </c>
      <c r="I71" s="39">
        <f t="shared" si="18"/>
        <v>0</v>
      </c>
      <c r="J71" s="39">
        <f t="shared" si="19"/>
        <v>-4302.45</v>
      </c>
    </row>
    <row r="72" spans="1:10" ht="12">
      <c r="A72" s="125">
        <f t="shared" si="20"/>
        <v>11</v>
      </c>
      <c r="B72" s="125"/>
      <c r="C72" s="38" t="s">
        <v>281</v>
      </c>
      <c r="D72" s="125">
        <v>378</v>
      </c>
      <c r="E72" s="39">
        <v>0</v>
      </c>
      <c r="F72" s="225">
        <f t="shared" si="16"/>
        <v>0.022</v>
      </c>
      <c r="G72" s="39">
        <f t="shared" si="17"/>
        <v>0</v>
      </c>
      <c r="H72" s="39">
        <v>-21732.17</v>
      </c>
      <c r="I72" s="39">
        <f t="shared" si="18"/>
        <v>-239</v>
      </c>
      <c r="J72" s="39">
        <f t="shared" si="19"/>
        <v>-21732.17</v>
      </c>
    </row>
    <row r="73" spans="1:15" ht="12.75">
      <c r="A73" s="125">
        <f t="shared" si="20"/>
        <v>12</v>
      </c>
      <c r="B73" s="125"/>
      <c r="C73" s="38" t="s">
        <v>91</v>
      </c>
      <c r="D73" s="125">
        <v>380</v>
      </c>
      <c r="E73" s="39">
        <f>J116</f>
        <v>-2592188.493846154</v>
      </c>
      <c r="F73" s="225">
        <f t="shared" si="16"/>
        <v>0.038</v>
      </c>
      <c r="G73" s="39">
        <f t="shared" si="17"/>
        <v>-98503</v>
      </c>
      <c r="H73" s="39">
        <v>-2052943.2092000002</v>
      </c>
      <c r="I73" s="39">
        <f t="shared" si="18"/>
        <v>-39006</v>
      </c>
      <c r="J73" s="39">
        <f t="shared" si="19"/>
        <v>-4645131.703046154</v>
      </c>
      <c r="O73" s="124"/>
    </row>
    <row r="74" spans="1:15" ht="12.75">
      <c r="A74" s="125">
        <f t="shared" si="20"/>
        <v>13</v>
      </c>
      <c r="B74" s="125"/>
      <c r="C74" s="38" t="s">
        <v>92</v>
      </c>
      <c r="D74" s="125">
        <v>382</v>
      </c>
      <c r="E74" s="39">
        <f>J117</f>
        <v>-30363.01</v>
      </c>
      <c r="F74" s="225">
        <f t="shared" si="16"/>
        <v>0.0208</v>
      </c>
      <c r="G74" s="39">
        <f t="shared" si="17"/>
        <v>-632</v>
      </c>
      <c r="H74" s="39">
        <v>-16810.1112</v>
      </c>
      <c r="I74" s="39">
        <f t="shared" si="18"/>
        <v>-175</v>
      </c>
      <c r="J74" s="39">
        <f t="shared" si="19"/>
        <v>-47173.121199999994</v>
      </c>
      <c r="O74" s="124"/>
    </row>
    <row r="75" spans="1:15" ht="12.75">
      <c r="A75" s="125">
        <f t="shared" si="20"/>
        <v>14</v>
      </c>
      <c r="B75" s="125"/>
      <c r="C75" s="38" t="s">
        <v>88</v>
      </c>
      <c r="D75" s="125">
        <v>383</v>
      </c>
      <c r="E75" s="39">
        <f>J118</f>
        <v>-2757.9300000000003</v>
      </c>
      <c r="F75" s="225">
        <f t="shared" si="16"/>
        <v>0.0225</v>
      </c>
      <c r="G75" s="39">
        <f t="shared" si="17"/>
        <v>-62</v>
      </c>
      <c r="H75" s="39">
        <v>-1892.3848</v>
      </c>
      <c r="I75" s="39">
        <f t="shared" si="18"/>
        <v>-21</v>
      </c>
      <c r="J75" s="39">
        <f t="shared" si="19"/>
        <v>-4650.3148</v>
      </c>
      <c r="O75" s="124"/>
    </row>
    <row r="76" spans="1:10" ht="13.5">
      <c r="A76" s="125">
        <f t="shared" si="20"/>
        <v>15</v>
      </c>
      <c r="B76" s="125"/>
      <c r="C76" s="38" t="s">
        <v>191</v>
      </c>
      <c r="D76" s="125">
        <v>387</v>
      </c>
      <c r="E76" s="10">
        <f>J119</f>
        <v>0</v>
      </c>
      <c r="F76" s="225">
        <f t="shared" si="16"/>
        <v>0.0313</v>
      </c>
      <c r="G76" s="10">
        <f t="shared" si="17"/>
        <v>0</v>
      </c>
      <c r="H76" s="10">
        <v>0</v>
      </c>
      <c r="I76" s="10">
        <f t="shared" si="18"/>
        <v>0</v>
      </c>
      <c r="J76" s="10">
        <f t="shared" si="19"/>
        <v>0</v>
      </c>
    </row>
    <row r="77" spans="1:14" ht="12">
      <c r="A77" s="125">
        <f t="shared" si="20"/>
        <v>16</v>
      </c>
      <c r="B77" s="125"/>
      <c r="C77" s="53" t="s">
        <v>60</v>
      </c>
      <c r="D77" s="224"/>
      <c r="E77" s="39">
        <f>SUM(E70:E76)</f>
        <v>-3942177.280769231</v>
      </c>
      <c r="F77" s="225"/>
      <c r="G77" s="39">
        <f>SUM(G70:G76)</f>
        <v>-120949</v>
      </c>
      <c r="H77" s="39">
        <f>SUM(H70:H76)</f>
        <v>-3937016.5452000005</v>
      </c>
      <c r="I77" s="39">
        <f>SUM(I70:I76)</f>
        <v>-54651</v>
      </c>
      <c r="J77" s="39">
        <f>SUM(J70:J76)</f>
        <v>-7879193.825969231</v>
      </c>
      <c r="L77" s="43"/>
      <c r="M77" s="43"/>
      <c r="N77" s="43"/>
    </row>
    <row r="78" spans="1:10" ht="12">
      <c r="A78" s="125"/>
      <c r="B78" s="125"/>
      <c r="C78" s="38"/>
      <c r="D78" s="35"/>
      <c r="E78" s="39"/>
      <c r="F78" s="225"/>
      <c r="G78" s="39"/>
      <c r="H78" s="39"/>
      <c r="I78" s="35"/>
      <c r="J78" s="39"/>
    </row>
    <row r="79" spans="1:15" ht="13.5">
      <c r="A79" s="125">
        <f>A77+1</f>
        <v>17</v>
      </c>
      <c r="B79" s="158" t="s">
        <v>100</v>
      </c>
      <c r="C79" s="38"/>
      <c r="D79" s="35"/>
      <c r="E79" s="14">
        <f>+E77+E67</f>
        <v>33534380.006153844</v>
      </c>
      <c r="F79" s="225"/>
      <c r="G79" s="14">
        <f>+G77+G67</f>
        <v>756429</v>
      </c>
      <c r="H79" s="14">
        <f>+H77+H67</f>
        <v>31268672.724799994</v>
      </c>
      <c r="I79" s="14">
        <f>+I77+I67</f>
        <v>339507</v>
      </c>
      <c r="J79" s="14">
        <f>+J77+J67</f>
        <v>64803052.73095384</v>
      </c>
      <c r="L79" s="43"/>
      <c r="M79" s="43"/>
      <c r="N79" s="9"/>
      <c r="O79" s="43"/>
    </row>
    <row r="80" spans="1:15" ht="13.5">
      <c r="A80" s="125"/>
      <c r="B80" s="158"/>
      <c r="C80" s="38"/>
      <c r="D80" s="35"/>
      <c r="E80" s="14"/>
      <c r="F80" s="225"/>
      <c r="G80" s="14"/>
      <c r="H80" s="14"/>
      <c r="I80" s="14"/>
      <c r="J80" s="39"/>
      <c r="K80" s="11"/>
      <c r="L80" s="11"/>
      <c r="M80" s="11"/>
      <c r="N80" s="11"/>
      <c r="O80" s="11"/>
    </row>
    <row r="81" spans="1:15" ht="13.5">
      <c r="A81" s="125"/>
      <c r="B81" s="18" t="s">
        <v>96</v>
      </c>
      <c r="C81" s="35"/>
      <c r="D81" s="35"/>
      <c r="E81" s="10"/>
      <c r="F81" s="226"/>
      <c r="G81" s="226"/>
      <c r="H81" s="35"/>
      <c r="I81" s="226"/>
      <c r="J81" s="226"/>
      <c r="K81" s="41"/>
      <c r="L81" s="41"/>
      <c r="M81" s="41"/>
      <c r="N81" s="41"/>
      <c r="O81" s="41"/>
    </row>
    <row r="82" spans="1:15" ht="12">
      <c r="A82" s="125">
        <f>A79+1</f>
        <v>18</v>
      </c>
      <c r="B82" s="125"/>
      <c r="C82" s="38" t="s">
        <v>130</v>
      </c>
      <c r="D82" s="125">
        <v>376</v>
      </c>
      <c r="E82" s="39">
        <f>J125</f>
        <v>279125.37384615385</v>
      </c>
      <c r="F82" s="223"/>
      <c r="G82" s="39"/>
      <c r="H82" s="39">
        <v>217259.35999999993</v>
      </c>
      <c r="I82" s="39"/>
      <c r="J82" s="39">
        <f aca="true" t="shared" si="21" ref="J82:J88">H82+E82</f>
        <v>496384.7338461538</v>
      </c>
      <c r="K82" s="12"/>
      <c r="L82" s="12"/>
      <c r="M82" s="12"/>
      <c r="N82" s="12"/>
      <c r="O82" s="12"/>
    </row>
    <row r="83" spans="1:15" ht="12">
      <c r="A83" s="125">
        <f aca="true" t="shared" si="22" ref="A83:A89">A82+1</f>
        <v>19</v>
      </c>
      <c r="B83" s="125"/>
      <c r="C83" s="38" t="s">
        <v>90</v>
      </c>
      <c r="D83" s="125">
        <v>378</v>
      </c>
      <c r="E83" s="39">
        <f>J126</f>
        <v>5109.82</v>
      </c>
      <c r="F83" s="223"/>
      <c r="G83" s="39"/>
      <c r="H83" s="39">
        <v>0</v>
      </c>
      <c r="I83" s="39"/>
      <c r="J83" s="39">
        <f t="shared" si="21"/>
        <v>5109.82</v>
      </c>
      <c r="K83" s="9"/>
      <c r="L83" s="9"/>
      <c r="M83" s="9"/>
      <c r="N83" s="9"/>
      <c r="O83" s="9"/>
    </row>
    <row r="84" spans="1:15" ht="12">
      <c r="A84" s="125">
        <f t="shared" si="22"/>
        <v>20</v>
      </c>
      <c r="B84" s="125"/>
      <c r="C84" s="38" t="s">
        <v>280</v>
      </c>
      <c r="D84" s="125">
        <v>378</v>
      </c>
      <c r="E84" s="39">
        <v>0</v>
      </c>
      <c r="F84" s="223"/>
      <c r="G84" s="39"/>
      <c r="H84" s="39">
        <v>3368.4500000000003</v>
      </c>
      <c r="I84" s="39"/>
      <c r="J84" s="39">
        <f t="shared" si="21"/>
        <v>3368.4500000000003</v>
      </c>
      <c r="K84" s="9"/>
      <c r="L84" s="9"/>
      <c r="M84" s="9"/>
      <c r="N84" s="9"/>
      <c r="O84" s="9"/>
    </row>
    <row r="85" spans="1:15" ht="13.5">
      <c r="A85" s="125">
        <f t="shared" si="22"/>
        <v>21</v>
      </c>
      <c r="B85" s="125"/>
      <c r="C85" s="38" t="s">
        <v>91</v>
      </c>
      <c r="D85" s="125">
        <v>380</v>
      </c>
      <c r="E85" s="39">
        <f>J127</f>
        <v>2188776.06</v>
      </c>
      <c r="F85" s="223"/>
      <c r="G85" s="10"/>
      <c r="H85" s="39">
        <v>1055430.7619999999</v>
      </c>
      <c r="I85" s="10"/>
      <c r="J85" s="39">
        <f t="shared" si="21"/>
        <v>3244206.8219999997</v>
      </c>
      <c r="K85" s="9"/>
      <c r="L85" s="9"/>
      <c r="M85" s="9"/>
      <c r="N85" s="9"/>
      <c r="O85" s="9"/>
    </row>
    <row r="86" spans="1:15" ht="12">
      <c r="A86" s="125">
        <f t="shared" si="22"/>
        <v>22</v>
      </c>
      <c r="B86" s="125"/>
      <c r="C86" s="38" t="s">
        <v>92</v>
      </c>
      <c r="D86" s="125">
        <v>382</v>
      </c>
      <c r="E86" s="39">
        <f>J128</f>
        <v>0</v>
      </c>
      <c r="F86" s="223"/>
      <c r="G86" s="39"/>
      <c r="H86" s="39">
        <v>0</v>
      </c>
      <c r="I86" s="39"/>
      <c r="J86" s="39">
        <f t="shared" si="21"/>
        <v>0</v>
      </c>
      <c r="K86" s="9"/>
      <c r="L86" s="9"/>
      <c r="M86" s="9"/>
      <c r="N86" s="9"/>
      <c r="O86" s="9"/>
    </row>
    <row r="87" spans="1:15" ht="12">
      <c r="A87" s="125">
        <f t="shared" si="22"/>
        <v>23</v>
      </c>
      <c r="B87" s="125"/>
      <c r="C87" s="38" t="s">
        <v>88</v>
      </c>
      <c r="D87" s="125">
        <v>383</v>
      </c>
      <c r="E87" s="39">
        <f>J129</f>
        <v>0</v>
      </c>
      <c r="F87" s="35"/>
      <c r="G87" s="35"/>
      <c r="H87" s="39">
        <v>0</v>
      </c>
      <c r="I87" s="35"/>
      <c r="J87" s="39">
        <f t="shared" si="21"/>
        <v>0</v>
      </c>
      <c r="K87" s="9"/>
      <c r="L87" s="9"/>
      <c r="M87" s="9"/>
      <c r="N87" s="9"/>
      <c r="O87" s="9"/>
    </row>
    <row r="88" spans="1:15" ht="13.5">
      <c r="A88" s="125">
        <f t="shared" si="22"/>
        <v>24</v>
      </c>
      <c r="B88" s="125"/>
      <c r="C88" s="38" t="s">
        <v>191</v>
      </c>
      <c r="D88" s="125">
        <v>387</v>
      </c>
      <c r="E88" s="10">
        <f>J130</f>
        <v>0</v>
      </c>
      <c r="F88" s="35"/>
      <c r="G88" s="35"/>
      <c r="H88" s="10">
        <v>0</v>
      </c>
      <c r="I88" s="164"/>
      <c r="J88" s="10">
        <f t="shared" si="21"/>
        <v>0</v>
      </c>
      <c r="K88" s="9"/>
      <c r="L88" s="9"/>
      <c r="M88" s="9"/>
      <c r="N88" s="9"/>
      <c r="O88" s="9"/>
    </row>
    <row r="89" spans="1:17" ht="13.5">
      <c r="A89" s="125">
        <f t="shared" si="22"/>
        <v>25</v>
      </c>
      <c r="B89" s="125"/>
      <c r="C89" s="35" t="s">
        <v>126</v>
      </c>
      <c r="D89" s="35"/>
      <c r="E89" s="227">
        <f>SUM(E82:E88)</f>
        <v>2473011.253846154</v>
      </c>
      <c r="F89" s="35"/>
      <c r="G89" s="39"/>
      <c r="H89" s="227">
        <f>SUM(H82:H88)</f>
        <v>1276058.5719999997</v>
      </c>
      <c r="I89" s="39"/>
      <c r="J89" s="227">
        <f>SUM(J82:J88)</f>
        <v>3749069.8258461533</v>
      </c>
      <c r="K89" s="10"/>
      <c r="L89" s="10"/>
      <c r="M89" s="10"/>
      <c r="N89" s="10"/>
      <c r="O89" s="10"/>
      <c r="Q89" s="43"/>
    </row>
    <row r="90" spans="1:15" ht="12">
      <c r="A90" s="125"/>
      <c r="B90" s="125"/>
      <c r="C90" s="35"/>
      <c r="D90" s="35"/>
      <c r="E90" s="35"/>
      <c r="F90" s="35"/>
      <c r="G90" s="35"/>
      <c r="H90" s="35"/>
      <c r="I90" s="35"/>
      <c r="J90" s="35"/>
      <c r="K90" s="9"/>
      <c r="L90" s="9"/>
      <c r="M90" s="9"/>
      <c r="N90" s="9"/>
      <c r="O90" s="9"/>
    </row>
    <row r="91" spans="1:10" ht="12.75">
      <c r="A91" s="125"/>
      <c r="B91" s="125"/>
      <c r="C91" s="35"/>
      <c r="D91" s="35"/>
      <c r="E91" s="35"/>
      <c r="F91" s="35"/>
      <c r="G91" s="35"/>
      <c r="H91" s="35"/>
      <c r="I91" s="35"/>
      <c r="J91" s="124" t="s">
        <v>273</v>
      </c>
    </row>
    <row r="92" spans="1:10" ht="12.75">
      <c r="A92" s="125"/>
      <c r="B92" s="125"/>
      <c r="C92" s="35"/>
      <c r="D92" s="35"/>
      <c r="E92" s="35"/>
      <c r="F92" s="35"/>
      <c r="G92" s="35"/>
      <c r="H92" s="35"/>
      <c r="I92" s="35"/>
      <c r="J92" s="124" t="s">
        <v>314</v>
      </c>
    </row>
    <row r="93" spans="1:10" ht="12.75">
      <c r="A93" s="235" t="s">
        <v>12</v>
      </c>
      <c r="B93" s="235"/>
      <c r="C93" s="235"/>
      <c r="D93" s="235"/>
      <c r="E93" s="235"/>
      <c r="F93" s="235"/>
      <c r="G93" s="235"/>
      <c r="H93" s="235"/>
      <c r="I93" s="235"/>
      <c r="J93" s="235"/>
    </row>
    <row r="94" spans="1:10" ht="12.75">
      <c r="A94" s="235" t="s">
        <v>256</v>
      </c>
      <c r="B94" s="235"/>
      <c r="C94" s="235"/>
      <c r="D94" s="235"/>
      <c r="E94" s="235"/>
      <c r="F94" s="235"/>
      <c r="G94" s="235"/>
      <c r="H94" s="235"/>
      <c r="I94" s="235"/>
      <c r="J94" s="235"/>
    </row>
    <row r="95" spans="1:10" ht="12.75">
      <c r="A95" s="235" t="s">
        <v>231</v>
      </c>
      <c r="B95" s="235"/>
      <c r="C95" s="235"/>
      <c r="D95" s="235"/>
      <c r="E95" s="235"/>
      <c r="F95" s="235"/>
      <c r="G95" s="235"/>
      <c r="H95" s="235"/>
      <c r="I95" s="235"/>
      <c r="J95" s="235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25"/>
      <c r="B97" s="125"/>
      <c r="C97" s="35"/>
      <c r="D97" s="35"/>
      <c r="E97" s="1">
        <v>2018</v>
      </c>
      <c r="F97" s="35"/>
      <c r="G97" s="35"/>
      <c r="H97" s="35"/>
      <c r="I97" s="35"/>
      <c r="J97" s="1">
        <v>2018</v>
      </c>
    </row>
    <row r="98" spans="1:10" ht="12.75">
      <c r="A98" s="1"/>
      <c r="B98" s="1"/>
      <c r="C98" s="35"/>
      <c r="D98" s="35"/>
      <c r="E98" s="1" t="s">
        <v>62</v>
      </c>
      <c r="F98" s="35"/>
      <c r="G98" s="1" t="s">
        <v>66</v>
      </c>
      <c r="H98" s="1">
        <v>2018</v>
      </c>
      <c r="I98" s="1" t="s">
        <v>125</v>
      </c>
      <c r="J98" s="1" t="s">
        <v>129</v>
      </c>
    </row>
    <row r="99" spans="1:10" ht="12.75">
      <c r="A99" s="1" t="s">
        <v>51</v>
      </c>
      <c r="B99" s="1"/>
      <c r="C99" s="11"/>
      <c r="D99" s="1" t="s">
        <v>76</v>
      </c>
      <c r="E99" s="1" t="s">
        <v>63</v>
      </c>
      <c r="F99" s="1" t="s">
        <v>65</v>
      </c>
      <c r="G99" s="1" t="s">
        <v>62</v>
      </c>
      <c r="H99" s="1" t="s">
        <v>98</v>
      </c>
      <c r="I99" s="1" t="s">
        <v>66</v>
      </c>
      <c r="J99" s="1" t="s">
        <v>63</v>
      </c>
    </row>
    <row r="100" spans="1:10" ht="17.25">
      <c r="A100" s="11" t="s">
        <v>52</v>
      </c>
      <c r="B100" s="1"/>
      <c r="C100" s="11" t="s">
        <v>50</v>
      </c>
      <c r="D100" s="11" t="s">
        <v>77</v>
      </c>
      <c r="E100" s="11" t="s">
        <v>161</v>
      </c>
      <c r="F100" s="11" t="s">
        <v>23</v>
      </c>
      <c r="G100" s="11" t="s">
        <v>64</v>
      </c>
      <c r="H100" s="127" t="s">
        <v>97</v>
      </c>
      <c r="I100" s="11" t="s">
        <v>67</v>
      </c>
      <c r="J100" s="127" t="s">
        <v>64</v>
      </c>
    </row>
    <row r="101" spans="1:10" ht="12.75">
      <c r="A101" s="1"/>
      <c r="B101" s="1"/>
      <c r="C101" s="15">
        <v>-1</v>
      </c>
      <c r="D101" s="15">
        <f>+C101-1</f>
        <v>-2</v>
      </c>
      <c r="E101" s="17">
        <f>+D101-1</f>
        <v>-3</v>
      </c>
      <c r="F101" s="17">
        <f>+E101-1</f>
        <v>-4</v>
      </c>
      <c r="G101" s="15" t="s">
        <v>75</v>
      </c>
      <c r="H101" s="17">
        <f>+F101-2</f>
        <v>-6</v>
      </c>
      <c r="I101" s="15" t="s">
        <v>99</v>
      </c>
      <c r="J101" s="15" t="s">
        <v>142</v>
      </c>
    </row>
    <row r="102" spans="1:10" ht="12">
      <c r="A102" s="35"/>
      <c r="B102" s="35"/>
      <c r="C102" s="38"/>
      <c r="D102" s="38"/>
      <c r="E102" s="12"/>
      <c r="F102" s="12"/>
      <c r="G102" s="12"/>
      <c r="H102" s="12"/>
      <c r="I102" s="12"/>
      <c r="J102" s="12"/>
    </row>
    <row r="103" spans="1:10" ht="12.75">
      <c r="A103" s="125"/>
      <c r="B103" s="158" t="s">
        <v>24</v>
      </c>
      <c r="C103" s="38"/>
      <c r="D103" s="35"/>
      <c r="E103" s="39"/>
      <c r="F103" s="39"/>
      <c r="G103" s="39"/>
      <c r="H103" s="39"/>
      <c r="I103" s="39"/>
      <c r="J103" s="39"/>
    </row>
    <row r="104" spans="1:16" ht="12">
      <c r="A104" s="125">
        <v>1</v>
      </c>
      <c r="B104" s="125"/>
      <c r="C104" s="38" t="s">
        <v>130</v>
      </c>
      <c r="D104" s="125">
        <v>376</v>
      </c>
      <c r="E104" s="39">
        <f>'2017 AMRP Calc Form 2.2'!D43-'2017 AMRP Calc Form 2.2'!F43</f>
        <v>10446894.153846154</v>
      </c>
      <c r="F104" s="223">
        <v>0.0165</v>
      </c>
      <c r="G104" s="39">
        <f aca="true" t="shared" si="23" ref="G104:G109">ROUND(+F104*E104,0)</f>
        <v>172374</v>
      </c>
      <c r="H104" s="39">
        <v>14544483.880000003</v>
      </c>
      <c r="I104" s="39">
        <f aca="true" t="shared" si="24" ref="I104:I109">ROUND(F104*H104*0.5,0)</f>
        <v>119992</v>
      </c>
      <c r="J104" s="39">
        <f aca="true" t="shared" si="25" ref="J104:J109">H104+E104</f>
        <v>24991378.033846155</v>
      </c>
      <c r="N104" s="159"/>
      <c r="O104" s="160"/>
      <c r="P104" s="161"/>
    </row>
    <row r="105" spans="1:16" ht="12">
      <c r="A105" s="125">
        <f>A104+1</f>
        <v>2</v>
      </c>
      <c r="B105" s="125"/>
      <c r="C105" s="38" t="s">
        <v>90</v>
      </c>
      <c r="D105" s="125">
        <v>378</v>
      </c>
      <c r="E105" s="39">
        <f>'2017 AMRP Calc Form 2.2'!D95-'2017 AMRP Calc Form 2.2'!F95</f>
        <v>98242</v>
      </c>
      <c r="F105" s="223">
        <v>0.022</v>
      </c>
      <c r="G105" s="39">
        <f t="shared" si="23"/>
        <v>2161</v>
      </c>
      <c r="H105" s="39">
        <v>129571.26</v>
      </c>
      <c r="I105" s="39">
        <f t="shared" si="24"/>
        <v>1425</v>
      </c>
      <c r="J105" s="39">
        <f t="shared" si="25"/>
        <v>227813.26</v>
      </c>
      <c r="N105" s="43"/>
      <c r="O105" s="160"/>
      <c r="P105" s="161"/>
    </row>
    <row r="106" spans="1:16" ht="12">
      <c r="A106" s="125">
        <f>+A105+1</f>
        <v>3</v>
      </c>
      <c r="B106" s="125"/>
      <c r="C106" s="38" t="s">
        <v>91</v>
      </c>
      <c r="D106" s="125">
        <v>380</v>
      </c>
      <c r="E106" s="39">
        <f>'2017 AMRP Calc Form 2.2'!D73-'2017 AMRP Calc Form 2.2'!F73</f>
        <v>4164306.9230769225</v>
      </c>
      <c r="F106" s="223">
        <v>0.038</v>
      </c>
      <c r="G106" s="39">
        <f t="shared" si="23"/>
        <v>158244</v>
      </c>
      <c r="H106" s="39">
        <v>7615309.2</v>
      </c>
      <c r="I106" s="39">
        <f t="shared" si="24"/>
        <v>144691</v>
      </c>
      <c r="J106" s="39">
        <f t="shared" si="25"/>
        <v>11779616.123076923</v>
      </c>
      <c r="N106" s="159"/>
      <c r="O106" s="160"/>
      <c r="P106" s="161"/>
    </row>
    <row r="107" spans="1:16" ht="12">
      <c r="A107" s="125">
        <f>+A106+1</f>
        <v>4</v>
      </c>
      <c r="B107" s="125"/>
      <c r="C107" s="38" t="s">
        <v>92</v>
      </c>
      <c r="D107" s="125">
        <v>382</v>
      </c>
      <c r="E107" s="39">
        <f>'2017 AMRP Calc Form 2.2'!D124-'2017 AMRP Calc Form 2.2'!F124</f>
        <v>32675</v>
      </c>
      <c r="F107" s="223">
        <v>0.0208</v>
      </c>
      <c r="G107" s="39">
        <f t="shared" si="23"/>
        <v>680</v>
      </c>
      <c r="H107" s="39">
        <v>110748.12</v>
      </c>
      <c r="I107" s="39">
        <f t="shared" si="24"/>
        <v>1152</v>
      </c>
      <c r="J107" s="39">
        <f t="shared" si="25"/>
        <v>143423.12</v>
      </c>
      <c r="N107" s="159"/>
      <c r="O107" s="160"/>
      <c r="P107" s="161"/>
    </row>
    <row r="108" spans="1:16" ht="12">
      <c r="A108" s="125">
        <f>+A107+1</f>
        <v>5</v>
      </c>
      <c r="B108" s="125"/>
      <c r="C108" s="38" t="s">
        <v>88</v>
      </c>
      <c r="D108" s="125">
        <v>383</v>
      </c>
      <c r="E108" s="39">
        <f>'2017 AMRP Calc Form 2.2'!D146-'2017 AMRP Calc Form 2.2'!F146</f>
        <v>65220</v>
      </c>
      <c r="F108" s="223">
        <v>0.0225</v>
      </c>
      <c r="G108" s="39">
        <f t="shared" si="23"/>
        <v>1467</v>
      </c>
      <c r="H108" s="39">
        <v>55725.75000000001</v>
      </c>
      <c r="I108" s="39">
        <f t="shared" si="24"/>
        <v>627</v>
      </c>
      <c r="J108" s="39">
        <f t="shared" si="25"/>
        <v>120945.75</v>
      </c>
      <c r="N108" s="43"/>
      <c r="O108" s="160"/>
      <c r="P108" s="161"/>
    </row>
    <row r="109" spans="1:16" ht="13.5">
      <c r="A109" s="125">
        <f>+A108+1</f>
        <v>6</v>
      </c>
      <c r="B109" s="125"/>
      <c r="C109" s="38" t="s">
        <v>191</v>
      </c>
      <c r="D109" s="125">
        <v>387</v>
      </c>
      <c r="E109" s="10">
        <f>'2017 AMRP Calc Form 2.2'!D175-'2017 AMRP Calc Form 2.2'!F175</f>
        <v>213381</v>
      </c>
      <c r="F109" s="223">
        <v>0.0313</v>
      </c>
      <c r="G109" s="10">
        <f t="shared" si="23"/>
        <v>6679</v>
      </c>
      <c r="H109" s="10">
        <v>0</v>
      </c>
      <c r="I109" s="10">
        <f t="shared" si="24"/>
        <v>0</v>
      </c>
      <c r="J109" s="10">
        <f t="shared" si="25"/>
        <v>213381</v>
      </c>
      <c r="O109" s="162"/>
      <c r="P109" s="161"/>
    </row>
    <row r="110" spans="1:16" ht="13.5">
      <c r="A110" s="125"/>
      <c r="B110" s="125"/>
      <c r="C110" s="38"/>
      <c r="D110" s="125"/>
      <c r="E110" s="10"/>
      <c r="F110" s="223"/>
      <c r="G110" s="10"/>
      <c r="H110" s="10"/>
      <c r="I110" s="39"/>
      <c r="J110" s="39"/>
      <c r="O110" s="43"/>
      <c r="P110" s="163"/>
    </row>
    <row r="111" spans="1:14" ht="12">
      <c r="A111" s="125">
        <f>A109+1</f>
        <v>7</v>
      </c>
      <c r="B111" s="125"/>
      <c r="C111" s="53" t="s">
        <v>59</v>
      </c>
      <c r="D111" s="224"/>
      <c r="E111" s="39">
        <f>SUM(E104:E109)</f>
        <v>15020719.076923076</v>
      </c>
      <c r="F111" s="225"/>
      <c r="G111" s="39">
        <f>SUM(G104:G109)</f>
        <v>341605</v>
      </c>
      <c r="H111" s="39">
        <f>SUM(H104:H109)</f>
        <v>22455838.210000005</v>
      </c>
      <c r="I111" s="39">
        <f>SUM(I104:I109)</f>
        <v>267887</v>
      </c>
      <c r="J111" s="39">
        <f>SUM(J104:J109)</f>
        <v>37476557.28692307</v>
      </c>
      <c r="L111" s="43"/>
      <c r="M111" s="43"/>
      <c r="N111" s="43"/>
    </row>
    <row r="112" spans="1:10" ht="12">
      <c r="A112" s="125"/>
      <c r="B112" s="125"/>
      <c r="C112" s="38"/>
      <c r="D112" s="35"/>
      <c r="E112" s="39"/>
      <c r="F112" s="225"/>
      <c r="G112" s="39"/>
      <c r="H112" s="39"/>
      <c r="I112" s="39"/>
      <c r="J112" s="39"/>
    </row>
    <row r="113" spans="1:10" ht="12.75">
      <c r="A113" s="125"/>
      <c r="B113" s="158" t="s">
        <v>97</v>
      </c>
      <c r="C113" s="38"/>
      <c r="D113" s="35"/>
      <c r="E113" s="35"/>
      <c r="F113" s="225"/>
      <c r="G113" s="35"/>
      <c r="H113" s="35"/>
      <c r="I113" s="35"/>
      <c r="J113" s="35"/>
    </row>
    <row r="114" spans="1:10" ht="12">
      <c r="A114" s="125">
        <v>1</v>
      </c>
      <c r="B114" s="125"/>
      <c r="C114" s="38" t="s">
        <v>130</v>
      </c>
      <c r="D114" s="125">
        <v>376</v>
      </c>
      <c r="E114" s="39">
        <f>'2017 AMRP Calc Form 2.2'!G43-'2017 AMRP Calc Form 2.2'!I43</f>
        <v>-92176.076923077</v>
      </c>
      <c r="F114" s="225">
        <f aca="true" t="shared" si="26" ref="F114:F119">F104</f>
        <v>0.0165</v>
      </c>
      <c r="G114" s="39">
        <f aca="true" t="shared" si="27" ref="G114:G119">ROUND(+F114*E114,0)</f>
        <v>-1521</v>
      </c>
      <c r="H114" s="39">
        <v>-1220414.85</v>
      </c>
      <c r="I114" s="39">
        <f aca="true" t="shared" si="28" ref="I114:I119">ROUND(F114*H114*0.5,0)</f>
        <v>-10068</v>
      </c>
      <c r="J114" s="39">
        <f aca="true" t="shared" si="29" ref="J114:J119">H114+E114</f>
        <v>-1312590.926923077</v>
      </c>
    </row>
    <row r="115" spans="1:10" ht="12">
      <c r="A115" s="125">
        <f aca="true" t="shared" si="30" ref="A115:A120">A114+1</f>
        <v>2</v>
      </c>
      <c r="B115" s="125"/>
      <c r="C115" s="38" t="s">
        <v>90</v>
      </c>
      <c r="D115" s="125">
        <v>378</v>
      </c>
      <c r="E115" s="39">
        <f>'2017 AMRP Calc Form 2.2'!G95-'2017 AMRP Calc Form 2.2'!I95</f>
        <v>-4128</v>
      </c>
      <c r="F115" s="225">
        <f t="shared" si="26"/>
        <v>0.022</v>
      </c>
      <c r="G115" s="39">
        <f t="shared" si="27"/>
        <v>-91</v>
      </c>
      <c r="H115" s="39">
        <v>-148.92</v>
      </c>
      <c r="I115" s="39">
        <f t="shared" si="28"/>
        <v>-2</v>
      </c>
      <c r="J115" s="39">
        <f t="shared" si="29"/>
        <v>-4276.92</v>
      </c>
    </row>
    <row r="116" spans="1:15" ht="12.75">
      <c r="A116" s="125">
        <f t="shared" si="30"/>
        <v>3</v>
      </c>
      <c r="B116" s="125"/>
      <c r="C116" s="38" t="s">
        <v>91</v>
      </c>
      <c r="D116" s="125">
        <v>380</v>
      </c>
      <c r="E116" s="39">
        <f>'2017 AMRP Calc Form 2.2'!G73-'2017 AMRP Calc Form 2.2'!I73</f>
        <v>-997218.1538461539</v>
      </c>
      <c r="F116" s="225">
        <f t="shared" si="26"/>
        <v>0.038</v>
      </c>
      <c r="G116" s="39">
        <f t="shared" si="27"/>
        <v>-37894</v>
      </c>
      <c r="H116" s="39">
        <v>-1594970.34</v>
      </c>
      <c r="I116" s="39">
        <f t="shared" si="28"/>
        <v>-30304</v>
      </c>
      <c r="J116" s="39">
        <f t="shared" si="29"/>
        <v>-2592188.493846154</v>
      </c>
      <c r="O116" s="124"/>
    </row>
    <row r="117" spans="1:15" ht="12.75">
      <c r="A117" s="125">
        <f t="shared" si="30"/>
        <v>4</v>
      </c>
      <c r="B117" s="125"/>
      <c r="C117" s="38" t="s">
        <v>92</v>
      </c>
      <c r="D117" s="125">
        <v>382</v>
      </c>
      <c r="E117" s="39">
        <f>'2017 AMRP Calc Form 2.2'!G124-'2017 AMRP Calc Form 2.2'!I124</f>
        <v>-12084</v>
      </c>
      <c r="F117" s="225">
        <f t="shared" si="26"/>
        <v>0.0208</v>
      </c>
      <c r="G117" s="39">
        <f t="shared" si="27"/>
        <v>-251</v>
      </c>
      <c r="H117" s="39">
        <v>-18279.01</v>
      </c>
      <c r="I117" s="39">
        <f t="shared" si="28"/>
        <v>-190</v>
      </c>
      <c r="J117" s="39">
        <f t="shared" si="29"/>
        <v>-30363.01</v>
      </c>
      <c r="O117" s="124"/>
    </row>
    <row r="118" spans="1:15" ht="12.75">
      <c r="A118" s="125">
        <f t="shared" si="30"/>
        <v>5</v>
      </c>
      <c r="B118" s="125"/>
      <c r="C118" s="38" t="s">
        <v>88</v>
      </c>
      <c r="D118" s="125">
        <v>383</v>
      </c>
      <c r="E118" s="39">
        <f>'2017 AMRP Calc Form 2.2'!G146-'2017 AMRP Calc Form 2.2'!I146</f>
        <v>-1152</v>
      </c>
      <c r="F118" s="225">
        <f t="shared" si="26"/>
        <v>0.0225</v>
      </c>
      <c r="G118" s="39">
        <f t="shared" si="27"/>
        <v>-26</v>
      </c>
      <c r="H118" s="39">
        <v>-1605.93</v>
      </c>
      <c r="I118" s="39">
        <f t="shared" si="28"/>
        <v>-18</v>
      </c>
      <c r="J118" s="39">
        <f t="shared" si="29"/>
        <v>-2757.9300000000003</v>
      </c>
      <c r="O118" s="124"/>
    </row>
    <row r="119" spans="1:10" ht="13.5">
      <c r="A119" s="125">
        <f t="shared" si="30"/>
        <v>6</v>
      </c>
      <c r="B119" s="125"/>
      <c r="C119" s="38" t="s">
        <v>191</v>
      </c>
      <c r="D119" s="125">
        <v>387</v>
      </c>
      <c r="E119" s="10">
        <f>'2017 AMRP Calc Form 2.2'!G175-'2017 AMRP Calc Form 2.2'!I175</f>
        <v>0</v>
      </c>
      <c r="F119" s="225">
        <f t="shared" si="26"/>
        <v>0.0313</v>
      </c>
      <c r="G119" s="10">
        <f t="shared" si="27"/>
        <v>0</v>
      </c>
      <c r="H119" s="10">
        <v>0</v>
      </c>
      <c r="I119" s="10">
        <f t="shared" si="28"/>
        <v>0</v>
      </c>
      <c r="J119" s="10">
        <f t="shared" si="29"/>
        <v>0</v>
      </c>
    </row>
    <row r="120" spans="1:14" ht="12">
      <c r="A120" s="125">
        <f t="shared" si="30"/>
        <v>7</v>
      </c>
      <c r="B120" s="125"/>
      <c r="C120" s="53" t="s">
        <v>60</v>
      </c>
      <c r="D120" s="224"/>
      <c r="E120" s="39">
        <f>SUM(E114:E119)</f>
        <v>-1106758.230769231</v>
      </c>
      <c r="F120" s="225"/>
      <c r="G120" s="39">
        <f>SUM(G114:G119)</f>
        <v>-39783</v>
      </c>
      <c r="H120" s="39">
        <f>SUM(H114:H119)</f>
        <v>-2835419.0500000003</v>
      </c>
      <c r="I120" s="39">
        <f>SUM(I114:I119)</f>
        <v>-40582</v>
      </c>
      <c r="J120" s="39">
        <f>SUM(J114:J119)</f>
        <v>-3942177.280769231</v>
      </c>
      <c r="L120" s="43"/>
      <c r="M120" s="43"/>
      <c r="N120" s="43"/>
    </row>
    <row r="121" spans="1:10" ht="12">
      <c r="A121" s="125"/>
      <c r="B121" s="125"/>
      <c r="C121" s="38"/>
      <c r="D121" s="35"/>
      <c r="E121" s="39"/>
      <c r="F121" s="225"/>
      <c r="G121" s="39"/>
      <c r="H121" s="39"/>
      <c r="I121" s="35"/>
      <c r="J121" s="39"/>
    </row>
    <row r="122" spans="1:15" ht="13.5">
      <c r="A122" s="125">
        <f>A120+1</f>
        <v>8</v>
      </c>
      <c r="B122" s="158" t="s">
        <v>100</v>
      </c>
      <c r="C122" s="38"/>
      <c r="D122" s="35"/>
      <c r="E122" s="14">
        <f>+E120+E111</f>
        <v>13913960.846153844</v>
      </c>
      <c r="F122" s="225"/>
      <c r="G122" s="14">
        <f>+G120+G111</f>
        <v>301822</v>
      </c>
      <c r="H122" s="14">
        <f>+H120+H111</f>
        <v>19620419.160000004</v>
      </c>
      <c r="I122" s="14">
        <f>+I120+I111</f>
        <v>227305</v>
      </c>
      <c r="J122" s="14">
        <f>+J120+J111</f>
        <v>33534380.006153844</v>
      </c>
      <c r="L122" s="43"/>
      <c r="M122" s="43"/>
      <c r="N122" s="9"/>
      <c r="O122" s="43"/>
    </row>
    <row r="123" spans="1:15" ht="13.5">
      <c r="A123" s="125"/>
      <c r="B123" s="158"/>
      <c r="C123" s="38"/>
      <c r="D123" s="35"/>
      <c r="E123" s="14"/>
      <c r="F123" s="225"/>
      <c r="G123" s="14"/>
      <c r="H123" s="14"/>
      <c r="I123" s="14"/>
      <c r="J123" s="39"/>
      <c r="K123" s="11"/>
      <c r="L123" s="11"/>
      <c r="M123" s="11"/>
      <c r="N123" s="11"/>
      <c r="O123" s="11"/>
    </row>
    <row r="124" spans="1:15" ht="13.5">
      <c r="A124" s="125">
        <f>A122+1</f>
        <v>9</v>
      </c>
      <c r="B124" s="18" t="s">
        <v>96</v>
      </c>
      <c r="C124" s="35"/>
      <c r="D124" s="35"/>
      <c r="E124" s="10"/>
      <c r="F124" s="226"/>
      <c r="G124" s="226"/>
      <c r="H124" s="35"/>
      <c r="I124" s="226"/>
      <c r="J124" s="226"/>
      <c r="K124" s="41"/>
      <c r="L124" s="41"/>
      <c r="M124" s="41"/>
      <c r="N124" s="41"/>
      <c r="O124" s="41"/>
    </row>
    <row r="125" spans="1:15" ht="12">
      <c r="A125" s="125">
        <f aca="true" t="shared" si="31" ref="A125:A131">A124+1</f>
        <v>10</v>
      </c>
      <c r="B125" s="125"/>
      <c r="C125" s="38" t="s">
        <v>130</v>
      </c>
      <c r="D125" s="125">
        <v>376</v>
      </c>
      <c r="E125" s="39">
        <f>-'2017 AMRP Calc Form 2.2'!J43+'2017 AMRP Calc Form 2.2'!L43</f>
        <v>145583.15384615384</v>
      </c>
      <c r="F125" s="223"/>
      <c r="G125" s="39"/>
      <c r="H125" s="39">
        <v>133542.22</v>
      </c>
      <c r="I125" s="39"/>
      <c r="J125" s="39">
        <f aca="true" t="shared" si="32" ref="J125:J130">H125+E125</f>
        <v>279125.37384615385</v>
      </c>
      <c r="K125" s="12"/>
      <c r="L125" s="12"/>
      <c r="M125" s="12"/>
      <c r="N125" s="12"/>
      <c r="O125" s="12"/>
    </row>
    <row r="126" spans="1:15" ht="12">
      <c r="A126" s="125">
        <f t="shared" si="31"/>
        <v>11</v>
      </c>
      <c r="B126" s="125"/>
      <c r="C126" s="38" t="s">
        <v>90</v>
      </c>
      <c r="D126" s="125">
        <v>378</v>
      </c>
      <c r="E126" s="39">
        <f>-'2017 AMRP Calc Form 2.2'!J95+'2017 AMRP Calc Form 2.2'!L95</f>
        <v>4035</v>
      </c>
      <c r="F126" s="223"/>
      <c r="G126" s="39"/>
      <c r="H126" s="39">
        <v>1074.8200000000002</v>
      </c>
      <c r="I126" s="39"/>
      <c r="J126" s="39">
        <f t="shared" si="32"/>
        <v>5109.82</v>
      </c>
      <c r="K126" s="9"/>
      <c r="L126" s="9"/>
      <c r="M126" s="9"/>
      <c r="N126" s="9"/>
      <c r="O126" s="9"/>
    </row>
    <row r="127" spans="1:15" ht="13.5">
      <c r="A127" s="125">
        <f t="shared" si="31"/>
        <v>12</v>
      </c>
      <c r="B127" s="125"/>
      <c r="C127" s="38" t="s">
        <v>91</v>
      </c>
      <c r="D127" s="125">
        <v>380</v>
      </c>
      <c r="E127" s="39">
        <f>-'2017 AMRP Calc Form 2.2'!J73+'2017 AMRP Calc Form 2.2'!L73</f>
        <v>1031624</v>
      </c>
      <c r="F127" s="223"/>
      <c r="G127" s="10"/>
      <c r="H127" s="39">
        <v>1157152.06</v>
      </c>
      <c r="I127" s="10"/>
      <c r="J127" s="39">
        <f t="shared" si="32"/>
        <v>2188776.06</v>
      </c>
      <c r="K127" s="9"/>
      <c r="L127" s="9"/>
      <c r="M127" s="9"/>
      <c r="N127" s="9"/>
      <c r="O127" s="9"/>
    </row>
    <row r="128" spans="1:15" ht="12">
      <c r="A128" s="125">
        <f t="shared" si="31"/>
        <v>13</v>
      </c>
      <c r="B128" s="125"/>
      <c r="C128" s="38" t="s">
        <v>92</v>
      </c>
      <c r="D128" s="125">
        <v>382</v>
      </c>
      <c r="E128" s="39">
        <f>-'2017 AMRP Calc Form 2.2'!J124+'2017 AMRP Calc Form 2.2'!L124</f>
        <v>0</v>
      </c>
      <c r="F128" s="223"/>
      <c r="G128" s="39"/>
      <c r="H128" s="39">
        <v>0</v>
      </c>
      <c r="I128" s="39"/>
      <c r="J128" s="39">
        <f t="shared" si="32"/>
        <v>0</v>
      </c>
      <c r="K128" s="9"/>
      <c r="L128" s="9"/>
      <c r="M128" s="9"/>
      <c r="N128" s="9"/>
      <c r="O128" s="9"/>
    </row>
    <row r="129" spans="1:15" ht="12">
      <c r="A129" s="125">
        <f t="shared" si="31"/>
        <v>14</v>
      </c>
      <c r="B129" s="125"/>
      <c r="C129" s="38" t="s">
        <v>88</v>
      </c>
      <c r="D129" s="125">
        <v>383</v>
      </c>
      <c r="E129" s="39">
        <f>-'2017 AMRP Calc Form 2.2'!J146+'2017 AMRP Calc Form 2.2'!L146</f>
        <v>0</v>
      </c>
      <c r="F129" s="35"/>
      <c r="G129" s="35"/>
      <c r="H129" s="39">
        <v>0</v>
      </c>
      <c r="I129" s="35"/>
      <c r="J129" s="39">
        <f t="shared" si="32"/>
        <v>0</v>
      </c>
      <c r="K129" s="9"/>
      <c r="L129" s="9"/>
      <c r="M129" s="9"/>
      <c r="N129" s="9"/>
      <c r="O129" s="9"/>
    </row>
    <row r="130" spans="1:15" ht="13.5">
      <c r="A130" s="125">
        <f t="shared" si="31"/>
        <v>15</v>
      </c>
      <c r="B130" s="125"/>
      <c r="C130" s="38" t="s">
        <v>191</v>
      </c>
      <c r="D130" s="125">
        <v>387</v>
      </c>
      <c r="E130" s="10">
        <f>-'2017 AMRP Calc Form 2.2'!J175+'2017 AMRP Calc Form 2.2'!L175</f>
        <v>0</v>
      </c>
      <c r="F130" s="35"/>
      <c r="G130" s="35"/>
      <c r="H130" s="10">
        <v>0</v>
      </c>
      <c r="I130" s="164"/>
      <c r="J130" s="10">
        <f t="shared" si="32"/>
        <v>0</v>
      </c>
      <c r="K130" s="9"/>
      <c r="L130" s="9"/>
      <c r="M130" s="9"/>
      <c r="N130" s="9"/>
      <c r="O130" s="9"/>
    </row>
    <row r="131" spans="1:17" ht="13.5">
      <c r="A131" s="125">
        <f t="shared" si="31"/>
        <v>16</v>
      </c>
      <c r="B131" s="125"/>
      <c r="C131" s="35" t="s">
        <v>126</v>
      </c>
      <c r="D131" s="35"/>
      <c r="E131" s="227">
        <f>SUM(E125:E130)</f>
        <v>1181242.1538461538</v>
      </c>
      <c r="F131" s="35"/>
      <c r="G131" s="39"/>
      <c r="H131" s="227">
        <f>SUM(H125:H130)</f>
        <v>1291769.1</v>
      </c>
      <c r="I131" s="39"/>
      <c r="J131" s="227">
        <f>SUM(J125:J130)</f>
        <v>2473011.253846154</v>
      </c>
      <c r="K131" s="10"/>
      <c r="L131" s="10"/>
      <c r="M131" s="10"/>
      <c r="N131" s="10"/>
      <c r="O131" s="10"/>
      <c r="Q131" s="43"/>
    </row>
    <row r="132" spans="1:15" ht="12">
      <c r="A132" s="125"/>
      <c r="B132" s="125"/>
      <c r="C132" s="35"/>
      <c r="D132" s="35"/>
      <c r="E132" s="35"/>
      <c r="F132" s="35"/>
      <c r="G132" s="35"/>
      <c r="H132" s="35"/>
      <c r="I132" s="35"/>
      <c r="J132" s="35"/>
      <c r="K132" s="9"/>
      <c r="L132" s="9"/>
      <c r="M132" s="9"/>
      <c r="N132" s="9"/>
      <c r="O132" s="9"/>
    </row>
    <row r="133" spans="1:10" ht="12">
      <c r="A133" s="53" t="s">
        <v>131</v>
      </c>
      <c r="B133" s="125"/>
      <c r="C133" s="35"/>
      <c r="D133" s="35"/>
      <c r="E133" s="227"/>
      <c r="F133" s="35"/>
      <c r="G133" s="35"/>
      <c r="H133" s="35"/>
      <c r="I133" s="35"/>
      <c r="J133" s="35"/>
    </row>
    <row r="134" spans="1:16" ht="18">
      <c r="A134" s="53" t="s">
        <v>346</v>
      </c>
      <c r="B134" s="125"/>
      <c r="C134" s="35"/>
      <c r="D134" s="35"/>
      <c r="E134" s="35"/>
      <c r="F134" s="35"/>
      <c r="G134" s="35"/>
      <c r="H134" s="35"/>
      <c r="I134" s="227"/>
      <c r="J134" s="35"/>
      <c r="K134" s="9"/>
      <c r="L134" s="9"/>
      <c r="M134" s="9"/>
      <c r="N134" s="9"/>
      <c r="O134" s="9"/>
      <c r="P134" s="43"/>
    </row>
    <row r="135" spans="1:13" ht="12">
      <c r="A135" s="125"/>
      <c r="B135" s="125"/>
      <c r="C135" s="35"/>
      <c r="D135" s="35"/>
      <c r="E135" s="39"/>
      <c r="F135" s="39"/>
      <c r="G135" s="39"/>
      <c r="H135" s="39"/>
      <c r="I135" s="39"/>
      <c r="J135" s="39"/>
      <c r="K135" s="9"/>
      <c r="L135" s="9"/>
      <c r="M135" s="9"/>
    </row>
    <row r="136" spans="1:15" ht="12">
      <c r="A136" s="125"/>
      <c r="B136" s="125"/>
      <c r="C136" s="35"/>
      <c r="D136" s="35"/>
      <c r="E136" s="39"/>
      <c r="F136" s="39"/>
      <c r="G136" s="39"/>
      <c r="H136" s="39"/>
      <c r="I136" s="39"/>
      <c r="J136" s="39"/>
      <c r="K136" s="9"/>
      <c r="L136" s="9"/>
      <c r="M136" s="9"/>
      <c r="N136" s="9"/>
      <c r="O136" s="9"/>
    </row>
    <row r="137" spans="1:10" ht="12">
      <c r="A137" s="125"/>
      <c r="B137" s="125"/>
      <c r="C137" s="35"/>
      <c r="D137" s="35"/>
      <c r="E137" s="35"/>
      <c r="F137" s="35"/>
      <c r="G137" s="35"/>
      <c r="H137" s="35"/>
      <c r="I137" s="35"/>
      <c r="J137" s="35"/>
    </row>
    <row r="138" spans="1:15" ht="12">
      <c r="A138" s="125"/>
      <c r="B138" s="125"/>
      <c r="C138" s="35"/>
      <c r="D138" s="35"/>
      <c r="E138" s="226"/>
      <c r="F138" s="226"/>
      <c r="G138" s="226"/>
      <c r="H138" s="226"/>
      <c r="I138" s="226"/>
      <c r="J138" s="226"/>
      <c r="K138" s="40"/>
      <c r="L138" s="40"/>
      <c r="M138" s="40"/>
      <c r="N138" s="40"/>
      <c r="O138" s="40"/>
    </row>
    <row r="139" spans="1:10" ht="12">
      <c r="A139" s="125"/>
      <c r="B139" s="125"/>
      <c r="C139" s="35"/>
      <c r="D139" s="35"/>
      <c r="E139" s="35"/>
      <c r="F139" s="35"/>
      <c r="G139" s="35"/>
      <c r="H139" s="35"/>
      <c r="I139" s="35"/>
      <c r="J139" s="35"/>
    </row>
    <row r="140" spans="1:15" ht="13.5">
      <c r="A140" s="125"/>
      <c r="B140" s="125"/>
      <c r="C140" s="35"/>
      <c r="D140" s="35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</row>
    <row r="141" spans="1:10" ht="12">
      <c r="A141" s="125"/>
      <c r="B141" s="125"/>
      <c r="C141" s="35"/>
      <c r="D141" s="35"/>
      <c r="E141" s="35"/>
      <c r="F141" s="35"/>
      <c r="G141" s="35"/>
      <c r="H141" s="35"/>
      <c r="I141" s="35"/>
      <c r="J141" s="35"/>
    </row>
    <row r="142" spans="1:15" ht="12">
      <c r="A142" s="125"/>
      <c r="B142" s="125"/>
      <c r="C142" s="35"/>
      <c r="D142" s="35"/>
      <c r="E142" s="227"/>
      <c r="F142" s="227"/>
      <c r="G142" s="227"/>
      <c r="H142" s="227"/>
      <c r="I142" s="227"/>
      <c r="J142" s="227"/>
      <c r="K142" s="43"/>
      <c r="L142" s="43"/>
      <c r="M142" s="43"/>
      <c r="N142" s="43"/>
      <c r="O142" s="43"/>
    </row>
    <row r="143" spans="1:10" ht="12">
      <c r="A143" s="125"/>
      <c r="B143" s="125"/>
      <c r="C143" s="35"/>
      <c r="D143" s="35"/>
      <c r="E143" s="35"/>
      <c r="F143" s="35"/>
      <c r="G143" s="35"/>
      <c r="H143" s="35"/>
      <c r="I143" s="35"/>
      <c r="J143" s="35"/>
    </row>
    <row r="144" spans="1:15" ht="12">
      <c r="A144" s="125"/>
      <c r="B144" s="125"/>
      <c r="C144" s="35"/>
      <c r="D144" s="35"/>
      <c r="E144" s="39"/>
      <c r="F144" s="227"/>
      <c r="G144" s="227"/>
      <c r="H144" s="227"/>
      <c r="I144" s="227"/>
      <c r="J144" s="227"/>
      <c r="K144" s="43"/>
      <c r="L144" s="43"/>
      <c r="M144" s="43"/>
      <c r="N144" s="43"/>
      <c r="O144" s="43"/>
    </row>
    <row r="145" spans="1:10" ht="12">
      <c r="A145" s="125"/>
      <c r="B145" s="125"/>
      <c r="C145" s="35"/>
      <c r="D145" s="35"/>
      <c r="E145" s="35"/>
      <c r="F145" s="35"/>
      <c r="G145" s="35"/>
      <c r="H145" s="35"/>
      <c r="I145" s="35"/>
      <c r="J145" s="35"/>
    </row>
    <row r="146" spans="1:10" ht="12">
      <c r="A146" s="125"/>
      <c r="B146" s="125"/>
      <c r="C146" s="35"/>
      <c r="D146" s="35"/>
      <c r="E146" s="35"/>
      <c r="F146" s="35"/>
      <c r="G146" s="35"/>
      <c r="H146" s="35"/>
      <c r="I146" s="35"/>
      <c r="J146" s="35"/>
    </row>
    <row r="147" spans="1:10" ht="12">
      <c r="A147" s="125"/>
      <c r="B147" s="125"/>
      <c r="C147" s="35"/>
      <c r="D147" s="35"/>
      <c r="E147" s="35"/>
      <c r="F147" s="35"/>
      <c r="G147" s="35"/>
      <c r="H147" s="35"/>
      <c r="I147" s="35"/>
      <c r="J147" s="35"/>
    </row>
    <row r="148" spans="1:10" ht="12">
      <c r="A148" s="125"/>
      <c r="B148" s="125"/>
      <c r="C148" s="35"/>
      <c r="D148" s="35"/>
      <c r="E148" s="35"/>
      <c r="F148" s="35"/>
      <c r="G148" s="35"/>
      <c r="H148" s="35"/>
      <c r="I148" s="35"/>
      <c r="J148" s="35"/>
    </row>
    <row r="149" spans="1:10" ht="12">
      <c r="A149" s="125"/>
      <c r="B149" s="125"/>
      <c r="C149" s="35"/>
      <c r="D149" s="35"/>
      <c r="E149" s="35"/>
      <c r="F149" s="35"/>
      <c r="G149" s="35"/>
      <c r="H149" s="35"/>
      <c r="I149" s="35"/>
      <c r="J149" s="35"/>
    </row>
    <row r="150" spans="1:10" ht="12">
      <c r="A150" s="125"/>
      <c r="B150" s="125"/>
      <c r="C150" s="35"/>
      <c r="D150" s="35"/>
      <c r="E150" s="35"/>
      <c r="F150" s="35"/>
      <c r="G150" s="35"/>
      <c r="H150" s="35"/>
      <c r="I150" s="35"/>
      <c r="J150" s="35"/>
    </row>
    <row r="151" spans="1:10" ht="12">
      <c r="A151" s="125"/>
      <c r="B151" s="125"/>
      <c r="C151" s="35"/>
      <c r="D151" s="35"/>
      <c r="E151" s="35"/>
      <c r="F151" s="35"/>
      <c r="G151" s="35"/>
      <c r="H151" s="35"/>
      <c r="I151" s="35"/>
      <c r="J151" s="35"/>
    </row>
    <row r="152" spans="1:10" ht="12">
      <c r="A152" s="125"/>
      <c r="B152" s="125"/>
      <c r="C152" s="35"/>
      <c r="D152" s="35"/>
      <c r="E152" s="35"/>
      <c r="F152" s="35"/>
      <c r="G152" s="35"/>
      <c r="H152" s="35"/>
      <c r="I152" s="35"/>
      <c r="J152" s="35"/>
    </row>
    <row r="153" spans="1:10" ht="12">
      <c r="A153" s="125"/>
      <c r="B153" s="125"/>
      <c r="C153" s="35"/>
      <c r="D153" s="35"/>
      <c r="E153" s="35"/>
      <c r="F153" s="35"/>
      <c r="G153" s="35"/>
      <c r="H153" s="35"/>
      <c r="I153" s="35"/>
      <c r="J153" s="35"/>
    </row>
    <row r="154" spans="1:15" ht="12.75">
      <c r="A154" s="125"/>
      <c r="B154" s="125"/>
      <c r="C154" s="35"/>
      <c r="D154" s="35"/>
      <c r="E154" s="35"/>
      <c r="F154" s="35"/>
      <c r="G154" s="1"/>
      <c r="H154" s="35"/>
      <c r="I154" s="35"/>
      <c r="J154" s="35"/>
      <c r="O154" s="124"/>
    </row>
    <row r="155" spans="1:15" ht="12.75">
      <c r="A155" s="125"/>
      <c r="B155" s="125"/>
      <c r="C155" s="35"/>
      <c r="D155" s="35"/>
      <c r="E155" s="35"/>
      <c r="F155" s="35"/>
      <c r="G155" s="1"/>
      <c r="H155" s="35"/>
      <c r="I155" s="35"/>
      <c r="J155" s="35"/>
      <c r="O155" s="124"/>
    </row>
    <row r="156" spans="1:10" ht="12">
      <c r="A156" s="125"/>
      <c r="B156" s="125"/>
      <c r="C156" s="35"/>
      <c r="D156" s="35"/>
      <c r="E156" s="35"/>
      <c r="F156" s="35"/>
      <c r="G156" s="35"/>
      <c r="H156" s="35"/>
      <c r="I156" s="35"/>
      <c r="J156" s="35"/>
    </row>
    <row r="157" spans="1:10" ht="12">
      <c r="A157" s="125"/>
      <c r="B157" s="125"/>
      <c r="C157" s="35"/>
      <c r="D157" s="35"/>
      <c r="E157" s="35"/>
      <c r="F157" s="35"/>
      <c r="G157" s="35"/>
      <c r="H157" s="35"/>
      <c r="I157" s="35"/>
      <c r="J157" s="35"/>
    </row>
    <row r="158" spans="1:10" ht="12">
      <c r="A158" s="125"/>
      <c r="B158" s="125"/>
      <c r="C158" s="35"/>
      <c r="D158" s="35"/>
      <c r="E158" s="35"/>
      <c r="F158" s="35"/>
      <c r="G158" s="35"/>
      <c r="H158" s="35"/>
      <c r="I158" s="35"/>
      <c r="J158" s="35"/>
    </row>
    <row r="159" spans="1:10" ht="12.75">
      <c r="A159" s="1"/>
      <c r="B159" s="1"/>
      <c r="C159" s="35"/>
      <c r="D159" s="35"/>
      <c r="E159" s="35"/>
      <c r="F159" s="35"/>
      <c r="G159" s="35"/>
      <c r="H159" s="35"/>
      <c r="I159" s="35"/>
      <c r="J159" s="35"/>
    </row>
    <row r="160" spans="1:15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2.75">
      <c r="A161" s="125"/>
      <c r="B161" s="125"/>
      <c r="C161" s="38"/>
      <c r="D161" s="38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1:15" ht="12">
      <c r="A162" s="125"/>
      <c r="B162" s="125"/>
      <c r="C162" s="38"/>
      <c r="D162" s="38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ht="12">
      <c r="A163" s="125"/>
      <c r="B163" s="125"/>
      <c r="C163" s="35"/>
      <c r="D163" s="35"/>
      <c r="E163" s="39"/>
      <c r="F163" s="39"/>
      <c r="G163" s="39"/>
      <c r="H163" s="39"/>
      <c r="I163" s="39"/>
      <c r="J163" s="39"/>
      <c r="K163" s="9"/>
      <c r="L163" s="9"/>
      <c r="M163" s="9"/>
      <c r="N163" s="9"/>
      <c r="O163" s="9"/>
    </row>
    <row r="164" spans="1:15" ht="12">
      <c r="A164" s="125"/>
      <c r="B164" s="125"/>
      <c r="C164" s="35"/>
      <c r="D164" s="35"/>
      <c r="E164" s="39"/>
      <c r="F164" s="39"/>
      <c r="G164" s="39"/>
      <c r="H164" s="39"/>
      <c r="I164" s="39"/>
      <c r="J164" s="39"/>
      <c r="K164" s="9"/>
      <c r="L164" s="9"/>
      <c r="M164" s="9"/>
      <c r="N164" s="9"/>
      <c r="O164" s="9"/>
    </row>
    <row r="165" spans="1:15" ht="13.5">
      <c r="A165" s="125"/>
      <c r="B165" s="125"/>
      <c r="C165" s="35"/>
      <c r="D165" s="35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2">
      <c r="A166" s="125"/>
      <c r="B166" s="125"/>
      <c r="C166" s="35"/>
      <c r="D166" s="35"/>
      <c r="E166" s="39"/>
      <c r="F166" s="39"/>
      <c r="G166" s="39"/>
      <c r="H166" s="39"/>
      <c r="I166" s="39"/>
      <c r="J166" s="39"/>
      <c r="K166" s="9"/>
      <c r="L166" s="9"/>
      <c r="M166" s="9"/>
      <c r="N166" s="9"/>
      <c r="O166" s="9"/>
    </row>
    <row r="167" spans="1:10" ht="12">
      <c r="A167" s="125"/>
      <c r="B167" s="125"/>
      <c r="C167" s="35"/>
      <c r="D167" s="35"/>
      <c r="E167" s="35"/>
      <c r="F167" s="35"/>
      <c r="G167" s="35"/>
      <c r="H167" s="35"/>
      <c r="I167" s="35"/>
      <c r="J167" s="35"/>
    </row>
    <row r="168" spans="1:16" ht="12">
      <c r="A168" s="125"/>
      <c r="B168" s="125"/>
      <c r="C168" s="35"/>
      <c r="D168" s="35"/>
      <c r="E168" s="39"/>
      <c r="F168" s="39"/>
      <c r="G168" s="39"/>
      <c r="H168" s="39"/>
      <c r="I168" s="39"/>
      <c r="J168" s="39"/>
      <c r="K168" s="9"/>
      <c r="L168" s="9"/>
      <c r="M168" s="9"/>
      <c r="N168" s="9"/>
      <c r="O168" s="9"/>
      <c r="P168" s="43"/>
    </row>
    <row r="169" spans="1:13" ht="12">
      <c r="A169" s="125"/>
      <c r="B169" s="125"/>
      <c r="C169" s="35"/>
      <c r="D169" s="35"/>
      <c r="E169" s="39"/>
      <c r="F169" s="39"/>
      <c r="G169" s="39"/>
      <c r="H169" s="39"/>
      <c r="I169" s="39"/>
      <c r="J169" s="39"/>
      <c r="K169" s="9"/>
      <c r="L169" s="9"/>
      <c r="M169" s="9"/>
    </row>
    <row r="170" spans="1:15" ht="12">
      <c r="A170" s="125"/>
      <c r="B170" s="125"/>
      <c r="C170" s="35"/>
      <c r="D170" s="35"/>
      <c r="E170" s="39"/>
      <c r="F170" s="39"/>
      <c r="G170" s="39"/>
      <c r="H170" s="39"/>
      <c r="I170" s="39"/>
      <c r="J170" s="39"/>
      <c r="K170" s="9"/>
      <c r="L170" s="9"/>
      <c r="M170" s="9"/>
      <c r="N170" s="9"/>
      <c r="O170" s="9"/>
    </row>
    <row r="171" spans="1:10" ht="12">
      <c r="A171" s="125"/>
      <c r="B171" s="125"/>
      <c r="C171" s="35"/>
      <c r="D171" s="35"/>
      <c r="E171" s="35"/>
      <c r="F171" s="35"/>
      <c r="G171" s="35"/>
      <c r="H171" s="35"/>
      <c r="I171" s="35"/>
      <c r="J171" s="35"/>
    </row>
    <row r="172" spans="1:15" ht="12">
      <c r="A172" s="125"/>
      <c r="B172" s="125"/>
      <c r="C172" s="35"/>
      <c r="D172" s="35"/>
      <c r="E172" s="226"/>
      <c r="F172" s="226"/>
      <c r="G172" s="226"/>
      <c r="H172" s="226"/>
      <c r="I172" s="226"/>
      <c r="J172" s="226"/>
      <c r="K172" s="40"/>
      <c r="L172" s="40"/>
      <c r="M172" s="40"/>
      <c r="N172" s="40"/>
      <c r="O172" s="40"/>
    </row>
    <row r="173" spans="1:10" ht="12">
      <c r="A173" s="125"/>
      <c r="B173" s="125"/>
      <c r="C173" s="35"/>
      <c r="D173" s="35"/>
      <c r="E173" s="35"/>
      <c r="F173" s="35"/>
      <c r="G173" s="35"/>
      <c r="H173" s="35"/>
      <c r="I173" s="35"/>
      <c r="J173" s="35"/>
    </row>
    <row r="174" spans="1:15" ht="13.5">
      <c r="A174" s="125"/>
      <c r="B174" s="125"/>
      <c r="C174" s="35"/>
      <c r="D174" s="35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</row>
    <row r="175" spans="1:10" ht="12">
      <c r="A175" s="125"/>
      <c r="B175" s="125"/>
      <c r="C175" s="35"/>
      <c r="D175" s="35"/>
      <c r="E175" s="35"/>
      <c r="F175" s="35"/>
      <c r="G175" s="35"/>
      <c r="H175" s="35"/>
      <c r="I175" s="35"/>
      <c r="J175" s="35"/>
    </row>
    <row r="176" spans="1:15" ht="12">
      <c r="A176" s="125"/>
      <c r="B176" s="125"/>
      <c r="C176" s="35"/>
      <c r="D176" s="35"/>
      <c r="E176" s="227"/>
      <c r="F176" s="227"/>
      <c r="G176" s="227"/>
      <c r="H176" s="227"/>
      <c r="I176" s="227"/>
      <c r="J176" s="227"/>
      <c r="K176" s="43"/>
      <c r="L176" s="43"/>
      <c r="M176" s="43"/>
      <c r="N176" s="43"/>
      <c r="O176" s="43"/>
    </row>
    <row r="177" spans="1:10" ht="12">
      <c r="A177" s="125"/>
      <c r="B177" s="125"/>
      <c r="C177" s="35"/>
      <c r="D177" s="35"/>
      <c r="E177" s="35"/>
      <c r="F177" s="35"/>
      <c r="G177" s="35"/>
      <c r="H177" s="35"/>
      <c r="I177" s="35"/>
      <c r="J177" s="35"/>
    </row>
    <row r="178" spans="1:15" ht="12">
      <c r="A178" s="125"/>
      <c r="B178" s="125"/>
      <c r="C178" s="35"/>
      <c r="D178" s="35"/>
      <c r="E178" s="39"/>
      <c r="F178" s="227"/>
      <c r="G178" s="227"/>
      <c r="H178" s="227"/>
      <c r="I178" s="227"/>
      <c r="J178" s="227"/>
      <c r="K178" s="43"/>
      <c r="L178" s="43"/>
      <c r="M178" s="43"/>
      <c r="N178" s="43"/>
      <c r="O178" s="43"/>
    </row>
    <row r="179" spans="1:10" ht="12">
      <c r="A179" s="125"/>
      <c r="B179" s="125"/>
      <c r="C179" s="35"/>
      <c r="D179" s="35"/>
      <c r="E179" s="35"/>
      <c r="F179" s="35"/>
      <c r="G179" s="35"/>
      <c r="H179" s="35"/>
      <c r="I179" s="35"/>
      <c r="J179" s="35"/>
    </row>
    <row r="180" spans="1:10" ht="12">
      <c r="A180" s="125"/>
      <c r="B180" s="125"/>
      <c r="C180" s="35"/>
      <c r="D180" s="35"/>
      <c r="E180" s="35"/>
      <c r="F180" s="35"/>
      <c r="G180" s="35"/>
      <c r="H180" s="35"/>
      <c r="I180" s="35"/>
      <c r="J180" s="35"/>
    </row>
    <row r="181" spans="1:10" ht="12">
      <c r="A181" s="125"/>
      <c r="B181" s="125"/>
      <c r="C181" s="35"/>
      <c r="D181" s="35"/>
      <c r="E181" s="35"/>
      <c r="F181" s="35"/>
      <c r="G181" s="35"/>
      <c r="H181" s="35"/>
      <c r="I181" s="35"/>
      <c r="J181" s="35"/>
    </row>
    <row r="182" spans="1:10" ht="12">
      <c r="A182" s="125"/>
      <c r="B182" s="125"/>
      <c r="C182" s="35"/>
      <c r="D182" s="35"/>
      <c r="E182" s="35"/>
      <c r="F182" s="35"/>
      <c r="G182" s="35"/>
      <c r="H182" s="35"/>
      <c r="I182" s="35"/>
      <c r="J182" s="35"/>
    </row>
    <row r="183" spans="1:10" ht="12">
      <c r="A183" s="125"/>
      <c r="B183" s="125"/>
      <c r="C183" s="35"/>
      <c r="D183" s="35"/>
      <c r="E183" s="35"/>
      <c r="F183" s="35"/>
      <c r="G183" s="35"/>
      <c r="H183" s="35"/>
      <c r="I183" s="35"/>
      <c r="J183" s="35"/>
    </row>
    <row r="184" spans="1:10" ht="12">
      <c r="A184" s="125"/>
      <c r="B184" s="125"/>
      <c r="C184" s="35"/>
      <c r="D184" s="35"/>
      <c r="E184" s="35"/>
      <c r="F184" s="35"/>
      <c r="G184" s="35"/>
      <c r="H184" s="35"/>
      <c r="I184" s="35"/>
      <c r="J184" s="35"/>
    </row>
    <row r="185" spans="1:10" ht="12">
      <c r="A185" s="125"/>
      <c r="B185" s="125"/>
      <c r="C185" s="35"/>
      <c r="D185" s="35"/>
      <c r="E185" s="35"/>
      <c r="F185" s="35"/>
      <c r="G185" s="35"/>
      <c r="H185" s="35"/>
      <c r="I185" s="35"/>
      <c r="J185" s="35"/>
    </row>
    <row r="186" spans="1:10" ht="12">
      <c r="A186" s="125"/>
      <c r="B186" s="125"/>
      <c r="C186" s="35"/>
      <c r="D186" s="35"/>
      <c r="E186" s="35"/>
      <c r="F186" s="35"/>
      <c r="G186" s="35"/>
      <c r="H186" s="35"/>
      <c r="I186" s="35"/>
      <c r="J186" s="35"/>
    </row>
    <row r="187" spans="1:10" ht="12">
      <c r="A187" s="125"/>
      <c r="B187" s="125"/>
      <c r="C187" s="35"/>
      <c r="D187" s="35"/>
      <c r="E187" s="35"/>
      <c r="F187" s="35"/>
      <c r="G187" s="35"/>
      <c r="H187" s="35"/>
      <c r="I187" s="35"/>
      <c r="J187" s="35"/>
    </row>
    <row r="188" spans="1:10" ht="12">
      <c r="A188" s="125"/>
      <c r="B188" s="125"/>
      <c r="C188" s="35"/>
      <c r="D188" s="35"/>
      <c r="E188" s="35"/>
      <c r="F188" s="35"/>
      <c r="G188" s="35"/>
      <c r="H188" s="35"/>
      <c r="I188" s="35"/>
      <c r="J188" s="35"/>
    </row>
    <row r="189" spans="1:10" ht="12">
      <c r="A189" s="125"/>
      <c r="B189" s="125"/>
      <c r="C189" s="35"/>
      <c r="D189" s="35"/>
      <c r="E189" s="35"/>
      <c r="F189" s="35"/>
      <c r="G189" s="35"/>
      <c r="H189" s="35"/>
      <c r="I189" s="35"/>
      <c r="J189" s="35"/>
    </row>
    <row r="190" spans="1:10" ht="12">
      <c r="A190" s="125"/>
      <c r="B190" s="125"/>
      <c r="C190" s="35"/>
      <c r="D190" s="35"/>
      <c r="E190" s="35"/>
      <c r="F190" s="35"/>
      <c r="G190" s="35"/>
      <c r="H190" s="35"/>
      <c r="I190" s="35"/>
      <c r="J190" s="35"/>
    </row>
    <row r="191" spans="1:10" ht="12">
      <c r="A191" s="125"/>
      <c r="B191" s="125"/>
      <c r="C191" s="35"/>
      <c r="D191" s="35"/>
      <c r="E191" s="35"/>
      <c r="F191" s="35"/>
      <c r="G191" s="35"/>
      <c r="H191" s="35"/>
      <c r="I191" s="35"/>
      <c r="J191" s="35"/>
    </row>
    <row r="192" spans="1:10" ht="12">
      <c r="A192" s="125"/>
      <c r="B192" s="125"/>
      <c r="C192" s="35"/>
      <c r="D192" s="35"/>
      <c r="E192" s="35"/>
      <c r="F192" s="35"/>
      <c r="G192" s="35"/>
      <c r="H192" s="35"/>
      <c r="I192" s="35"/>
      <c r="J192" s="35"/>
    </row>
    <row r="193" spans="1:10" ht="12">
      <c r="A193" s="125"/>
      <c r="B193" s="125"/>
      <c r="C193" s="35"/>
      <c r="D193" s="35"/>
      <c r="E193" s="35"/>
      <c r="F193" s="35"/>
      <c r="G193" s="35"/>
      <c r="H193" s="35"/>
      <c r="I193" s="35"/>
      <c r="J193" s="35"/>
    </row>
    <row r="197" ht="12">
      <c r="E197" s="163"/>
    </row>
  </sheetData>
  <sheetProtection/>
  <mergeCells count="9">
    <mergeCell ref="A93:J93"/>
    <mergeCell ref="A94:J94"/>
    <mergeCell ref="A95:J95"/>
    <mergeCell ref="A3:J3"/>
    <mergeCell ref="A4:J4"/>
    <mergeCell ref="A5:J5"/>
    <mergeCell ref="A50:J50"/>
    <mergeCell ref="A49:J49"/>
    <mergeCell ref="A48:J48"/>
  </mergeCells>
  <printOptions horizontalCentered="1"/>
  <pageMargins left="0.5" right="0.5" top="0.5" bottom="0.5" header="0.5" footer="0.5"/>
  <pageSetup fitToHeight="2" horizontalDpi="600" verticalDpi="600" orientation="portrait" scale="75" r:id="rId1"/>
  <rowBreaks count="2" manualBreakCount="2">
    <brk id="45" max="9" man="1"/>
    <brk id="90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1"/>
  <sheetViews>
    <sheetView zoomScale="90" zoomScaleNormal="90" zoomScalePageLayoutView="0" workbookViewId="0" topLeftCell="A1">
      <selection activeCell="B18" sqref="B18:B42"/>
    </sheetView>
  </sheetViews>
  <sheetFormatPr defaultColWidth="9.140625" defaultRowHeight="12.75"/>
  <cols>
    <col min="1" max="1" width="3.8515625" style="143" customWidth="1"/>
    <col min="2" max="2" width="13.8515625" style="24" customWidth="1"/>
    <col min="3" max="3" width="14.140625" style="24" customWidth="1"/>
    <col min="4" max="4" width="13.00390625" style="24" bestFit="1" customWidth="1"/>
    <col min="5" max="5" width="12.00390625" style="24" bestFit="1" customWidth="1"/>
    <col min="6" max="6" width="11.00390625" style="24" customWidth="1"/>
    <col min="7" max="7" width="11.8515625" style="24" customWidth="1"/>
    <col min="8" max="8" width="12.140625" style="24" customWidth="1"/>
    <col min="9" max="9" width="11.140625" style="24" hidden="1" customWidth="1"/>
    <col min="10" max="10" width="11.00390625" style="24" hidden="1" customWidth="1"/>
    <col min="11" max="11" width="11.421875" style="24" hidden="1" customWidth="1"/>
    <col min="12" max="30" width="12.8515625" style="24" hidden="1" customWidth="1"/>
    <col min="31" max="31" width="9.57421875" style="24" hidden="1" customWidth="1"/>
    <col min="32" max="32" width="11.421875" style="24" bestFit="1" customWidth="1"/>
    <col min="33" max="33" width="10.00390625" style="24" bestFit="1" customWidth="1"/>
    <col min="34" max="34" width="12.421875" style="24" customWidth="1"/>
    <col min="35" max="35" width="11.00390625" style="24" bestFit="1" customWidth="1"/>
    <col min="36" max="36" width="11.57421875" style="24" bestFit="1" customWidth="1"/>
    <col min="37" max="37" width="16.57421875" style="24" bestFit="1" customWidth="1"/>
    <col min="38" max="38" width="16.57421875" style="24" customWidth="1"/>
    <col min="39" max="39" width="13.421875" style="24" bestFit="1" customWidth="1"/>
    <col min="40" max="40" width="11.8515625" style="24" bestFit="1" customWidth="1"/>
    <col min="41" max="41" width="9.140625" style="24" customWidth="1"/>
    <col min="42" max="42" width="11.00390625" style="24" bestFit="1" customWidth="1"/>
    <col min="43" max="16384" width="9.140625" style="24" customWidth="1"/>
  </cols>
  <sheetData>
    <row r="1" spans="2:39" ht="11.25">
      <c r="B1" s="141"/>
      <c r="S1" s="63"/>
      <c r="AM1" s="63" t="s">
        <v>259</v>
      </c>
    </row>
    <row r="2" spans="8:39" ht="11.25">
      <c r="H2" s="63"/>
      <c r="R2" s="56"/>
      <c r="S2" s="56"/>
      <c r="AM2" s="63" t="s">
        <v>329</v>
      </c>
    </row>
    <row r="3" spans="1:39" ht="11.25">
      <c r="A3" s="237" t="s">
        <v>12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</row>
    <row r="4" spans="1:39" ht="11.25">
      <c r="A4" s="237" t="s">
        <v>256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</row>
    <row r="5" spans="1:39" ht="11.25">
      <c r="A5" s="237" t="s">
        <v>136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</row>
    <row r="6" ht="11.25">
      <c r="B6" s="59"/>
    </row>
    <row r="7" spans="2:38" ht="12.75" customHeight="1">
      <c r="B7" s="31"/>
      <c r="AJ7" s="144"/>
      <c r="AK7" s="144"/>
      <c r="AL7" s="144"/>
    </row>
    <row r="8" spans="8:40" ht="11.25">
      <c r="H8" s="114"/>
      <c r="I8" s="114">
        <f aca="true" t="shared" si="0" ref="I8:AE8">+H8+1</f>
        <v>1</v>
      </c>
      <c r="J8" s="114">
        <f t="shared" si="0"/>
        <v>2</v>
      </c>
      <c r="K8" s="114">
        <f t="shared" si="0"/>
        <v>3</v>
      </c>
      <c r="L8" s="114">
        <f t="shared" si="0"/>
        <v>4</v>
      </c>
      <c r="M8" s="114">
        <f t="shared" si="0"/>
        <v>5</v>
      </c>
      <c r="N8" s="114">
        <f t="shared" si="0"/>
        <v>6</v>
      </c>
      <c r="O8" s="114">
        <f t="shared" si="0"/>
        <v>7</v>
      </c>
      <c r="P8" s="114">
        <f t="shared" si="0"/>
        <v>8</v>
      </c>
      <c r="Q8" s="114">
        <f t="shared" si="0"/>
        <v>9</v>
      </c>
      <c r="R8" s="114">
        <f>+Q8+1</f>
        <v>10</v>
      </c>
      <c r="S8" s="114">
        <f t="shared" si="0"/>
        <v>11</v>
      </c>
      <c r="T8" s="114">
        <f t="shared" si="0"/>
        <v>12</v>
      </c>
      <c r="U8" s="114">
        <f t="shared" si="0"/>
        <v>13</v>
      </c>
      <c r="V8" s="114">
        <f t="shared" si="0"/>
        <v>14</v>
      </c>
      <c r="W8" s="114">
        <f t="shared" si="0"/>
        <v>15</v>
      </c>
      <c r="X8" s="114">
        <f t="shared" si="0"/>
        <v>16</v>
      </c>
      <c r="Y8" s="114">
        <f t="shared" si="0"/>
        <v>17</v>
      </c>
      <c r="Z8" s="114">
        <f t="shared" si="0"/>
        <v>18</v>
      </c>
      <c r="AA8" s="114">
        <f t="shared" si="0"/>
        <v>19</v>
      </c>
      <c r="AB8" s="114">
        <f t="shared" si="0"/>
        <v>20</v>
      </c>
      <c r="AC8" s="114">
        <f t="shared" si="0"/>
        <v>21</v>
      </c>
      <c r="AD8" s="114">
        <f t="shared" si="0"/>
        <v>22</v>
      </c>
      <c r="AE8" s="114">
        <f t="shared" si="0"/>
        <v>23</v>
      </c>
      <c r="AF8" s="114" t="s">
        <v>14</v>
      </c>
      <c r="AG8" s="114"/>
      <c r="AI8" s="114"/>
      <c r="AJ8" s="114" t="s">
        <v>49</v>
      </c>
      <c r="AK8" s="114" t="s">
        <v>16</v>
      </c>
      <c r="AL8" s="114" t="s">
        <v>185</v>
      </c>
      <c r="AM8" s="114" t="s">
        <v>16</v>
      </c>
      <c r="AN8" s="56"/>
    </row>
    <row r="9" spans="1:40" ht="11.25">
      <c r="A9" s="114" t="s">
        <v>1</v>
      </c>
      <c r="B9" s="31" t="s">
        <v>133</v>
      </c>
      <c r="D9" s="114" t="s">
        <v>233</v>
      </c>
      <c r="E9" s="114" t="s">
        <v>234</v>
      </c>
      <c r="F9" s="117" t="s">
        <v>235</v>
      </c>
      <c r="G9" s="114">
        <f>+F9+1</f>
        <v>2019</v>
      </c>
      <c r="H9" s="114">
        <f>+G9+1</f>
        <v>2020</v>
      </c>
      <c r="I9" s="114" t="s">
        <v>17</v>
      </c>
      <c r="J9" s="114" t="s">
        <v>18</v>
      </c>
      <c r="K9" s="114" t="s">
        <v>19</v>
      </c>
      <c r="L9" s="114" t="s">
        <v>28</v>
      </c>
      <c r="M9" s="114" t="s">
        <v>29</v>
      </c>
      <c r="N9" s="114" t="s">
        <v>30</v>
      </c>
      <c r="O9" s="114" t="s">
        <v>31</v>
      </c>
      <c r="P9" s="114" t="s">
        <v>32</v>
      </c>
      <c r="Q9" s="114" t="s">
        <v>33</v>
      </c>
      <c r="R9" s="114" t="s">
        <v>34</v>
      </c>
      <c r="S9" s="114" t="s">
        <v>35</v>
      </c>
      <c r="T9" s="114" t="s">
        <v>36</v>
      </c>
      <c r="U9" s="114" t="s">
        <v>37</v>
      </c>
      <c r="V9" s="114" t="s">
        <v>39</v>
      </c>
      <c r="W9" s="114" t="s">
        <v>40</v>
      </c>
      <c r="X9" s="114" t="s">
        <v>41</v>
      </c>
      <c r="Y9" s="114" t="s">
        <v>42</v>
      </c>
      <c r="Z9" s="114" t="s">
        <v>43</v>
      </c>
      <c r="AA9" s="114" t="s">
        <v>44</v>
      </c>
      <c r="AB9" s="114" t="s">
        <v>45</v>
      </c>
      <c r="AC9" s="114" t="s">
        <v>46</v>
      </c>
      <c r="AD9" s="114" t="s">
        <v>47</v>
      </c>
      <c r="AE9" s="114" t="s">
        <v>48</v>
      </c>
      <c r="AF9" s="114" t="s">
        <v>20</v>
      </c>
      <c r="AG9" s="114" t="s">
        <v>127</v>
      </c>
      <c r="AH9" s="114" t="s">
        <v>15</v>
      </c>
      <c r="AI9" s="114"/>
      <c r="AJ9" s="114" t="s">
        <v>236</v>
      </c>
      <c r="AK9" s="114" t="s">
        <v>189</v>
      </c>
      <c r="AL9" s="114" t="s">
        <v>187</v>
      </c>
      <c r="AM9" s="114" t="s">
        <v>22</v>
      </c>
      <c r="AN9" s="56"/>
    </row>
    <row r="10" spans="1:40" ht="14.25">
      <c r="A10" s="59" t="s">
        <v>2</v>
      </c>
      <c r="B10" s="146" t="s">
        <v>132</v>
      </c>
      <c r="C10" s="59" t="s">
        <v>0</v>
      </c>
      <c r="D10" s="59" t="s">
        <v>24</v>
      </c>
      <c r="E10" s="59" t="s">
        <v>24</v>
      </c>
      <c r="F10" s="59" t="s">
        <v>24</v>
      </c>
      <c r="G10" s="59" t="s">
        <v>24</v>
      </c>
      <c r="H10" s="59" t="s">
        <v>24</v>
      </c>
      <c r="I10" s="59" t="s">
        <v>24</v>
      </c>
      <c r="J10" s="59" t="s">
        <v>24</v>
      </c>
      <c r="K10" s="59" t="s">
        <v>24</v>
      </c>
      <c r="L10" s="59" t="s">
        <v>24</v>
      </c>
      <c r="M10" s="59" t="s">
        <v>24</v>
      </c>
      <c r="N10" s="59" t="s">
        <v>24</v>
      </c>
      <c r="O10" s="59" t="s">
        <v>24</v>
      </c>
      <c r="P10" s="59" t="s">
        <v>24</v>
      </c>
      <c r="Q10" s="59" t="s">
        <v>24</v>
      </c>
      <c r="R10" s="59" t="s">
        <v>24</v>
      </c>
      <c r="S10" s="59" t="s">
        <v>24</v>
      </c>
      <c r="T10" s="59" t="s">
        <v>24</v>
      </c>
      <c r="U10" s="59" t="s">
        <v>24</v>
      </c>
      <c r="V10" s="59" t="s">
        <v>24</v>
      </c>
      <c r="W10" s="59" t="s">
        <v>24</v>
      </c>
      <c r="X10" s="59" t="s">
        <v>24</v>
      </c>
      <c r="Y10" s="59" t="s">
        <v>24</v>
      </c>
      <c r="Z10" s="59" t="s">
        <v>24</v>
      </c>
      <c r="AA10" s="59" t="s">
        <v>24</v>
      </c>
      <c r="AB10" s="59" t="s">
        <v>24</v>
      </c>
      <c r="AC10" s="59" t="s">
        <v>24</v>
      </c>
      <c r="AD10" s="59" t="s">
        <v>24</v>
      </c>
      <c r="AE10" s="59" t="s">
        <v>24</v>
      </c>
      <c r="AF10" s="59" t="s">
        <v>25</v>
      </c>
      <c r="AG10" s="59" t="s">
        <v>128</v>
      </c>
      <c r="AH10" s="59" t="s">
        <v>25</v>
      </c>
      <c r="AI10" s="59" t="s">
        <v>26</v>
      </c>
      <c r="AJ10" s="228">
        <f>0.2495</f>
        <v>0.2495</v>
      </c>
      <c r="AK10" s="59" t="s">
        <v>190</v>
      </c>
      <c r="AL10" s="59" t="s">
        <v>188</v>
      </c>
      <c r="AM10" s="59" t="s">
        <v>27</v>
      </c>
      <c r="AN10" s="56"/>
    </row>
    <row r="11" spans="1:40" ht="11.25">
      <c r="A11" s="59"/>
      <c r="B11" s="21">
        <v>-1</v>
      </c>
      <c r="C11" s="21">
        <f>+B11-1</f>
        <v>-2</v>
      </c>
      <c r="D11" s="21">
        <f>C11-1</f>
        <v>-3</v>
      </c>
      <c r="E11" s="21">
        <f>D11-1</f>
        <v>-4</v>
      </c>
      <c r="F11" s="21">
        <f>+E11-1</f>
        <v>-5</v>
      </c>
      <c r="G11" s="21">
        <f aca="true" t="shared" si="1" ref="G11:AH11">+F11-1</f>
        <v>-6</v>
      </c>
      <c r="H11" s="21">
        <f t="shared" si="1"/>
        <v>-7</v>
      </c>
      <c r="I11" s="21">
        <f t="shared" si="1"/>
        <v>-8</v>
      </c>
      <c r="J11" s="21">
        <f t="shared" si="1"/>
        <v>-9</v>
      </c>
      <c r="K11" s="21">
        <f t="shared" si="1"/>
        <v>-10</v>
      </c>
      <c r="L11" s="21">
        <f t="shared" si="1"/>
        <v>-11</v>
      </c>
      <c r="M11" s="21">
        <f t="shared" si="1"/>
        <v>-12</v>
      </c>
      <c r="N11" s="21">
        <f t="shared" si="1"/>
        <v>-13</v>
      </c>
      <c r="O11" s="21">
        <f t="shared" si="1"/>
        <v>-14</v>
      </c>
      <c r="P11" s="21">
        <f t="shared" si="1"/>
        <v>-15</v>
      </c>
      <c r="Q11" s="21">
        <f t="shared" si="1"/>
        <v>-16</v>
      </c>
      <c r="R11" s="21">
        <f>+Q11-1</f>
        <v>-17</v>
      </c>
      <c r="S11" s="21">
        <f t="shared" si="1"/>
        <v>-18</v>
      </c>
      <c r="T11" s="21">
        <f t="shared" si="1"/>
        <v>-19</v>
      </c>
      <c r="U11" s="21">
        <f t="shared" si="1"/>
        <v>-20</v>
      </c>
      <c r="V11" s="21">
        <f t="shared" si="1"/>
        <v>-21</v>
      </c>
      <c r="W11" s="21">
        <f t="shared" si="1"/>
        <v>-22</v>
      </c>
      <c r="X11" s="21">
        <f t="shared" si="1"/>
        <v>-23</v>
      </c>
      <c r="Y11" s="21">
        <f t="shared" si="1"/>
        <v>-24</v>
      </c>
      <c r="Z11" s="21">
        <f t="shared" si="1"/>
        <v>-25</v>
      </c>
      <c r="AA11" s="21">
        <f t="shared" si="1"/>
        <v>-26</v>
      </c>
      <c r="AB11" s="21">
        <f t="shared" si="1"/>
        <v>-27</v>
      </c>
      <c r="AC11" s="21">
        <f t="shared" si="1"/>
        <v>-28</v>
      </c>
      <c r="AD11" s="21">
        <f t="shared" si="1"/>
        <v>-29</v>
      </c>
      <c r="AE11" s="21">
        <f t="shared" si="1"/>
        <v>-30</v>
      </c>
      <c r="AF11" s="21">
        <f>G11-1</f>
        <v>-7</v>
      </c>
      <c r="AG11" s="21">
        <f t="shared" si="1"/>
        <v>-8</v>
      </c>
      <c r="AH11" s="21">
        <f t="shared" si="1"/>
        <v>-9</v>
      </c>
      <c r="AI11" s="21">
        <f>+AH11-1</f>
        <v>-10</v>
      </c>
      <c r="AJ11" s="21">
        <f>+AI11-1</f>
        <v>-11</v>
      </c>
      <c r="AK11" s="21">
        <f>+AJ11-1</f>
        <v>-12</v>
      </c>
      <c r="AL11" s="21">
        <f>+AK11-1</f>
        <v>-13</v>
      </c>
      <c r="AM11" s="21">
        <f>+AL11-1</f>
        <v>-14</v>
      </c>
      <c r="AN11" s="56"/>
    </row>
    <row r="12" spans="1:40" ht="11.25">
      <c r="A12" s="59"/>
      <c r="B12" s="147"/>
      <c r="C12" s="114"/>
      <c r="D12" s="117" t="s">
        <v>13</v>
      </c>
      <c r="E12" s="117" t="s">
        <v>13</v>
      </c>
      <c r="F12" s="117" t="s">
        <v>13</v>
      </c>
      <c r="G12" s="117" t="s">
        <v>13</v>
      </c>
      <c r="H12" s="117" t="s">
        <v>13</v>
      </c>
      <c r="I12" s="117" t="s">
        <v>13</v>
      </c>
      <c r="J12" s="117" t="s">
        <v>13</v>
      </c>
      <c r="K12" s="117" t="s">
        <v>13</v>
      </c>
      <c r="L12" s="117" t="s">
        <v>13</v>
      </c>
      <c r="M12" s="117" t="s">
        <v>13</v>
      </c>
      <c r="N12" s="117" t="s">
        <v>13</v>
      </c>
      <c r="O12" s="117" t="s">
        <v>13</v>
      </c>
      <c r="P12" s="117" t="s">
        <v>13</v>
      </c>
      <c r="Q12" s="117" t="s">
        <v>13</v>
      </c>
      <c r="R12" s="117" t="s">
        <v>13</v>
      </c>
      <c r="S12" s="117" t="s">
        <v>13</v>
      </c>
      <c r="T12" s="117" t="s">
        <v>13</v>
      </c>
      <c r="U12" s="117" t="s">
        <v>13</v>
      </c>
      <c r="V12" s="117" t="s">
        <v>13</v>
      </c>
      <c r="W12" s="117" t="s">
        <v>13</v>
      </c>
      <c r="X12" s="117" t="s">
        <v>13</v>
      </c>
      <c r="Y12" s="117" t="s">
        <v>13</v>
      </c>
      <c r="Z12" s="117" t="s">
        <v>13</v>
      </c>
      <c r="AA12" s="117" t="s">
        <v>13</v>
      </c>
      <c r="AB12" s="117" t="s">
        <v>13</v>
      </c>
      <c r="AC12" s="117" t="s">
        <v>13</v>
      </c>
      <c r="AD12" s="117" t="s">
        <v>13</v>
      </c>
      <c r="AE12" s="117" t="s">
        <v>13</v>
      </c>
      <c r="AF12" s="117" t="s">
        <v>13</v>
      </c>
      <c r="AG12" s="114" t="s">
        <v>13</v>
      </c>
      <c r="AH12" s="117" t="s">
        <v>13</v>
      </c>
      <c r="AI12" s="117" t="s">
        <v>13</v>
      </c>
      <c r="AJ12" s="117" t="s">
        <v>13</v>
      </c>
      <c r="AK12" s="117" t="s">
        <v>13</v>
      </c>
      <c r="AL12" s="117" t="s">
        <v>13</v>
      </c>
      <c r="AM12" s="117" t="s">
        <v>13</v>
      </c>
      <c r="AN12" s="56"/>
    </row>
    <row r="13" spans="1:40" ht="11.25">
      <c r="A13" s="59"/>
      <c r="B13" s="148"/>
      <c r="C13" s="14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N13" s="56"/>
    </row>
    <row r="14" spans="1:40" ht="12.75">
      <c r="A14" s="143">
        <v>1</v>
      </c>
      <c r="B14" s="150" t="s">
        <v>296</v>
      </c>
      <c r="C14" s="149"/>
      <c r="D14" s="25">
        <f>'Tax Depr Form 2.1 p.2'!D14+'Tax Depr Form 2.1 p.3'!D14</f>
        <v>2770289.923076923</v>
      </c>
      <c r="E14" s="25">
        <f>'Tax Depr Form 2.1 p.2'!E14+'Tax Depr Form 2.1 p.3'!E14</f>
        <v>12250429.153846154</v>
      </c>
      <c r="F14" s="25">
        <f>'Tax Depr Form 2.1 p.2'!F14+'Tax Depr Form 2.1 p.3'!F14</f>
        <v>22455838.21</v>
      </c>
      <c r="G14" s="25">
        <f>'Tax Depr Form 2.1 p.2'!G14+'Tax Depr Form 2.1 p.3'!G14</f>
        <v>35205689.27</v>
      </c>
      <c r="H14" s="25">
        <f>'Tax Depr Form 2.1 p.2'!H14+'Tax Depr Form 2.1 p.3'!H14</f>
        <v>43345791.419999994</v>
      </c>
      <c r="I14" s="25" t="e">
        <f>'Tax Depr Form 2.1 p.2'!I14+'Tax Depr Form 2.1 p.3'!I14</f>
        <v>#REF!</v>
      </c>
      <c r="J14" s="25" t="e">
        <f>'Tax Depr Form 2.1 p.2'!J14+'Tax Depr Form 2.1 p.3'!J14</f>
        <v>#REF!</v>
      </c>
      <c r="K14" s="25" t="e">
        <f>'Tax Depr Form 2.1 p.2'!K14+'Tax Depr Form 2.1 p.3'!K14</f>
        <v>#REF!</v>
      </c>
      <c r="L14" s="25" t="e">
        <f>'Tax Depr Form 2.1 p.2'!L14+'Tax Depr Form 2.1 p.3'!L14</f>
        <v>#REF!</v>
      </c>
      <c r="M14" s="25" t="e">
        <f>'Tax Depr Form 2.1 p.2'!M14+'Tax Depr Form 2.1 p.3'!M14</f>
        <v>#REF!</v>
      </c>
      <c r="N14" s="25" t="e">
        <f>'Tax Depr Form 2.1 p.2'!N14+'Tax Depr Form 2.1 p.3'!N14</f>
        <v>#REF!</v>
      </c>
      <c r="O14" s="25" t="e">
        <f>'Tax Depr Form 2.1 p.2'!O14+'Tax Depr Form 2.1 p.3'!O14</f>
        <v>#REF!</v>
      </c>
      <c r="P14" s="25" t="e">
        <f>'Tax Depr Form 2.1 p.2'!P14+'Tax Depr Form 2.1 p.3'!P14</f>
        <v>#REF!</v>
      </c>
      <c r="Q14" s="25" t="e">
        <f>'Tax Depr Form 2.1 p.2'!Q14+'Tax Depr Form 2.1 p.3'!Q14</f>
        <v>#REF!</v>
      </c>
      <c r="R14" s="25" t="e">
        <f>'Tax Depr Form 2.1 p.2'!R14+'Tax Depr Form 2.1 p.3'!R14</f>
        <v>#REF!</v>
      </c>
      <c r="S14" s="25" t="e">
        <f>'Tax Depr Form 2.1 p.2'!S14+'Tax Depr Form 2.1 p.3'!S14</f>
        <v>#REF!</v>
      </c>
      <c r="T14" s="25" t="e">
        <f>'Tax Depr Form 2.1 p.2'!T14+'Tax Depr Form 2.1 p.3'!T14</f>
        <v>#REF!</v>
      </c>
      <c r="U14" s="25" t="e">
        <f>'Tax Depr Form 2.1 p.2'!U14+'Tax Depr Form 2.1 p.3'!U14</f>
        <v>#REF!</v>
      </c>
      <c r="V14" s="25" t="e">
        <f>'Tax Depr Form 2.1 p.2'!V14+'Tax Depr Form 2.1 p.3'!V14</f>
        <v>#REF!</v>
      </c>
      <c r="W14" s="25" t="e">
        <f>'Tax Depr Form 2.1 p.2'!W14+'Tax Depr Form 2.1 p.3'!W14</f>
        <v>#REF!</v>
      </c>
      <c r="X14" s="25" t="e">
        <f>'Tax Depr Form 2.1 p.2'!X14+'Tax Depr Form 2.1 p.3'!X14</f>
        <v>#REF!</v>
      </c>
      <c r="Y14" s="25" t="e">
        <f>'Tax Depr Form 2.1 p.2'!Y14+'Tax Depr Form 2.1 p.3'!Y14</f>
        <v>#REF!</v>
      </c>
      <c r="Z14" s="25" t="e">
        <f>'Tax Depr Form 2.1 p.2'!Z14+'Tax Depr Form 2.1 p.3'!Z14</f>
        <v>#REF!</v>
      </c>
      <c r="AA14" s="25" t="e">
        <f>'Tax Depr Form 2.1 p.2'!AA14+'Tax Depr Form 2.1 p.3'!AA14</f>
        <v>#REF!</v>
      </c>
      <c r="AB14" s="25" t="e">
        <f>'Tax Depr Form 2.1 p.2'!AB14+'Tax Depr Form 2.1 p.3'!AB14</f>
        <v>#REF!</v>
      </c>
      <c r="AC14" s="25" t="e">
        <f>'Tax Depr Form 2.1 p.2'!AC14+'Tax Depr Form 2.1 p.3'!AC14</f>
        <v>#REF!</v>
      </c>
      <c r="AD14" s="25" t="e">
        <f>'Tax Depr Form 2.1 p.2'!AD14+'Tax Depr Form 2.1 p.3'!AD14</f>
        <v>#REF!</v>
      </c>
      <c r="AE14" s="25" t="e">
        <f>'Tax Depr Form 2.1 p.2'!AE14+'Tax Depr Form 2.1 p.3'!AE14</f>
        <v>#REF!</v>
      </c>
      <c r="AH14" s="116"/>
      <c r="AN14" s="56"/>
    </row>
    <row r="15" spans="1:40" ht="13.5" customHeight="1" thickBot="1">
      <c r="A15" s="59"/>
      <c r="B15" s="148"/>
      <c r="C15" s="149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N15" s="56"/>
    </row>
    <row r="16" spans="1:40" ht="13.5" customHeight="1">
      <c r="A16" s="143">
        <f>A14+1</f>
        <v>2</v>
      </c>
      <c r="B16" s="150"/>
      <c r="C16" s="149"/>
      <c r="D16" s="32"/>
      <c r="E16" s="32"/>
      <c r="F16" s="32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N16" s="56"/>
    </row>
    <row r="17" spans="2:45" ht="13.5" customHeight="1">
      <c r="B17" s="150"/>
      <c r="C17" s="149"/>
      <c r="D17" s="32"/>
      <c r="E17" s="3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N17" s="56"/>
      <c r="AP17" s="151"/>
      <c r="AQ17" s="151"/>
      <c r="AR17" s="151"/>
      <c r="AS17" s="151"/>
    </row>
    <row r="18" spans="1:47" ht="11.25">
      <c r="A18" s="143">
        <f>A16+1</f>
        <v>3</v>
      </c>
      <c r="B18" s="229">
        <v>0.03750000000000009</v>
      </c>
      <c r="C18" s="143">
        <v>1</v>
      </c>
      <c r="D18" s="23">
        <f>'Tax Depr Form 2.1 p.2'!D18+'Tax Depr Form 2.1 p.3'!D18</f>
        <v>1659688</v>
      </c>
      <c r="E18" s="23">
        <f>'Tax Depr Form 2.1 p.2'!E18+'Tax Depr Form 2.1 p.3'!E18</f>
        <v>7462981</v>
      </c>
      <c r="AF18" s="23">
        <f>'Tax Depr Form 2.1 p.2'!AF18+'Tax Depr Form 2.1 p.3'!AF18</f>
        <v>9122669</v>
      </c>
      <c r="AG18" s="23">
        <f>'Tax Depr Form 2.1 p.2'!AG18+'Tax Depr Form 2.1 p.3'!AG18</f>
        <v>1181242.1538461538</v>
      </c>
      <c r="AH18" s="23">
        <f>'Tax Depr Form 2.1 p.2'!AH18+'Tax Depr Form 2.1 p.3'!AH18</f>
        <v>58900.17559102563</v>
      </c>
      <c r="AI18" s="23">
        <f>'Tax Depr Form 2.1 p.2'!AI18+'Tax Depr Form 2.1 p.3'!AI18</f>
        <v>10245010.978255128</v>
      </c>
      <c r="AJ18" s="23">
        <f>'Tax Depr Form 2.1 p.2'!AJ18+'Tax Depr Form 2.1 p.3'!AJ18-'Tax Depr Form 2.1 p.4 - 7'!G11</f>
        <v>3651493.7106500003</v>
      </c>
      <c r="AK18" s="23">
        <f>'Tax Depr Form 2.1 p.2'!AK18+'Tax Depr Form 2.1 p.3'!AK18</f>
        <v>-1063610.1925491854</v>
      </c>
      <c r="AL18" s="23">
        <f>'Tax Depr Form 2.1 p.2'!AL18+'Tax Depr Form 2.1 p.3'!AL18</f>
        <v>0</v>
      </c>
      <c r="AM18" s="23">
        <f>+AJ18+AK18+AL18</f>
        <v>2587883.518100815</v>
      </c>
      <c r="AN18" s="56"/>
      <c r="AP18" s="151"/>
      <c r="AQ18" s="151"/>
      <c r="AR18" s="151"/>
      <c r="AS18" s="151"/>
      <c r="AT18" s="22"/>
      <c r="AU18" s="152"/>
    </row>
    <row r="19" spans="1:47" ht="11.25">
      <c r="A19" s="143">
        <f>A18+1</f>
        <v>4</v>
      </c>
      <c r="B19" s="229">
        <v>0.07219</v>
      </c>
      <c r="C19" s="143">
        <f>+C18+1</f>
        <v>2</v>
      </c>
      <c r="D19" s="23">
        <f>'Tax Depr Form 2.1 p.2'!D19+'Tax Depr Form 2.1 p.3'!D19</f>
        <v>83298</v>
      </c>
      <c r="E19" s="23">
        <f>'Tax Depr Form 2.1 p.2'!E19+'Tax Depr Form 2.1 p.3'!E19</f>
        <v>359071</v>
      </c>
      <c r="F19" s="23">
        <f>'Tax Depr Form 2.1 p.2'!F19+'Tax Depr Form 2.1 p.3'!F19</f>
        <v>6999162</v>
      </c>
      <c r="AF19" s="23">
        <f>'Tax Depr Form 2.1 p.2'!AF19+'Tax Depr Form 2.1 p.3'!AF19</f>
        <v>7441531</v>
      </c>
      <c r="AG19" s="23">
        <f>'Tax Depr Form 2.1 p.2'!AG19+'Tax Depr Form 2.1 p.3'!AG19</f>
        <v>1291769.1</v>
      </c>
      <c r="AH19" s="23">
        <f>'Tax Depr Form 2.1 p.2'!AH19+'Tax Depr Form 2.1 p.3'!AH19</f>
        <v>529127</v>
      </c>
      <c r="AI19" s="23">
        <f>'Tax Depr Form 2.1 p.2'!AI19+'Tax Depr Form 2.1 p.3'!AI19</f>
        <v>8204173.1</v>
      </c>
      <c r="AJ19" s="23">
        <f>'Tax Depr Form 2.1 p.2'!AJ19+'Tax Depr Form 2.1 p.3'!AJ19-'Tax Depr Form 2.1 p.4 - 7'!G12-'Tax Depr Form 2.1 p.4 - 7'!G45</f>
        <v>2072300.0800514414</v>
      </c>
      <c r="AK19" s="23">
        <f>'Tax Depr Form 2.1 p.2'!AK19+'Tax Depr Form 2.1 p.3'!AK19</f>
        <v>22719.758256395184</v>
      </c>
      <c r="AL19" s="23">
        <f>'Tax Depr Form 2.1 p.2'!AL19+'Tax Depr Form 2.1 p.3'!AL19</f>
        <v>0</v>
      </c>
      <c r="AM19" s="23">
        <f>AM18+AJ19+AK19+AL19</f>
        <v>4682903.356408652</v>
      </c>
      <c r="AN19" s="56"/>
      <c r="AP19" s="151"/>
      <c r="AQ19" s="151"/>
      <c r="AR19" s="151"/>
      <c r="AS19" s="151"/>
      <c r="AT19" s="22"/>
      <c r="AU19" s="152"/>
    </row>
    <row r="20" spans="1:47" ht="11.25">
      <c r="A20" s="143">
        <f aca="true" t="shared" si="2" ref="A20:A42">A19+1</f>
        <v>5</v>
      </c>
      <c r="B20" s="229">
        <v>0.06677</v>
      </c>
      <c r="C20" s="143">
        <f aca="true" t="shared" si="3" ref="C20:C39">+C19+1</f>
        <v>3</v>
      </c>
      <c r="D20" s="23">
        <f>'Tax Depr Form 2.1 p.2'!D20+'Tax Depr Form 2.1 p.3'!D20</f>
        <v>77044</v>
      </c>
      <c r="E20" s="23">
        <f>'Tax Depr Form 2.1 p.2'!E20+'Tax Depr Form 2.1 p.3'!E20</f>
        <v>332112</v>
      </c>
      <c r="F20" s="23">
        <f>'Tax Depr Form 2.1 p.2'!F20+'Tax Depr Form 2.1 p.3'!F20</f>
        <v>1159291</v>
      </c>
      <c r="G20" s="23">
        <f>'Tax Depr Form 2.1 p.2'!G20+'Tax Depr Form 2.1 p.3'!G20</f>
        <v>13325890</v>
      </c>
      <c r="H20" s="23">
        <f>'Tax Depr Form 2.1 p.2'!H20+'Tax Depr Form 2.1 p.3'!H20</f>
        <v>0</v>
      </c>
      <c r="AF20" s="23">
        <f>'Tax Depr Form 2.1 p.2'!AF20+'Tax Depr Form 2.1 p.3'!AF20</f>
        <v>14894337</v>
      </c>
      <c r="AG20" s="23">
        <f>'Tax Depr Form 2.1 p.2'!AG20+'Tax Depr Form 2.1 p.3'!AG20</f>
        <v>1276058.5719999997</v>
      </c>
      <c r="AH20" s="23">
        <f>'Tax Depr Form 2.1 p.2'!AH20+'Tax Depr Form 2.1 p.3'!AH20</f>
        <v>1095936</v>
      </c>
      <c r="AI20" s="23">
        <f>'Tax Depr Form 2.1 p.2'!AI20+'Tax Depr Form 2.1 p.3'!AI20</f>
        <v>15074459.571999999</v>
      </c>
      <c r="AJ20" s="23">
        <f>'Tax Depr Form 2.1 p.2'!AJ20+'Tax Depr Form 2.1 p.3'!AJ20-'Tax Depr Form 2.1 p.4 - 7'!G13-'Tax Depr Form 2.1 p.4 - 7'!G46</f>
        <v>3784531.207804263</v>
      </c>
      <c r="AK20" s="23">
        <f>'Tax Depr Form 2.1 p.2'!AK20+'Tax Depr Form 2.1 p.3'!AK20</f>
        <v>4326.288476552733</v>
      </c>
      <c r="AL20" s="23">
        <f>'Tax Depr Form 2.1 p.2'!AL20+'Tax Depr Form 2.1 p.3'!AL20</f>
        <v>0</v>
      </c>
      <c r="AM20" s="23">
        <f aca="true" t="shared" si="4" ref="AM20:AM40">AM19+AJ20+AK20+AL20</f>
        <v>8471760.852689467</v>
      </c>
      <c r="AN20" s="56"/>
      <c r="AP20" s="122"/>
      <c r="AQ20" s="151"/>
      <c r="AR20" s="151"/>
      <c r="AS20" s="151"/>
      <c r="AT20" s="22"/>
      <c r="AU20" s="152"/>
    </row>
    <row r="21" spans="1:47" ht="11.25">
      <c r="A21" s="143">
        <f t="shared" si="2"/>
        <v>6</v>
      </c>
      <c r="B21" s="229">
        <v>0.06177</v>
      </c>
      <c r="C21" s="143">
        <f t="shared" si="3"/>
        <v>4</v>
      </c>
      <c r="D21" s="23">
        <f>'Tax Depr Form 2.1 p.2'!D21+'Tax Depr Form 2.1 p.3'!D21</f>
        <v>71274</v>
      </c>
      <c r="E21" s="23">
        <f>'Tax Depr Form 2.1 p.2'!E21+'Tax Depr Form 2.1 p.3'!E21</f>
        <v>307242</v>
      </c>
      <c r="F21" s="23">
        <f>'Tax Depr Form 2.1 p.2'!F21+'Tax Depr Form 2.1 p.3'!F21</f>
        <v>1072251</v>
      </c>
      <c r="G21" s="23">
        <f>'Tax Depr Form 2.1 p.2'!G21+'Tax Depr Form 2.1 p.3'!G21</f>
        <v>1641042</v>
      </c>
      <c r="H21" s="23">
        <f>'Tax Depr Form 2.1 p.2'!H21+'Tax Depr Form 2.1 p.3'!H21</f>
        <v>12382441</v>
      </c>
      <c r="AF21" s="23">
        <f>'Tax Depr Form 2.1 p.2'!AF21+'Tax Depr Form 2.1 p.3'!AF21</f>
        <v>15474250</v>
      </c>
      <c r="AG21" s="23">
        <f>'Tax Depr Form 2.1 p.2'!AG21+'Tax Depr Form 2.1 p.3'!AG21</f>
        <v>2164370.6151999994</v>
      </c>
      <c r="AH21" s="23">
        <f>'Tax Depr Form 2.1 p.2'!AH21+'Tax Depr Form 2.1 p.3'!AH21</f>
        <v>1864544</v>
      </c>
      <c r="AI21" s="23">
        <f>'Tax Depr Form 2.1 p.2'!AI21+'Tax Depr Form 2.1 p.3'!AI21</f>
        <v>15774076.6152</v>
      </c>
      <c r="AJ21" s="23">
        <f>'Tax Depr Form 2.1 p.2'!AJ21+'Tax Depr Form 2.1 p.3'!AJ21-'Tax Depr Form 2.1 p.4 - 7'!G14-'Tax Depr Form 2.1 p.4 - 7'!G47</f>
        <v>3957329.895786571</v>
      </c>
      <c r="AK21" s="23">
        <f>'Tax Depr Form 2.1 p.2'!AK21+'Tax Depr Form 2.1 p.3'!AK21</f>
        <v>0</v>
      </c>
      <c r="AL21" s="23">
        <f>'Tax Depr Form 2.1 p.2'!AL21+'Tax Depr Form 2.1 p.3'!AL21</f>
        <v>0</v>
      </c>
      <c r="AM21" s="23">
        <f t="shared" si="4"/>
        <v>12429090.748476038</v>
      </c>
      <c r="AN21" s="56"/>
      <c r="AP21" s="122"/>
      <c r="AQ21" s="151"/>
      <c r="AR21" s="151"/>
      <c r="AS21" s="151"/>
      <c r="AT21" s="22"/>
      <c r="AU21" s="152"/>
    </row>
    <row r="22" spans="1:47" ht="11.25">
      <c r="A22" s="143">
        <f t="shared" si="2"/>
        <v>7</v>
      </c>
      <c r="B22" s="229">
        <v>0.05713</v>
      </c>
      <c r="C22" s="143">
        <f t="shared" si="3"/>
        <v>5</v>
      </c>
      <c r="D22" s="23">
        <f>'Tax Depr Form 2.1 p.2'!D22+'Tax Depr Form 2.1 p.3'!D22</f>
        <v>65921</v>
      </c>
      <c r="E22" s="23">
        <f>'Tax Depr Form 2.1 p.2'!E22+'Tax Depr Form 2.1 p.3'!E22</f>
        <v>284163</v>
      </c>
      <c r="F22" s="23">
        <f>'Tax Depr Form 2.1 p.2'!F22+'Tax Depr Form 2.1 p.3'!F22</f>
        <v>991957</v>
      </c>
      <c r="G22" s="23">
        <f>'Tax Depr Form 2.1 p.2'!G22+'Tax Depr Form 2.1 p.3'!G22</f>
        <v>1517833</v>
      </c>
      <c r="H22" s="23">
        <f>'Tax Depr Form 2.1 p.2'!H22+'Tax Depr Form 2.1 p.3'!H22</f>
        <v>2322332</v>
      </c>
      <c r="AF22" s="23">
        <f>'Tax Depr Form 2.1 p.2'!AF22+'Tax Depr Form 2.1 p.3'!AF22</f>
        <v>5182206</v>
      </c>
      <c r="AG22" s="23"/>
      <c r="AH22" s="23">
        <f>'Tax Depr Form 2.1 p.2'!AH22+'Tax Depr Form 2.1 p.3'!AH22</f>
        <v>1864544</v>
      </c>
      <c r="AI22" s="23">
        <f>'Tax Depr Form 2.1 p.2'!AI22+'Tax Depr Form 2.1 p.3'!AI22</f>
        <v>3317662</v>
      </c>
      <c r="AJ22" s="23">
        <f>'Tax Depr Form 2.1 p.2'!AJ22+'Tax Depr Form 2.1 p.3'!AJ22-'Tax Depr Form 2.1 p.4 - 7'!G15-'Tax Depr Form 2.1 p.4 - 7'!G48</f>
        <v>847823.9623941523</v>
      </c>
      <c r="AK22" s="23">
        <f>'Tax Depr Form 2.1 p.2'!AK22+'Tax Depr Form 2.1 p.3'!AK22</f>
        <v>0</v>
      </c>
      <c r="AL22" s="23">
        <f>'Tax Depr Form 2.1 p.2'!AL22+'Tax Depr Form 2.1 p.3'!AL22</f>
        <v>0</v>
      </c>
      <c r="AM22" s="23">
        <f t="shared" si="4"/>
        <v>13276914.71087019</v>
      </c>
      <c r="AN22" s="56"/>
      <c r="AT22" s="22"/>
      <c r="AU22" s="152"/>
    </row>
    <row r="23" spans="1:47" ht="11.25">
      <c r="A23" s="143">
        <f t="shared" si="2"/>
        <v>8</v>
      </c>
      <c r="B23" s="229">
        <v>0.05285</v>
      </c>
      <c r="C23" s="143">
        <f t="shared" si="3"/>
        <v>6</v>
      </c>
      <c r="D23" s="23">
        <f>'Tax Depr Form 2.1 p.2'!D23+'Tax Depr Form 2.1 p.3'!D23</f>
        <v>60982</v>
      </c>
      <c r="E23" s="23">
        <f>'Tax Depr Form 2.1 p.2'!E23+'Tax Depr Form 2.1 p.3'!E23</f>
        <v>262875</v>
      </c>
      <c r="F23" s="23">
        <f>'Tax Depr Form 2.1 p.2'!F23+'Tax Depr Form 2.1 p.3'!F23</f>
        <v>917444</v>
      </c>
      <c r="G23" s="23">
        <f>'Tax Depr Form 2.1 p.2'!G23+'Tax Depr Form 2.1 p.3'!G23</f>
        <v>1404171</v>
      </c>
      <c r="H23" s="23">
        <f>'Tax Depr Form 2.1 p.2'!H23+'Tax Depr Form 2.1 p.3'!H23</f>
        <v>2147971</v>
      </c>
      <c r="AF23" s="23">
        <f>'Tax Depr Form 2.1 p.2'!AF23+'Tax Depr Form 2.1 p.3'!AF23</f>
        <v>4793443</v>
      </c>
      <c r="AG23" s="23"/>
      <c r="AH23" s="23">
        <f>'Tax Depr Form 2.1 p.2'!AH23+'Tax Depr Form 2.1 p.3'!AH23</f>
        <v>1864544</v>
      </c>
      <c r="AI23" s="23">
        <f>'Tax Depr Form 2.1 p.2'!AI23+'Tax Depr Form 2.1 p.3'!AI23</f>
        <v>2928899</v>
      </c>
      <c r="AJ23" s="23">
        <f>'Tax Depr Form 2.1 p.2'!AJ23+'Tax Depr Form 2.1 p.3'!AJ23-'Tax Depr Form 2.1 p.4 - 7'!G16-'Tax Depr Form 2.1 p.4 - 7'!G49</f>
        <v>749325.5261270077</v>
      </c>
      <c r="AK23" s="23">
        <f>'Tax Depr Form 2.1 p.2'!AK23+'Tax Depr Form 2.1 p.3'!AK23</f>
        <v>0</v>
      </c>
      <c r="AL23" s="23">
        <f>'Tax Depr Form 2.1 p.2'!AL23+'Tax Depr Form 2.1 p.3'!AL23</f>
        <v>0</v>
      </c>
      <c r="AM23" s="23">
        <f t="shared" si="4"/>
        <v>14026240.236997196</v>
      </c>
      <c r="AN23" s="56"/>
      <c r="AT23" s="22"/>
      <c r="AU23" s="152"/>
    </row>
    <row r="24" spans="1:47" ht="11.25">
      <c r="A24" s="143">
        <f t="shared" si="2"/>
        <v>9</v>
      </c>
      <c r="B24" s="229">
        <v>0.04888</v>
      </c>
      <c r="C24" s="143">
        <f t="shared" si="3"/>
        <v>7</v>
      </c>
      <c r="D24" s="23">
        <f>'Tax Depr Form 2.1 p.2'!D24+'Tax Depr Form 2.1 p.3'!D24</f>
        <v>56401</v>
      </c>
      <c r="E24" s="23">
        <f>'Tax Depr Form 2.1 p.2'!E24+'Tax Depr Form 2.1 p.3'!E24</f>
        <v>243128</v>
      </c>
      <c r="F24" s="23">
        <f>'Tax Depr Form 2.1 p.2'!F24+'Tax Depr Form 2.1 p.3'!F24</f>
        <v>848712</v>
      </c>
      <c r="G24" s="23">
        <f>'Tax Depr Form 2.1 p.2'!G24+'Tax Depr Form 2.1 p.3'!G24</f>
        <v>1298694</v>
      </c>
      <c r="H24" s="23">
        <f>'Tax Depr Form 2.1 p.2'!H24+'Tax Depr Form 2.1 p.3'!H24</f>
        <v>1987124</v>
      </c>
      <c r="AF24" s="23">
        <f>'Tax Depr Form 2.1 p.2'!AF24+'Tax Depr Form 2.1 p.3'!AF24</f>
        <v>4434059</v>
      </c>
      <c r="AG24" s="23"/>
      <c r="AH24" s="23">
        <f>'Tax Depr Form 2.1 p.2'!AH24+'Tax Depr Form 2.1 p.3'!AH24</f>
        <v>1864544</v>
      </c>
      <c r="AI24" s="23">
        <f>'Tax Depr Form 2.1 p.2'!AI24+'Tax Depr Form 2.1 p.3'!AI24</f>
        <v>2569515</v>
      </c>
      <c r="AJ24" s="23">
        <f>'Tax Depr Form 2.1 p.2'!AJ24+'Tax Depr Form 2.1 p.3'!AJ24-'Tax Depr Form 2.1 p.4 - 7'!G17-'Tax Depr Form 2.1 p.4 - 7'!G50</f>
        <v>658264.00806496</v>
      </c>
      <c r="AK24" s="23">
        <f>'Tax Depr Form 2.1 p.2'!AK24+'Tax Depr Form 2.1 p.3'!AK24</f>
        <v>0</v>
      </c>
      <c r="AL24" s="23">
        <f>'Tax Depr Form 2.1 p.2'!AL24+'Tax Depr Form 2.1 p.3'!AL24</f>
        <v>0</v>
      </c>
      <c r="AM24" s="23">
        <f t="shared" si="4"/>
        <v>14684504.245062156</v>
      </c>
      <c r="AN24" s="56"/>
      <c r="AT24" s="22"/>
      <c r="AU24" s="152"/>
    </row>
    <row r="25" spans="1:47" ht="11.25">
      <c r="A25" s="143">
        <f t="shared" si="2"/>
        <v>10</v>
      </c>
      <c r="B25" s="229">
        <v>0.04522</v>
      </c>
      <c r="C25" s="143">
        <f t="shared" si="3"/>
        <v>8</v>
      </c>
      <c r="D25" s="23">
        <f>'Tax Depr Form 2.1 p.2'!D25+'Tax Depr Form 2.1 p.3'!D25</f>
        <v>52178</v>
      </c>
      <c r="E25" s="23">
        <f>'Tax Depr Form 2.1 p.2'!E25+'Tax Depr Form 2.1 p.3'!E25</f>
        <v>224923</v>
      </c>
      <c r="F25" s="23">
        <f>'Tax Depr Form 2.1 p.2'!F25+'Tax Depr Form 2.1 p.3'!F25</f>
        <v>784958</v>
      </c>
      <c r="G25" s="23">
        <f>'Tax Depr Form 2.1 p.2'!G25+'Tax Depr Form 2.1 p.3'!G25</f>
        <v>1201400</v>
      </c>
      <c r="H25" s="23">
        <f>'Tax Depr Form 2.1 p.2'!H25+'Tax Depr Form 2.1 p.3'!H25</f>
        <v>1837856</v>
      </c>
      <c r="I25" s="23"/>
      <c r="AF25" s="23">
        <f>'Tax Depr Form 2.1 p.2'!AF25+'Tax Depr Form 2.1 p.3'!AF25</f>
        <v>4101315</v>
      </c>
      <c r="AG25" s="23"/>
      <c r="AH25" s="23">
        <f>'Tax Depr Form 2.1 p.2'!AH25+'Tax Depr Form 2.1 p.3'!AH25</f>
        <v>1864544</v>
      </c>
      <c r="AI25" s="23">
        <f>'Tax Depr Form 2.1 p.2'!AI25+'Tax Depr Form 2.1 p.3'!AI25</f>
        <v>2236771</v>
      </c>
      <c r="AJ25" s="23">
        <f>'Tax Depr Form 2.1 p.2'!AJ25+'Tax Depr Form 2.1 p.3'!AJ25-'Tax Depr Form 2.1 p.4 - 7'!G18-'Tax Depr Form 2.1 p.4 - 7'!G51</f>
        <v>573959.3687080092</v>
      </c>
      <c r="AK25" s="23">
        <f>'Tax Depr Form 2.1 p.2'!AK25+'Tax Depr Form 2.1 p.3'!AK25</f>
        <v>0</v>
      </c>
      <c r="AL25" s="23">
        <f>'Tax Depr Form 2.1 p.2'!AL25+'Tax Depr Form 2.1 p.3'!AL25</f>
        <v>0</v>
      </c>
      <c r="AM25" s="23">
        <f t="shared" si="4"/>
        <v>15258463.613770165</v>
      </c>
      <c r="AN25" s="56"/>
      <c r="AT25" s="22"/>
      <c r="AU25" s="152"/>
    </row>
    <row r="26" spans="1:47" ht="11.25">
      <c r="A26" s="143">
        <f t="shared" si="2"/>
        <v>11</v>
      </c>
      <c r="B26" s="229">
        <v>0.04462</v>
      </c>
      <c r="C26" s="143">
        <f t="shared" si="3"/>
        <v>9</v>
      </c>
      <c r="D26" s="23">
        <f>'Tax Depr Form 2.1 p.2'!D26+'Tax Depr Form 2.1 p.3'!D26</f>
        <v>51486</v>
      </c>
      <c r="E26" s="23">
        <f>'Tax Depr Form 2.1 p.2'!E26+'Tax Depr Form 2.1 p.3'!E26</f>
        <v>221939</v>
      </c>
      <c r="F26" s="23">
        <f>'Tax Depr Form 2.1 p.2'!F26+'Tax Depr Form 2.1 p.3'!F26</f>
        <v>726182</v>
      </c>
      <c r="G26" s="23">
        <f>'Tax Depr Form 2.1 p.2'!G26+'Tax Depr Form 2.1 p.3'!G26</f>
        <v>1111153</v>
      </c>
      <c r="H26" s="23">
        <f>'Tax Depr Form 2.1 p.2'!H26+'Tax Depr Form 2.1 p.3'!H26</f>
        <v>1700170</v>
      </c>
      <c r="I26" s="23"/>
      <c r="J26" s="23"/>
      <c r="AF26" s="23">
        <f>'Tax Depr Form 2.1 p.2'!AF26+'Tax Depr Form 2.1 p.3'!AF26</f>
        <v>3810930</v>
      </c>
      <c r="AG26" s="23"/>
      <c r="AH26" s="23">
        <f>'Tax Depr Form 2.1 p.2'!AH26+'Tax Depr Form 2.1 p.3'!AH26</f>
        <v>1864544</v>
      </c>
      <c r="AI26" s="23">
        <f>'Tax Depr Form 2.1 p.2'!AI26+'Tax Depr Form 2.1 p.3'!AI26</f>
        <v>1946386</v>
      </c>
      <c r="AJ26" s="23">
        <f>'Tax Depr Form 2.1 p.2'!AJ26+'Tax Depr Form 2.1 p.3'!AJ26-'Tax Depr Form 2.1 p.4 - 7'!G19-'Tax Depr Form 2.1 p.4 - 7'!G52</f>
        <v>501296.5796658861</v>
      </c>
      <c r="AK26" s="23">
        <f>'Tax Depr Form 2.1 p.2'!AK26+'Tax Depr Form 2.1 p.3'!AK26</f>
        <v>0</v>
      </c>
      <c r="AL26" s="23">
        <f>'Tax Depr Form 2.1 p.2'!AL26+'Tax Depr Form 2.1 p.3'!AL26</f>
        <v>0</v>
      </c>
      <c r="AM26" s="23">
        <f t="shared" si="4"/>
        <v>15759760.19343605</v>
      </c>
      <c r="AN26" s="56"/>
      <c r="AT26" s="22"/>
      <c r="AU26" s="152"/>
    </row>
    <row r="27" spans="1:47" ht="11.25">
      <c r="A27" s="143">
        <f t="shared" si="2"/>
        <v>12</v>
      </c>
      <c r="B27" s="229">
        <v>0.04461</v>
      </c>
      <c r="C27" s="143">
        <f t="shared" si="3"/>
        <v>10</v>
      </c>
      <c r="D27" s="23">
        <f>'Tax Depr Form 2.1 p.2'!D27+'Tax Depr Form 2.1 p.3'!D27</f>
        <v>51474</v>
      </c>
      <c r="E27" s="23">
        <f>'Tax Depr Form 2.1 p.2'!E27+'Tax Depr Form 2.1 p.3'!E27</f>
        <v>221889</v>
      </c>
      <c r="F27" s="23">
        <f>'Tax Depr Form 2.1 p.2'!F27+'Tax Depr Form 2.1 p.3'!F27</f>
        <v>716548</v>
      </c>
      <c r="G27" s="23">
        <f>'Tax Depr Form 2.1 p.2'!G27+'Tax Depr Form 2.1 p.3'!G27</f>
        <v>1027953</v>
      </c>
      <c r="H27" s="23">
        <f>'Tax Depr Form 2.1 p.2'!H27+'Tax Depr Form 2.1 p.3'!H27</f>
        <v>1572456</v>
      </c>
      <c r="I27" s="23"/>
      <c r="J27" s="23"/>
      <c r="K27" s="23"/>
      <c r="AF27" s="23">
        <f>'Tax Depr Form 2.1 p.2'!AF27+'Tax Depr Form 2.1 p.3'!AF27</f>
        <v>3590320</v>
      </c>
      <c r="AG27" s="23"/>
      <c r="AH27" s="23">
        <f>'Tax Depr Form 2.1 p.2'!AH27+'Tax Depr Form 2.1 p.3'!AH27</f>
        <v>1864544</v>
      </c>
      <c r="AI27" s="23">
        <f>'Tax Depr Form 2.1 p.2'!AI27+'Tax Depr Form 2.1 p.3'!AI27</f>
        <v>1725776</v>
      </c>
      <c r="AJ27" s="23">
        <f>'Tax Depr Form 2.1 p.2'!AJ27+'Tax Depr Form 2.1 p.3'!AJ27-'Tax Depr Form 2.1 p.4 - 7'!G20-'Tax Depr Form 2.1 p.4 - 7'!G53</f>
        <v>446251.0954818508</v>
      </c>
      <c r="AK27" s="23">
        <f>'Tax Depr Form 2.1 p.2'!AK27+'Tax Depr Form 2.1 p.3'!AK27</f>
        <v>0</v>
      </c>
      <c r="AL27" s="23">
        <f>'Tax Depr Form 2.1 p.2'!AL27+'Tax Depr Form 2.1 p.3'!AL27</f>
        <v>0</v>
      </c>
      <c r="AM27" s="23">
        <f t="shared" si="4"/>
        <v>16206011.288917901</v>
      </c>
      <c r="AN27" s="56"/>
      <c r="AT27" s="22"/>
      <c r="AU27" s="152"/>
    </row>
    <row r="28" spans="1:47" ht="11.25">
      <c r="A28" s="143">
        <f t="shared" si="2"/>
        <v>13</v>
      </c>
      <c r="B28" s="229">
        <v>0.04462</v>
      </c>
      <c r="C28" s="143">
        <f t="shared" si="3"/>
        <v>11</v>
      </c>
      <c r="D28" s="23">
        <f>'Tax Depr Form 2.1 p.2'!D28+'Tax Depr Form 2.1 p.3'!D28</f>
        <v>51486</v>
      </c>
      <c r="E28" s="23">
        <f>'Tax Depr Form 2.1 p.2'!E28+'Tax Depr Form 2.1 p.3'!E28</f>
        <v>221939</v>
      </c>
      <c r="F28" s="23">
        <f>'Tax Depr Form 2.1 p.2'!F28+'Tax Depr Form 2.1 p.3'!F28</f>
        <v>716387</v>
      </c>
      <c r="G28" s="23">
        <f>'Tax Depr Form 2.1 p.2'!G28+'Tax Depr Form 2.1 p.3'!G28</f>
        <v>1014313</v>
      </c>
      <c r="H28" s="23">
        <f>'Tax Depr Form 2.1 p.2'!H28+'Tax Depr Form 2.1 p.3'!H28</f>
        <v>1454715</v>
      </c>
      <c r="I28" s="23"/>
      <c r="J28" s="23"/>
      <c r="K28" s="23"/>
      <c r="L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>
        <f>'Tax Depr Form 2.1 p.2'!AF28+'Tax Depr Form 2.1 p.3'!AF28</f>
        <v>3458840</v>
      </c>
      <c r="AG28" s="23"/>
      <c r="AH28" s="23">
        <f>'Tax Depr Form 2.1 p.2'!AH28+'Tax Depr Form 2.1 p.3'!AH28</f>
        <v>1864544</v>
      </c>
      <c r="AI28" s="23">
        <f>'Tax Depr Form 2.1 p.2'!AI28+'Tax Depr Form 2.1 p.3'!AI28</f>
        <v>1594296</v>
      </c>
      <c r="AJ28" s="23">
        <f>'Tax Depr Form 2.1 p.2'!AJ28+'Tax Depr Form 2.1 p.3'!AJ28-'Tax Depr Form 2.1 p.4 - 7'!G21-'Tax Depr Form 2.1 p.4 - 7'!G54</f>
        <v>413450.5796658861</v>
      </c>
      <c r="AK28" s="23">
        <f>'Tax Depr Form 2.1 p.2'!AK28+'Tax Depr Form 2.1 p.3'!AK28</f>
        <v>0</v>
      </c>
      <c r="AL28" s="23">
        <f>'Tax Depr Form 2.1 p.2'!AL28+'Tax Depr Form 2.1 p.3'!AL28</f>
        <v>0</v>
      </c>
      <c r="AM28" s="23">
        <f t="shared" si="4"/>
        <v>16619461.868583787</v>
      </c>
      <c r="AN28" s="56"/>
      <c r="AT28" s="22"/>
      <c r="AU28" s="152"/>
    </row>
    <row r="29" spans="1:47" ht="11.25">
      <c r="A29" s="143">
        <f t="shared" si="2"/>
        <v>14</v>
      </c>
      <c r="B29" s="229">
        <v>0.04461</v>
      </c>
      <c r="C29" s="143">
        <f t="shared" si="3"/>
        <v>12</v>
      </c>
      <c r="D29" s="23">
        <f>'Tax Depr Form 2.1 p.2'!D29+'Tax Depr Form 2.1 p.3'!D29</f>
        <v>51474</v>
      </c>
      <c r="E29" s="23">
        <f>'Tax Depr Form 2.1 p.2'!E29+'Tax Depr Form 2.1 p.3'!E29</f>
        <v>221889</v>
      </c>
      <c r="F29" s="23">
        <f>'Tax Depr Form 2.1 p.2'!F29+'Tax Depr Form 2.1 p.3'!F29</f>
        <v>716548</v>
      </c>
      <c r="G29" s="23">
        <f>'Tax Depr Form 2.1 p.2'!G29+'Tax Depr Form 2.1 p.3'!G29</f>
        <v>1014086</v>
      </c>
      <c r="H29" s="23">
        <f>'Tax Depr Form 2.1 p.2'!H29+'Tax Depr Form 2.1 p.3'!H29</f>
        <v>1435413</v>
      </c>
      <c r="I29" s="23"/>
      <c r="J29" s="23"/>
      <c r="K29" s="23"/>
      <c r="L29" s="23"/>
      <c r="M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>
        <f>'Tax Depr Form 2.1 p.2'!AF29+'Tax Depr Form 2.1 p.3'!AF29</f>
        <v>3439410</v>
      </c>
      <c r="AG29" s="23"/>
      <c r="AH29" s="23">
        <f>'Tax Depr Form 2.1 p.2'!AH29+'Tax Depr Form 2.1 p.3'!AH29</f>
        <v>1864544</v>
      </c>
      <c r="AI29" s="23">
        <f>'Tax Depr Form 2.1 p.2'!AI29+'Tax Depr Form 2.1 p.3'!AI29</f>
        <v>1574866</v>
      </c>
      <c r="AJ29" s="23">
        <f>'Tax Depr Form 2.1 p.2'!AJ29+'Tax Depr Form 2.1 p.3'!AJ29-'Tax Depr Form 2.1 p.4 - 7'!G22-'Tax Depr Form 2.1 p.4 - 7'!G55</f>
        <v>408600.0954818508</v>
      </c>
      <c r="AK29" s="23">
        <f>'Tax Depr Form 2.1 p.2'!AK29+'Tax Depr Form 2.1 p.3'!AK29</f>
        <v>0</v>
      </c>
      <c r="AL29" s="23">
        <f>'Tax Depr Form 2.1 p.2'!AL29+'Tax Depr Form 2.1 p.3'!AL29</f>
        <v>0</v>
      </c>
      <c r="AM29" s="23">
        <f t="shared" si="4"/>
        <v>17028061.964065637</v>
      </c>
      <c r="AN29" s="56"/>
      <c r="AT29" s="22"/>
      <c r="AU29" s="152"/>
    </row>
    <row r="30" spans="1:47" ht="11.25">
      <c r="A30" s="143">
        <f t="shared" si="2"/>
        <v>15</v>
      </c>
      <c r="B30" s="229">
        <v>0.04462</v>
      </c>
      <c r="C30" s="143">
        <f t="shared" si="3"/>
        <v>13</v>
      </c>
      <c r="D30" s="23">
        <f>'Tax Depr Form 2.1 p.2'!D30+'Tax Depr Form 2.1 p.3'!D30</f>
        <v>51486</v>
      </c>
      <c r="E30" s="23">
        <f>'Tax Depr Form 2.1 p.2'!E30+'Tax Depr Form 2.1 p.3'!E30</f>
        <v>221939</v>
      </c>
      <c r="F30" s="23">
        <f>'Tax Depr Form 2.1 p.2'!F30+'Tax Depr Form 2.1 p.3'!F30</f>
        <v>716387</v>
      </c>
      <c r="G30" s="23">
        <f>'Tax Depr Form 2.1 p.2'!G30+'Tax Depr Form 2.1 p.3'!G30</f>
        <v>1014313</v>
      </c>
      <c r="H30" s="23">
        <f>'Tax Depr Form 2.1 p.2'!H30+'Tax Depr Form 2.1 p.3'!H30</f>
        <v>1435091</v>
      </c>
      <c r="I30" s="23"/>
      <c r="J30" s="23"/>
      <c r="K30" s="23"/>
      <c r="L30" s="23"/>
      <c r="M30" s="23"/>
      <c r="N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>
        <f>'Tax Depr Form 2.1 p.2'!AF30+'Tax Depr Form 2.1 p.3'!AF30</f>
        <v>3439216</v>
      </c>
      <c r="AG30" s="23"/>
      <c r="AH30" s="23">
        <f>'Tax Depr Form 2.1 p.2'!AH30+'Tax Depr Form 2.1 p.3'!AH30</f>
        <v>1864544</v>
      </c>
      <c r="AI30" s="23">
        <f>'Tax Depr Form 2.1 p.2'!AI30+'Tax Depr Form 2.1 p.3'!AI30</f>
        <v>1574672</v>
      </c>
      <c r="AJ30" s="23">
        <f>'Tax Depr Form 2.1 p.2'!AJ30+'Tax Depr Form 2.1 p.3'!AJ30-'Tax Depr Form 2.1 p.4 - 7'!G23-'Tax Depr Form 2.1 p.4 - 7'!G56</f>
        <v>408554.5796658861</v>
      </c>
      <c r="AK30" s="23">
        <f>'Tax Depr Form 2.1 p.2'!AK30+'Tax Depr Form 2.1 p.3'!AK30</f>
        <v>0</v>
      </c>
      <c r="AL30" s="23">
        <f>'Tax Depr Form 2.1 p.2'!AL30+'Tax Depr Form 2.1 p.3'!AL30</f>
        <v>0</v>
      </c>
      <c r="AM30" s="23">
        <f t="shared" si="4"/>
        <v>17436616.54373152</v>
      </c>
      <c r="AN30" s="56"/>
      <c r="AT30" s="22"/>
      <c r="AU30" s="152"/>
    </row>
    <row r="31" spans="1:47" ht="11.25">
      <c r="A31" s="143">
        <f t="shared" si="2"/>
        <v>16</v>
      </c>
      <c r="B31" s="229">
        <v>0.04461</v>
      </c>
      <c r="C31" s="143">
        <f t="shared" si="3"/>
        <v>14</v>
      </c>
      <c r="D31" s="23">
        <f>'Tax Depr Form 2.1 p.2'!D31+'Tax Depr Form 2.1 p.3'!D31</f>
        <v>51474</v>
      </c>
      <c r="E31" s="23">
        <f>'Tax Depr Form 2.1 p.2'!E31+'Tax Depr Form 2.1 p.3'!E31</f>
        <v>221889</v>
      </c>
      <c r="F31" s="23">
        <f>'Tax Depr Form 2.1 p.2'!F31+'Tax Depr Form 2.1 p.3'!F31</f>
        <v>716548</v>
      </c>
      <c r="G31" s="23">
        <f>'Tax Depr Form 2.1 p.2'!G31+'Tax Depr Form 2.1 p.3'!G31</f>
        <v>1014086</v>
      </c>
      <c r="H31" s="23">
        <f>'Tax Depr Form 2.1 p.2'!H31+'Tax Depr Form 2.1 p.3'!H31</f>
        <v>1435413</v>
      </c>
      <c r="I31" s="23"/>
      <c r="J31" s="23"/>
      <c r="K31" s="23"/>
      <c r="L31" s="23"/>
      <c r="M31" s="23"/>
      <c r="N31" s="23"/>
      <c r="O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>
        <f>'Tax Depr Form 2.1 p.2'!AF31+'Tax Depr Form 2.1 p.3'!AF31</f>
        <v>3439410</v>
      </c>
      <c r="AG31" s="23"/>
      <c r="AH31" s="23">
        <f>'Tax Depr Form 2.1 p.2'!AH31+'Tax Depr Form 2.1 p.3'!AH31</f>
        <v>1864544</v>
      </c>
      <c r="AI31" s="23">
        <f>'Tax Depr Form 2.1 p.2'!AI31+'Tax Depr Form 2.1 p.3'!AI31</f>
        <v>1574866</v>
      </c>
      <c r="AJ31" s="23">
        <f>'Tax Depr Form 2.1 p.2'!AJ31+'Tax Depr Form 2.1 p.3'!AJ31-'Tax Depr Form 2.1 p.4 - 7'!G24-'Tax Depr Form 2.1 p.4 - 7'!G57</f>
        <v>408600.0954818508</v>
      </c>
      <c r="AK31" s="23">
        <f>'Tax Depr Form 2.1 p.2'!AK31+'Tax Depr Form 2.1 p.3'!AK31</f>
        <v>0</v>
      </c>
      <c r="AL31" s="23">
        <f>'Tax Depr Form 2.1 p.2'!AL31+'Tax Depr Form 2.1 p.3'!AL31</f>
        <v>0</v>
      </c>
      <c r="AM31" s="23">
        <f t="shared" si="4"/>
        <v>17845216.639213372</v>
      </c>
      <c r="AN31" s="56"/>
      <c r="AT31" s="22"/>
      <c r="AU31" s="152"/>
    </row>
    <row r="32" spans="1:47" ht="11.25">
      <c r="A32" s="143">
        <f t="shared" si="2"/>
        <v>17</v>
      </c>
      <c r="B32" s="229">
        <v>0.04462</v>
      </c>
      <c r="C32" s="143">
        <f t="shared" si="3"/>
        <v>15</v>
      </c>
      <c r="D32" s="23">
        <f>'Tax Depr Form 2.1 p.2'!D32+'Tax Depr Form 2.1 p.3'!D32</f>
        <v>51486</v>
      </c>
      <c r="E32" s="23">
        <f>'Tax Depr Form 2.1 p.2'!E32+'Tax Depr Form 2.1 p.3'!E32</f>
        <v>221939</v>
      </c>
      <c r="F32" s="23">
        <f>'Tax Depr Form 2.1 p.2'!F32+'Tax Depr Form 2.1 p.3'!F32</f>
        <v>716387</v>
      </c>
      <c r="G32" s="23">
        <f>'Tax Depr Form 2.1 p.2'!G32+'Tax Depr Form 2.1 p.3'!G32</f>
        <v>1014313</v>
      </c>
      <c r="H32" s="23">
        <f>'Tax Depr Form 2.1 p.2'!H32+'Tax Depr Form 2.1 p.3'!H32</f>
        <v>1435091</v>
      </c>
      <c r="I32" s="23"/>
      <c r="J32" s="23"/>
      <c r="K32" s="23"/>
      <c r="L32" s="23"/>
      <c r="M32" s="23"/>
      <c r="N32" s="23"/>
      <c r="O32" s="23"/>
      <c r="P32" s="23"/>
      <c r="AF32" s="23">
        <f>'Tax Depr Form 2.1 p.2'!AF32+'Tax Depr Form 2.1 p.3'!AF32</f>
        <v>3439216</v>
      </c>
      <c r="AG32" s="23"/>
      <c r="AH32" s="23">
        <f>'Tax Depr Form 2.1 p.2'!AH32+'Tax Depr Form 2.1 p.3'!AH32</f>
        <v>1864544</v>
      </c>
      <c r="AI32" s="23">
        <f>'Tax Depr Form 2.1 p.2'!AI32+'Tax Depr Form 2.1 p.3'!AI32</f>
        <v>1574672</v>
      </c>
      <c r="AJ32" s="23">
        <f>'Tax Depr Form 2.1 p.2'!AJ32+'Tax Depr Form 2.1 p.3'!AJ32-'Tax Depr Form 2.1 p.4 - 7'!G25-'Tax Depr Form 2.1 p.4 - 7'!G58</f>
        <v>408554.5796658861</v>
      </c>
      <c r="AK32" s="23">
        <f>'Tax Depr Form 2.1 p.2'!AK32+'Tax Depr Form 2.1 p.3'!AK32</f>
        <v>0</v>
      </c>
      <c r="AL32" s="23">
        <f>'Tax Depr Form 2.1 p.2'!AL32+'Tax Depr Form 2.1 p.3'!AL32</f>
        <v>0</v>
      </c>
      <c r="AM32" s="23">
        <f t="shared" si="4"/>
        <v>18253771.218879256</v>
      </c>
      <c r="AN32" s="56"/>
      <c r="AT32" s="22"/>
      <c r="AU32" s="152"/>
    </row>
    <row r="33" spans="1:47" ht="11.25">
      <c r="A33" s="143">
        <f t="shared" si="2"/>
        <v>18</v>
      </c>
      <c r="B33" s="229">
        <v>0.04461</v>
      </c>
      <c r="C33" s="143">
        <f t="shared" si="3"/>
        <v>16</v>
      </c>
      <c r="D33" s="23">
        <f>'Tax Depr Form 2.1 p.2'!D33+'Tax Depr Form 2.1 p.3'!D33</f>
        <v>51474</v>
      </c>
      <c r="E33" s="23">
        <f>'Tax Depr Form 2.1 p.2'!E33+'Tax Depr Form 2.1 p.3'!E33</f>
        <v>221889</v>
      </c>
      <c r="F33" s="23">
        <f>'Tax Depr Form 2.1 p.2'!F33+'Tax Depr Form 2.1 p.3'!F33</f>
        <v>716548</v>
      </c>
      <c r="G33" s="23">
        <f>'Tax Depr Form 2.1 p.2'!G33+'Tax Depr Form 2.1 p.3'!G33</f>
        <v>1014086</v>
      </c>
      <c r="H33" s="23">
        <f>'Tax Depr Form 2.1 p.2'!H33+'Tax Depr Form 2.1 p.3'!H33</f>
        <v>1435413</v>
      </c>
      <c r="I33" s="23"/>
      <c r="J33" s="23"/>
      <c r="K33" s="23"/>
      <c r="L33" s="23"/>
      <c r="M33" s="23"/>
      <c r="N33" s="23"/>
      <c r="O33" s="23"/>
      <c r="P33" s="23"/>
      <c r="Q33" s="23"/>
      <c r="AF33" s="23">
        <f>'Tax Depr Form 2.1 p.2'!AF33+'Tax Depr Form 2.1 p.3'!AF33</f>
        <v>3439410</v>
      </c>
      <c r="AG33" s="23"/>
      <c r="AH33" s="23">
        <f>'Tax Depr Form 2.1 p.2'!AH33+'Tax Depr Form 2.1 p.3'!AH33</f>
        <v>1864544</v>
      </c>
      <c r="AI33" s="23">
        <f>'Tax Depr Form 2.1 p.2'!AI33+'Tax Depr Form 2.1 p.3'!AI33</f>
        <v>1574866</v>
      </c>
      <c r="AJ33" s="23">
        <f>'Tax Depr Form 2.1 p.2'!AJ33+'Tax Depr Form 2.1 p.3'!AJ33-'Tax Depr Form 2.1 p.4 - 7'!G26-'Tax Depr Form 2.1 p.4 - 7'!G59</f>
        <v>408600.0954818508</v>
      </c>
      <c r="AK33" s="23">
        <f>'Tax Depr Form 2.1 p.2'!AK33+'Tax Depr Form 2.1 p.3'!AK33</f>
        <v>0</v>
      </c>
      <c r="AL33" s="23">
        <f>'Tax Depr Form 2.1 p.2'!AL33+'Tax Depr Form 2.1 p.3'!AL33</f>
        <v>0</v>
      </c>
      <c r="AM33" s="23">
        <f t="shared" si="4"/>
        <v>18662371.314361107</v>
      </c>
      <c r="AN33" s="56"/>
      <c r="AT33" s="22"/>
      <c r="AU33" s="152"/>
    </row>
    <row r="34" spans="1:47" ht="11.25">
      <c r="A34" s="143">
        <f t="shared" si="2"/>
        <v>19</v>
      </c>
      <c r="B34" s="229">
        <v>0.04462</v>
      </c>
      <c r="C34" s="143">
        <f t="shared" si="3"/>
        <v>17</v>
      </c>
      <c r="D34" s="23">
        <f>'Tax Depr Form 2.1 p.2'!D34+'Tax Depr Form 2.1 p.3'!D34</f>
        <v>51486</v>
      </c>
      <c r="E34" s="23">
        <f>'Tax Depr Form 2.1 p.2'!E34+'Tax Depr Form 2.1 p.3'!E34</f>
        <v>221939</v>
      </c>
      <c r="F34" s="23">
        <f>'Tax Depr Form 2.1 p.2'!F34+'Tax Depr Form 2.1 p.3'!F34</f>
        <v>716387</v>
      </c>
      <c r="G34" s="23">
        <f>'Tax Depr Form 2.1 p.2'!G34+'Tax Depr Form 2.1 p.3'!G34</f>
        <v>1014313</v>
      </c>
      <c r="H34" s="23">
        <f>'Tax Depr Form 2.1 p.2'!H34+'Tax Depr Form 2.1 p.3'!H34</f>
        <v>1435091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AF34" s="23">
        <f>'Tax Depr Form 2.1 p.2'!AF34+'Tax Depr Form 2.1 p.3'!AF34</f>
        <v>3439216</v>
      </c>
      <c r="AG34" s="23"/>
      <c r="AH34" s="23">
        <f>'Tax Depr Form 2.1 p.2'!AH34+'Tax Depr Form 2.1 p.3'!AH34</f>
        <v>1864544</v>
      </c>
      <c r="AI34" s="23">
        <f>'Tax Depr Form 2.1 p.2'!AI34+'Tax Depr Form 2.1 p.3'!AI34</f>
        <v>1574672</v>
      </c>
      <c r="AJ34" s="23">
        <f>'Tax Depr Form 2.1 p.2'!AJ34+'Tax Depr Form 2.1 p.3'!AJ34-'Tax Depr Form 2.1 p.4 - 7'!G27-'Tax Depr Form 2.1 p.4 - 7'!G60</f>
        <v>408554.5796658861</v>
      </c>
      <c r="AK34" s="23">
        <f>'Tax Depr Form 2.1 p.2'!AK34+'Tax Depr Form 2.1 p.3'!AK34</f>
        <v>0</v>
      </c>
      <c r="AL34" s="23">
        <f>'Tax Depr Form 2.1 p.2'!AL34+'Tax Depr Form 2.1 p.3'!AL34</f>
        <v>0</v>
      </c>
      <c r="AM34" s="23">
        <f t="shared" si="4"/>
        <v>19070925.89402699</v>
      </c>
      <c r="AN34" s="56"/>
      <c r="AT34" s="22"/>
      <c r="AU34" s="152"/>
    </row>
    <row r="35" spans="1:47" ht="11.25">
      <c r="A35" s="143">
        <f t="shared" si="2"/>
        <v>20</v>
      </c>
      <c r="B35" s="229">
        <v>0.04461</v>
      </c>
      <c r="C35" s="143">
        <f t="shared" si="3"/>
        <v>18</v>
      </c>
      <c r="D35" s="23">
        <f>'Tax Depr Form 2.1 p.2'!D35+'Tax Depr Form 2.1 p.3'!D35</f>
        <v>51474</v>
      </c>
      <c r="E35" s="23">
        <f>'Tax Depr Form 2.1 p.2'!E35+'Tax Depr Form 2.1 p.3'!E35</f>
        <v>221889</v>
      </c>
      <c r="F35" s="23">
        <f>'Tax Depr Form 2.1 p.2'!F35+'Tax Depr Form 2.1 p.3'!F35</f>
        <v>716548</v>
      </c>
      <c r="G35" s="23">
        <f>'Tax Depr Form 2.1 p.2'!G35+'Tax Depr Form 2.1 p.3'!G35</f>
        <v>1014086</v>
      </c>
      <c r="H35" s="23">
        <f>'Tax Depr Form 2.1 p.2'!H35+'Tax Depr Form 2.1 p.3'!H35</f>
        <v>1435413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AF35" s="23">
        <f>'Tax Depr Form 2.1 p.2'!AF35+'Tax Depr Form 2.1 p.3'!AF35</f>
        <v>3439410</v>
      </c>
      <c r="AG35" s="23"/>
      <c r="AH35" s="23">
        <f>'Tax Depr Form 2.1 p.2'!AH35+'Tax Depr Form 2.1 p.3'!AH35</f>
        <v>1864544</v>
      </c>
      <c r="AI35" s="23">
        <f>'Tax Depr Form 2.1 p.2'!AI35+'Tax Depr Form 2.1 p.3'!AI35</f>
        <v>1574866</v>
      </c>
      <c r="AJ35" s="23">
        <f>'Tax Depr Form 2.1 p.2'!AJ35+'Tax Depr Form 2.1 p.3'!AJ35-'Tax Depr Form 2.1 p.4 - 7'!G28-'Tax Depr Form 2.1 p.4 - 7'!G61</f>
        <v>408600.0954818508</v>
      </c>
      <c r="AK35" s="23">
        <f>'Tax Depr Form 2.1 p.2'!AK35+'Tax Depr Form 2.1 p.3'!AK35</f>
        <v>0</v>
      </c>
      <c r="AL35" s="23">
        <f>'Tax Depr Form 2.1 p.2'!AL35+'Tax Depr Form 2.1 p.3'!AL35</f>
        <v>0</v>
      </c>
      <c r="AM35" s="23">
        <f t="shared" si="4"/>
        <v>19479525.98950884</v>
      </c>
      <c r="AN35" s="56"/>
      <c r="AT35" s="22"/>
      <c r="AU35" s="152"/>
    </row>
    <row r="36" spans="1:47" ht="11.25">
      <c r="A36" s="143">
        <f t="shared" si="2"/>
        <v>21</v>
      </c>
      <c r="B36" s="229">
        <v>0.04462</v>
      </c>
      <c r="C36" s="143">
        <f t="shared" si="3"/>
        <v>19</v>
      </c>
      <c r="D36" s="23">
        <f>'Tax Depr Form 2.1 p.2'!D36+'Tax Depr Form 2.1 p.3'!D36</f>
        <v>51486</v>
      </c>
      <c r="E36" s="23">
        <f>'Tax Depr Form 2.1 p.2'!E36+'Tax Depr Form 2.1 p.3'!E36</f>
        <v>221939</v>
      </c>
      <c r="F36" s="23">
        <f>'Tax Depr Form 2.1 p.2'!F36+'Tax Depr Form 2.1 p.3'!F36</f>
        <v>716387</v>
      </c>
      <c r="G36" s="23">
        <f>'Tax Depr Form 2.1 p.2'!G36+'Tax Depr Form 2.1 p.3'!G36</f>
        <v>1014313</v>
      </c>
      <c r="H36" s="23">
        <f>'Tax Depr Form 2.1 p.2'!H36+'Tax Depr Form 2.1 p.3'!H36</f>
        <v>1435091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F36" s="23">
        <f>'Tax Depr Form 2.1 p.2'!AF36+'Tax Depr Form 2.1 p.3'!AF36</f>
        <v>3439216</v>
      </c>
      <c r="AG36" s="23"/>
      <c r="AH36" s="23">
        <f>'Tax Depr Form 2.1 p.2'!AH36+'Tax Depr Form 2.1 p.3'!AH36</f>
        <v>1864544</v>
      </c>
      <c r="AI36" s="23">
        <f>'Tax Depr Form 2.1 p.2'!AI36+'Tax Depr Form 2.1 p.3'!AI36</f>
        <v>1574672</v>
      </c>
      <c r="AJ36" s="23">
        <f>'Tax Depr Form 2.1 p.2'!AJ36+'Tax Depr Form 2.1 p.3'!AJ36-'Tax Depr Form 2.1 p.4 - 7'!G29-'Tax Depr Form 2.1 p.4 - 7'!G62</f>
        <v>408554.5796658861</v>
      </c>
      <c r="AK36" s="23">
        <f>'Tax Depr Form 2.1 p.2'!AK36+'Tax Depr Form 2.1 p.3'!AK36</f>
        <v>0</v>
      </c>
      <c r="AL36" s="23">
        <f>'Tax Depr Form 2.1 p.2'!AL36+'Tax Depr Form 2.1 p.3'!AL36</f>
        <v>0</v>
      </c>
      <c r="AM36" s="23">
        <f t="shared" si="4"/>
        <v>19888080.569174726</v>
      </c>
      <c r="AN36" s="56"/>
      <c r="AT36" s="22"/>
      <c r="AU36" s="152"/>
    </row>
    <row r="37" spans="1:47" ht="11.25">
      <c r="A37" s="143">
        <f t="shared" si="2"/>
        <v>22</v>
      </c>
      <c r="B37" s="229">
        <v>0.04461</v>
      </c>
      <c r="C37" s="143">
        <f t="shared" si="3"/>
        <v>20</v>
      </c>
      <c r="D37" s="23">
        <f>'Tax Depr Form 2.1 p.2'!D37+'Tax Depr Form 2.1 p.3'!D37</f>
        <v>51474</v>
      </c>
      <c r="E37" s="23">
        <f>'Tax Depr Form 2.1 p.2'!E37+'Tax Depr Form 2.1 p.3'!E37</f>
        <v>221889</v>
      </c>
      <c r="F37" s="23">
        <f>'Tax Depr Form 2.1 p.2'!F37+'Tax Depr Form 2.1 p.3'!F37</f>
        <v>716548</v>
      </c>
      <c r="G37" s="23">
        <f>'Tax Depr Form 2.1 p.2'!G37+'Tax Depr Form 2.1 p.3'!G37</f>
        <v>1014086</v>
      </c>
      <c r="H37" s="23">
        <f>'Tax Depr Form 2.1 p.2'!H37+'Tax Depr Form 2.1 p.3'!H37</f>
        <v>1435413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>
        <f>'Tax Depr Form 2.1 p.2'!AF37+'Tax Depr Form 2.1 p.3'!AF37</f>
        <v>3439410</v>
      </c>
      <c r="AG37" s="23"/>
      <c r="AH37" s="23">
        <f>'Tax Depr Form 2.1 p.2'!AH37+'Tax Depr Form 2.1 p.3'!AH37</f>
        <v>1864544</v>
      </c>
      <c r="AI37" s="23">
        <f>'Tax Depr Form 2.1 p.2'!AI37+'Tax Depr Form 2.1 p.3'!AI37</f>
        <v>1574866</v>
      </c>
      <c r="AJ37" s="23">
        <f>'Tax Depr Form 2.1 p.2'!AJ37+'Tax Depr Form 2.1 p.3'!AJ37-'Tax Depr Form 2.1 p.4 - 7'!G30-'Tax Depr Form 2.1 p.4 - 7'!G63</f>
        <v>408600.0954818508</v>
      </c>
      <c r="AK37" s="23">
        <f>'Tax Depr Form 2.1 p.2'!AK37+'Tax Depr Form 2.1 p.3'!AK37</f>
        <v>0</v>
      </c>
      <c r="AL37" s="23">
        <f>'Tax Depr Form 2.1 p.2'!AL37+'Tax Depr Form 2.1 p.3'!AL37</f>
        <v>0</v>
      </c>
      <c r="AM37" s="23">
        <f t="shared" si="4"/>
        <v>20296680.664656576</v>
      </c>
      <c r="AN37" s="56"/>
      <c r="AT37" s="22"/>
      <c r="AU37" s="152"/>
    </row>
    <row r="38" spans="1:47" ht="11.25">
      <c r="A38" s="143">
        <f t="shared" si="2"/>
        <v>23</v>
      </c>
      <c r="B38" s="229">
        <v>0.02231</v>
      </c>
      <c r="C38" s="143">
        <f t="shared" si="3"/>
        <v>21</v>
      </c>
      <c r="D38" s="23">
        <f>'Tax Depr Form 2.1 p.2'!D38+'Tax Depr Form 2.1 p.3'!D38</f>
        <v>25743</v>
      </c>
      <c r="E38" s="23">
        <f>'Tax Depr Form 2.1 p.2'!E38+'Tax Depr Form 2.1 p.3'!E38</f>
        <v>110969</v>
      </c>
      <c r="F38" s="23">
        <f>'Tax Depr Form 2.1 p.2'!F38+'Tax Depr Form 2.1 p.3'!F38</f>
        <v>716387</v>
      </c>
      <c r="G38" s="23">
        <f>'Tax Depr Form 2.1 p.2'!G38+'Tax Depr Form 2.1 p.3'!G38</f>
        <v>1014313</v>
      </c>
      <c r="H38" s="23">
        <f>'Tax Depr Form 2.1 p.2'!H38+'Tax Depr Form 2.1 p.3'!H38</f>
        <v>1435091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>
        <f>'Tax Depr Form 2.1 p.2'!AF38+'Tax Depr Form 2.1 p.3'!AF38</f>
        <v>3302503</v>
      </c>
      <c r="AG38" s="23"/>
      <c r="AH38" s="23">
        <f>'Tax Depr Form 2.1 p.2'!AH38+'Tax Depr Form 2.1 p.3'!AH38</f>
        <v>1864544</v>
      </c>
      <c r="AI38" s="23">
        <f>'Tax Depr Form 2.1 p.2'!AI38+'Tax Depr Form 2.1 p.3'!AI38</f>
        <v>1437959</v>
      </c>
      <c r="AJ38" s="23">
        <f>'Tax Depr Form 2.1 p.2'!AJ38+'Tax Depr Form 2.1 p.3'!AJ38-'Tax Depr Form 2.1 p.4 - 7'!G31-'Tax Depr Form 2.1 p.4 - 7'!G64</f>
        <v>366607.8095829431</v>
      </c>
      <c r="AK38" s="23">
        <f>'Tax Depr Form 2.1 p.2'!AK38+'Tax Depr Form 2.1 p.3'!AK38</f>
        <v>0</v>
      </c>
      <c r="AL38" s="23">
        <f>'Tax Depr Form 2.1 p.2'!AL38+'Tax Depr Form 2.1 p.3'!AL38</f>
        <v>0</v>
      </c>
      <c r="AM38" s="23">
        <f t="shared" si="4"/>
        <v>20663288.47423952</v>
      </c>
      <c r="AN38" s="56"/>
      <c r="AT38" s="22"/>
      <c r="AU38" s="152"/>
    </row>
    <row r="39" spans="1:40" ht="11.25">
      <c r="A39" s="143">
        <f t="shared" si="2"/>
        <v>24</v>
      </c>
      <c r="B39" s="229"/>
      <c r="C39" s="143">
        <f t="shared" si="3"/>
        <v>22</v>
      </c>
      <c r="D39" s="23">
        <f>'Tax Depr Form 2.1 p.2'!D39+'Tax Depr Form 2.1 p.3'!D39</f>
        <v>0</v>
      </c>
      <c r="E39" s="23">
        <f>'Tax Depr Form 2.1 p.2'!E39+'Tax Depr Form 2.1 p.3'!E39</f>
        <v>0</v>
      </c>
      <c r="F39" s="23">
        <f>'Tax Depr Form 2.1 p.2'!F39+'Tax Depr Form 2.1 p.3'!F39</f>
        <v>358274</v>
      </c>
      <c r="G39" s="23">
        <f>'Tax Depr Form 2.1 p.2'!G39+'Tax Depr Form 2.1 p.3'!G39</f>
        <v>1014086</v>
      </c>
      <c r="H39" s="23">
        <f>'Tax Depr Form 2.1 p.2'!H39+'Tax Depr Form 2.1 p.3'!H39</f>
        <v>1435413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>
        <f>'Tax Depr Form 2.1 p.2'!AF39+'Tax Depr Form 2.1 p.3'!AF39</f>
        <v>2807773</v>
      </c>
      <c r="AH39" s="23">
        <f>'Tax Depr Form 2.1 p.2'!AH39+'Tax Depr Form 2.1 p.3'!AH39</f>
        <v>1864544</v>
      </c>
      <c r="AI39" s="23">
        <f>'Tax Depr Form 2.1 p.2'!AI39+'Tax Depr Form 2.1 p.3'!AI39</f>
        <v>943229</v>
      </c>
      <c r="AJ39" s="23">
        <f>'Tax Depr Form 2.1 p.2'!AJ39+'Tax Depr Form 2.1 p.3'!AJ39-'Tax Depr Form 2.1 p.4 - 7'!G65</f>
        <v>235336</v>
      </c>
      <c r="AK39" s="23">
        <f>'Tax Depr Form 2.1 p.2'!AK39+'Tax Depr Form 2.1 p.3'!AK39</f>
        <v>0</v>
      </c>
      <c r="AL39" s="23">
        <f>'Tax Depr Form 2.1 p.2'!AL39+'Tax Depr Form 2.1 p.3'!AL39</f>
        <v>0</v>
      </c>
      <c r="AM39" s="23">
        <f t="shared" si="4"/>
        <v>20898624.47423952</v>
      </c>
      <c r="AN39" s="56"/>
    </row>
    <row r="40" spans="1:39" ht="11.25">
      <c r="A40" s="143">
        <f t="shared" si="2"/>
        <v>25</v>
      </c>
      <c r="B40" s="229"/>
      <c r="C40" s="143"/>
      <c r="E40" s="23">
        <f>'Tax Depr Form 2.1 p.2'!E40+'Tax Depr Form 2.1 p.3'!E40</f>
        <v>0</v>
      </c>
      <c r="F40" s="23"/>
      <c r="G40" s="23">
        <f>'Tax Depr Form 2.1 p.2'!G40+'Tax Depr Form 2.1 p.3'!G40</f>
        <v>507157</v>
      </c>
      <c r="H40" s="23">
        <f>'Tax Depr Form 2.1 p.2'!H40+'Tax Depr Form 2.1 p.3'!H40</f>
        <v>1435091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>
        <f>'Tax Depr Form 2.1 p.2'!AF40+'Tax Depr Form 2.1 p.3'!AF40</f>
        <v>1942248</v>
      </c>
      <c r="AH40" s="23">
        <f>'Tax Depr Form 2.1 p.2'!AH40+'Tax Depr Form 2.1 p.3'!AH40</f>
        <v>1864544</v>
      </c>
      <c r="AI40" s="23">
        <f>'Tax Depr Form 2.1 p.2'!AI40+'Tax Depr Form 2.1 p.3'!AI40</f>
        <v>77704</v>
      </c>
      <c r="AJ40" s="23">
        <f>'Tax Depr Form 2.1 p.2'!AJ40+'Tax Depr Form 2.1 p.3'!AJ40-'Tax Depr Form 2.1 p.4 - 7'!G66</f>
        <v>19387</v>
      </c>
      <c r="AK40" s="23">
        <f>'Tax Depr Form 2.1 p.2'!AK40+'Tax Depr Form 2.1 p.3'!AK40</f>
        <v>0</v>
      </c>
      <c r="AL40" s="23">
        <f>'Tax Depr Form 2.1 p.2'!AL40+'Tax Depr Form 2.1 p.3'!AL40</f>
        <v>0</v>
      </c>
      <c r="AM40" s="23">
        <f t="shared" si="4"/>
        <v>20918011.47423952</v>
      </c>
    </row>
    <row r="41" spans="1:39" ht="11.25">
      <c r="A41" s="143">
        <f t="shared" si="2"/>
        <v>26</v>
      </c>
      <c r="B41" s="229"/>
      <c r="C41" s="143"/>
      <c r="F41" s="23"/>
      <c r="G41" s="23"/>
      <c r="H41" s="23">
        <f>'Tax Depr Form 2.1 p.2'!H41+'Tax Depr Form 2.1 p.3'!H41</f>
        <v>717706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>
        <f>'Tax Depr Form 2.1 p.2'!AF41+'Tax Depr Form 2.1 p.3'!AF41</f>
        <v>717706</v>
      </c>
      <c r="AH41" s="23">
        <f>'Tax Depr Form 2.1 p.2'!AH41+'Tax Depr Form 2.1 p.3'!AH41</f>
        <v>1864544</v>
      </c>
      <c r="AI41" s="23">
        <f>'Tax Depr Form 2.1 p.2'!AI41+'Tax Depr Form 2.1 p.3'!AI41</f>
        <v>-1146838</v>
      </c>
      <c r="AJ41" s="23">
        <f>'Tax Depr Form 2.1 p.2'!AJ41+'Tax Depr Form 2.1 p.3'!AJ41-'Tax Depr Form 2.1 p.4 - 7'!G67</f>
        <v>-286136</v>
      </c>
      <c r="AK41" s="23">
        <f>'Tax Depr Form 2.1 p.2'!AK41+'Tax Depr Form 2.1 p.3'!AK41</f>
        <v>0</v>
      </c>
      <c r="AL41" s="23">
        <f>'Tax Depr Form 2.1 p.2'!AL41+'Tax Depr Form 2.1 p.3'!AL41</f>
        <v>0</v>
      </c>
      <c r="AM41" s="23">
        <f>AM40+AJ41+AK41+AL41</f>
        <v>20631875.47423952</v>
      </c>
    </row>
    <row r="42" spans="1:40" ht="11.25">
      <c r="A42" s="143">
        <f t="shared" si="2"/>
        <v>27</v>
      </c>
      <c r="D42" s="116">
        <f>SUM(D18:D39)</f>
        <v>2770289</v>
      </c>
      <c r="E42" s="116">
        <f>SUM(E18:E39)</f>
        <v>12250432</v>
      </c>
      <c r="F42" s="116">
        <f aca="true" t="shared" si="5" ref="F42:AE42">SUM(F18:F39)</f>
        <v>22455841</v>
      </c>
      <c r="G42" s="116">
        <f>SUM(G18:G40)</f>
        <v>35205687</v>
      </c>
      <c r="H42" s="116">
        <f>SUM(H18:H41)</f>
        <v>43345795</v>
      </c>
      <c r="I42" s="116">
        <f t="shared" si="5"/>
        <v>0</v>
      </c>
      <c r="J42" s="116">
        <f t="shared" si="5"/>
        <v>0</v>
      </c>
      <c r="K42" s="116">
        <f t="shared" si="5"/>
        <v>0</v>
      </c>
      <c r="L42" s="116">
        <f t="shared" si="5"/>
        <v>0</v>
      </c>
      <c r="M42" s="116">
        <f t="shared" si="5"/>
        <v>0</v>
      </c>
      <c r="N42" s="116">
        <f t="shared" si="5"/>
        <v>0</v>
      </c>
      <c r="O42" s="116">
        <f t="shared" si="5"/>
        <v>0</v>
      </c>
      <c r="P42" s="116">
        <f t="shared" si="5"/>
        <v>0</v>
      </c>
      <c r="Q42" s="116">
        <f t="shared" si="5"/>
        <v>0</v>
      </c>
      <c r="R42" s="116">
        <f t="shared" si="5"/>
        <v>0</v>
      </c>
      <c r="S42" s="116">
        <f t="shared" si="5"/>
        <v>0</v>
      </c>
      <c r="T42" s="116">
        <f t="shared" si="5"/>
        <v>0</v>
      </c>
      <c r="U42" s="116">
        <f t="shared" si="5"/>
        <v>0</v>
      </c>
      <c r="V42" s="116">
        <f t="shared" si="5"/>
        <v>0</v>
      </c>
      <c r="W42" s="116">
        <f t="shared" si="5"/>
        <v>0</v>
      </c>
      <c r="X42" s="116">
        <f t="shared" si="5"/>
        <v>0</v>
      </c>
      <c r="Y42" s="116">
        <f t="shared" si="5"/>
        <v>0</v>
      </c>
      <c r="Z42" s="116">
        <f t="shared" si="5"/>
        <v>0</v>
      </c>
      <c r="AA42" s="116">
        <f t="shared" si="5"/>
        <v>0</v>
      </c>
      <c r="AB42" s="116">
        <f t="shared" si="5"/>
        <v>0</v>
      </c>
      <c r="AC42" s="116">
        <f t="shared" si="5"/>
        <v>0</v>
      </c>
      <c r="AD42" s="116">
        <f t="shared" si="5"/>
        <v>0</v>
      </c>
      <c r="AE42" s="116">
        <f t="shared" si="5"/>
        <v>0</v>
      </c>
      <c r="AF42" s="116">
        <f>SUM(AF18:AF41)</f>
        <v>116028044</v>
      </c>
      <c r="AG42" s="116">
        <f>SUM(AG18:AG41)</f>
        <v>5913440.441046152</v>
      </c>
      <c r="AH42" s="116">
        <f>SUM(AH18:AH41)</f>
        <v>40839387.17559102</v>
      </c>
      <c r="AI42" s="23"/>
      <c r="AJ42" s="23"/>
      <c r="AK42" s="23"/>
      <c r="AL42" s="23"/>
      <c r="AM42" s="116"/>
      <c r="AN42" s="116"/>
    </row>
    <row r="43" spans="4:40" ht="11.25"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23"/>
      <c r="AG43" s="116"/>
      <c r="AH43" s="23"/>
      <c r="AI43" s="23"/>
      <c r="AJ43" s="23"/>
      <c r="AK43" s="23"/>
      <c r="AL43" s="23"/>
      <c r="AM43" s="116"/>
      <c r="AN43" s="116"/>
    </row>
    <row r="44" spans="1:40" ht="11.25">
      <c r="A44" s="115" t="s">
        <v>131</v>
      </c>
      <c r="F44" s="116"/>
      <c r="AF44" s="116"/>
      <c r="AG44" s="116"/>
      <c r="AH44" s="23"/>
      <c r="AI44" s="23"/>
      <c r="AJ44" s="153"/>
      <c r="AK44" s="153"/>
      <c r="AL44" s="153"/>
      <c r="AM44" s="116"/>
      <c r="AN44" s="116"/>
    </row>
    <row r="45" spans="1:38" ht="11.25">
      <c r="A45" s="115" t="s">
        <v>249</v>
      </c>
      <c r="AH45" s="116"/>
      <c r="AI45" s="23"/>
      <c r="AJ45" s="23"/>
      <c r="AK45" s="23"/>
      <c r="AL45" s="23"/>
    </row>
    <row r="46" spans="1:38" ht="11.25">
      <c r="A46" s="115" t="s">
        <v>239</v>
      </c>
      <c r="AH46" s="116"/>
      <c r="AI46" s="23"/>
      <c r="AJ46" s="23"/>
      <c r="AK46" s="23"/>
      <c r="AL46" s="23"/>
    </row>
    <row r="47" spans="4:39" ht="11.25">
      <c r="D47" s="156"/>
      <c r="E47" s="156"/>
      <c r="F47" s="156"/>
      <c r="AM47" s="116"/>
    </row>
    <row r="48" spans="4:39" ht="11.25">
      <c r="D48" s="156"/>
      <c r="E48" s="156"/>
      <c r="F48" s="156"/>
      <c r="AM48" s="116"/>
    </row>
    <row r="49" ht="11.25">
      <c r="AM49" s="116"/>
    </row>
    <row r="50" ht="11.25">
      <c r="AM50" s="116"/>
    </row>
    <row r="53" ht="11.25">
      <c r="AF53" s="116"/>
    </row>
    <row r="54" ht="11.25">
      <c r="AF54" s="116"/>
    </row>
    <row r="55" ht="11.25">
      <c r="AF55" s="116"/>
    </row>
    <row r="56" ht="11.25">
      <c r="AF56" s="116"/>
    </row>
    <row r="57" spans="7:32" ht="11.25">
      <c r="G57" s="23"/>
      <c r="AF57" s="116"/>
    </row>
    <row r="58" spans="7:32" ht="11.25">
      <c r="G58" s="23"/>
      <c r="H58" s="23"/>
      <c r="AF58" s="116"/>
    </row>
    <row r="59" spans="7:32" ht="11.25">
      <c r="G59" s="23"/>
      <c r="H59" s="23"/>
      <c r="I59" s="23"/>
      <c r="AF59" s="116"/>
    </row>
    <row r="60" spans="7:32" ht="11.25">
      <c r="G60" s="23"/>
      <c r="H60" s="23"/>
      <c r="I60" s="23"/>
      <c r="J60" s="23"/>
      <c r="AF60" s="116"/>
    </row>
    <row r="61" spans="7:32" ht="11.25">
      <c r="G61" s="23"/>
      <c r="H61" s="23"/>
      <c r="I61" s="23"/>
      <c r="J61" s="23"/>
      <c r="K61" s="23"/>
      <c r="AF61" s="116"/>
    </row>
    <row r="62" spans="7:32" ht="11.25"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116"/>
    </row>
    <row r="63" spans="7:33" ht="11.25"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116"/>
      <c r="AG63" s="116"/>
    </row>
    <row r="64" spans="7:33" ht="11.25"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116"/>
      <c r="AG64" s="116"/>
    </row>
    <row r="65" spans="7:33" ht="11.25"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116"/>
      <c r="AG65" s="116"/>
    </row>
    <row r="66" spans="7:31" ht="11.25"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</row>
    <row r="67" spans="8:31" ht="11.25"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9:31" ht="11.25"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</row>
    <row r="69" spans="10:31" ht="11.25"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</row>
    <row r="70" spans="11:31" ht="11.25"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</row>
    <row r="71" spans="12:31" ht="11.25"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</row>
  </sheetData>
  <sheetProtection/>
  <mergeCells count="4">
    <mergeCell ref="A3:AM3"/>
    <mergeCell ref="A4:AM4"/>
    <mergeCell ref="D15:AG15"/>
    <mergeCell ref="A5:AM5"/>
  </mergeCells>
  <printOptions horizontalCentered="1"/>
  <pageMargins left="0.5" right="0.5" top="0.5" bottom="0.5" header="0.5" footer="0.5"/>
  <pageSetup fitToHeight="1" fitToWidth="1" horizontalDpi="600" verticalDpi="600" orientation="landscape" scale="64" r:id="rId1"/>
  <ignoredErrors>
    <ignoredError sqref="D11" formula="1"/>
    <ignoredError sqref="F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7"/>
  <sheetViews>
    <sheetView zoomScale="90" zoomScaleNormal="90" zoomScaleSheetLayoutView="80" zoomScalePageLayoutView="0" workbookViewId="0" topLeftCell="A95">
      <selection activeCell="D53" sqref="D53:H57"/>
    </sheetView>
  </sheetViews>
  <sheetFormatPr defaultColWidth="9.140625" defaultRowHeight="12.75"/>
  <cols>
    <col min="1" max="1" width="3.8515625" style="143" customWidth="1"/>
    <col min="2" max="2" width="17.421875" style="24" customWidth="1"/>
    <col min="3" max="3" width="14.57421875" style="24" customWidth="1"/>
    <col min="4" max="4" width="13.00390625" style="24" bestFit="1" customWidth="1"/>
    <col min="5" max="5" width="12.00390625" style="24" bestFit="1" customWidth="1"/>
    <col min="6" max="6" width="11.00390625" style="24" customWidth="1"/>
    <col min="7" max="7" width="12.00390625" style="24" customWidth="1"/>
    <col min="8" max="8" width="12.140625" style="24" customWidth="1"/>
    <col min="9" max="9" width="11.140625" style="24" hidden="1" customWidth="1"/>
    <col min="10" max="10" width="11.00390625" style="24" hidden="1" customWidth="1"/>
    <col min="11" max="11" width="11.421875" style="24" hidden="1" customWidth="1"/>
    <col min="12" max="31" width="12.8515625" style="24" hidden="1" customWidth="1"/>
    <col min="32" max="32" width="11.421875" style="24" bestFit="1" customWidth="1"/>
    <col min="33" max="33" width="10.00390625" style="24" bestFit="1" customWidth="1"/>
    <col min="34" max="34" width="12.57421875" style="24" bestFit="1" customWidth="1"/>
    <col min="35" max="35" width="11.00390625" style="24" bestFit="1" customWidth="1"/>
    <col min="36" max="36" width="12.421875" style="24" bestFit="1" customWidth="1"/>
    <col min="37" max="37" width="16.57421875" style="24" bestFit="1" customWidth="1"/>
    <col min="38" max="38" width="13.00390625" style="24" bestFit="1" customWidth="1"/>
    <col min="39" max="39" width="14.421875" style="24" bestFit="1" customWidth="1"/>
    <col min="40" max="40" width="11.8515625" style="24" bestFit="1" customWidth="1"/>
    <col min="41" max="42" width="9.140625" style="24" customWidth="1"/>
    <col min="43" max="43" width="10.00390625" style="24" bestFit="1" customWidth="1"/>
    <col min="44" max="16384" width="9.140625" style="24" customWidth="1"/>
  </cols>
  <sheetData>
    <row r="1" spans="2:39" ht="11.25">
      <c r="B1" s="141"/>
      <c r="S1" s="63"/>
      <c r="AM1" s="63" t="s">
        <v>259</v>
      </c>
    </row>
    <row r="2" spans="8:39" ht="11.25">
      <c r="H2" s="63"/>
      <c r="R2" s="56"/>
      <c r="S2" s="56"/>
      <c r="AM2" s="63" t="s">
        <v>328</v>
      </c>
    </row>
    <row r="3" spans="1:39" ht="11.25">
      <c r="A3" s="237" t="s">
        <v>12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</row>
    <row r="4" spans="1:39" ht="11.25">
      <c r="A4" s="237" t="s">
        <v>256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</row>
    <row r="5" spans="1:39" ht="11.25">
      <c r="A5" s="237" t="s">
        <v>136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</row>
    <row r="6" ht="11.25">
      <c r="B6" s="59"/>
    </row>
    <row r="7" spans="2:38" ht="12.75" customHeight="1">
      <c r="B7" s="31"/>
      <c r="AJ7" s="144"/>
      <c r="AK7" s="144"/>
      <c r="AL7" s="144"/>
    </row>
    <row r="8" spans="8:44" ht="11.25">
      <c r="H8" s="114"/>
      <c r="I8" s="114">
        <f aca="true" t="shared" si="0" ref="I8:AE8">+H8+1</f>
        <v>1</v>
      </c>
      <c r="J8" s="114">
        <f t="shared" si="0"/>
        <v>2</v>
      </c>
      <c r="K8" s="114">
        <f t="shared" si="0"/>
        <v>3</v>
      </c>
      <c r="L8" s="114">
        <f t="shared" si="0"/>
        <v>4</v>
      </c>
      <c r="M8" s="114">
        <f t="shared" si="0"/>
        <v>5</v>
      </c>
      <c r="N8" s="114">
        <f t="shared" si="0"/>
        <v>6</v>
      </c>
      <c r="O8" s="114">
        <f t="shared" si="0"/>
        <v>7</v>
      </c>
      <c r="P8" s="114">
        <f t="shared" si="0"/>
        <v>8</v>
      </c>
      <c r="Q8" s="114">
        <f t="shared" si="0"/>
        <v>9</v>
      </c>
      <c r="R8" s="114">
        <f>+Q8+1</f>
        <v>10</v>
      </c>
      <c r="S8" s="114">
        <f t="shared" si="0"/>
        <v>11</v>
      </c>
      <c r="T8" s="114">
        <f t="shared" si="0"/>
        <v>12</v>
      </c>
      <c r="U8" s="114">
        <f t="shared" si="0"/>
        <v>13</v>
      </c>
      <c r="V8" s="114">
        <f t="shared" si="0"/>
        <v>14</v>
      </c>
      <c r="W8" s="114">
        <f t="shared" si="0"/>
        <v>15</v>
      </c>
      <c r="X8" s="114">
        <f t="shared" si="0"/>
        <v>16</v>
      </c>
      <c r="Y8" s="114">
        <f t="shared" si="0"/>
        <v>17</v>
      </c>
      <c r="Z8" s="114">
        <f t="shared" si="0"/>
        <v>18</v>
      </c>
      <c r="AA8" s="114">
        <f t="shared" si="0"/>
        <v>19</v>
      </c>
      <c r="AB8" s="114">
        <f t="shared" si="0"/>
        <v>20</v>
      </c>
      <c r="AC8" s="114">
        <f t="shared" si="0"/>
        <v>21</v>
      </c>
      <c r="AD8" s="114">
        <f t="shared" si="0"/>
        <v>22</v>
      </c>
      <c r="AE8" s="114">
        <f t="shared" si="0"/>
        <v>23</v>
      </c>
      <c r="AF8" s="114" t="s">
        <v>14</v>
      </c>
      <c r="AG8" s="114"/>
      <c r="AI8" s="114"/>
      <c r="AJ8" s="114" t="s">
        <v>49</v>
      </c>
      <c r="AK8" s="114" t="s">
        <v>16</v>
      </c>
      <c r="AL8" s="114" t="s">
        <v>185</v>
      </c>
      <c r="AM8" s="114" t="s">
        <v>16</v>
      </c>
      <c r="AN8" s="56"/>
      <c r="AQ8" s="157">
        <v>0.389</v>
      </c>
      <c r="AR8" s="24" t="s">
        <v>237</v>
      </c>
    </row>
    <row r="9" spans="1:44" ht="11.25">
      <c r="A9" s="114" t="s">
        <v>1</v>
      </c>
      <c r="B9" s="31" t="s">
        <v>133</v>
      </c>
      <c r="D9" s="114" t="s">
        <v>233</v>
      </c>
      <c r="E9" s="114" t="s">
        <v>234</v>
      </c>
      <c r="F9" s="114">
        <v>2018</v>
      </c>
      <c r="G9" s="114">
        <f>+F9+1</f>
        <v>2019</v>
      </c>
      <c r="H9" s="114">
        <f>+G9+1</f>
        <v>2020</v>
      </c>
      <c r="I9" s="114" t="s">
        <v>17</v>
      </c>
      <c r="J9" s="114" t="s">
        <v>18</v>
      </c>
      <c r="K9" s="114" t="s">
        <v>19</v>
      </c>
      <c r="L9" s="114" t="s">
        <v>28</v>
      </c>
      <c r="M9" s="114" t="s">
        <v>29</v>
      </c>
      <c r="N9" s="114" t="s">
        <v>30</v>
      </c>
      <c r="O9" s="114" t="s">
        <v>31</v>
      </c>
      <c r="P9" s="114" t="s">
        <v>32</v>
      </c>
      <c r="Q9" s="114" t="s">
        <v>33</v>
      </c>
      <c r="R9" s="114" t="s">
        <v>34</v>
      </c>
      <c r="S9" s="114" t="s">
        <v>35</v>
      </c>
      <c r="T9" s="114" t="s">
        <v>36</v>
      </c>
      <c r="U9" s="114" t="s">
        <v>37</v>
      </c>
      <c r="V9" s="114" t="s">
        <v>39</v>
      </c>
      <c r="W9" s="114" t="s">
        <v>40</v>
      </c>
      <c r="X9" s="114" t="s">
        <v>41</v>
      </c>
      <c r="Y9" s="114" t="s">
        <v>42</v>
      </c>
      <c r="Z9" s="114" t="s">
        <v>43</v>
      </c>
      <c r="AA9" s="114" t="s">
        <v>44</v>
      </c>
      <c r="AB9" s="114" t="s">
        <v>45</v>
      </c>
      <c r="AC9" s="114" t="s">
        <v>46</v>
      </c>
      <c r="AD9" s="114" t="s">
        <v>47</v>
      </c>
      <c r="AE9" s="114" t="s">
        <v>48</v>
      </c>
      <c r="AF9" s="114" t="s">
        <v>20</v>
      </c>
      <c r="AG9" s="114" t="s">
        <v>127</v>
      </c>
      <c r="AH9" s="114" t="s">
        <v>15</v>
      </c>
      <c r="AI9" s="114"/>
      <c r="AJ9" s="114" t="s">
        <v>21</v>
      </c>
      <c r="AK9" s="114" t="s">
        <v>189</v>
      </c>
      <c r="AL9" s="114" t="s">
        <v>187</v>
      </c>
      <c r="AM9" s="114" t="s">
        <v>22</v>
      </c>
      <c r="AN9" s="56"/>
      <c r="AQ9" s="157">
        <v>0.2495</v>
      </c>
      <c r="AR9" s="24" t="s">
        <v>238</v>
      </c>
    </row>
    <row r="10" spans="1:40" ht="14.25">
      <c r="A10" s="59" t="s">
        <v>2</v>
      </c>
      <c r="B10" s="146" t="s">
        <v>132</v>
      </c>
      <c r="C10" s="59" t="s">
        <v>0</v>
      </c>
      <c r="D10" s="59" t="s">
        <v>24</v>
      </c>
      <c r="E10" s="59" t="s">
        <v>24</v>
      </c>
      <c r="F10" s="59" t="s">
        <v>24</v>
      </c>
      <c r="G10" s="59" t="s">
        <v>24</v>
      </c>
      <c r="H10" s="59" t="s">
        <v>24</v>
      </c>
      <c r="I10" s="59" t="s">
        <v>24</v>
      </c>
      <c r="J10" s="59" t="s">
        <v>24</v>
      </c>
      <c r="K10" s="59" t="s">
        <v>24</v>
      </c>
      <c r="L10" s="59" t="s">
        <v>24</v>
      </c>
      <c r="M10" s="59" t="s">
        <v>24</v>
      </c>
      <c r="N10" s="59" t="s">
        <v>24</v>
      </c>
      <c r="O10" s="59" t="s">
        <v>24</v>
      </c>
      <c r="P10" s="59" t="s">
        <v>24</v>
      </c>
      <c r="Q10" s="59" t="s">
        <v>24</v>
      </c>
      <c r="R10" s="59" t="s">
        <v>24</v>
      </c>
      <c r="S10" s="59" t="s">
        <v>24</v>
      </c>
      <c r="T10" s="59" t="s">
        <v>24</v>
      </c>
      <c r="U10" s="59" t="s">
        <v>24</v>
      </c>
      <c r="V10" s="59" t="s">
        <v>24</v>
      </c>
      <c r="W10" s="59" t="s">
        <v>24</v>
      </c>
      <c r="X10" s="59" t="s">
        <v>24</v>
      </c>
      <c r="Y10" s="59" t="s">
        <v>24</v>
      </c>
      <c r="Z10" s="59" t="s">
        <v>24</v>
      </c>
      <c r="AA10" s="59" t="s">
        <v>24</v>
      </c>
      <c r="AB10" s="59" t="s">
        <v>24</v>
      </c>
      <c r="AC10" s="59" t="s">
        <v>24</v>
      </c>
      <c r="AD10" s="59" t="s">
        <v>24</v>
      </c>
      <c r="AE10" s="59" t="s">
        <v>24</v>
      </c>
      <c r="AF10" s="59" t="s">
        <v>25</v>
      </c>
      <c r="AG10" s="59" t="s">
        <v>128</v>
      </c>
      <c r="AH10" s="59" t="s">
        <v>25</v>
      </c>
      <c r="AI10" s="59" t="s">
        <v>26</v>
      </c>
      <c r="AJ10" s="230" t="s">
        <v>241</v>
      </c>
      <c r="AK10" s="59" t="s">
        <v>190</v>
      </c>
      <c r="AL10" s="59" t="s">
        <v>188</v>
      </c>
      <c r="AM10" s="59" t="s">
        <v>27</v>
      </c>
      <c r="AN10" s="56"/>
    </row>
    <row r="11" spans="1:40" ht="11.25">
      <c r="A11" s="59"/>
      <c r="B11" s="21">
        <v>-1</v>
      </c>
      <c r="C11" s="21">
        <f>+B11-1</f>
        <v>-2</v>
      </c>
      <c r="D11" s="21">
        <f>C11-1</f>
        <v>-3</v>
      </c>
      <c r="E11" s="21">
        <f>D11-1</f>
        <v>-4</v>
      </c>
      <c r="F11" s="21">
        <f>E11-1</f>
        <v>-5</v>
      </c>
      <c r="G11" s="21">
        <f aca="true" t="shared" si="1" ref="G11:AH11">+F11-1</f>
        <v>-6</v>
      </c>
      <c r="H11" s="21">
        <f t="shared" si="1"/>
        <v>-7</v>
      </c>
      <c r="I11" s="21">
        <f t="shared" si="1"/>
        <v>-8</v>
      </c>
      <c r="J11" s="21">
        <f t="shared" si="1"/>
        <v>-9</v>
      </c>
      <c r="K11" s="21">
        <f t="shared" si="1"/>
        <v>-10</v>
      </c>
      <c r="L11" s="21">
        <f t="shared" si="1"/>
        <v>-11</v>
      </c>
      <c r="M11" s="21">
        <f t="shared" si="1"/>
        <v>-12</v>
      </c>
      <c r="N11" s="21">
        <f t="shared" si="1"/>
        <v>-13</v>
      </c>
      <c r="O11" s="21">
        <f t="shared" si="1"/>
        <v>-14</v>
      </c>
      <c r="P11" s="21">
        <f t="shared" si="1"/>
        <v>-15</v>
      </c>
      <c r="Q11" s="21">
        <f t="shared" si="1"/>
        <v>-16</v>
      </c>
      <c r="R11" s="21">
        <f>+Q11-1</f>
        <v>-17</v>
      </c>
      <c r="S11" s="21">
        <f t="shared" si="1"/>
        <v>-18</v>
      </c>
      <c r="T11" s="21">
        <f t="shared" si="1"/>
        <v>-19</v>
      </c>
      <c r="U11" s="21">
        <f t="shared" si="1"/>
        <v>-20</v>
      </c>
      <c r="V11" s="21">
        <f t="shared" si="1"/>
        <v>-21</v>
      </c>
      <c r="W11" s="21">
        <f t="shared" si="1"/>
        <v>-22</v>
      </c>
      <c r="X11" s="21">
        <f t="shared" si="1"/>
        <v>-23</v>
      </c>
      <c r="Y11" s="21">
        <f t="shared" si="1"/>
        <v>-24</v>
      </c>
      <c r="Z11" s="21">
        <f t="shared" si="1"/>
        <v>-25</v>
      </c>
      <c r="AA11" s="21">
        <f t="shared" si="1"/>
        <v>-26</v>
      </c>
      <c r="AB11" s="21">
        <f t="shared" si="1"/>
        <v>-27</v>
      </c>
      <c r="AC11" s="21">
        <f t="shared" si="1"/>
        <v>-28</v>
      </c>
      <c r="AD11" s="21">
        <f t="shared" si="1"/>
        <v>-29</v>
      </c>
      <c r="AE11" s="21">
        <f t="shared" si="1"/>
        <v>-30</v>
      </c>
      <c r="AF11" s="21">
        <f>G11-1</f>
        <v>-7</v>
      </c>
      <c r="AG11" s="21">
        <f t="shared" si="1"/>
        <v>-8</v>
      </c>
      <c r="AH11" s="21">
        <f t="shared" si="1"/>
        <v>-9</v>
      </c>
      <c r="AI11" s="21">
        <f>+AH11-1</f>
        <v>-10</v>
      </c>
      <c r="AJ11" s="21">
        <f>+AI11-1</f>
        <v>-11</v>
      </c>
      <c r="AK11" s="21">
        <f>+AJ11-1</f>
        <v>-12</v>
      </c>
      <c r="AL11" s="21">
        <f>+AK11-1</f>
        <v>-13</v>
      </c>
      <c r="AM11" s="21">
        <f>+AL11-1</f>
        <v>-14</v>
      </c>
      <c r="AN11" s="56"/>
    </row>
    <row r="12" spans="1:40" ht="11.25">
      <c r="A12" s="59"/>
      <c r="B12" s="147"/>
      <c r="C12" s="114"/>
      <c r="D12" s="117" t="s">
        <v>13</v>
      </c>
      <c r="E12" s="117" t="s">
        <v>13</v>
      </c>
      <c r="F12" s="117" t="s">
        <v>13</v>
      </c>
      <c r="G12" s="117" t="s">
        <v>13</v>
      </c>
      <c r="H12" s="117" t="s">
        <v>13</v>
      </c>
      <c r="I12" s="117" t="s">
        <v>13</v>
      </c>
      <c r="J12" s="117" t="s">
        <v>13</v>
      </c>
      <c r="K12" s="117" t="s">
        <v>13</v>
      </c>
      <c r="L12" s="117" t="s">
        <v>13</v>
      </c>
      <c r="M12" s="117" t="s">
        <v>13</v>
      </c>
      <c r="N12" s="117" t="s">
        <v>13</v>
      </c>
      <c r="O12" s="117" t="s">
        <v>13</v>
      </c>
      <c r="P12" s="117" t="s">
        <v>13</v>
      </c>
      <c r="Q12" s="117" t="s">
        <v>13</v>
      </c>
      <c r="R12" s="117" t="s">
        <v>13</v>
      </c>
      <c r="S12" s="117" t="s">
        <v>13</v>
      </c>
      <c r="T12" s="117" t="s">
        <v>13</v>
      </c>
      <c r="U12" s="117" t="s">
        <v>13</v>
      </c>
      <c r="V12" s="117" t="s">
        <v>13</v>
      </c>
      <c r="W12" s="117" t="s">
        <v>13</v>
      </c>
      <c r="X12" s="117" t="s">
        <v>13</v>
      </c>
      <c r="Y12" s="117" t="s">
        <v>13</v>
      </c>
      <c r="Z12" s="117" t="s">
        <v>13</v>
      </c>
      <c r="AA12" s="117" t="s">
        <v>13</v>
      </c>
      <c r="AB12" s="117" t="s">
        <v>13</v>
      </c>
      <c r="AC12" s="117" t="s">
        <v>13</v>
      </c>
      <c r="AD12" s="117" t="s">
        <v>13</v>
      </c>
      <c r="AE12" s="117" t="s">
        <v>13</v>
      </c>
      <c r="AF12" s="117" t="s">
        <v>13</v>
      </c>
      <c r="AG12" s="114" t="s">
        <v>13</v>
      </c>
      <c r="AH12" s="117" t="s">
        <v>13</v>
      </c>
      <c r="AI12" s="117" t="s">
        <v>13</v>
      </c>
      <c r="AJ12" s="117" t="s">
        <v>13</v>
      </c>
      <c r="AK12" s="117" t="s">
        <v>13</v>
      </c>
      <c r="AL12" s="117" t="s">
        <v>13</v>
      </c>
      <c r="AM12" s="117" t="s">
        <v>13</v>
      </c>
      <c r="AN12" s="56"/>
    </row>
    <row r="13" spans="1:40" ht="11.25">
      <c r="A13" s="59"/>
      <c r="B13" s="148"/>
      <c r="C13" s="14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N13" s="56"/>
    </row>
    <row r="14" spans="1:40" ht="12.75">
      <c r="A14" s="143">
        <v>1</v>
      </c>
      <c r="B14" s="24" t="s">
        <v>297</v>
      </c>
      <c r="C14" s="149"/>
      <c r="D14" s="25">
        <f>SUM('2017 AMRP Calc Form 2.2'!D31:D39)-SUM('2017 AMRP Calc Form 2.2'!F31:F39)+SUM('2017 AMRP Calc Form 2.2'!D61:D69)-SUM('2017 AMRP Calc Form 2.2'!F61:F69)</f>
        <v>2374446.923076923</v>
      </c>
      <c r="E14" s="25">
        <f>SUM('2017 AMRP Calc Form 2.2'!D40:D42)-SUM('2017 AMRP Calc Form 2.2'!F40:F42)+SUM('2017 AMRP Calc Form 2.2'!D70:D72)-SUM('2017 AMRP Calc Form 2.2'!F70:F72)</f>
        <v>12236754.153846154</v>
      </c>
      <c r="F14" s="25">
        <f>'Plant &amp; Book Depr Form 2.0'!H104+'Plant &amp; Book Depr Form 2.0'!H106</f>
        <v>22159793.080000002</v>
      </c>
      <c r="G14" s="25">
        <f>'Plant &amp; Book Depr Form 2.0'!H59+'Plant &amp; Book Depr Form 2.0'!H62</f>
        <v>34689301.53</v>
      </c>
      <c r="H14" s="25">
        <f>'Plant &amp; Book Depr Form 2.0'!H14+'Plant &amp; Book Depr Form 2.0'!H17</f>
        <v>40196976.42999999</v>
      </c>
      <c r="I14" s="25" t="e">
        <f>#REF!+#REF!</f>
        <v>#REF!</v>
      </c>
      <c r="J14" s="25" t="e">
        <f>#REF!+#REF!</f>
        <v>#REF!</v>
      </c>
      <c r="K14" s="25" t="e">
        <f>#REF!+#REF!</f>
        <v>#REF!</v>
      </c>
      <c r="L14" s="25" t="e">
        <f>#REF!+#REF!</f>
        <v>#REF!</v>
      </c>
      <c r="M14" s="25" t="e">
        <f>#REF!+#REF!</f>
        <v>#REF!</v>
      </c>
      <c r="N14" s="25" t="e">
        <f>#REF!+#REF!</f>
        <v>#REF!</v>
      </c>
      <c r="O14" s="25" t="e">
        <f>#REF!+#REF!</f>
        <v>#REF!</v>
      </c>
      <c r="P14" s="25" t="e">
        <f>#REF!+#REF!</f>
        <v>#REF!</v>
      </c>
      <c r="Q14" s="25" t="e">
        <f>#REF!+#REF!</f>
        <v>#REF!</v>
      </c>
      <c r="R14" s="25" t="e">
        <f>#REF!+#REF!</f>
        <v>#REF!</v>
      </c>
      <c r="S14" s="25" t="e">
        <f>#REF!+#REF!</f>
        <v>#REF!</v>
      </c>
      <c r="T14" s="25" t="e">
        <f>#REF!+#REF!</f>
        <v>#REF!</v>
      </c>
      <c r="U14" s="25" t="e">
        <f>#REF!+#REF!</f>
        <v>#REF!</v>
      </c>
      <c r="V14" s="25" t="e">
        <f>#REF!+#REF!</f>
        <v>#REF!</v>
      </c>
      <c r="W14" s="25" t="e">
        <f>#REF!+#REF!</f>
        <v>#REF!</v>
      </c>
      <c r="X14" s="25" t="e">
        <f>#REF!+#REF!</f>
        <v>#REF!</v>
      </c>
      <c r="Y14" s="25" t="e">
        <f>#REF!+#REF!</f>
        <v>#REF!</v>
      </c>
      <c r="Z14" s="25" t="e">
        <f>#REF!+#REF!</f>
        <v>#REF!</v>
      </c>
      <c r="AA14" s="25" t="e">
        <f>#REF!+#REF!</f>
        <v>#REF!</v>
      </c>
      <c r="AB14" s="25" t="e">
        <f>#REF!+#REF!</f>
        <v>#REF!</v>
      </c>
      <c r="AC14" s="25" t="e">
        <f>#REF!+#REF!</f>
        <v>#REF!</v>
      </c>
      <c r="AD14" s="25" t="e">
        <f>#REF!+#REF!</f>
        <v>#REF!</v>
      </c>
      <c r="AE14" s="25" t="e">
        <f>#REF!+#REF!</f>
        <v>#REF!</v>
      </c>
      <c r="AH14" s="116"/>
      <c r="AN14" s="56"/>
    </row>
    <row r="15" spans="1:40" ht="13.5" customHeight="1" thickBot="1">
      <c r="A15" s="59"/>
      <c r="B15" s="148"/>
      <c r="C15" s="149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N15" s="56"/>
    </row>
    <row r="16" spans="1:46" ht="13.5" customHeight="1">
      <c r="A16" s="143">
        <f>A14+1</f>
        <v>2</v>
      </c>
      <c r="B16" s="150" t="s">
        <v>300</v>
      </c>
      <c r="C16" s="149"/>
      <c r="D16" s="32">
        <f>D57+D56</f>
        <v>0.59405829</v>
      </c>
      <c r="E16" s="32">
        <f>E57+E56</f>
        <v>0.59405829</v>
      </c>
      <c r="F16" s="32">
        <f>F57+F56</f>
        <v>0.28813816000000003</v>
      </c>
      <c r="G16" s="32">
        <f>G57+G56</f>
        <v>0.35897878</v>
      </c>
      <c r="H16" s="32">
        <f>H57+H56</f>
        <v>0.27489154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N16" s="56"/>
      <c r="AO16" s="151"/>
      <c r="AP16" s="151"/>
      <c r="AQ16" s="122"/>
      <c r="AR16" s="151"/>
      <c r="AS16" s="151"/>
      <c r="AT16" s="151"/>
    </row>
    <row r="17" spans="2:46" ht="13.5" customHeight="1">
      <c r="B17" s="150"/>
      <c r="C17" s="149"/>
      <c r="D17" s="32"/>
      <c r="E17" s="3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N17" s="56"/>
      <c r="AO17" s="151"/>
      <c r="AP17" s="151"/>
      <c r="AQ17" s="151"/>
      <c r="AR17" s="151"/>
      <c r="AS17" s="151"/>
      <c r="AT17" s="151"/>
    </row>
    <row r="18" spans="1:47" ht="11.25">
      <c r="A18" s="143">
        <f>A16+1</f>
        <v>3</v>
      </c>
      <c r="B18" s="229">
        <v>0.03750000000000009</v>
      </c>
      <c r="C18" s="143">
        <v>1</v>
      </c>
      <c r="D18" s="23">
        <f>ROUND((D$14)*$D$16,0)+ROUND(($D$14-($D$14*$D$16))*B18,0)</f>
        <v>1446706</v>
      </c>
      <c r="E18" s="23">
        <f>ROUND((E$14)*$E$16,0)+ROUND(($E$14-($E$14*$E$16))*B18,0)</f>
        <v>7455623</v>
      </c>
      <c r="AF18" s="23">
        <f>SUM(D18:G18)</f>
        <v>8902329</v>
      </c>
      <c r="AG18" s="23">
        <f>-'2017 AMRP Calc Form 2.2'!J43+'2017 AMRP Calc Form 2.2'!L43-'2017 AMRP Calc Form 2.2'!J73+'2017 AMRP Calc Form 2.2'!L73</f>
        <v>1177207.1538461538</v>
      </c>
      <c r="AH18" s="23">
        <f>'2017 AMRP Calc Form 2.2'!M43+'2017 AMRP Calc Form 2.2'!M73</f>
        <v>55212.968203525634</v>
      </c>
      <c r="AI18" s="116">
        <f>AF18+AG18-AH18</f>
        <v>10024323.185642628</v>
      </c>
      <c r="AJ18" s="23">
        <f>ROUND($AQ$8*AI18,0)</f>
        <v>3899462</v>
      </c>
      <c r="AK18" s="231">
        <f>(($D$14+$E$14)/'Plant &amp; Book Depr Form 2.0'!$E$111)*(-1754877*('2017 AMRP Calc Form 2.2'!D21/37101918.58))</f>
        <v>-1034612.4117770559</v>
      </c>
      <c r="AL18" s="55">
        <v>0</v>
      </c>
      <c r="AM18" s="23">
        <f>+AJ18+AK18+AL18</f>
        <v>2864849.588222944</v>
      </c>
      <c r="AN18" s="56"/>
      <c r="AO18" s="151"/>
      <c r="AP18" s="151"/>
      <c r="AQ18" s="151"/>
      <c r="AR18" s="151"/>
      <c r="AS18" s="151"/>
      <c r="AT18" s="123"/>
      <c r="AU18" s="152"/>
    </row>
    <row r="19" spans="1:47" ht="11.25">
      <c r="A19" s="143">
        <f>A18+1</f>
        <v>4</v>
      </c>
      <c r="B19" s="229">
        <v>0.07219</v>
      </c>
      <c r="C19" s="143">
        <f>+C18+1</f>
        <v>2</v>
      </c>
      <c r="D19" s="23">
        <f aca="true" t="shared" si="2" ref="D19:D38">ROUND(($D$14-($D$14*$D$16))*B19,0)</f>
        <v>69583</v>
      </c>
      <c r="E19" s="23">
        <f>ROUND(($E$14-($E$14*$E$16))*B19,0)</f>
        <v>358597</v>
      </c>
      <c r="F19" s="23">
        <f>ROUND((F$14)*F$16,0)+ROUND((F$14-(F$14*F$16))*$B18,0)</f>
        <v>6976634</v>
      </c>
      <c r="AF19" s="23">
        <f>SUM(D19:G19)</f>
        <v>7404814</v>
      </c>
      <c r="AG19" s="23">
        <f>'Plant &amp; Book Depr Form 2.0'!H125+'Plant &amp; Book Depr Form 2.0'!H127</f>
        <v>1290694.28</v>
      </c>
      <c r="AH19" s="23">
        <f>'Plant &amp; Book Depr Form 2.0'!G104+'Plant &amp; Book Depr Form 2.0'!I104+'Plant &amp; Book Depr Form 2.0'!G106+'Plant &amp; Book Depr Form 2.0'!I106+'Plant &amp; Book Depr Form 2.0'!G114+'Plant &amp; Book Depr Form 2.0'!I114+'Plant &amp; Book Depr Form 2.0'!G116+'Plant &amp; Book Depr Form 2.0'!I116</f>
        <v>515514</v>
      </c>
      <c r="AI19" s="116">
        <f aca="true" t="shared" si="3" ref="AI19:AI40">AF19+AG19-AH19</f>
        <v>8179994.279999999</v>
      </c>
      <c r="AJ19" s="23">
        <f>ROUND($AQ$9*AI19,0)</f>
        <v>2040909</v>
      </c>
      <c r="AK19" s="23">
        <f>($F$14/'Plant &amp; Book Depr Form 2.0'!$H$111)*(43169*('Plant &amp; Book Depr Form 2.0'!H111/42667534.96))</f>
        <v>22420.233753070796</v>
      </c>
      <c r="AL19" s="55">
        <f>-($F$14/'Plant &amp; Book Depr Form 2.0'!$H$111)*(1299131)*0</f>
        <v>0</v>
      </c>
      <c r="AM19" s="23">
        <f>AM18+AJ19+AK19+AL19</f>
        <v>4928178.821976015</v>
      </c>
      <c r="AN19" s="154"/>
      <c r="AO19" s="151"/>
      <c r="AP19" s="151"/>
      <c r="AQ19" s="151"/>
      <c r="AR19" s="151"/>
      <c r="AS19" s="151"/>
      <c r="AT19" s="123"/>
      <c r="AU19" s="152"/>
    </row>
    <row r="20" spans="1:47" ht="11.25">
      <c r="A20" s="143">
        <f aca="true" t="shared" si="4" ref="A20:A41">A19+1</f>
        <v>5</v>
      </c>
      <c r="B20" s="229">
        <v>0.06677</v>
      </c>
      <c r="C20" s="143">
        <f aca="true" t="shared" si="5" ref="C20:C39">+C19+1</f>
        <v>3</v>
      </c>
      <c r="D20" s="23">
        <f t="shared" si="2"/>
        <v>64359</v>
      </c>
      <c r="E20" s="23">
        <f aca="true" t="shared" si="6" ref="E20:E38">ROUND(($E$14-($E$14*$E$16))*B20,0)</f>
        <v>331674</v>
      </c>
      <c r="F20" s="23">
        <f>ROUND((F$14-(F$14*F$16))*$B19,0)</f>
        <v>1138776</v>
      </c>
      <c r="G20" s="23">
        <f>ROUND((G$14)*G$16,0)+ROUND((G$14-(G$14*G$16))*$B18,0)</f>
        <v>13286595</v>
      </c>
      <c r="AF20" s="23">
        <f>SUM(D20:G20)</f>
        <v>14821404</v>
      </c>
      <c r="AG20" s="23">
        <f>'Plant &amp; Book Depr Form 2.0'!H82+'Plant &amp; Book Depr Form 2.0'!H85</f>
        <v>1272690.1219999997</v>
      </c>
      <c r="AH20" s="23">
        <f>'Plant &amp; Book Depr Form 2.0'!G59+'Plant &amp; Book Depr Form 2.0'!I59+'Plant &amp; Book Depr Form 2.0'!G62+'Plant &amp; Book Depr Form 2.0'!I62+'Plant &amp; Book Depr Form 2.0'!G70+'Plant &amp; Book Depr Form 2.0'!I70+'Plant &amp; Book Depr Form 2.0'!G73+'Plant &amp; Book Depr Form 2.0'!I73</f>
        <v>1074081</v>
      </c>
      <c r="AI20" s="116">
        <f t="shared" si="3"/>
        <v>15020013.122</v>
      </c>
      <c r="AJ20" s="23">
        <f aca="true" t="shared" si="7" ref="AJ20:AJ40">ROUND($AQ$9*AI20,0)</f>
        <v>3747493</v>
      </c>
      <c r="AK20" s="23">
        <f>($G$14/'Plant &amp; Book Depr Form 2.0'!$H$67)*(6812*('Plant &amp; Book Depr Form 2.0'!H67/55433463.72))</f>
        <v>4262.831621273981</v>
      </c>
      <c r="AL20" s="55">
        <v>0</v>
      </c>
      <c r="AM20" s="23">
        <f aca="true" t="shared" si="8" ref="AM20:AM40">AM19+AJ20+AK20+AL20</f>
        <v>8679934.65359729</v>
      </c>
      <c r="AN20" s="56"/>
      <c r="AO20" s="151"/>
      <c r="AP20" s="151"/>
      <c r="AQ20" s="151"/>
      <c r="AR20" s="151"/>
      <c r="AS20" s="151"/>
      <c r="AT20" s="123"/>
      <c r="AU20" s="152"/>
    </row>
    <row r="21" spans="1:47" ht="11.25">
      <c r="A21" s="143">
        <f t="shared" si="4"/>
        <v>6</v>
      </c>
      <c r="B21" s="229">
        <v>0.06177</v>
      </c>
      <c r="C21" s="143">
        <f t="shared" si="5"/>
        <v>4</v>
      </c>
      <c r="D21" s="23">
        <f t="shared" si="2"/>
        <v>59539</v>
      </c>
      <c r="E21" s="23">
        <f t="shared" si="6"/>
        <v>306837</v>
      </c>
      <c r="F21" s="23">
        <f aca="true" t="shared" si="9" ref="F21:F39">ROUND(($F$14-($F$14*$F$16))*B20,0)</f>
        <v>1053277</v>
      </c>
      <c r="G21" s="23">
        <f>ROUND((G$14-(G$14*G$16))*$B19,0)</f>
        <v>1605259</v>
      </c>
      <c r="H21" s="23">
        <f>ROUND((H$14)*H$16,0)+ROUND((H$14-(H$14*H$16))*$B18,0)</f>
        <v>12142828</v>
      </c>
      <c r="AF21" s="23">
        <f>SUM(D21:H21)</f>
        <v>15167740</v>
      </c>
      <c r="AG21" s="23">
        <f>'Plant &amp; Book Depr Form 2.0'!H37+'Plant &amp; Book Depr Form 2.0'!H40</f>
        <v>2157459.645199999</v>
      </c>
      <c r="AH21" s="23">
        <f>'Plant &amp; Book Depr Form 2.0'!G25+'Plant &amp; Book Depr Form 2.0'!I25+'Plant &amp; Book Depr Form 2.0'!G14+'Plant &amp; Book Depr Form 2.0'!I14+'Plant &amp; Book Depr Form 2.0'!G17+'Plant &amp; Book Depr Form 2.0'!I17+'Plant &amp; Book Depr Form 2.0'!G28+'Plant &amp; Book Depr Form 2.0'!I28</f>
        <v>1805062</v>
      </c>
      <c r="AI21" s="116">
        <f t="shared" si="3"/>
        <v>15520137.6452</v>
      </c>
      <c r="AJ21" s="23">
        <f t="shared" si="7"/>
        <v>3872274</v>
      </c>
      <c r="AK21" s="55">
        <v>0</v>
      </c>
      <c r="AL21" s="55">
        <v>0</v>
      </c>
      <c r="AM21" s="23">
        <f t="shared" si="8"/>
        <v>12552208.65359729</v>
      </c>
      <c r="AN21" s="56"/>
      <c r="AT21" s="22"/>
      <c r="AU21" s="152"/>
    </row>
    <row r="22" spans="1:47" ht="11.25">
      <c r="A22" s="143">
        <f t="shared" si="4"/>
        <v>7</v>
      </c>
      <c r="B22" s="229">
        <v>0.05713</v>
      </c>
      <c r="C22" s="143">
        <f t="shared" si="5"/>
        <v>5</v>
      </c>
      <c r="D22" s="23">
        <f t="shared" si="2"/>
        <v>55067</v>
      </c>
      <c r="E22" s="23">
        <f t="shared" si="6"/>
        <v>283788</v>
      </c>
      <c r="F22" s="23">
        <f t="shared" si="9"/>
        <v>974404</v>
      </c>
      <c r="G22" s="23">
        <f aca="true" t="shared" si="10" ref="G22:G41">ROUND((G$14-(G$14*G$16))*$B20,0)</f>
        <v>1484736</v>
      </c>
      <c r="H22" s="23">
        <f>ROUND((H$14-(H$14*H$16))*$B19,0)</f>
        <v>2104134</v>
      </c>
      <c r="AF22" s="23">
        <f aca="true" t="shared" si="11" ref="AF22:AF40">SUM(D22:H22)</f>
        <v>4902129</v>
      </c>
      <c r="AG22" s="23"/>
      <c r="AH22" s="23">
        <f aca="true" t="shared" si="12" ref="AH22:AH41">AH21</f>
        <v>1805062</v>
      </c>
      <c r="AI22" s="116">
        <f t="shared" si="3"/>
        <v>3097067</v>
      </c>
      <c r="AJ22" s="23">
        <f t="shared" si="7"/>
        <v>772718</v>
      </c>
      <c r="AK22" s="55">
        <v>0</v>
      </c>
      <c r="AL22" s="55">
        <v>0</v>
      </c>
      <c r="AM22" s="23">
        <f t="shared" si="8"/>
        <v>13324926.65359729</v>
      </c>
      <c r="AN22" s="56"/>
      <c r="AT22" s="22"/>
      <c r="AU22" s="152"/>
    </row>
    <row r="23" spans="1:47" ht="11.25">
      <c r="A23" s="143">
        <f t="shared" si="4"/>
        <v>8</v>
      </c>
      <c r="B23" s="229">
        <v>0.05285</v>
      </c>
      <c r="C23" s="143">
        <f t="shared" si="5"/>
        <v>6</v>
      </c>
      <c r="D23" s="23">
        <f t="shared" si="2"/>
        <v>50941</v>
      </c>
      <c r="E23" s="23">
        <f t="shared" si="6"/>
        <v>262528</v>
      </c>
      <c r="F23" s="23">
        <f t="shared" si="9"/>
        <v>901209</v>
      </c>
      <c r="G23" s="23">
        <f t="shared" si="10"/>
        <v>1373553</v>
      </c>
      <c r="H23" s="23">
        <f aca="true" t="shared" si="13" ref="H23:H41">ROUND((H$14-(H$14*H$16))*$B20,0)</f>
        <v>1946156</v>
      </c>
      <c r="AF23" s="23">
        <f t="shared" si="11"/>
        <v>4534387</v>
      </c>
      <c r="AG23" s="23"/>
      <c r="AH23" s="23">
        <f t="shared" si="12"/>
        <v>1805062</v>
      </c>
      <c r="AI23" s="116">
        <f t="shared" si="3"/>
        <v>2729325</v>
      </c>
      <c r="AJ23" s="23">
        <f t="shared" si="7"/>
        <v>680967</v>
      </c>
      <c r="AK23" s="55">
        <v>0</v>
      </c>
      <c r="AL23" s="55">
        <v>0</v>
      </c>
      <c r="AM23" s="23">
        <f t="shared" si="8"/>
        <v>14005893.65359729</v>
      </c>
      <c r="AN23" s="56"/>
      <c r="AT23" s="22"/>
      <c r="AU23" s="152"/>
    </row>
    <row r="24" spans="1:47" ht="11.25">
      <c r="A24" s="143">
        <f t="shared" si="4"/>
        <v>9</v>
      </c>
      <c r="B24" s="229">
        <v>0.04888</v>
      </c>
      <c r="C24" s="143">
        <f t="shared" si="5"/>
        <v>7</v>
      </c>
      <c r="D24" s="23">
        <f t="shared" si="2"/>
        <v>47115</v>
      </c>
      <c r="E24" s="23">
        <f t="shared" si="6"/>
        <v>242807</v>
      </c>
      <c r="F24" s="23">
        <f t="shared" si="9"/>
        <v>833693</v>
      </c>
      <c r="G24" s="23">
        <f t="shared" si="10"/>
        <v>1270376</v>
      </c>
      <c r="H24" s="23">
        <f t="shared" si="13"/>
        <v>1800421</v>
      </c>
      <c r="AF24" s="23">
        <f t="shared" si="11"/>
        <v>4194412</v>
      </c>
      <c r="AG24" s="23"/>
      <c r="AH24" s="23">
        <f t="shared" si="12"/>
        <v>1805062</v>
      </c>
      <c r="AI24" s="116">
        <f t="shared" si="3"/>
        <v>2389350</v>
      </c>
      <c r="AJ24" s="23">
        <f t="shared" si="7"/>
        <v>596143</v>
      </c>
      <c r="AK24" s="23">
        <v>0</v>
      </c>
      <c r="AL24" s="55">
        <v>0</v>
      </c>
      <c r="AM24" s="23">
        <f t="shared" si="8"/>
        <v>14602036.65359729</v>
      </c>
      <c r="AN24" s="56"/>
      <c r="AT24" s="22"/>
      <c r="AU24" s="152"/>
    </row>
    <row r="25" spans="1:47" ht="11.25">
      <c r="A25" s="143">
        <f t="shared" si="4"/>
        <v>10</v>
      </c>
      <c r="B25" s="229">
        <v>0.04522</v>
      </c>
      <c r="C25" s="143">
        <f t="shared" si="5"/>
        <v>8</v>
      </c>
      <c r="D25" s="23">
        <f t="shared" si="2"/>
        <v>43587</v>
      </c>
      <c r="E25" s="23">
        <f t="shared" si="6"/>
        <v>224626</v>
      </c>
      <c r="F25" s="23">
        <f t="shared" si="9"/>
        <v>771068</v>
      </c>
      <c r="G25" s="23">
        <f t="shared" si="10"/>
        <v>1175203</v>
      </c>
      <c r="H25" s="23">
        <f t="shared" si="13"/>
        <v>1665178</v>
      </c>
      <c r="I25" s="23"/>
      <c r="AF25" s="23">
        <f t="shared" si="11"/>
        <v>3879662</v>
      </c>
      <c r="AG25" s="23"/>
      <c r="AH25" s="23">
        <f t="shared" si="12"/>
        <v>1805062</v>
      </c>
      <c r="AI25" s="116">
        <f t="shared" si="3"/>
        <v>2074600</v>
      </c>
      <c r="AJ25" s="23">
        <f t="shared" si="7"/>
        <v>517613</v>
      </c>
      <c r="AK25" s="23">
        <v>0</v>
      </c>
      <c r="AL25" s="55">
        <v>0</v>
      </c>
      <c r="AM25" s="23">
        <f t="shared" si="8"/>
        <v>15119649.65359729</v>
      </c>
      <c r="AN25" s="56"/>
      <c r="AT25" s="22"/>
      <c r="AU25" s="152"/>
    </row>
    <row r="26" spans="1:47" ht="11.25">
      <c r="A26" s="143">
        <f t="shared" si="4"/>
        <v>11</v>
      </c>
      <c r="B26" s="229">
        <v>0.04462</v>
      </c>
      <c r="C26" s="143">
        <f t="shared" si="5"/>
        <v>9</v>
      </c>
      <c r="D26" s="23">
        <f t="shared" si="2"/>
        <v>43009</v>
      </c>
      <c r="E26" s="23">
        <f t="shared" si="6"/>
        <v>221646</v>
      </c>
      <c r="F26" s="23">
        <f t="shared" si="9"/>
        <v>713332</v>
      </c>
      <c r="G26" s="23">
        <f t="shared" si="10"/>
        <v>1086924</v>
      </c>
      <c r="H26" s="23">
        <f t="shared" si="13"/>
        <v>1540428</v>
      </c>
      <c r="I26" s="23"/>
      <c r="J26" s="23"/>
      <c r="AF26" s="23">
        <f t="shared" si="11"/>
        <v>3605339</v>
      </c>
      <c r="AG26" s="23"/>
      <c r="AH26" s="23">
        <f t="shared" si="12"/>
        <v>1805062</v>
      </c>
      <c r="AI26" s="116">
        <f t="shared" si="3"/>
        <v>1800277</v>
      </c>
      <c r="AJ26" s="23">
        <f t="shared" si="7"/>
        <v>449169</v>
      </c>
      <c r="AK26" s="23">
        <v>0</v>
      </c>
      <c r="AL26" s="55">
        <v>0</v>
      </c>
      <c r="AM26" s="23">
        <f t="shared" si="8"/>
        <v>15568818.65359729</v>
      </c>
      <c r="AN26" s="56"/>
      <c r="AT26" s="22"/>
      <c r="AU26" s="152"/>
    </row>
    <row r="27" spans="1:47" ht="11.25">
      <c r="A27" s="143">
        <f t="shared" si="4"/>
        <v>12</v>
      </c>
      <c r="B27" s="229">
        <v>0.04461</v>
      </c>
      <c r="C27" s="143">
        <f t="shared" si="5"/>
        <v>10</v>
      </c>
      <c r="D27" s="23">
        <f t="shared" si="2"/>
        <v>42999</v>
      </c>
      <c r="E27" s="23">
        <f t="shared" si="6"/>
        <v>221596</v>
      </c>
      <c r="F27" s="23">
        <f t="shared" si="9"/>
        <v>703868</v>
      </c>
      <c r="G27" s="23">
        <f t="shared" si="10"/>
        <v>1005538</v>
      </c>
      <c r="H27" s="23">
        <f t="shared" si="13"/>
        <v>1424714</v>
      </c>
      <c r="I27" s="23"/>
      <c r="J27" s="23"/>
      <c r="K27" s="23"/>
      <c r="AF27" s="23">
        <f t="shared" si="11"/>
        <v>3398715</v>
      </c>
      <c r="AG27" s="23"/>
      <c r="AH27" s="23">
        <f t="shared" si="12"/>
        <v>1805062</v>
      </c>
      <c r="AI27" s="116">
        <f t="shared" si="3"/>
        <v>1593653</v>
      </c>
      <c r="AJ27" s="23">
        <f t="shared" si="7"/>
        <v>397616</v>
      </c>
      <c r="AK27" s="23">
        <v>0</v>
      </c>
      <c r="AL27" s="55">
        <v>0</v>
      </c>
      <c r="AM27" s="23">
        <f t="shared" si="8"/>
        <v>15966434.65359729</v>
      </c>
      <c r="AN27" s="56"/>
      <c r="AT27" s="22"/>
      <c r="AU27" s="152"/>
    </row>
    <row r="28" spans="1:47" ht="11.25">
      <c r="A28" s="143">
        <f t="shared" si="4"/>
        <v>13</v>
      </c>
      <c r="B28" s="229">
        <v>0.04462</v>
      </c>
      <c r="C28" s="143">
        <f t="shared" si="5"/>
        <v>11</v>
      </c>
      <c r="D28" s="23">
        <f t="shared" si="2"/>
        <v>43009</v>
      </c>
      <c r="E28" s="23">
        <f t="shared" si="6"/>
        <v>221646</v>
      </c>
      <c r="F28" s="23">
        <f t="shared" si="9"/>
        <v>703710</v>
      </c>
      <c r="G28" s="23">
        <f t="shared" si="10"/>
        <v>992196</v>
      </c>
      <c r="H28" s="23">
        <f t="shared" si="13"/>
        <v>1318035</v>
      </c>
      <c r="I28" s="23"/>
      <c r="J28" s="23"/>
      <c r="K28" s="23"/>
      <c r="L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>
        <f t="shared" si="11"/>
        <v>3278596</v>
      </c>
      <c r="AG28" s="23"/>
      <c r="AH28" s="23">
        <f t="shared" si="12"/>
        <v>1805062</v>
      </c>
      <c r="AI28" s="116">
        <f t="shared" si="3"/>
        <v>1473534</v>
      </c>
      <c r="AJ28" s="23">
        <f t="shared" si="7"/>
        <v>367647</v>
      </c>
      <c r="AK28" s="23">
        <v>0</v>
      </c>
      <c r="AL28" s="55">
        <v>0</v>
      </c>
      <c r="AM28" s="23">
        <f t="shared" si="8"/>
        <v>16334081.65359729</v>
      </c>
      <c r="AN28" s="56"/>
      <c r="AT28" s="22"/>
      <c r="AU28" s="152"/>
    </row>
    <row r="29" spans="1:47" ht="11.25">
      <c r="A29" s="143">
        <f t="shared" si="4"/>
        <v>14</v>
      </c>
      <c r="B29" s="229">
        <v>0.04461</v>
      </c>
      <c r="C29" s="143">
        <f t="shared" si="5"/>
        <v>12</v>
      </c>
      <c r="D29" s="23">
        <f t="shared" si="2"/>
        <v>42999</v>
      </c>
      <c r="E29" s="23">
        <f t="shared" si="6"/>
        <v>221596</v>
      </c>
      <c r="F29" s="23">
        <f t="shared" si="9"/>
        <v>703868</v>
      </c>
      <c r="G29" s="23">
        <f t="shared" si="10"/>
        <v>991974</v>
      </c>
      <c r="H29" s="23">
        <f t="shared" si="13"/>
        <v>1300547</v>
      </c>
      <c r="I29" s="23"/>
      <c r="J29" s="23"/>
      <c r="K29" s="23"/>
      <c r="L29" s="23"/>
      <c r="M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>
        <f t="shared" si="11"/>
        <v>3260984</v>
      </c>
      <c r="AG29" s="23"/>
      <c r="AH29" s="23">
        <f t="shared" si="12"/>
        <v>1805062</v>
      </c>
      <c r="AI29" s="116">
        <f t="shared" si="3"/>
        <v>1455922</v>
      </c>
      <c r="AJ29" s="23">
        <f t="shared" si="7"/>
        <v>363253</v>
      </c>
      <c r="AK29" s="23">
        <v>0</v>
      </c>
      <c r="AL29" s="55">
        <v>0</v>
      </c>
      <c r="AM29" s="23">
        <f t="shared" si="8"/>
        <v>16697334.65359729</v>
      </c>
      <c r="AN29" s="56"/>
      <c r="AT29" s="22"/>
      <c r="AU29" s="152"/>
    </row>
    <row r="30" spans="1:47" ht="11.25">
      <c r="A30" s="143">
        <f t="shared" si="4"/>
        <v>15</v>
      </c>
      <c r="B30" s="229">
        <v>0.04462</v>
      </c>
      <c r="C30" s="143">
        <f t="shared" si="5"/>
        <v>13</v>
      </c>
      <c r="D30" s="23">
        <f t="shared" si="2"/>
        <v>43009</v>
      </c>
      <c r="E30" s="23">
        <f t="shared" si="6"/>
        <v>221646</v>
      </c>
      <c r="F30" s="23">
        <f t="shared" si="9"/>
        <v>703710</v>
      </c>
      <c r="G30" s="23">
        <f t="shared" si="10"/>
        <v>992196</v>
      </c>
      <c r="H30" s="23">
        <f t="shared" si="13"/>
        <v>1300255</v>
      </c>
      <c r="I30" s="23"/>
      <c r="J30" s="23"/>
      <c r="K30" s="23"/>
      <c r="L30" s="23"/>
      <c r="M30" s="23"/>
      <c r="N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>
        <f t="shared" si="11"/>
        <v>3260816</v>
      </c>
      <c r="AG30" s="23"/>
      <c r="AH30" s="23">
        <f t="shared" si="12"/>
        <v>1805062</v>
      </c>
      <c r="AI30" s="116">
        <f t="shared" si="3"/>
        <v>1455754</v>
      </c>
      <c r="AJ30" s="23">
        <f t="shared" si="7"/>
        <v>363211</v>
      </c>
      <c r="AK30" s="23">
        <v>0</v>
      </c>
      <c r="AL30" s="55">
        <v>0</v>
      </c>
      <c r="AM30" s="23">
        <f t="shared" si="8"/>
        <v>17060545.653597288</v>
      </c>
      <c r="AN30" s="56"/>
      <c r="AT30" s="22"/>
      <c r="AU30" s="152"/>
    </row>
    <row r="31" spans="1:47" ht="11.25">
      <c r="A31" s="143">
        <f t="shared" si="4"/>
        <v>16</v>
      </c>
      <c r="B31" s="229">
        <v>0.04461</v>
      </c>
      <c r="C31" s="143">
        <f t="shared" si="5"/>
        <v>14</v>
      </c>
      <c r="D31" s="23">
        <f t="shared" si="2"/>
        <v>42999</v>
      </c>
      <c r="E31" s="23">
        <f t="shared" si="6"/>
        <v>221596</v>
      </c>
      <c r="F31" s="23">
        <f t="shared" si="9"/>
        <v>703868</v>
      </c>
      <c r="G31" s="23">
        <f t="shared" si="10"/>
        <v>991974</v>
      </c>
      <c r="H31" s="23">
        <f t="shared" si="13"/>
        <v>1300547</v>
      </c>
      <c r="I31" s="23"/>
      <c r="J31" s="23"/>
      <c r="K31" s="23"/>
      <c r="L31" s="23"/>
      <c r="M31" s="23"/>
      <c r="N31" s="23"/>
      <c r="O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>
        <f t="shared" si="11"/>
        <v>3260984</v>
      </c>
      <c r="AG31" s="23"/>
      <c r="AH31" s="23">
        <f t="shared" si="12"/>
        <v>1805062</v>
      </c>
      <c r="AI31" s="116">
        <f t="shared" si="3"/>
        <v>1455922</v>
      </c>
      <c r="AJ31" s="23">
        <f t="shared" si="7"/>
        <v>363253</v>
      </c>
      <c r="AK31" s="23">
        <v>0</v>
      </c>
      <c r="AL31" s="55">
        <v>0</v>
      </c>
      <c r="AM31" s="23">
        <f t="shared" si="8"/>
        <v>17423798.653597288</v>
      </c>
      <c r="AN31" s="56"/>
      <c r="AT31" s="22"/>
      <c r="AU31" s="152"/>
    </row>
    <row r="32" spans="1:47" ht="11.25">
      <c r="A32" s="143">
        <f t="shared" si="4"/>
        <v>17</v>
      </c>
      <c r="B32" s="229">
        <v>0.04462</v>
      </c>
      <c r="C32" s="143">
        <f t="shared" si="5"/>
        <v>15</v>
      </c>
      <c r="D32" s="23">
        <f t="shared" si="2"/>
        <v>43009</v>
      </c>
      <c r="E32" s="23">
        <f t="shared" si="6"/>
        <v>221646</v>
      </c>
      <c r="F32" s="23">
        <f t="shared" si="9"/>
        <v>703710</v>
      </c>
      <c r="G32" s="23">
        <f t="shared" si="10"/>
        <v>992196</v>
      </c>
      <c r="H32" s="23">
        <f t="shared" si="13"/>
        <v>1300255</v>
      </c>
      <c r="I32" s="23"/>
      <c r="J32" s="23"/>
      <c r="K32" s="23"/>
      <c r="L32" s="23"/>
      <c r="M32" s="23"/>
      <c r="N32" s="23"/>
      <c r="O32" s="23"/>
      <c r="P32" s="23"/>
      <c r="AF32" s="23">
        <f t="shared" si="11"/>
        <v>3260816</v>
      </c>
      <c r="AG32" s="23"/>
      <c r="AH32" s="23">
        <f t="shared" si="12"/>
        <v>1805062</v>
      </c>
      <c r="AI32" s="116">
        <f t="shared" si="3"/>
        <v>1455754</v>
      </c>
      <c r="AJ32" s="23">
        <f t="shared" si="7"/>
        <v>363211</v>
      </c>
      <c r="AK32" s="23">
        <v>0</v>
      </c>
      <c r="AL32" s="55">
        <v>0</v>
      </c>
      <c r="AM32" s="23">
        <f t="shared" si="8"/>
        <v>17787009.653597288</v>
      </c>
      <c r="AN32" s="56"/>
      <c r="AT32" s="22"/>
      <c r="AU32" s="152"/>
    </row>
    <row r="33" spans="1:47" ht="11.25">
      <c r="A33" s="143">
        <f t="shared" si="4"/>
        <v>18</v>
      </c>
      <c r="B33" s="229">
        <v>0.04461</v>
      </c>
      <c r="C33" s="143">
        <f t="shared" si="5"/>
        <v>16</v>
      </c>
      <c r="D33" s="23">
        <f t="shared" si="2"/>
        <v>42999</v>
      </c>
      <c r="E33" s="23">
        <f t="shared" si="6"/>
        <v>221596</v>
      </c>
      <c r="F33" s="23">
        <f t="shared" si="9"/>
        <v>703868</v>
      </c>
      <c r="G33" s="23">
        <f t="shared" si="10"/>
        <v>991974</v>
      </c>
      <c r="H33" s="23">
        <f t="shared" si="13"/>
        <v>1300547</v>
      </c>
      <c r="I33" s="23"/>
      <c r="J33" s="23"/>
      <c r="K33" s="23"/>
      <c r="L33" s="23"/>
      <c r="M33" s="23"/>
      <c r="N33" s="23"/>
      <c r="O33" s="23"/>
      <c r="P33" s="23"/>
      <c r="Q33" s="23"/>
      <c r="AF33" s="23">
        <f t="shared" si="11"/>
        <v>3260984</v>
      </c>
      <c r="AG33" s="23"/>
      <c r="AH33" s="23">
        <f t="shared" si="12"/>
        <v>1805062</v>
      </c>
      <c r="AI33" s="116">
        <f t="shared" si="3"/>
        <v>1455922</v>
      </c>
      <c r="AJ33" s="23">
        <f t="shared" si="7"/>
        <v>363253</v>
      </c>
      <c r="AK33" s="23">
        <v>0</v>
      </c>
      <c r="AL33" s="55">
        <v>0</v>
      </c>
      <c r="AM33" s="23">
        <f t="shared" si="8"/>
        <v>18150262.653597288</v>
      </c>
      <c r="AN33" s="56"/>
      <c r="AT33" s="22"/>
      <c r="AU33" s="152"/>
    </row>
    <row r="34" spans="1:47" ht="11.25">
      <c r="A34" s="143">
        <f t="shared" si="4"/>
        <v>19</v>
      </c>
      <c r="B34" s="229">
        <v>0.04462</v>
      </c>
      <c r="C34" s="143">
        <f t="shared" si="5"/>
        <v>17</v>
      </c>
      <c r="D34" s="23">
        <f t="shared" si="2"/>
        <v>43009</v>
      </c>
      <c r="E34" s="23">
        <f t="shared" si="6"/>
        <v>221646</v>
      </c>
      <c r="F34" s="23">
        <f t="shared" si="9"/>
        <v>703710</v>
      </c>
      <c r="G34" s="23">
        <f t="shared" si="10"/>
        <v>992196</v>
      </c>
      <c r="H34" s="23">
        <f t="shared" si="13"/>
        <v>1300255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AF34" s="23">
        <f t="shared" si="11"/>
        <v>3260816</v>
      </c>
      <c r="AG34" s="23"/>
      <c r="AH34" s="23">
        <f t="shared" si="12"/>
        <v>1805062</v>
      </c>
      <c r="AI34" s="116">
        <f t="shared" si="3"/>
        <v>1455754</v>
      </c>
      <c r="AJ34" s="23">
        <f t="shared" si="7"/>
        <v>363211</v>
      </c>
      <c r="AK34" s="23">
        <v>0</v>
      </c>
      <c r="AL34" s="55">
        <v>0</v>
      </c>
      <c r="AM34" s="23">
        <f t="shared" si="8"/>
        <v>18513473.653597288</v>
      </c>
      <c r="AN34" s="56"/>
      <c r="AT34" s="22"/>
      <c r="AU34" s="152"/>
    </row>
    <row r="35" spans="1:47" ht="11.25">
      <c r="A35" s="143">
        <f t="shared" si="4"/>
        <v>20</v>
      </c>
      <c r="B35" s="229">
        <v>0.04461</v>
      </c>
      <c r="C35" s="143">
        <f t="shared" si="5"/>
        <v>18</v>
      </c>
      <c r="D35" s="23">
        <f t="shared" si="2"/>
        <v>42999</v>
      </c>
      <c r="E35" s="23">
        <f t="shared" si="6"/>
        <v>221596</v>
      </c>
      <c r="F35" s="23">
        <f t="shared" si="9"/>
        <v>703868</v>
      </c>
      <c r="G35" s="23">
        <f t="shared" si="10"/>
        <v>991974</v>
      </c>
      <c r="H35" s="23">
        <f t="shared" si="13"/>
        <v>1300547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AF35" s="23">
        <f t="shared" si="11"/>
        <v>3260984</v>
      </c>
      <c r="AG35" s="23"/>
      <c r="AH35" s="23">
        <f t="shared" si="12"/>
        <v>1805062</v>
      </c>
      <c r="AI35" s="116">
        <f t="shared" si="3"/>
        <v>1455922</v>
      </c>
      <c r="AJ35" s="23">
        <f t="shared" si="7"/>
        <v>363253</v>
      </c>
      <c r="AK35" s="23">
        <v>0</v>
      </c>
      <c r="AL35" s="55">
        <v>0</v>
      </c>
      <c r="AM35" s="23">
        <f t="shared" si="8"/>
        <v>18876726.653597288</v>
      </c>
      <c r="AN35" s="56"/>
      <c r="AT35" s="22"/>
      <c r="AU35" s="152"/>
    </row>
    <row r="36" spans="1:47" ht="11.25">
      <c r="A36" s="143">
        <f t="shared" si="4"/>
        <v>21</v>
      </c>
      <c r="B36" s="229">
        <v>0.04462</v>
      </c>
      <c r="C36" s="143">
        <f t="shared" si="5"/>
        <v>19</v>
      </c>
      <c r="D36" s="23">
        <f t="shared" si="2"/>
        <v>43009</v>
      </c>
      <c r="E36" s="23">
        <f t="shared" si="6"/>
        <v>221646</v>
      </c>
      <c r="F36" s="23">
        <f t="shared" si="9"/>
        <v>703710</v>
      </c>
      <c r="G36" s="23">
        <f t="shared" si="10"/>
        <v>992196</v>
      </c>
      <c r="H36" s="23">
        <f t="shared" si="13"/>
        <v>1300255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F36" s="23">
        <f t="shared" si="11"/>
        <v>3260816</v>
      </c>
      <c r="AG36" s="23"/>
      <c r="AH36" s="23">
        <f t="shared" si="12"/>
        <v>1805062</v>
      </c>
      <c r="AI36" s="116">
        <f t="shared" si="3"/>
        <v>1455754</v>
      </c>
      <c r="AJ36" s="23">
        <f t="shared" si="7"/>
        <v>363211</v>
      </c>
      <c r="AK36" s="23">
        <v>0</v>
      </c>
      <c r="AL36" s="55">
        <v>0</v>
      </c>
      <c r="AM36" s="23">
        <f t="shared" si="8"/>
        <v>19239937.653597288</v>
      </c>
      <c r="AN36" s="56"/>
      <c r="AT36" s="22"/>
      <c r="AU36" s="152"/>
    </row>
    <row r="37" spans="1:47" ht="11.25">
      <c r="A37" s="143">
        <f t="shared" si="4"/>
        <v>22</v>
      </c>
      <c r="B37" s="229">
        <v>0.04461</v>
      </c>
      <c r="C37" s="143">
        <f t="shared" si="5"/>
        <v>20</v>
      </c>
      <c r="D37" s="23">
        <f t="shared" si="2"/>
        <v>42999</v>
      </c>
      <c r="E37" s="23">
        <f t="shared" si="6"/>
        <v>221596</v>
      </c>
      <c r="F37" s="23">
        <f t="shared" si="9"/>
        <v>703868</v>
      </c>
      <c r="G37" s="23">
        <f t="shared" si="10"/>
        <v>991974</v>
      </c>
      <c r="H37" s="23">
        <f t="shared" si="13"/>
        <v>1300547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>
        <f t="shared" si="11"/>
        <v>3260984</v>
      </c>
      <c r="AG37" s="23"/>
      <c r="AH37" s="23">
        <f t="shared" si="12"/>
        <v>1805062</v>
      </c>
      <c r="AI37" s="116">
        <f t="shared" si="3"/>
        <v>1455922</v>
      </c>
      <c r="AJ37" s="23">
        <f t="shared" si="7"/>
        <v>363253</v>
      </c>
      <c r="AK37" s="23">
        <v>0</v>
      </c>
      <c r="AL37" s="55">
        <v>0</v>
      </c>
      <c r="AM37" s="23">
        <f t="shared" si="8"/>
        <v>19603190.653597288</v>
      </c>
      <c r="AN37" s="56"/>
      <c r="AT37" s="22"/>
      <c r="AU37" s="152"/>
    </row>
    <row r="38" spans="1:47" ht="11.25">
      <c r="A38" s="143">
        <f t="shared" si="4"/>
        <v>23</v>
      </c>
      <c r="B38" s="229">
        <v>0.02231</v>
      </c>
      <c r="C38" s="143">
        <f t="shared" si="5"/>
        <v>21</v>
      </c>
      <c r="D38" s="23">
        <f t="shared" si="2"/>
        <v>21504</v>
      </c>
      <c r="E38" s="23">
        <f t="shared" si="6"/>
        <v>110823</v>
      </c>
      <c r="F38" s="23">
        <f t="shared" si="9"/>
        <v>703710</v>
      </c>
      <c r="G38" s="23">
        <f t="shared" si="10"/>
        <v>992196</v>
      </c>
      <c r="H38" s="23">
        <f t="shared" si="13"/>
        <v>1300255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>
        <f t="shared" si="11"/>
        <v>3128488</v>
      </c>
      <c r="AG38" s="23"/>
      <c r="AH38" s="23">
        <f t="shared" si="12"/>
        <v>1805062</v>
      </c>
      <c r="AI38" s="116">
        <f t="shared" si="3"/>
        <v>1323426</v>
      </c>
      <c r="AJ38" s="23">
        <f t="shared" si="7"/>
        <v>330195</v>
      </c>
      <c r="AK38" s="23">
        <v>0</v>
      </c>
      <c r="AL38" s="55">
        <v>0</v>
      </c>
      <c r="AM38" s="23">
        <f t="shared" si="8"/>
        <v>19933385.653597288</v>
      </c>
      <c r="AN38" s="56"/>
      <c r="AT38" s="22"/>
      <c r="AU38" s="152"/>
    </row>
    <row r="39" spans="1:40" ht="11.25">
      <c r="A39" s="143">
        <f t="shared" si="4"/>
        <v>24</v>
      </c>
      <c r="B39" s="229"/>
      <c r="C39" s="143">
        <f t="shared" si="5"/>
        <v>22</v>
      </c>
      <c r="F39" s="23">
        <f t="shared" si="9"/>
        <v>351934</v>
      </c>
      <c r="G39" s="23">
        <f t="shared" si="10"/>
        <v>991974</v>
      </c>
      <c r="H39" s="23">
        <f t="shared" si="13"/>
        <v>1300547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>
        <f t="shared" si="11"/>
        <v>2644455</v>
      </c>
      <c r="AH39" s="23">
        <f t="shared" si="12"/>
        <v>1805062</v>
      </c>
      <c r="AI39" s="116">
        <f t="shared" si="3"/>
        <v>839393</v>
      </c>
      <c r="AJ39" s="23">
        <f t="shared" si="7"/>
        <v>209429</v>
      </c>
      <c r="AK39" s="23">
        <v>0</v>
      </c>
      <c r="AL39" s="55">
        <v>0</v>
      </c>
      <c r="AM39" s="23">
        <f t="shared" si="8"/>
        <v>20142814.653597288</v>
      </c>
      <c r="AN39" s="56"/>
    </row>
    <row r="40" spans="1:39" ht="11.25">
      <c r="A40" s="143">
        <f t="shared" si="4"/>
        <v>25</v>
      </c>
      <c r="B40" s="229"/>
      <c r="C40" s="143"/>
      <c r="F40" s="23"/>
      <c r="G40" s="23">
        <f t="shared" si="10"/>
        <v>496098</v>
      </c>
      <c r="H40" s="23">
        <f t="shared" si="13"/>
        <v>1300255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>
        <f t="shared" si="11"/>
        <v>1796353</v>
      </c>
      <c r="AH40" s="23">
        <f t="shared" si="12"/>
        <v>1805062</v>
      </c>
      <c r="AI40" s="116">
        <f t="shared" si="3"/>
        <v>-8709</v>
      </c>
      <c r="AJ40" s="23">
        <f t="shared" si="7"/>
        <v>-2173</v>
      </c>
      <c r="AK40" s="23">
        <v>0</v>
      </c>
      <c r="AL40" s="55">
        <v>0</v>
      </c>
      <c r="AM40" s="23">
        <f t="shared" si="8"/>
        <v>20140641.653597288</v>
      </c>
    </row>
    <row r="41" spans="1:39" ht="11.25">
      <c r="A41" s="143">
        <f t="shared" si="4"/>
        <v>26</v>
      </c>
      <c r="B41" s="229"/>
      <c r="C41" s="143"/>
      <c r="F41" s="23"/>
      <c r="G41" s="23">
        <f t="shared" si="10"/>
        <v>0</v>
      </c>
      <c r="H41" s="23">
        <f t="shared" si="13"/>
        <v>650273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>
        <f>SUM(D41:H41)</f>
        <v>650273</v>
      </c>
      <c r="AH41" s="23">
        <f t="shared" si="12"/>
        <v>1805062</v>
      </c>
      <c r="AI41" s="116">
        <f>AF41+AG41-AH41</f>
        <v>-1154789</v>
      </c>
      <c r="AJ41" s="23">
        <f>ROUND($AQ$9*AI41,0)</f>
        <v>-288120</v>
      </c>
      <c r="AK41" s="23">
        <v>0</v>
      </c>
      <c r="AL41" s="55">
        <v>0</v>
      </c>
      <c r="AM41" s="23">
        <f>AM40+AJ41+AK41+AL41</f>
        <v>19852521.653597288</v>
      </c>
    </row>
    <row r="42" spans="1:40" ht="10.5" customHeight="1">
      <c r="A42" s="143">
        <v>27</v>
      </c>
      <c r="D42" s="116">
        <f>SUM(D18:D39)-2</f>
        <v>2374447</v>
      </c>
      <c r="E42" s="116">
        <f>SUM(E18:E39)-2</f>
        <v>12236753</v>
      </c>
      <c r="F42" s="116">
        <f>SUM(F18:F39)-4</f>
        <v>22159791</v>
      </c>
      <c r="G42" s="116">
        <f>SUM(G18:G40)</f>
        <v>34689302</v>
      </c>
      <c r="H42" s="116">
        <f>SUM(H18:H41)</f>
        <v>40196979</v>
      </c>
      <c r="I42" s="116">
        <f aca="true" t="shared" si="14" ref="I42:AE42">SUM(I18:I39)</f>
        <v>0</v>
      </c>
      <c r="J42" s="116">
        <f t="shared" si="14"/>
        <v>0</v>
      </c>
      <c r="K42" s="116">
        <f t="shared" si="14"/>
        <v>0</v>
      </c>
      <c r="L42" s="116">
        <f t="shared" si="14"/>
        <v>0</v>
      </c>
      <c r="M42" s="116">
        <f t="shared" si="14"/>
        <v>0</v>
      </c>
      <c r="N42" s="116">
        <f t="shared" si="14"/>
        <v>0</v>
      </c>
      <c r="O42" s="116">
        <f t="shared" si="14"/>
        <v>0</v>
      </c>
      <c r="P42" s="116">
        <f t="shared" si="14"/>
        <v>0</v>
      </c>
      <c r="Q42" s="116">
        <f t="shared" si="14"/>
        <v>0</v>
      </c>
      <c r="R42" s="116">
        <f t="shared" si="14"/>
        <v>0</v>
      </c>
      <c r="S42" s="116">
        <f t="shared" si="14"/>
        <v>0</v>
      </c>
      <c r="T42" s="116">
        <f t="shared" si="14"/>
        <v>0</v>
      </c>
      <c r="U42" s="116">
        <f t="shared" si="14"/>
        <v>0</v>
      </c>
      <c r="V42" s="116">
        <f t="shared" si="14"/>
        <v>0</v>
      </c>
      <c r="W42" s="116">
        <f t="shared" si="14"/>
        <v>0</v>
      </c>
      <c r="X42" s="116">
        <f t="shared" si="14"/>
        <v>0</v>
      </c>
      <c r="Y42" s="116">
        <f t="shared" si="14"/>
        <v>0</v>
      </c>
      <c r="Z42" s="116">
        <f t="shared" si="14"/>
        <v>0</v>
      </c>
      <c r="AA42" s="116">
        <f t="shared" si="14"/>
        <v>0</v>
      </c>
      <c r="AB42" s="116">
        <f t="shared" si="14"/>
        <v>0</v>
      </c>
      <c r="AC42" s="116">
        <f t="shared" si="14"/>
        <v>0</v>
      </c>
      <c r="AD42" s="116">
        <f t="shared" si="14"/>
        <v>0</v>
      </c>
      <c r="AE42" s="116">
        <f t="shared" si="14"/>
        <v>0</v>
      </c>
      <c r="AF42" s="116">
        <f>SUM(AF18:AF40)</f>
        <v>111007007</v>
      </c>
      <c r="AG42" s="116">
        <f>SUM(AG18:AG40)</f>
        <v>5898051.201046153</v>
      </c>
      <c r="AH42" s="116">
        <f>SUM(AH18:AH39)</f>
        <v>35940985.96820353</v>
      </c>
      <c r="AI42" s="23"/>
      <c r="AJ42" s="23"/>
      <c r="AK42" s="23"/>
      <c r="AL42" s="23"/>
      <c r="AM42" s="116"/>
      <c r="AN42" s="116"/>
    </row>
    <row r="43" spans="4:40" ht="11.25"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23"/>
      <c r="AG43" s="116"/>
      <c r="AH43" s="23"/>
      <c r="AI43" s="23"/>
      <c r="AJ43" s="23"/>
      <c r="AK43" s="23"/>
      <c r="AL43" s="23"/>
      <c r="AM43" s="116"/>
      <c r="AN43" s="116"/>
    </row>
    <row r="44" spans="1:40" ht="11.25">
      <c r="A44" s="115" t="s">
        <v>131</v>
      </c>
      <c r="F44" s="116"/>
      <c r="AF44" s="116"/>
      <c r="AG44" s="116"/>
      <c r="AH44" s="23"/>
      <c r="AI44" s="23"/>
      <c r="AJ44" s="153"/>
      <c r="AK44" s="153"/>
      <c r="AL44" s="153"/>
      <c r="AM44" s="116"/>
      <c r="AN44" s="116"/>
    </row>
    <row r="45" spans="1:38" ht="11.25">
      <c r="A45" s="115" t="s">
        <v>251</v>
      </c>
      <c r="AH45" s="116"/>
      <c r="AI45" s="23"/>
      <c r="AJ45" s="23"/>
      <c r="AK45" s="23"/>
      <c r="AL45" s="23"/>
    </row>
    <row r="46" spans="1:38" ht="11.25">
      <c r="A46" s="115" t="s">
        <v>320</v>
      </c>
      <c r="AH46" s="116"/>
      <c r="AI46" s="23"/>
      <c r="AJ46" s="23"/>
      <c r="AK46" s="23"/>
      <c r="AL46" s="23"/>
    </row>
    <row r="47" spans="1:38" ht="11.25">
      <c r="A47" s="115" t="s">
        <v>240</v>
      </c>
      <c r="AH47" s="116"/>
      <c r="AI47" s="23"/>
      <c r="AJ47" s="23"/>
      <c r="AK47" s="23"/>
      <c r="AL47" s="23"/>
    </row>
    <row r="48" spans="1:38" ht="11.25">
      <c r="A48" s="239" t="s">
        <v>299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"/>
      <c r="AL48" s="23"/>
    </row>
    <row r="49" spans="1:38" ht="11.2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"/>
      <c r="AL49" s="23"/>
    </row>
    <row r="50" spans="1:38" ht="11.25">
      <c r="A50" s="115"/>
      <c r="AH50" s="116"/>
      <c r="AI50" s="23"/>
      <c r="AJ50" s="23"/>
      <c r="AK50" s="23"/>
      <c r="AL50" s="23"/>
    </row>
    <row r="51" spans="1:38" ht="11.25">
      <c r="A51" s="115"/>
      <c r="AH51" s="116"/>
      <c r="AI51" s="23"/>
      <c r="AJ51" s="23"/>
      <c r="AK51" s="23"/>
      <c r="AL51" s="23"/>
    </row>
    <row r="52" spans="4:39" ht="11.25">
      <c r="D52" s="126">
        <v>2017</v>
      </c>
      <c r="E52" s="126">
        <v>2017</v>
      </c>
      <c r="F52" s="126">
        <v>2018</v>
      </c>
      <c r="G52" s="126">
        <v>2019</v>
      </c>
      <c r="H52" s="126">
        <v>2020</v>
      </c>
      <c r="AH52" s="116"/>
      <c r="AI52" s="23"/>
      <c r="AJ52" s="23"/>
      <c r="AK52" s="23"/>
      <c r="AL52" s="23"/>
      <c r="AM52" s="154"/>
    </row>
    <row r="53" spans="2:39" ht="11.25">
      <c r="B53" s="60" t="s">
        <v>134</v>
      </c>
      <c r="D53" s="232">
        <v>0.1542</v>
      </c>
      <c r="E53" s="232">
        <v>0.1542</v>
      </c>
      <c r="F53" s="232">
        <v>0.2584</v>
      </c>
      <c r="G53" s="232">
        <v>0.3322</v>
      </c>
      <c r="H53" s="232">
        <v>0.2446</v>
      </c>
      <c r="AH53" s="116"/>
      <c r="AI53" s="23"/>
      <c r="AJ53" s="23"/>
      <c r="AK53" s="23"/>
      <c r="AL53" s="23"/>
      <c r="AM53" s="154"/>
    </row>
    <row r="54" spans="2:39" ht="11.25">
      <c r="B54" s="60" t="s">
        <v>135</v>
      </c>
      <c r="D54" s="232">
        <v>0.0401</v>
      </c>
      <c r="E54" s="232">
        <v>0.0401</v>
      </c>
      <c r="F54" s="232">
        <v>0.0401</v>
      </c>
      <c r="G54" s="232">
        <v>0.0401</v>
      </c>
      <c r="H54" s="232">
        <v>0.0401</v>
      </c>
      <c r="AG54" s="141" t="s">
        <v>195</v>
      </c>
      <c r="AM54" s="116"/>
    </row>
    <row r="55" spans="2:39" ht="11.25">
      <c r="B55" s="61"/>
      <c r="D55" s="34">
        <f>(1-D53)*D54</f>
        <v>0.033916579999999995</v>
      </c>
      <c r="E55" s="34">
        <f>(1-E53)*E54</f>
        <v>0.033916579999999995</v>
      </c>
      <c r="F55" s="34">
        <f aca="true" t="shared" si="15" ref="F55:AE55">(1-F53)*F54</f>
        <v>0.02973816</v>
      </c>
      <c r="G55" s="34">
        <f t="shared" si="15"/>
        <v>0.026778779999999995</v>
      </c>
      <c r="H55" s="34">
        <f>(1-H53)*H54</f>
        <v>0.030291539999999995</v>
      </c>
      <c r="I55" s="34">
        <f t="shared" si="15"/>
        <v>0</v>
      </c>
      <c r="J55" s="34">
        <f t="shared" si="15"/>
        <v>0</v>
      </c>
      <c r="K55" s="34">
        <f t="shared" si="15"/>
        <v>0</v>
      </c>
      <c r="L55" s="34">
        <f t="shared" si="15"/>
        <v>0</v>
      </c>
      <c r="M55" s="34">
        <f t="shared" si="15"/>
        <v>0</v>
      </c>
      <c r="N55" s="34">
        <f t="shared" si="15"/>
        <v>0</v>
      </c>
      <c r="O55" s="34">
        <f t="shared" si="15"/>
        <v>0</v>
      </c>
      <c r="P55" s="34">
        <f t="shared" si="15"/>
        <v>0</v>
      </c>
      <c r="Q55" s="34">
        <f t="shared" si="15"/>
        <v>0</v>
      </c>
      <c r="R55" s="34">
        <f t="shared" si="15"/>
        <v>0</v>
      </c>
      <c r="S55" s="34">
        <f t="shared" si="15"/>
        <v>0</v>
      </c>
      <c r="T55" s="34">
        <f t="shared" si="15"/>
        <v>0</v>
      </c>
      <c r="U55" s="34">
        <f t="shared" si="15"/>
        <v>0</v>
      </c>
      <c r="V55" s="34">
        <f t="shared" si="15"/>
        <v>0</v>
      </c>
      <c r="W55" s="34">
        <f t="shared" si="15"/>
        <v>0</v>
      </c>
      <c r="X55" s="34">
        <f t="shared" si="15"/>
        <v>0</v>
      </c>
      <c r="Y55" s="34">
        <f t="shared" si="15"/>
        <v>0</v>
      </c>
      <c r="Z55" s="34">
        <f t="shared" si="15"/>
        <v>0</v>
      </c>
      <c r="AA55" s="34">
        <f t="shared" si="15"/>
        <v>0</v>
      </c>
      <c r="AB55" s="34">
        <f t="shared" si="15"/>
        <v>0</v>
      </c>
      <c r="AC55" s="34">
        <f t="shared" si="15"/>
        <v>0</v>
      </c>
      <c r="AD55" s="34">
        <f t="shared" si="15"/>
        <v>0</v>
      </c>
      <c r="AE55" s="34">
        <f t="shared" si="15"/>
        <v>0</v>
      </c>
      <c r="AJ55" s="143" t="s">
        <v>177</v>
      </c>
      <c r="AM55" s="116"/>
    </row>
    <row r="56" spans="2:40" ht="11.25">
      <c r="B56" s="60" t="s">
        <v>193</v>
      </c>
      <c r="D56" s="34">
        <f>(1-D53-D55)*0.5</f>
        <v>0.40594171</v>
      </c>
      <c r="E56" s="34">
        <f>(1-E53-E55)*0.5</f>
        <v>0.40594171</v>
      </c>
      <c r="F56" s="34">
        <f>(1-F53-F55)*0</f>
        <v>0</v>
      </c>
      <c r="G56" s="34">
        <f>(1-G53-G55)*0</f>
        <v>0</v>
      </c>
      <c r="H56" s="34">
        <f>(1-H53-H55)*0</f>
        <v>0</v>
      </c>
      <c r="AG56" s="143"/>
      <c r="AH56" s="143"/>
      <c r="AI56" s="143" t="s">
        <v>178</v>
      </c>
      <c r="AJ56" s="143" t="s">
        <v>179</v>
      </c>
      <c r="AK56" s="143" t="s">
        <v>180</v>
      </c>
      <c r="AL56" s="143"/>
      <c r="AM56" s="143" t="s">
        <v>9</v>
      </c>
      <c r="AN56" s="143" t="s">
        <v>181</v>
      </c>
    </row>
    <row r="57" spans="2:40" ht="11.25">
      <c r="B57" s="62"/>
      <c r="D57" s="34">
        <f>D53+D55</f>
        <v>0.18811658</v>
      </c>
      <c r="E57" s="34">
        <f>E53+E55</f>
        <v>0.18811658</v>
      </c>
      <c r="F57" s="34">
        <f>F53+F55</f>
        <v>0.28813816000000003</v>
      </c>
      <c r="G57" s="34">
        <f>G53+G55</f>
        <v>0.35897878</v>
      </c>
      <c r="H57" s="34">
        <f>H53+H55</f>
        <v>0.27489154</v>
      </c>
      <c r="AG57" s="155" t="s">
        <v>0</v>
      </c>
      <c r="AH57" s="155" t="s">
        <v>182</v>
      </c>
      <c r="AI57" s="155" t="s">
        <v>183</v>
      </c>
      <c r="AJ57" s="155" t="s">
        <v>184</v>
      </c>
      <c r="AK57" s="155" t="s">
        <v>185</v>
      </c>
      <c r="AL57" s="155"/>
      <c r="AM57" s="155" t="s">
        <v>186</v>
      </c>
      <c r="AN57" s="155" t="s">
        <v>186</v>
      </c>
    </row>
    <row r="58" spans="4:40" ht="11.25">
      <c r="D58" s="156"/>
      <c r="E58" s="156"/>
      <c r="F58" s="156"/>
      <c r="AG58" s="24">
        <v>2017</v>
      </c>
      <c r="AH58" s="23">
        <f>('Tax Depr Form 2.1 p.2'!$D$14+$E$14)*'Tax Depr Form 2.1 p.2'!B18</f>
        <v>547920.0403846167</v>
      </c>
      <c r="AI58" s="116">
        <f>'Tax Depr Form 2.1 p.2'!D18+E18-AH58</f>
        <v>8354408.959615383</v>
      </c>
      <c r="AJ58" s="23">
        <f>AI58*0.06</f>
        <v>501264.537576923</v>
      </c>
      <c r="AK58" s="23">
        <f>-AJ58*0.35</f>
        <v>-175442.58815192303</v>
      </c>
      <c r="AL58" s="23"/>
      <c r="AM58" s="116">
        <f aca="true" t="shared" si="16" ref="AM58:AM78">AK58+AJ58</f>
        <v>325821.94942499994</v>
      </c>
      <c r="AN58" s="116">
        <f>AM58</f>
        <v>325821.94942499994</v>
      </c>
    </row>
    <row r="59" spans="4:40" ht="11.25">
      <c r="D59" s="156"/>
      <c r="E59" s="156"/>
      <c r="F59" s="156"/>
      <c r="AG59" s="24">
        <v>2018</v>
      </c>
      <c r="AH59" s="23">
        <f>('Tax Depr Form 2.1 p.2'!$D$14+$E$14)*'Tax Depr Form 2.1 p.2'!B19</f>
        <v>1054782.605743077</v>
      </c>
      <c r="AI59" s="116">
        <f>'Tax Depr Form 2.1 p.2'!D19+E19-AH59</f>
        <v>-626602.6057430769</v>
      </c>
      <c r="AJ59" s="23">
        <f>AI59*0.05</f>
        <v>-31330.130287153846</v>
      </c>
      <c r="AK59" s="23">
        <f>-AJ59*0.21</f>
        <v>6579.327360302307</v>
      </c>
      <c r="AL59" s="23"/>
      <c r="AM59" s="116">
        <f t="shared" si="16"/>
        <v>-24750.80292685154</v>
      </c>
      <c r="AN59" s="116">
        <f aca="true" t="shared" si="17" ref="AN59:AN78">AM59+AN58</f>
        <v>301071.1464981484</v>
      </c>
    </row>
    <row r="60" spans="33:40" ht="11.25">
      <c r="AG60" s="24">
        <v>2019</v>
      </c>
      <c r="AH60" s="23">
        <f>('Tax Depr Form 2.1 p.2'!$D$14+$E$14)*'Tax Depr Form 2.1 p.2'!B20</f>
        <v>975589.8959061537</v>
      </c>
      <c r="AI60" s="116">
        <f>'Tax Depr Form 2.1 p.2'!D20+E20-AH60</f>
        <v>-579556.8959061537</v>
      </c>
      <c r="AJ60" s="23">
        <f aca="true" t="shared" si="18" ref="AJ60:AJ78">AI60*0.05</f>
        <v>-28977.844795307687</v>
      </c>
      <c r="AK60" s="23">
        <f aca="true" t="shared" si="19" ref="AK60:AK78">-AJ60*0.21</f>
        <v>6085.347407014614</v>
      </c>
      <c r="AL60" s="23"/>
      <c r="AM60" s="116">
        <f t="shared" si="16"/>
        <v>-22892.49738829307</v>
      </c>
      <c r="AN60" s="116">
        <f t="shared" si="17"/>
        <v>278178.6491098553</v>
      </c>
    </row>
    <row r="61" spans="33:40" ht="11.25">
      <c r="AG61" s="24">
        <v>2020</v>
      </c>
      <c r="AH61" s="23">
        <f>('Tax Depr Form 2.1 p.2'!$D$14+$E$14)*'Tax Depr Form 2.1 p.2'!B21</f>
        <v>902533.8905215384</v>
      </c>
      <c r="AI61" s="116">
        <f>'Tax Depr Form 2.1 p.2'!D21+E21-AH61</f>
        <v>-536157.8905215384</v>
      </c>
      <c r="AJ61" s="23">
        <f t="shared" si="18"/>
        <v>-26807.894526076925</v>
      </c>
      <c r="AK61" s="23">
        <f t="shared" si="19"/>
        <v>5629.657850476154</v>
      </c>
      <c r="AL61" s="23"/>
      <c r="AM61" s="116">
        <f t="shared" si="16"/>
        <v>-21178.236675600772</v>
      </c>
      <c r="AN61" s="116">
        <f t="shared" si="17"/>
        <v>257000.4124342545</v>
      </c>
    </row>
    <row r="62" spans="33:40" ht="11.25">
      <c r="AG62" s="24">
        <v>2021</v>
      </c>
      <c r="AH62" s="23">
        <f>('Tax Depr Form 2.1 p.2'!$D$14+$E$14)*'Tax Depr Form 2.1 p.2'!B22</f>
        <v>834737.9175246153</v>
      </c>
      <c r="AI62" s="116">
        <f>'Tax Depr Form 2.1 p.2'!D22+E22-AH62</f>
        <v>-495882.9175246153</v>
      </c>
      <c r="AJ62" s="23">
        <f t="shared" si="18"/>
        <v>-24794.145876230767</v>
      </c>
      <c r="AK62" s="23">
        <f t="shared" si="19"/>
        <v>5206.770634008461</v>
      </c>
      <c r="AL62" s="23"/>
      <c r="AM62" s="116">
        <f t="shared" si="16"/>
        <v>-19587.375242222304</v>
      </c>
      <c r="AN62" s="116">
        <f t="shared" si="17"/>
        <v>237413.0371920322</v>
      </c>
    </row>
    <row r="63" spans="33:40" ht="11.25">
      <c r="AG63" s="24">
        <v>2022</v>
      </c>
      <c r="AH63" s="23">
        <f>('Tax Depr Form 2.1 p.2'!$D$14+$E$14)*'Tax Depr Form 2.1 p.2'!B23</f>
        <v>772201.9769153846</v>
      </c>
      <c r="AI63" s="116">
        <f>'Tax Depr Form 2.1 p.2'!D23+E23-AH63</f>
        <v>-458732.97691538464</v>
      </c>
      <c r="AJ63" s="23">
        <f t="shared" si="18"/>
        <v>-22936.648845769232</v>
      </c>
      <c r="AK63" s="23">
        <f t="shared" si="19"/>
        <v>4816.696257611538</v>
      </c>
      <c r="AL63" s="23"/>
      <c r="AM63" s="116">
        <f t="shared" si="16"/>
        <v>-18119.952588157692</v>
      </c>
      <c r="AN63" s="116">
        <f t="shared" si="17"/>
        <v>219293.0846038745</v>
      </c>
    </row>
    <row r="64" spans="32:40" ht="11.25">
      <c r="AF64" s="116"/>
      <c r="AG64" s="24">
        <v>2023</v>
      </c>
      <c r="AH64" s="23">
        <f>('Tax Depr Form 2.1 p.2'!$D$14+$E$14)*'Tax Depr Form 2.1 p.2'!B24</f>
        <v>714195.5086399999</v>
      </c>
      <c r="AI64" s="116">
        <f>'Tax Depr Form 2.1 p.2'!D24+E24-AH64</f>
        <v>-424273.5086399999</v>
      </c>
      <c r="AJ64" s="23">
        <f t="shared" si="18"/>
        <v>-21213.675431999996</v>
      </c>
      <c r="AK64" s="23">
        <f t="shared" si="19"/>
        <v>4454.871840719999</v>
      </c>
      <c r="AL64" s="23"/>
      <c r="AM64" s="116">
        <f t="shared" si="16"/>
        <v>-16758.803591279997</v>
      </c>
      <c r="AN64" s="116">
        <f t="shared" si="17"/>
        <v>202534.28101259453</v>
      </c>
    </row>
    <row r="65" spans="32:40" ht="11.25">
      <c r="AF65" s="116"/>
      <c r="AG65" s="24">
        <v>2024</v>
      </c>
      <c r="AH65" s="23">
        <f>('Tax Depr Form 2.1 p.2'!$D$14+$E$14)*'Tax Depr Form 2.1 p.2'!B25</f>
        <v>660718.5126984615</v>
      </c>
      <c r="AI65" s="116">
        <f>'Tax Depr Form 2.1 p.2'!D25+E25-AH65</f>
        <v>-392505.51269846153</v>
      </c>
      <c r="AJ65" s="23">
        <f t="shared" si="18"/>
        <v>-19625.275634923077</v>
      </c>
      <c r="AK65" s="23">
        <f t="shared" si="19"/>
        <v>4121.307883333846</v>
      </c>
      <c r="AL65" s="23"/>
      <c r="AM65" s="116">
        <f t="shared" si="16"/>
        <v>-15503.96775158923</v>
      </c>
      <c r="AN65" s="116">
        <f t="shared" si="17"/>
        <v>187030.3132610053</v>
      </c>
    </row>
    <row r="66" spans="32:40" ht="11.25">
      <c r="AF66" s="116"/>
      <c r="AG66" s="24">
        <v>2025</v>
      </c>
      <c r="AH66" s="23">
        <f>('Tax Depr Form 2.1 p.2'!$D$14+$E$14)*'Tax Depr Form 2.1 p.2'!B26</f>
        <v>651951.7920523076</v>
      </c>
      <c r="AI66" s="116">
        <f>'Tax Depr Form 2.1 p.2'!D26+E26-AH66</f>
        <v>-387296.79205230763</v>
      </c>
      <c r="AJ66" s="23">
        <f t="shared" si="18"/>
        <v>-19364.839602615382</v>
      </c>
      <c r="AK66" s="23">
        <f t="shared" si="19"/>
        <v>4066.6163165492303</v>
      </c>
      <c r="AL66" s="23"/>
      <c r="AM66" s="116">
        <f t="shared" si="16"/>
        <v>-15298.223286066152</v>
      </c>
      <c r="AN66" s="116">
        <f t="shared" si="17"/>
        <v>171732.08997493915</v>
      </c>
    </row>
    <row r="67" spans="32:40" ht="11.25">
      <c r="AF67" s="116"/>
      <c r="AG67" s="24">
        <v>2026</v>
      </c>
      <c r="AH67" s="23">
        <f>('Tax Depr Form 2.1 p.2'!$D$14+$E$14)*'Tax Depr Form 2.1 p.2'!B27</f>
        <v>651805.6800415384</v>
      </c>
      <c r="AI67" s="116">
        <f>'Tax Depr Form 2.1 p.2'!D27+E27-AH67</f>
        <v>-387210.68004153844</v>
      </c>
      <c r="AJ67" s="23">
        <f t="shared" si="18"/>
        <v>-19360.53400207692</v>
      </c>
      <c r="AK67" s="23">
        <f t="shared" si="19"/>
        <v>4065.7121404361533</v>
      </c>
      <c r="AL67" s="23"/>
      <c r="AM67" s="116">
        <f t="shared" si="16"/>
        <v>-15294.821861640768</v>
      </c>
      <c r="AN67" s="116">
        <f t="shared" si="17"/>
        <v>156437.2681132984</v>
      </c>
    </row>
    <row r="68" spans="7:40" ht="11.25">
      <c r="G68" s="23"/>
      <c r="AF68" s="116"/>
      <c r="AG68" s="24">
        <v>2027</v>
      </c>
      <c r="AH68" s="23">
        <f>('Tax Depr Form 2.1 p.2'!$D$14+$E$14)*'Tax Depr Form 2.1 p.2'!B28</f>
        <v>651951.7920523076</v>
      </c>
      <c r="AI68" s="116">
        <f>'Tax Depr Form 2.1 p.2'!D28+E28-AH68</f>
        <v>-387296.79205230763</v>
      </c>
      <c r="AJ68" s="23">
        <f t="shared" si="18"/>
        <v>-19364.839602615382</v>
      </c>
      <c r="AK68" s="23">
        <f t="shared" si="19"/>
        <v>4066.6163165492303</v>
      </c>
      <c r="AL68" s="23"/>
      <c r="AM68" s="116">
        <f t="shared" si="16"/>
        <v>-15298.223286066152</v>
      </c>
      <c r="AN68" s="116">
        <f t="shared" si="17"/>
        <v>141139.04482723225</v>
      </c>
    </row>
    <row r="69" spans="7:40" ht="11.25">
      <c r="G69" s="23"/>
      <c r="H69" s="23"/>
      <c r="AF69" s="116"/>
      <c r="AG69" s="24">
        <v>2028</v>
      </c>
      <c r="AH69" s="23">
        <f>('Tax Depr Form 2.1 p.2'!$D$14+$E$14)*'Tax Depr Form 2.1 p.2'!B29</f>
        <v>651805.6800415384</v>
      </c>
      <c r="AI69" s="116">
        <f>'Tax Depr Form 2.1 p.2'!D29+E29-AH69</f>
        <v>-387210.68004153844</v>
      </c>
      <c r="AJ69" s="23">
        <f t="shared" si="18"/>
        <v>-19360.53400207692</v>
      </c>
      <c r="AK69" s="23">
        <f t="shared" si="19"/>
        <v>4065.7121404361533</v>
      </c>
      <c r="AL69" s="23"/>
      <c r="AM69" s="116">
        <f t="shared" si="16"/>
        <v>-15294.821861640768</v>
      </c>
      <c r="AN69" s="116">
        <f t="shared" si="17"/>
        <v>125844.22296559149</v>
      </c>
    </row>
    <row r="70" spans="7:40" ht="11.25">
      <c r="G70" s="23"/>
      <c r="H70" s="23"/>
      <c r="I70" s="23"/>
      <c r="AF70" s="116"/>
      <c r="AG70" s="24">
        <v>2029</v>
      </c>
      <c r="AH70" s="23">
        <f>('Tax Depr Form 2.1 p.2'!$D$14+$E$14)*'Tax Depr Form 2.1 p.2'!B30</f>
        <v>651951.7920523076</v>
      </c>
      <c r="AI70" s="116">
        <f>'Tax Depr Form 2.1 p.2'!D30+E30-AH70</f>
        <v>-387296.79205230763</v>
      </c>
      <c r="AJ70" s="23">
        <f t="shared" si="18"/>
        <v>-19364.839602615382</v>
      </c>
      <c r="AK70" s="23">
        <f t="shared" si="19"/>
        <v>4066.6163165492303</v>
      </c>
      <c r="AL70" s="23"/>
      <c r="AM70" s="116">
        <f t="shared" si="16"/>
        <v>-15298.223286066152</v>
      </c>
      <c r="AN70" s="116">
        <f t="shared" si="17"/>
        <v>110545.99967952534</v>
      </c>
    </row>
    <row r="71" spans="7:40" ht="11.25">
      <c r="G71" s="23"/>
      <c r="H71" s="23"/>
      <c r="I71" s="23"/>
      <c r="J71" s="23"/>
      <c r="AF71" s="116"/>
      <c r="AG71" s="24">
        <v>2030</v>
      </c>
      <c r="AH71" s="23">
        <f>('Tax Depr Form 2.1 p.2'!$D$14+$E$14)*'Tax Depr Form 2.1 p.2'!B31</f>
        <v>651805.6800415384</v>
      </c>
      <c r="AI71" s="116">
        <f>'Tax Depr Form 2.1 p.2'!D31+E31-AH71</f>
        <v>-387210.68004153844</v>
      </c>
      <c r="AJ71" s="23">
        <f t="shared" si="18"/>
        <v>-19360.53400207692</v>
      </c>
      <c r="AK71" s="23">
        <f t="shared" si="19"/>
        <v>4065.7121404361533</v>
      </c>
      <c r="AL71" s="23"/>
      <c r="AM71" s="116">
        <f t="shared" si="16"/>
        <v>-15294.821861640768</v>
      </c>
      <c r="AN71" s="116">
        <f t="shared" si="17"/>
        <v>95251.17781788457</v>
      </c>
    </row>
    <row r="72" spans="7:40" ht="11.25">
      <c r="G72" s="23"/>
      <c r="H72" s="23"/>
      <c r="I72" s="23"/>
      <c r="J72" s="23"/>
      <c r="K72" s="23"/>
      <c r="AF72" s="116"/>
      <c r="AG72" s="24">
        <v>2031</v>
      </c>
      <c r="AH72" s="23">
        <f>('Tax Depr Form 2.1 p.2'!$D$14+$E$14)*'Tax Depr Form 2.1 p.2'!B32</f>
        <v>651951.7920523076</v>
      </c>
      <c r="AI72" s="116">
        <f>'Tax Depr Form 2.1 p.2'!D32+E32-AH72</f>
        <v>-387296.79205230763</v>
      </c>
      <c r="AJ72" s="23">
        <f t="shared" si="18"/>
        <v>-19364.839602615382</v>
      </c>
      <c r="AK72" s="23">
        <f t="shared" si="19"/>
        <v>4066.6163165492303</v>
      </c>
      <c r="AL72" s="23"/>
      <c r="AM72" s="116">
        <f t="shared" si="16"/>
        <v>-15298.223286066152</v>
      </c>
      <c r="AN72" s="116">
        <f t="shared" si="17"/>
        <v>79952.95453181842</v>
      </c>
    </row>
    <row r="73" spans="7:40" ht="11.25"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116"/>
      <c r="AG73" s="24">
        <v>2032</v>
      </c>
      <c r="AH73" s="23">
        <f>('Tax Depr Form 2.1 p.2'!$D$14+$E$14)*'Tax Depr Form 2.1 p.2'!B33</f>
        <v>651805.6800415384</v>
      </c>
      <c r="AI73" s="116">
        <f>'Tax Depr Form 2.1 p.2'!D33+E33-AH73</f>
        <v>-387210.68004153844</v>
      </c>
      <c r="AJ73" s="23">
        <f t="shared" si="18"/>
        <v>-19360.53400207692</v>
      </c>
      <c r="AK73" s="23">
        <f t="shared" si="19"/>
        <v>4065.7121404361533</v>
      </c>
      <c r="AL73" s="23"/>
      <c r="AM73" s="116">
        <f t="shared" si="16"/>
        <v>-15294.821861640768</v>
      </c>
      <c r="AN73" s="116">
        <f t="shared" si="17"/>
        <v>64658.132670177656</v>
      </c>
    </row>
    <row r="74" spans="7:40" ht="11.25"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116"/>
      <c r="AG74" s="24">
        <v>2033</v>
      </c>
      <c r="AH74" s="23">
        <f>('Tax Depr Form 2.1 p.2'!$D$14+$E$14)*'Tax Depr Form 2.1 p.2'!B34</f>
        <v>651951.7920523076</v>
      </c>
      <c r="AI74" s="116">
        <f>'Tax Depr Form 2.1 p.2'!D34+E34-AH74</f>
        <v>-387296.79205230763</v>
      </c>
      <c r="AJ74" s="23">
        <f t="shared" si="18"/>
        <v>-19364.839602615382</v>
      </c>
      <c r="AK74" s="23">
        <f t="shared" si="19"/>
        <v>4066.6163165492303</v>
      </c>
      <c r="AL74" s="23"/>
      <c r="AM74" s="116">
        <f t="shared" si="16"/>
        <v>-15298.223286066152</v>
      </c>
      <c r="AN74" s="116">
        <f t="shared" si="17"/>
        <v>49359.9093841115</v>
      </c>
    </row>
    <row r="75" spans="7:40" ht="11.25"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116"/>
      <c r="AG75" s="24">
        <v>2034</v>
      </c>
      <c r="AH75" s="23">
        <f>('Tax Depr Form 2.1 p.2'!$D$14+$E$14)*'Tax Depr Form 2.1 p.2'!B35</f>
        <v>651805.6800415384</v>
      </c>
      <c r="AI75" s="116">
        <f>'Tax Depr Form 2.1 p.2'!D35+E35-AH75</f>
        <v>-387210.68004153844</v>
      </c>
      <c r="AJ75" s="23">
        <f t="shared" si="18"/>
        <v>-19360.53400207692</v>
      </c>
      <c r="AK75" s="23">
        <f t="shared" si="19"/>
        <v>4065.7121404361533</v>
      </c>
      <c r="AL75" s="23"/>
      <c r="AM75" s="116">
        <f t="shared" si="16"/>
        <v>-15294.821861640768</v>
      </c>
      <c r="AN75" s="116">
        <f t="shared" si="17"/>
        <v>34065.087522470734</v>
      </c>
    </row>
    <row r="76" spans="7:40" ht="11.25"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116"/>
      <c r="AG76" s="24">
        <v>2035</v>
      </c>
      <c r="AH76" s="23">
        <f>('Tax Depr Form 2.1 p.2'!$D$14+$E$14)*'Tax Depr Form 2.1 p.2'!B36</f>
        <v>651951.7920523076</v>
      </c>
      <c r="AI76" s="116">
        <f>'Tax Depr Form 2.1 p.2'!D36+E36-AH76</f>
        <v>-387296.79205230763</v>
      </c>
      <c r="AJ76" s="23">
        <f t="shared" si="18"/>
        <v>-19364.839602615382</v>
      </c>
      <c r="AK76" s="23">
        <f t="shared" si="19"/>
        <v>4066.6163165492303</v>
      </c>
      <c r="AL76" s="23"/>
      <c r="AM76" s="116">
        <f t="shared" si="16"/>
        <v>-15298.223286066152</v>
      </c>
      <c r="AN76" s="116">
        <f t="shared" si="17"/>
        <v>18766.86423640458</v>
      </c>
    </row>
    <row r="77" spans="7:40" ht="11.25"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G77" s="24">
        <v>2036</v>
      </c>
      <c r="AH77" s="23">
        <f>('Tax Depr Form 2.1 p.2'!$D$14+$E$14)*'Tax Depr Form 2.1 p.2'!B37</f>
        <v>651805.6800415384</v>
      </c>
      <c r="AI77" s="116">
        <f>'Tax Depr Form 2.1 p.2'!D37+E37-AH77</f>
        <v>-387210.68004153844</v>
      </c>
      <c r="AJ77" s="23">
        <f t="shared" si="18"/>
        <v>-19360.53400207692</v>
      </c>
      <c r="AK77" s="23">
        <f t="shared" si="19"/>
        <v>4065.7121404361533</v>
      </c>
      <c r="AL77" s="23"/>
      <c r="AM77" s="116">
        <f t="shared" si="16"/>
        <v>-15294.821861640768</v>
      </c>
      <c r="AN77" s="116">
        <f t="shared" si="17"/>
        <v>3472.0423747638124</v>
      </c>
    </row>
    <row r="78" spans="8:40" ht="11.25"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G78" s="24">
        <v>2037</v>
      </c>
      <c r="AH78" s="23">
        <f>('Tax Depr Form 2.1 p.2'!$D$14+$E$14)*'Tax Depr Form 2.1 p.2'!B38</f>
        <v>325975.8960261538</v>
      </c>
      <c r="AI78" s="116">
        <f>'Tax Depr Form 2.1 p.2'!D38+E38-AH78</f>
        <v>-193648.89602615382</v>
      </c>
      <c r="AJ78" s="23">
        <f t="shared" si="18"/>
        <v>-9682.44480130769</v>
      </c>
      <c r="AK78" s="23">
        <f t="shared" si="19"/>
        <v>2033.313408274615</v>
      </c>
      <c r="AL78" s="23"/>
      <c r="AM78" s="116">
        <f t="shared" si="16"/>
        <v>-7649.131393033076</v>
      </c>
      <c r="AN78" s="116">
        <f t="shared" si="17"/>
        <v>-4177.089018269264</v>
      </c>
    </row>
    <row r="79" spans="9:39" ht="11.25"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H79" s="116">
        <f>SUM(AH58:AH78)</f>
        <v>14611201.07692308</v>
      </c>
      <c r="AI79" s="116">
        <f>SUM(AI58:AI78)</f>
        <v>2.9230769220739603</v>
      </c>
      <c r="AJ79" s="116">
        <f>SUM(AJ58:AJ78)</f>
        <v>83544.23574999992</v>
      </c>
      <c r="AK79" s="116">
        <f>SUM(AK58:AK78)</f>
        <v>-87721.32476826922</v>
      </c>
      <c r="AL79" s="116"/>
      <c r="AM79" s="116">
        <f>SUM(AM58:AM78)</f>
        <v>-4177.089018269264</v>
      </c>
    </row>
    <row r="80" spans="10:31" ht="11.25"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1" spans="11:31" ht="11.25"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12:39" ht="11.25"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G82" s="141" t="s">
        <v>197</v>
      </c>
      <c r="AM82" s="116"/>
    </row>
    <row r="83" spans="36:39" ht="11.25">
      <c r="AJ83" s="143" t="s">
        <v>177</v>
      </c>
      <c r="AM83" s="116"/>
    </row>
    <row r="84" spans="33:40" ht="11.25">
      <c r="AG84" s="143"/>
      <c r="AH84" s="143"/>
      <c r="AI84" s="143" t="s">
        <v>178</v>
      </c>
      <c r="AJ84" s="143" t="s">
        <v>179</v>
      </c>
      <c r="AK84" s="143" t="s">
        <v>180</v>
      </c>
      <c r="AL84" s="143"/>
      <c r="AM84" s="143" t="s">
        <v>9</v>
      </c>
      <c r="AN84" s="143" t="s">
        <v>181</v>
      </c>
    </row>
    <row r="85" spans="33:40" ht="11.25">
      <c r="AG85" s="155" t="s">
        <v>0</v>
      </c>
      <c r="AH85" s="155" t="s">
        <v>182</v>
      </c>
      <c r="AI85" s="155" t="s">
        <v>183</v>
      </c>
      <c r="AJ85" s="155" t="s">
        <v>184</v>
      </c>
      <c r="AK85" s="155" t="s">
        <v>185</v>
      </c>
      <c r="AL85" s="155"/>
      <c r="AM85" s="155" t="s">
        <v>186</v>
      </c>
      <c r="AN85" s="155" t="s">
        <v>186</v>
      </c>
    </row>
    <row r="86" spans="33:40" ht="11.25">
      <c r="AG86" s="24">
        <v>2018</v>
      </c>
      <c r="AH86" s="23">
        <f>'Tax Depr Form 2.1 p.2'!$F$14*'Tax Depr Form 2.1 p.2'!B18*0</f>
        <v>0</v>
      </c>
      <c r="AI86" s="116">
        <f>('Tax Depr Form 2.1 p.2'!F19-AH86)*0</f>
        <v>0</v>
      </c>
      <c r="AJ86" s="23">
        <f aca="true" t="shared" si="20" ref="AJ86:AJ106">AI86*0.06</f>
        <v>0</v>
      </c>
      <c r="AK86" s="23">
        <f>-AJ86*0.21</f>
        <v>0</v>
      </c>
      <c r="AL86" s="23"/>
      <c r="AM86" s="116">
        <f aca="true" t="shared" si="21" ref="AM86:AM106">AK86+AJ86</f>
        <v>0</v>
      </c>
      <c r="AN86" s="116">
        <f>AM86</f>
        <v>0</v>
      </c>
    </row>
    <row r="87" spans="33:40" ht="11.25">
      <c r="AG87" s="24">
        <v>2019</v>
      </c>
      <c r="AH87" s="23">
        <f>'Tax Depr Form 2.1 p.2'!$F$14*'Tax Depr Form 2.1 p.2'!B19*0</f>
        <v>0</v>
      </c>
      <c r="AI87" s="116">
        <f>('Tax Depr Form 2.1 p.2'!F20-AH87)*0</f>
        <v>0</v>
      </c>
      <c r="AJ87" s="23">
        <f t="shared" si="20"/>
        <v>0</v>
      </c>
      <c r="AK87" s="23">
        <f aca="true" t="shared" si="22" ref="AK87:AK106">-AJ87*0.21</f>
        <v>0</v>
      </c>
      <c r="AL87" s="23"/>
      <c r="AM87" s="116">
        <f t="shared" si="21"/>
        <v>0</v>
      </c>
      <c r="AN87" s="116">
        <f aca="true" t="shared" si="23" ref="AN87:AN106">AM87+AN86</f>
        <v>0</v>
      </c>
    </row>
    <row r="88" spans="33:40" ht="11.25">
      <c r="AG88" s="24">
        <v>2020</v>
      </c>
      <c r="AH88" s="23">
        <f>'Tax Depr Form 2.1 p.2'!$F$14*'Tax Depr Form 2.1 p.2'!B20*0</f>
        <v>0</v>
      </c>
      <c r="AI88" s="116">
        <f>('Tax Depr Form 2.1 p.2'!F21-AH88)*0</f>
        <v>0</v>
      </c>
      <c r="AJ88" s="23">
        <f t="shared" si="20"/>
        <v>0</v>
      </c>
      <c r="AK88" s="23">
        <f t="shared" si="22"/>
        <v>0</v>
      </c>
      <c r="AL88" s="23"/>
      <c r="AM88" s="116">
        <f t="shared" si="21"/>
        <v>0</v>
      </c>
      <c r="AN88" s="116">
        <f t="shared" si="23"/>
        <v>0</v>
      </c>
    </row>
    <row r="89" spans="33:40" ht="11.25">
      <c r="AG89" s="24">
        <v>2021</v>
      </c>
      <c r="AH89" s="23">
        <f>'Tax Depr Form 2.1 p.2'!$F$14*'Tax Depr Form 2.1 p.2'!B21*0</f>
        <v>0</v>
      </c>
      <c r="AI89" s="116">
        <f>('Tax Depr Form 2.1 p.2'!F22-AH89)*0</f>
        <v>0</v>
      </c>
      <c r="AJ89" s="23">
        <f t="shared" si="20"/>
        <v>0</v>
      </c>
      <c r="AK89" s="23">
        <f t="shared" si="22"/>
        <v>0</v>
      </c>
      <c r="AL89" s="23"/>
      <c r="AM89" s="116">
        <f t="shared" si="21"/>
        <v>0</v>
      </c>
      <c r="AN89" s="116">
        <f t="shared" si="23"/>
        <v>0</v>
      </c>
    </row>
    <row r="90" spans="33:40" ht="11.25">
      <c r="AG90" s="24">
        <v>2022</v>
      </c>
      <c r="AH90" s="23">
        <f>'Tax Depr Form 2.1 p.2'!$F$14*'Tax Depr Form 2.1 p.2'!B22*0</f>
        <v>0</v>
      </c>
      <c r="AI90" s="116">
        <f>('Tax Depr Form 2.1 p.2'!F23-AH90)*0</f>
        <v>0</v>
      </c>
      <c r="AJ90" s="23">
        <f t="shared" si="20"/>
        <v>0</v>
      </c>
      <c r="AK90" s="23">
        <f t="shared" si="22"/>
        <v>0</v>
      </c>
      <c r="AL90" s="23"/>
      <c r="AM90" s="116">
        <f t="shared" si="21"/>
        <v>0</v>
      </c>
      <c r="AN90" s="116">
        <f t="shared" si="23"/>
        <v>0</v>
      </c>
    </row>
    <row r="91" spans="33:40" ht="11.25">
      <c r="AG91" s="24">
        <v>2023</v>
      </c>
      <c r="AH91" s="23">
        <f>'Tax Depr Form 2.1 p.2'!$F$14*'Tax Depr Form 2.1 p.2'!B23*0</f>
        <v>0</v>
      </c>
      <c r="AI91" s="116">
        <f>('Tax Depr Form 2.1 p.2'!F24-AH91)*0</f>
        <v>0</v>
      </c>
      <c r="AJ91" s="23">
        <f t="shared" si="20"/>
        <v>0</v>
      </c>
      <c r="AK91" s="23">
        <f t="shared" si="22"/>
        <v>0</v>
      </c>
      <c r="AL91" s="23"/>
      <c r="AM91" s="116">
        <f t="shared" si="21"/>
        <v>0</v>
      </c>
      <c r="AN91" s="116">
        <f t="shared" si="23"/>
        <v>0</v>
      </c>
    </row>
    <row r="92" spans="33:40" ht="11.25">
      <c r="AG92" s="24">
        <v>2024</v>
      </c>
      <c r="AH92" s="23">
        <f>'Tax Depr Form 2.1 p.2'!$F$14*'Tax Depr Form 2.1 p.2'!B24*0</f>
        <v>0</v>
      </c>
      <c r="AI92" s="116">
        <f>('Tax Depr Form 2.1 p.2'!F25-AH92)*0</f>
        <v>0</v>
      </c>
      <c r="AJ92" s="23">
        <f t="shared" si="20"/>
        <v>0</v>
      </c>
      <c r="AK92" s="23">
        <f t="shared" si="22"/>
        <v>0</v>
      </c>
      <c r="AL92" s="23"/>
      <c r="AM92" s="116">
        <f t="shared" si="21"/>
        <v>0</v>
      </c>
      <c r="AN92" s="116">
        <f t="shared" si="23"/>
        <v>0</v>
      </c>
    </row>
    <row r="93" spans="33:40" ht="11.25">
      <c r="AG93" s="24">
        <v>2025</v>
      </c>
      <c r="AH93" s="23">
        <f>'Tax Depr Form 2.1 p.2'!$F$14*'Tax Depr Form 2.1 p.2'!B25*0</f>
        <v>0</v>
      </c>
      <c r="AI93" s="116">
        <f>('Tax Depr Form 2.1 p.2'!F26-AH93)*0</f>
        <v>0</v>
      </c>
      <c r="AJ93" s="23">
        <f t="shared" si="20"/>
        <v>0</v>
      </c>
      <c r="AK93" s="23">
        <f t="shared" si="22"/>
        <v>0</v>
      </c>
      <c r="AL93" s="23"/>
      <c r="AM93" s="116">
        <f t="shared" si="21"/>
        <v>0</v>
      </c>
      <c r="AN93" s="116">
        <f t="shared" si="23"/>
        <v>0</v>
      </c>
    </row>
    <row r="94" spans="33:40" ht="11.25">
      <c r="AG94" s="24">
        <v>2026</v>
      </c>
      <c r="AH94" s="23">
        <f>'Tax Depr Form 2.1 p.2'!$F$14*'Tax Depr Form 2.1 p.2'!B26*0</f>
        <v>0</v>
      </c>
      <c r="AI94" s="116">
        <f>('Tax Depr Form 2.1 p.2'!F27-AH94)*0</f>
        <v>0</v>
      </c>
      <c r="AJ94" s="23">
        <f t="shared" si="20"/>
        <v>0</v>
      </c>
      <c r="AK94" s="23">
        <f t="shared" si="22"/>
        <v>0</v>
      </c>
      <c r="AL94" s="23"/>
      <c r="AM94" s="116">
        <f t="shared" si="21"/>
        <v>0</v>
      </c>
      <c r="AN94" s="116">
        <f t="shared" si="23"/>
        <v>0</v>
      </c>
    </row>
    <row r="95" spans="33:40" ht="11.25">
      <c r="AG95" s="24">
        <v>2027</v>
      </c>
      <c r="AH95" s="23">
        <f>'Tax Depr Form 2.1 p.2'!$F$14*'Tax Depr Form 2.1 p.2'!B27*0</f>
        <v>0</v>
      </c>
      <c r="AI95" s="116">
        <f>('Tax Depr Form 2.1 p.2'!F28-AH95)*0</f>
        <v>0</v>
      </c>
      <c r="AJ95" s="23">
        <f t="shared" si="20"/>
        <v>0</v>
      </c>
      <c r="AK95" s="23">
        <f t="shared" si="22"/>
        <v>0</v>
      </c>
      <c r="AL95" s="23"/>
      <c r="AM95" s="116">
        <f t="shared" si="21"/>
        <v>0</v>
      </c>
      <c r="AN95" s="116">
        <f t="shared" si="23"/>
        <v>0</v>
      </c>
    </row>
    <row r="96" spans="33:40" ht="11.25">
      <c r="AG96" s="24">
        <v>2028</v>
      </c>
      <c r="AH96" s="23">
        <f>'Tax Depr Form 2.1 p.2'!$F$14*'Tax Depr Form 2.1 p.2'!B28*0</f>
        <v>0</v>
      </c>
      <c r="AI96" s="116">
        <f>('Tax Depr Form 2.1 p.2'!F29-AH96)*0</f>
        <v>0</v>
      </c>
      <c r="AJ96" s="23">
        <f t="shared" si="20"/>
        <v>0</v>
      </c>
      <c r="AK96" s="23">
        <f t="shared" si="22"/>
        <v>0</v>
      </c>
      <c r="AL96" s="23"/>
      <c r="AM96" s="116">
        <f t="shared" si="21"/>
        <v>0</v>
      </c>
      <c r="AN96" s="116">
        <f t="shared" si="23"/>
        <v>0</v>
      </c>
    </row>
    <row r="97" spans="33:40" ht="11.25">
      <c r="AG97" s="24">
        <v>2029</v>
      </c>
      <c r="AH97" s="23">
        <f>'Tax Depr Form 2.1 p.2'!$F$14*'Tax Depr Form 2.1 p.2'!B29*0</f>
        <v>0</v>
      </c>
      <c r="AI97" s="116">
        <f>('Tax Depr Form 2.1 p.2'!F30-AH97)*0</f>
        <v>0</v>
      </c>
      <c r="AJ97" s="23">
        <f t="shared" si="20"/>
        <v>0</v>
      </c>
      <c r="AK97" s="23">
        <f t="shared" si="22"/>
        <v>0</v>
      </c>
      <c r="AL97" s="23"/>
      <c r="AM97" s="116">
        <f t="shared" si="21"/>
        <v>0</v>
      </c>
      <c r="AN97" s="116">
        <f t="shared" si="23"/>
        <v>0</v>
      </c>
    </row>
    <row r="98" spans="33:40" ht="11.25">
      <c r="AG98" s="24">
        <v>2030</v>
      </c>
      <c r="AH98" s="23">
        <f>'Tax Depr Form 2.1 p.2'!$F$14*'Tax Depr Form 2.1 p.2'!B30*0</f>
        <v>0</v>
      </c>
      <c r="AI98" s="116">
        <f>('Tax Depr Form 2.1 p.2'!F31-AH98)*0</f>
        <v>0</v>
      </c>
      <c r="AJ98" s="23">
        <f t="shared" si="20"/>
        <v>0</v>
      </c>
      <c r="AK98" s="23">
        <f t="shared" si="22"/>
        <v>0</v>
      </c>
      <c r="AL98" s="23"/>
      <c r="AM98" s="116">
        <f t="shared" si="21"/>
        <v>0</v>
      </c>
      <c r="AN98" s="116">
        <f t="shared" si="23"/>
        <v>0</v>
      </c>
    </row>
    <row r="99" spans="33:40" ht="11.25">
      <c r="AG99" s="24">
        <v>2031</v>
      </c>
      <c r="AH99" s="23">
        <f>'Tax Depr Form 2.1 p.2'!$F$14*'Tax Depr Form 2.1 p.2'!B31*0</f>
        <v>0</v>
      </c>
      <c r="AI99" s="116">
        <f>('Tax Depr Form 2.1 p.2'!F32-AH99)*0</f>
        <v>0</v>
      </c>
      <c r="AJ99" s="23">
        <f t="shared" si="20"/>
        <v>0</v>
      </c>
      <c r="AK99" s="23">
        <f t="shared" si="22"/>
        <v>0</v>
      </c>
      <c r="AL99" s="23"/>
      <c r="AM99" s="116">
        <f t="shared" si="21"/>
        <v>0</v>
      </c>
      <c r="AN99" s="116">
        <f t="shared" si="23"/>
        <v>0</v>
      </c>
    </row>
    <row r="100" spans="33:40" ht="11.25">
      <c r="AG100" s="24">
        <v>2032</v>
      </c>
      <c r="AH100" s="23">
        <f>'Tax Depr Form 2.1 p.2'!$F$14*'Tax Depr Form 2.1 p.2'!B32*0</f>
        <v>0</v>
      </c>
      <c r="AI100" s="116">
        <f>('Tax Depr Form 2.1 p.2'!F33-AH100)*0</f>
        <v>0</v>
      </c>
      <c r="AJ100" s="23">
        <f t="shared" si="20"/>
        <v>0</v>
      </c>
      <c r="AK100" s="23">
        <f t="shared" si="22"/>
        <v>0</v>
      </c>
      <c r="AL100" s="23"/>
      <c r="AM100" s="116">
        <f t="shared" si="21"/>
        <v>0</v>
      </c>
      <c r="AN100" s="116">
        <f t="shared" si="23"/>
        <v>0</v>
      </c>
    </row>
    <row r="101" spans="33:40" ht="11.25">
      <c r="AG101" s="24">
        <v>2033</v>
      </c>
      <c r="AH101" s="23">
        <f>'Tax Depr Form 2.1 p.2'!$F$14*'Tax Depr Form 2.1 p.2'!B33*0</f>
        <v>0</v>
      </c>
      <c r="AI101" s="116">
        <f>('Tax Depr Form 2.1 p.2'!F34-AH101)*0</f>
        <v>0</v>
      </c>
      <c r="AJ101" s="23">
        <f t="shared" si="20"/>
        <v>0</v>
      </c>
      <c r="AK101" s="23">
        <f t="shared" si="22"/>
        <v>0</v>
      </c>
      <c r="AL101" s="23"/>
      <c r="AM101" s="116">
        <f t="shared" si="21"/>
        <v>0</v>
      </c>
      <c r="AN101" s="116">
        <f t="shared" si="23"/>
        <v>0</v>
      </c>
    </row>
    <row r="102" spans="33:40" ht="11.25">
      <c r="AG102" s="24">
        <v>2034</v>
      </c>
      <c r="AH102" s="23">
        <f>'Tax Depr Form 2.1 p.2'!$F$14*'Tax Depr Form 2.1 p.2'!B34*0</f>
        <v>0</v>
      </c>
      <c r="AI102" s="116">
        <f>('Tax Depr Form 2.1 p.2'!F35-AH102)*0</f>
        <v>0</v>
      </c>
      <c r="AJ102" s="23">
        <f t="shared" si="20"/>
        <v>0</v>
      </c>
      <c r="AK102" s="23">
        <f t="shared" si="22"/>
        <v>0</v>
      </c>
      <c r="AL102" s="23"/>
      <c r="AM102" s="116">
        <f t="shared" si="21"/>
        <v>0</v>
      </c>
      <c r="AN102" s="116">
        <f t="shared" si="23"/>
        <v>0</v>
      </c>
    </row>
    <row r="103" spans="33:40" ht="11.25">
      <c r="AG103" s="24">
        <v>2035</v>
      </c>
      <c r="AH103" s="23">
        <f>'Tax Depr Form 2.1 p.2'!$F$14*'Tax Depr Form 2.1 p.2'!B35*0</f>
        <v>0</v>
      </c>
      <c r="AI103" s="116">
        <f>('Tax Depr Form 2.1 p.2'!F36-AH103)*0</f>
        <v>0</v>
      </c>
      <c r="AJ103" s="23">
        <f t="shared" si="20"/>
        <v>0</v>
      </c>
      <c r="AK103" s="23">
        <f t="shared" si="22"/>
        <v>0</v>
      </c>
      <c r="AL103" s="23"/>
      <c r="AM103" s="116">
        <f t="shared" si="21"/>
        <v>0</v>
      </c>
      <c r="AN103" s="116">
        <f t="shared" si="23"/>
        <v>0</v>
      </c>
    </row>
    <row r="104" spans="33:40" ht="11.25">
      <c r="AG104" s="24">
        <v>2036</v>
      </c>
      <c r="AH104" s="23">
        <f>'Tax Depr Form 2.1 p.2'!$F$14*'Tax Depr Form 2.1 p.2'!B36*0</f>
        <v>0</v>
      </c>
      <c r="AI104" s="116">
        <f>('Tax Depr Form 2.1 p.2'!F37-AH104)*0</f>
        <v>0</v>
      </c>
      <c r="AJ104" s="23">
        <f t="shared" si="20"/>
        <v>0</v>
      </c>
      <c r="AK104" s="23">
        <f t="shared" si="22"/>
        <v>0</v>
      </c>
      <c r="AL104" s="23"/>
      <c r="AM104" s="116">
        <f t="shared" si="21"/>
        <v>0</v>
      </c>
      <c r="AN104" s="116">
        <f t="shared" si="23"/>
        <v>0</v>
      </c>
    </row>
    <row r="105" spans="33:40" ht="11.25">
      <c r="AG105" s="24">
        <v>2037</v>
      </c>
      <c r="AH105" s="23">
        <f>'Tax Depr Form 2.1 p.2'!$F$14*'Tax Depr Form 2.1 p.2'!B37*0</f>
        <v>0</v>
      </c>
      <c r="AI105" s="116">
        <f>('Tax Depr Form 2.1 p.2'!F38-AH105)*0</f>
        <v>0</v>
      </c>
      <c r="AJ105" s="23">
        <f t="shared" si="20"/>
        <v>0</v>
      </c>
      <c r="AK105" s="23">
        <f t="shared" si="22"/>
        <v>0</v>
      </c>
      <c r="AL105" s="23"/>
      <c r="AM105" s="116">
        <f t="shared" si="21"/>
        <v>0</v>
      </c>
      <c r="AN105" s="116">
        <f t="shared" si="23"/>
        <v>0</v>
      </c>
    </row>
    <row r="106" spans="33:40" ht="11.25">
      <c r="AG106" s="24">
        <v>2038</v>
      </c>
      <c r="AH106" s="23">
        <f>'Tax Depr Form 2.1 p.2'!$F$14*'Tax Depr Form 2.1 p.2'!B38*0</f>
        <v>0</v>
      </c>
      <c r="AI106" s="116">
        <f>('Tax Depr Form 2.1 p.2'!F39-AH106)*0</f>
        <v>0</v>
      </c>
      <c r="AJ106" s="23">
        <f t="shared" si="20"/>
        <v>0</v>
      </c>
      <c r="AK106" s="23">
        <f t="shared" si="22"/>
        <v>0</v>
      </c>
      <c r="AL106" s="23"/>
      <c r="AM106" s="116">
        <f t="shared" si="21"/>
        <v>0</v>
      </c>
      <c r="AN106" s="116">
        <f t="shared" si="23"/>
        <v>0</v>
      </c>
    </row>
    <row r="107" spans="34:39" ht="11.25">
      <c r="AH107" s="116">
        <f>SUM(AH86:AH106)</f>
        <v>0</v>
      </c>
      <c r="AI107" s="116">
        <f>SUM(AI86:AI106)</f>
        <v>0</v>
      </c>
      <c r="AJ107" s="116">
        <f>SUM(AJ86:AJ106)</f>
        <v>0</v>
      </c>
      <c r="AK107" s="116">
        <f>SUM(AK86:AK106)</f>
        <v>0</v>
      </c>
      <c r="AL107" s="116"/>
      <c r="AM107" s="116">
        <f>SUM(AM86:AM106)</f>
        <v>0</v>
      </c>
    </row>
  </sheetData>
  <sheetProtection/>
  <mergeCells count="5">
    <mergeCell ref="A3:AM3"/>
    <mergeCell ref="A5:AM5"/>
    <mergeCell ref="A4:AM4"/>
    <mergeCell ref="D15:AG15"/>
    <mergeCell ref="A48:AJ49"/>
  </mergeCells>
  <printOptions horizontalCentered="1"/>
  <pageMargins left="0.5" right="0.5" top="0.5" bottom="0.5" header="0.5" footer="0.5"/>
  <pageSetup fitToHeight="1" fitToWidth="1" horizontalDpi="600" verticalDpi="600" orientation="landscape" scale="63" r:id="rId1"/>
  <ignoredErrors>
    <ignoredError sqref="AF4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7"/>
  <sheetViews>
    <sheetView zoomScale="90" zoomScaleNormal="90" zoomScaleSheetLayoutView="70" zoomScalePageLayoutView="0" workbookViewId="0" topLeftCell="A92">
      <selection activeCell="D53" sqref="D53:H57"/>
    </sheetView>
  </sheetViews>
  <sheetFormatPr defaultColWidth="9.140625" defaultRowHeight="12.75"/>
  <cols>
    <col min="1" max="1" width="3.8515625" style="143" customWidth="1"/>
    <col min="2" max="2" width="17.57421875" style="24" customWidth="1"/>
    <col min="3" max="3" width="15.421875" style="24" customWidth="1"/>
    <col min="4" max="4" width="13.00390625" style="24" bestFit="1" customWidth="1"/>
    <col min="5" max="5" width="12.00390625" style="24" bestFit="1" customWidth="1"/>
    <col min="6" max="6" width="11.00390625" style="24" customWidth="1"/>
    <col min="7" max="7" width="12.00390625" style="24" customWidth="1"/>
    <col min="8" max="8" width="12.140625" style="24" customWidth="1"/>
    <col min="9" max="9" width="11.140625" style="24" hidden="1" customWidth="1"/>
    <col min="10" max="10" width="11.00390625" style="24" hidden="1" customWidth="1"/>
    <col min="11" max="11" width="11.421875" style="24" hidden="1" customWidth="1"/>
    <col min="12" max="31" width="12.8515625" style="24" hidden="1" customWidth="1"/>
    <col min="32" max="32" width="11.421875" style="24" bestFit="1" customWidth="1"/>
    <col min="33" max="33" width="10.00390625" style="24" bestFit="1" customWidth="1"/>
    <col min="34" max="34" width="11.421875" style="24" bestFit="1" customWidth="1"/>
    <col min="35" max="35" width="11.00390625" style="24" bestFit="1" customWidth="1"/>
    <col min="36" max="36" width="12.421875" style="24" bestFit="1" customWidth="1"/>
    <col min="37" max="37" width="16.57421875" style="24" bestFit="1" customWidth="1"/>
    <col min="38" max="38" width="16.57421875" style="24" customWidth="1"/>
    <col min="39" max="39" width="13.421875" style="24" bestFit="1" customWidth="1"/>
    <col min="40" max="40" width="11.8515625" style="24" bestFit="1" customWidth="1"/>
    <col min="41" max="16384" width="9.140625" style="24" customWidth="1"/>
  </cols>
  <sheetData>
    <row r="1" spans="2:39" ht="11.25">
      <c r="B1" s="141"/>
      <c r="S1" s="63"/>
      <c r="AM1" s="63" t="s">
        <v>259</v>
      </c>
    </row>
    <row r="2" spans="8:39" ht="11.25">
      <c r="H2" s="63"/>
      <c r="R2" s="56"/>
      <c r="S2" s="56"/>
      <c r="AM2" s="63" t="s">
        <v>327</v>
      </c>
    </row>
    <row r="3" spans="1:39" ht="11.25">
      <c r="A3" s="237" t="s">
        <v>12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</row>
    <row r="4" spans="1:39" ht="11.25">
      <c r="A4" s="237" t="s">
        <v>256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</row>
    <row r="5" spans="1:39" ht="11.25">
      <c r="A5" s="237" t="s">
        <v>136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</row>
    <row r="6" ht="11.25">
      <c r="B6" s="59"/>
    </row>
    <row r="7" spans="2:38" ht="12.75" customHeight="1">
      <c r="B7" s="31"/>
      <c r="AJ7" s="144"/>
      <c r="AK7" s="144"/>
      <c r="AL7" s="144"/>
    </row>
    <row r="8" spans="8:40" ht="11.25">
      <c r="H8" s="114"/>
      <c r="I8" s="114">
        <f aca="true" t="shared" si="0" ref="I8:AE8">+H8+1</f>
        <v>1</v>
      </c>
      <c r="J8" s="114">
        <f t="shared" si="0"/>
        <v>2</v>
      </c>
      <c r="K8" s="114">
        <f t="shared" si="0"/>
        <v>3</v>
      </c>
      <c r="L8" s="114">
        <f t="shared" si="0"/>
        <v>4</v>
      </c>
      <c r="M8" s="114">
        <f t="shared" si="0"/>
        <v>5</v>
      </c>
      <c r="N8" s="114">
        <f t="shared" si="0"/>
        <v>6</v>
      </c>
      <c r="O8" s="114">
        <f t="shared" si="0"/>
        <v>7</v>
      </c>
      <c r="P8" s="114">
        <f t="shared" si="0"/>
        <v>8</v>
      </c>
      <c r="Q8" s="114">
        <f t="shared" si="0"/>
        <v>9</v>
      </c>
      <c r="R8" s="114">
        <f>+Q8+1</f>
        <v>10</v>
      </c>
      <c r="S8" s="114">
        <f t="shared" si="0"/>
        <v>11</v>
      </c>
      <c r="T8" s="114">
        <f t="shared" si="0"/>
        <v>12</v>
      </c>
      <c r="U8" s="114">
        <f t="shared" si="0"/>
        <v>13</v>
      </c>
      <c r="V8" s="114">
        <f t="shared" si="0"/>
        <v>14</v>
      </c>
      <c r="W8" s="114">
        <f t="shared" si="0"/>
        <v>15</v>
      </c>
      <c r="X8" s="114">
        <f t="shared" si="0"/>
        <v>16</v>
      </c>
      <c r="Y8" s="114">
        <f t="shared" si="0"/>
        <v>17</v>
      </c>
      <c r="Z8" s="114">
        <f t="shared" si="0"/>
        <v>18</v>
      </c>
      <c r="AA8" s="114">
        <f t="shared" si="0"/>
        <v>19</v>
      </c>
      <c r="AB8" s="114">
        <f t="shared" si="0"/>
        <v>20</v>
      </c>
      <c r="AC8" s="114">
        <f t="shared" si="0"/>
        <v>21</v>
      </c>
      <c r="AD8" s="114">
        <f t="shared" si="0"/>
        <v>22</v>
      </c>
      <c r="AE8" s="114">
        <f t="shared" si="0"/>
        <v>23</v>
      </c>
      <c r="AF8" s="114" t="s">
        <v>14</v>
      </c>
      <c r="AG8" s="114"/>
      <c r="AI8" s="114"/>
      <c r="AJ8" s="114" t="s">
        <v>49</v>
      </c>
      <c r="AK8" s="114" t="s">
        <v>16</v>
      </c>
      <c r="AL8" s="114" t="s">
        <v>185</v>
      </c>
      <c r="AM8" s="114" t="s">
        <v>16</v>
      </c>
      <c r="AN8" s="56"/>
    </row>
    <row r="9" spans="1:43" ht="11.25">
      <c r="A9" s="114" t="s">
        <v>1</v>
      </c>
      <c r="B9" s="31" t="s">
        <v>133</v>
      </c>
      <c r="D9" s="114" t="s">
        <v>233</v>
      </c>
      <c r="E9" s="114" t="s">
        <v>234</v>
      </c>
      <c r="F9" s="114">
        <v>2018</v>
      </c>
      <c r="G9" s="114">
        <f>+F9+1</f>
        <v>2019</v>
      </c>
      <c r="H9" s="114">
        <f>+G9+1</f>
        <v>2020</v>
      </c>
      <c r="I9" s="114" t="s">
        <v>17</v>
      </c>
      <c r="J9" s="114" t="s">
        <v>18</v>
      </c>
      <c r="K9" s="114" t="s">
        <v>19</v>
      </c>
      <c r="L9" s="114" t="s">
        <v>28</v>
      </c>
      <c r="M9" s="114" t="s">
        <v>29</v>
      </c>
      <c r="N9" s="114" t="s">
        <v>30</v>
      </c>
      <c r="O9" s="114" t="s">
        <v>31</v>
      </c>
      <c r="P9" s="114" t="s">
        <v>32</v>
      </c>
      <c r="Q9" s="114" t="s">
        <v>33</v>
      </c>
      <c r="R9" s="114" t="s">
        <v>34</v>
      </c>
      <c r="S9" s="114" t="s">
        <v>35</v>
      </c>
      <c r="T9" s="114" t="s">
        <v>36</v>
      </c>
      <c r="U9" s="114" t="s">
        <v>37</v>
      </c>
      <c r="V9" s="114" t="s">
        <v>39</v>
      </c>
      <c r="W9" s="114" t="s">
        <v>40</v>
      </c>
      <c r="X9" s="114" t="s">
        <v>41</v>
      </c>
      <c r="Y9" s="114" t="s">
        <v>42</v>
      </c>
      <c r="Z9" s="114" t="s">
        <v>43</v>
      </c>
      <c r="AA9" s="114" t="s">
        <v>44</v>
      </c>
      <c r="AB9" s="114" t="s">
        <v>45</v>
      </c>
      <c r="AC9" s="114" t="s">
        <v>46</v>
      </c>
      <c r="AD9" s="114" t="s">
        <v>47</v>
      </c>
      <c r="AE9" s="114" t="s">
        <v>48</v>
      </c>
      <c r="AF9" s="114" t="s">
        <v>20</v>
      </c>
      <c r="AG9" s="114" t="s">
        <v>127</v>
      </c>
      <c r="AH9" s="114" t="s">
        <v>15</v>
      </c>
      <c r="AI9" s="114"/>
      <c r="AJ9" s="114" t="s">
        <v>21</v>
      </c>
      <c r="AK9" s="114" t="s">
        <v>189</v>
      </c>
      <c r="AL9" s="114" t="s">
        <v>187</v>
      </c>
      <c r="AM9" s="114" t="s">
        <v>22</v>
      </c>
      <c r="AN9" s="56"/>
      <c r="AP9" s="145">
        <v>0.389</v>
      </c>
      <c r="AQ9" s="24" t="s">
        <v>237</v>
      </c>
    </row>
    <row r="10" spans="1:43" ht="14.25">
      <c r="A10" s="59" t="s">
        <v>2</v>
      </c>
      <c r="B10" s="146" t="s">
        <v>132</v>
      </c>
      <c r="C10" s="59" t="s">
        <v>0</v>
      </c>
      <c r="D10" s="59" t="s">
        <v>24</v>
      </c>
      <c r="E10" s="59" t="s">
        <v>24</v>
      </c>
      <c r="F10" s="59" t="s">
        <v>24</v>
      </c>
      <c r="G10" s="59" t="s">
        <v>24</v>
      </c>
      <c r="H10" s="59" t="s">
        <v>24</v>
      </c>
      <c r="I10" s="59" t="s">
        <v>24</v>
      </c>
      <c r="J10" s="59" t="s">
        <v>24</v>
      </c>
      <c r="K10" s="59" t="s">
        <v>24</v>
      </c>
      <c r="L10" s="59" t="s">
        <v>24</v>
      </c>
      <c r="M10" s="59" t="s">
        <v>24</v>
      </c>
      <c r="N10" s="59" t="s">
        <v>24</v>
      </c>
      <c r="O10" s="59" t="s">
        <v>24</v>
      </c>
      <c r="P10" s="59" t="s">
        <v>24</v>
      </c>
      <c r="Q10" s="59" t="s">
        <v>24</v>
      </c>
      <c r="R10" s="59" t="s">
        <v>24</v>
      </c>
      <c r="S10" s="59" t="s">
        <v>24</v>
      </c>
      <c r="T10" s="59" t="s">
        <v>24</v>
      </c>
      <c r="U10" s="59" t="s">
        <v>24</v>
      </c>
      <c r="V10" s="59" t="s">
        <v>24</v>
      </c>
      <c r="W10" s="59" t="s">
        <v>24</v>
      </c>
      <c r="X10" s="59" t="s">
        <v>24</v>
      </c>
      <c r="Y10" s="59" t="s">
        <v>24</v>
      </c>
      <c r="Z10" s="59" t="s">
        <v>24</v>
      </c>
      <c r="AA10" s="59" t="s">
        <v>24</v>
      </c>
      <c r="AB10" s="59" t="s">
        <v>24</v>
      </c>
      <c r="AC10" s="59" t="s">
        <v>24</v>
      </c>
      <c r="AD10" s="59" t="s">
        <v>24</v>
      </c>
      <c r="AE10" s="59" t="s">
        <v>24</v>
      </c>
      <c r="AF10" s="59" t="s">
        <v>25</v>
      </c>
      <c r="AG10" s="59" t="s">
        <v>128</v>
      </c>
      <c r="AH10" s="59" t="s">
        <v>25</v>
      </c>
      <c r="AI10" s="59" t="s">
        <v>26</v>
      </c>
      <c r="AJ10" s="230" t="s">
        <v>241</v>
      </c>
      <c r="AK10" s="59" t="s">
        <v>190</v>
      </c>
      <c r="AL10" s="59" t="s">
        <v>188</v>
      </c>
      <c r="AM10" s="59" t="s">
        <v>27</v>
      </c>
      <c r="AN10" s="56"/>
      <c r="AP10" s="145">
        <v>0.2495</v>
      </c>
      <c r="AQ10" s="24" t="s">
        <v>238</v>
      </c>
    </row>
    <row r="11" spans="1:40" ht="11.25">
      <c r="A11" s="59"/>
      <c r="B11" s="21">
        <v>-1</v>
      </c>
      <c r="C11" s="21">
        <f>+B11-1</f>
        <v>-2</v>
      </c>
      <c r="D11" s="21">
        <f>C11-1</f>
        <v>-3</v>
      </c>
      <c r="E11" s="21">
        <f>D11-1</f>
        <v>-4</v>
      </c>
      <c r="F11" s="21">
        <f>+E11-1</f>
        <v>-5</v>
      </c>
      <c r="G11" s="21">
        <f aca="true" t="shared" si="1" ref="G11:AH11">+F11-1</f>
        <v>-6</v>
      </c>
      <c r="H11" s="21">
        <f t="shared" si="1"/>
        <v>-7</v>
      </c>
      <c r="I11" s="21">
        <f t="shared" si="1"/>
        <v>-8</v>
      </c>
      <c r="J11" s="21">
        <f t="shared" si="1"/>
        <v>-9</v>
      </c>
      <c r="K11" s="21">
        <f t="shared" si="1"/>
        <v>-10</v>
      </c>
      <c r="L11" s="21">
        <f t="shared" si="1"/>
        <v>-11</v>
      </c>
      <c r="M11" s="21">
        <f t="shared" si="1"/>
        <v>-12</v>
      </c>
      <c r="N11" s="21">
        <f t="shared" si="1"/>
        <v>-13</v>
      </c>
      <c r="O11" s="21">
        <f t="shared" si="1"/>
        <v>-14</v>
      </c>
      <c r="P11" s="21">
        <f t="shared" si="1"/>
        <v>-15</v>
      </c>
      <c r="Q11" s="21">
        <f t="shared" si="1"/>
        <v>-16</v>
      </c>
      <c r="R11" s="21">
        <f>+Q11-1</f>
        <v>-17</v>
      </c>
      <c r="S11" s="21">
        <f t="shared" si="1"/>
        <v>-18</v>
      </c>
      <c r="T11" s="21">
        <f t="shared" si="1"/>
        <v>-19</v>
      </c>
      <c r="U11" s="21">
        <f t="shared" si="1"/>
        <v>-20</v>
      </c>
      <c r="V11" s="21">
        <f t="shared" si="1"/>
        <v>-21</v>
      </c>
      <c r="W11" s="21">
        <f t="shared" si="1"/>
        <v>-22</v>
      </c>
      <c r="X11" s="21">
        <f t="shared" si="1"/>
        <v>-23</v>
      </c>
      <c r="Y11" s="21">
        <f t="shared" si="1"/>
        <v>-24</v>
      </c>
      <c r="Z11" s="21">
        <f t="shared" si="1"/>
        <v>-25</v>
      </c>
      <c r="AA11" s="21">
        <f t="shared" si="1"/>
        <v>-26</v>
      </c>
      <c r="AB11" s="21">
        <f t="shared" si="1"/>
        <v>-27</v>
      </c>
      <c r="AC11" s="21">
        <f t="shared" si="1"/>
        <v>-28</v>
      </c>
      <c r="AD11" s="21">
        <f t="shared" si="1"/>
        <v>-29</v>
      </c>
      <c r="AE11" s="21">
        <f t="shared" si="1"/>
        <v>-30</v>
      </c>
      <c r="AF11" s="21">
        <f>G11-1</f>
        <v>-7</v>
      </c>
      <c r="AG11" s="21">
        <f t="shared" si="1"/>
        <v>-8</v>
      </c>
      <c r="AH11" s="21">
        <f t="shared" si="1"/>
        <v>-9</v>
      </c>
      <c r="AI11" s="21">
        <f>+AH11-1</f>
        <v>-10</v>
      </c>
      <c r="AJ11" s="21">
        <f>+AI11-1</f>
        <v>-11</v>
      </c>
      <c r="AK11" s="21">
        <f>+AJ11-1</f>
        <v>-12</v>
      </c>
      <c r="AL11" s="21">
        <f>+AK11-1</f>
        <v>-13</v>
      </c>
      <c r="AM11" s="21">
        <f>+AL11-1</f>
        <v>-14</v>
      </c>
      <c r="AN11" s="56"/>
    </row>
    <row r="12" spans="1:40" ht="11.25">
      <c r="A12" s="59"/>
      <c r="B12" s="147"/>
      <c r="C12" s="114"/>
      <c r="D12" s="117" t="s">
        <v>13</v>
      </c>
      <c r="E12" s="117" t="s">
        <v>13</v>
      </c>
      <c r="F12" s="117" t="s">
        <v>13</v>
      </c>
      <c r="G12" s="117" t="s">
        <v>13</v>
      </c>
      <c r="H12" s="117" t="s">
        <v>13</v>
      </c>
      <c r="I12" s="117" t="s">
        <v>13</v>
      </c>
      <c r="J12" s="117" t="s">
        <v>13</v>
      </c>
      <c r="K12" s="117" t="s">
        <v>13</v>
      </c>
      <c r="L12" s="117" t="s">
        <v>13</v>
      </c>
      <c r="M12" s="117" t="s">
        <v>13</v>
      </c>
      <c r="N12" s="117" t="s">
        <v>13</v>
      </c>
      <c r="O12" s="117" t="s">
        <v>13</v>
      </c>
      <c r="P12" s="117" t="s">
        <v>13</v>
      </c>
      <c r="Q12" s="117" t="s">
        <v>13</v>
      </c>
      <c r="R12" s="117" t="s">
        <v>13</v>
      </c>
      <c r="S12" s="117" t="s">
        <v>13</v>
      </c>
      <c r="T12" s="117" t="s">
        <v>13</v>
      </c>
      <c r="U12" s="117" t="s">
        <v>13</v>
      </c>
      <c r="V12" s="117" t="s">
        <v>13</v>
      </c>
      <c r="W12" s="117" t="s">
        <v>13</v>
      </c>
      <c r="X12" s="117" t="s">
        <v>13</v>
      </c>
      <c r="Y12" s="117" t="s">
        <v>13</v>
      </c>
      <c r="Z12" s="117" t="s">
        <v>13</v>
      </c>
      <c r="AA12" s="117" t="s">
        <v>13</v>
      </c>
      <c r="AB12" s="117" t="s">
        <v>13</v>
      </c>
      <c r="AC12" s="117" t="s">
        <v>13</v>
      </c>
      <c r="AD12" s="117" t="s">
        <v>13</v>
      </c>
      <c r="AE12" s="117" t="s">
        <v>13</v>
      </c>
      <c r="AF12" s="117" t="s">
        <v>13</v>
      </c>
      <c r="AG12" s="114" t="s">
        <v>13</v>
      </c>
      <c r="AH12" s="117" t="s">
        <v>13</v>
      </c>
      <c r="AI12" s="117" t="s">
        <v>13</v>
      </c>
      <c r="AJ12" s="117" t="s">
        <v>13</v>
      </c>
      <c r="AK12" s="117" t="s">
        <v>13</v>
      </c>
      <c r="AL12" s="117" t="s">
        <v>13</v>
      </c>
      <c r="AM12" s="117" t="s">
        <v>13</v>
      </c>
      <c r="AN12" s="56"/>
    </row>
    <row r="13" spans="1:40" ht="11.25">
      <c r="A13" s="59"/>
      <c r="B13" s="148"/>
      <c r="C13" s="14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N13" s="56"/>
    </row>
    <row r="14" spans="1:40" ht="12.75">
      <c r="A14" s="143">
        <v>1</v>
      </c>
      <c r="B14" s="24" t="s">
        <v>298</v>
      </c>
      <c r="C14" s="149"/>
      <c r="D14" s="25">
        <f>SUM('2017 AMRP Calc Form 2.2'!D83:D91)-SUM('2017 AMRP Calc Form 2.2'!F83:F91)+SUM('2017 AMRP Calc Form 2.2'!D112:D120)-SUM('2017 AMRP Calc Form 2.2'!F112:F120)+SUM('2017 AMRP Calc Form 2.2'!D134:D142)-SUM('2017 AMRP Calc Form 2.2'!F134:F142)+SUM('2017 AMRP Calc Form 2.2'!D163:D171)-SUM('2017 AMRP Calc Form 2.2'!F163:F171)</f>
        <v>395843</v>
      </c>
      <c r="E14" s="25">
        <f>SUM('2017 AMRP Calc Form 2.2'!D92:D94)-SUM('2017 AMRP Calc Form 2.2'!F92:F94)+SUM('2017 AMRP Calc Form 2.2'!D121:D123)-SUM('2017 AMRP Calc Form 2.2'!F121:F123)+SUM('2017 AMRP Calc Form 2.2'!D143:D145)-SUM('2017 AMRP Calc Form 2.2'!F143:F145)+SUM('2017 AMRP Calc Form 2.2'!D172:E174)-SUM('2017 AMRP Calc Form 2.2'!F172:F174)</f>
        <v>13675</v>
      </c>
      <c r="F14" s="25">
        <f>'Plant &amp; Book Depr Form 2.0'!H105+'Plant &amp; Book Depr Form 2.0'!H107+'Plant &amp; Book Depr Form 2.0'!H108+'Plant &amp; Book Depr Form 2.0'!H109</f>
        <v>296045.13</v>
      </c>
      <c r="G14" s="25">
        <f>'Plant &amp; Book Depr Form 2.0'!H60+'Plant &amp; Book Depr Form 2.0'!H61+'Plant &amp; Book Depr Form 2.0'!H63+'Plant &amp; Book Depr Form 2.0'!H64+'Plant &amp; Book Depr Form 2.0'!H65</f>
        <v>516387.74000000005</v>
      </c>
      <c r="H14" s="25">
        <f>'Plant &amp; Book Depr Form 2.0'!H15+'Plant &amp; Book Depr Form 2.0'!H16+'Plant &amp; Book Depr Form 2.0'!H18+'Plant &amp; Book Depr Form 2.0'!H19+'Plant &amp; Book Depr Form 2.0'!H20</f>
        <v>3148814.990000001</v>
      </c>
      <c r="I14" s="25" t="e">
        <f>#REF!+#REF!</f>
        <v>#REF!</v>
      </c>
      <c r="J14" s="25" t="e">
        <f>#REF!+#REF!</f>
        <v>#REF!</v>
      </c>
      <c r="K14" s="25" t="e">
        <f>#REF!+#REF!</f>
        <v>#REF!</v>
      </c>
      <c r="L14" s="25" t="e">
        <f>#REF!+#REF!</f>
        <v>#REF!</v>
      </c>
      <c r="M14" s="25" t="e">
        <f>#REF!+#REF!</f>
        <v>#REF!</v>
      </c>
      <c r="N14" s="25" t="e">
        <f>#REF!+#REF!</f>
        <v>#REF!</v>
      </c>
      <c r="O14" s="25" t="e">
        <f>#REF!+#REF!</f>
        <v>#REF!</v>
      </c>
      <c r="P14" s="25" t="e">
        <f>#REF!+#REF!</f>
        <v>#REF!</v>
      </c>
      <c r="Q14" s="25" t="e">
        <f>#REF!+#REF!</f>
        <v>#REF!</v>
      </c>
      <c r="R14" s="25" t="e">
        <f>#REF!+#REF!</f>
        <v>#REF!</v>
      </c>
      <c r="S14" s="25" t="e">
        <f>#REF!+#REF!</f>
        <v>#REF!</v>
      </c>
      <c r="T14" s="25" t="e">
        <f>#REF!+#REF!</f>
        <v>#REF!</v>
      </c>
      <c r="U14" s="25" t="e">
        <f>#REF!+#REF!</f>
        <v>#REF!</v>
      </c>
      <c r="V14" s="25" t="e">
        <f>#REF!+#REF!</f>
        <v>#REF!</v>
      </c>
      <c r="W14" s="25" t="e">
        <f>#REF!+#REF!</f>
        <v>#REF!</v>
      </c>
      <c r="X14" s="25" t="e">
        <f>#REF!+#REF!</f>
        <v>#REF!</v>
      </c>
      <c r="Y14" s="25" t="e">
        <f>#REF!+#REF!</f>
        <v>#REF!</v>
      </c>
      <c r="Z14" s="25" t="e">
        <f>#REF!+#REF!</f>
        <v>#REF!</v>
      </c>
      <c r="AA14" s="25" t="e">
        <f>#REF!+#REF!</f>
        <v>#REF!</v>
      </c>
      <c r="AB14" s="25" t="e">
        <f>#REF!+#REF!</f>
        <v>#REF!</v>
      </c>
      <c r="AC14" s="25" t="e">
        <f>#REF!+#REF!</f>
        <v>#REF!</v>
      </c>
      <c r="AD14" s="25" t="e">
        <f>#REF!+#REF!</f>
        <v>#REF!</v>
      </c>
      <c r="AE14" s="25" t="e">
        <f>#REF!+#REF!</f>
        <v>#REF!</v>
      </c>
      <c r="AH14" s="116"/>
      <c r="AN14" s="56"/>
    </row>
    <row r="15" spans="1:40" ht="13.5" customHeight="1" thickBot="1">
      <c r="A15" s="59"/>
      <c r="B15" s="148"/>
      <c r="C15" s="149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N15" s="56"/>
    </row>
    <row r="16" spans="1:40" ht="13.5" customHeight="1">
      <c r="A16" s="143">
        <f>A14+1</f>
        <v>2</v>
      </c>
      <c r="B16" s="150" t="s">
        <v>301</v>
      </c>
      <c r="C16" s="149"/>
      <c r="D16" s="32">
        <f>D57+D56</f>
        <v>0.52005</v>
      </c>
      <c r="E16" s="32">
        <f>E57+E56</f>
        <v>0.52005</v>
      </c>
      <c r="F16" s="32">
        <f>F57+F56</f>
        <v>0.0401</v>
      </c>
      <c r="G16" s="32">
        <f>G57+G56</f>
        <v>0.0401</v>
      </c>
      <c r="H16" s="32">
        <f>H57+H56</f>
        <v>0.0401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N16" s="56"/>
    </row>
    <row r="17" spans="2:46" ht="13.5" customHeight="1">
      <c r="B17" s="150"/>
      <c r="C17" s="149"/>
      <c r="D17" s="32"/>
      <c r="E17" s="3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N17" s="56"/>
      <c r="AO17" s="151"/>
      <c r="AP17" s="151"/>
      <c r="AQ17" s="151"/>
      <c r="AR17" s="151"/>
      <c r="AS17" s="151"/>
      <c r="AT17" s="151"/>
    </row>
    <row r="18" spans="1:47" ht="11.25">
      <c r="A18" s="143">
        <f>A16+1</f>
        <v>3</v>
      </c>
      <c r="B18" s="229">
        <v>0.03750000000000009</v>
      </c>
      <c r="C18" s="143">
        <v>1</v>
      </c>
      <c r="D18" s="23">
        <f>ROUND((D$14)*$D$16,0)+ROUND(($D$14-($D$14*$D$16))*B18,0)</f>
        <v>212982</v>
      </c>
      <c r="E18" s="23">
        <f>ROUND((E$14)*$E$16,0)+ROUND(($E$14-($E$14*$E$16))*B18,0)</f>
        <v>7358</v>
      </c>
      <c r="AF18" s="23">
        <f>SUM(D18:G18)</f>
        <v>220340</v>
      </c>
      <c r="AG18" s="23">
        <f>-'2017 AMRP Calc Form 2.2'!J95+'2017 AMRP Calc Form 2.2'!L95-'2017 AMRP Calc Form 2.2'!J124+'2017 AMRP Calc Form 2.2'!L124-'2017 AMRP Calc Form 2.2'!J146+'2017 AMRP Calc Form 2.2'!L146-'2017 AMRP Calc Form 2.2'!J175+'2017 AMRP Calc Form 2.2'!L175</f>
        <v>4035</v>
      </c>
      <c r="AH18" s="23">
        <f>+'2017 AMRP Calc Form 2.2'!M95+'2017 AMRP Calc Form 2.2'!M124+'2017 AMRP Calc Form 2.2'!M146+'2017 AMRP Calc Form 2.2'!M175</f>
        <v>3687.2073875</v>
      </c>
      <c r="AI18" s="116">
        <f>AF18+AG18-AH18</f>
        <v>220687.7926125</v>
      </c>
      <c r="AJ18" s="23">
        <f>ROUND($AP$9*AI18,0)</f>
        <v>85848</v>
      </c>
      <c r="AK18" s="231">
        <f>(($D$14+$E$14)/'Plant &amp; Book Depr Form 2.0'!$E$111)*(-1754877*('2017 AMRP Calc Form 2.2'!D21/37101918.58))</f>
        <v>-28997.7807721294</v>
      </c>
      <c r="AL18" s="55">
        <v>0</v>
      </c>
      <c r="AM18" s="23">
        <f>+AJ18+AK18</f>
        <v>56850.2192278706</v>
      </c>
      <c r="AN18" s="56"/>
      <c r="AO18" s="151"/>
      <c r="AP18" s="151"/>
      <c r="AQ18" s="151"/>
      <c r="AR18" s="151"/>
      <c r="AS18" s="151"/>
      <c r="AT18" s="123"/>
      <c r="AU18" s="152"/>
    </row>
    <row r="19" spans="1:47" ht="11.25">
      <c r="A19" s="143">
        <f>A18+1</f>
        <v>4</v>
      </c>
      <c r="B19" s="229">
        <v>0.07219</v>
      </c>
      <c r="C19" s="143">
        <f>+C18+1</f>
        <v>2</v>
      </c>
      <c r="D19" s="23">
        <f aca="true" t="shared" si="2" ref="D19:D38">ROUND(($D$14-($D$14*$D$16))*B19,0)</f>
        <v>13715</v>
      </c>
      <c r="E19" s="23">
        <f>ROUND(($E$14-($E$14*$E$16))*B19,0)</f>
        <v>474</v>
      </c>
      <c r="F19" s="23">
        <f>ROUND((F$14)*F$16,0)+ROUND((F$14-(F$14*F$16))*$B18,0)</f>
        <v>22528</v>
      </c>
      <c r="AF19" s="23">
        <f>SUM(D19:G19)</f>
        <v>36717</v>
      </c>
      <c r="AG19" s="23">
        <f>'Plant &amp; Book Depr Form 2.0'!H126+'Plant &amp; Book Depr Form 2.0'!H128+'Plant &amp; Book Depr Form 2.0'!H129+'Plant &amp; Book Depr Form 2.0'!H130</f>
        <v>1074.8200000000002</v>
      </c>
      <c r="AH19" s="23">
        <f>'Plant &amp; Book Depr Form 2.0'!G105+'Plant &amp; Book Depr Form 2.0'!I105+'Plant &amp; Book Depr Form 2.0'!G107+'Plant &amp; Book Depr Form 2.0'!I107+'Plant &amp; Book Depr Form 2.0'!G108+'Plant &amp; Book Depr Form 2.0'!I108+'Plant &amp; Book Depr Form 2.0'!G109+'Plant &amp; Book Depr Form 2.0'!I109+'Plant &amp; Book Depr Form 2.0'!G115+'Plant &amp; Book Depr Form 2.0'!I115+'Plant &amp; Book Depr Form 2.0'!G117+'Plant &amp; Book Depr Form 2.0'!I117+'Plant &amp; Book Depr Form 2.0'!G118+'Plant &amp; Book Depr Form 2.0'!I118+'Plant &amp; Book Depr Form 2.0'!G119+'Plant &amp; Book Depr Form 2.0'!I119</f>
        <v>13613</v>
      </c>
      <c r="AI19" s="116">
        <f>AF19+AG19-AH19</f>
        <v>24178.82</v>
      </c>
      <c r="AJ19" s="23">
        <f>ROUND($AP$10*AI19,0)</f>
        <v>6033</v>
      </c>
      <c r="AK19" s="23">
        <f>($F$14/'Plant &amp; Book Depr Form 2.0'!$H$111)*(43169*('Plant &amp; Book Depr Form 2.0'!H111/42667534.96))</f>
        <v>299.52450332438895</v>
      </c>
      <c r="AL19" s="55">
        <f>-($F$14/'Plant &amp; Book Depr Form 2.0'!$H$111)*(1299131)*0</f>
        <v>0</v>
      </c>
      <c r="AM19" s="23">
        <f>AM18+AJ19+AK19+AL19</f>
        <v>63182.74373119499</v>
      </c>
      <c r="AN19" s="56"/>
      <c r="AO19" s="151"/>
      <c r="AP19" s="151"/>
      <c r="AQ19" s="151"/>
      <c r="AR19" s="151"/>
      <c r="AS19" s="151"/>
      <c r="AT19" s="123"/>
      <c r="AU19" s="152"/>
    </row>
    <row r="20" spans="1:47" ht="11.25">
      <c r="A20" s="143">
        <f aca="true" t="shared" si="3" ref="A20:A41">A19+1</f>
        <v>5</v>
      </c>
      <c r="B20" s="229">
        <v>0.06677</v>
      </c>
      <c r="C20" s="143">
        <f aca="true" t="shared" si="4" ref="C20:C39">+C19+1</f>
        <v>3</v>
      </c>
      <c r="D20" s="23">
        <f t="shared" si="2"/>
        <v>12685</v>
      </c>
      <c r="E20" s="23">
        <f aca="true" t="shared" si="5" ref="E20:E38">ROUND(($E$14-($E$14*$E$16))*B20,0)</f>
        <v>438</v>
      </c>
      <c r="F20" s="23">
        <f>ROUND((F$14-(F$14*F$16))*$B19,0)</f>
        <v>20515</v>
      </c>
      <c r="G20" s="23">
        <f>ROUND((G$14)*G$16,0)+ROUND((G$14-(G$14*G$16))*$B18,0)</f>
        <v>39295</v>
      </c>
      <c r="AF20" s="23">
        <f>SUM(D20:G20)</f>
        <v>72933</v>
      </c>
      <c r="AG20" s="23">
        <f>'Plant &amp; Book Depr Form 2.0'!H83+'Plant &amp; Book Depr Form 2.0'!H84+'Plant &amp; Book Depr Form 2.0'!H86+'Plant &amp; Book Depr Form 2.0'!H87+'Plant &amp; Book Depr Form 2.0'!H88</f>
        <v>3368.4500000000003</v>
      </c>
      <c r="AH20" s="23">
        <f>'Plant &amp; Book Depr Form 2.0'!G60+'Plant &amp; Book Depr Form 2.0'!I60+'Plant &amp; Book Depr Form 2.0'!G61+'Plant &amp; Book Depr Form 2.0'!I61+'Plant &amp; Book Depr Form 2.0'!G63+'Plant &amp; Book Depr Form 2.0'!I63+'Plant &amp; Book Depr Form 2.0'!G64+'Plant &amp; Book Depr Form 2.0'!I64+'Plant &amp; Book Depr Form 2.0'!G65+'Plant &amp; Book Depr Form 2.0'!I65+'Plant &amp; Book Depr Form 2.0'!G71+'Plant &amp; Book Depr Form 2.0'!I71+'Plant &amp; Book Depr Form 2.0'!G72+'Plant &amp; Book Depr Form 2.0'!I72+'Plant &amp; Book Depr Form 2.0'!G74+'Plant &amp; Book Depr Form 2.0'!I74+'Plant &amp; Book Depr Form 2.0'!G75+'Plant &amp; Book Depr Form 2.0'!I75+'Plant &amp; Book Depr Form 2.0'!G76+'Plant &amp; Book Depr Form 2.0'!I76</f>
        <v>21855</v>
      </c>
      <c r="AI20" s="116">
        <f>AF20+AG20-AH20</f>
        <v>54446.45</v>
      </c>
      <c r="AJ20" s="23">
        <f aca="true" t="shared" si="6" ref="AJ20:AJ40">ROUND($AP$10*AI20,0)</f>
        <v>13584</v>
      </c>
      <c r="AK20" s="23">
        <f>($G$14/'Plant &amp; Book Depr Form 2.0'!$H$67)*(6812*('Plant &amp; Book Depr Form 2.0'!H67/55433463.72))</f>
        <v>63.456855278752194</v>
      </c>
      <c r="AL20" s="55">
        <v>0</v>
      </c>
      <c r="AM20" s="23">
        <f aca="true" t="shared" si="7" ref="AM20:AM39">AM19+AJ20+AK20</f>
        <v>76830.20058647374</v>
      </c>
      <c r="AN20" s="56"/>
      <c r="AO20" s="151"/>
      <c r="AP20" s="151"/>
      <c r="AQ20" s="151"/>
      <c r="AR20" s="151"/>
      <c r="AS20" s="151"/>
      <c r="AT20" s="123"/>
      <c r="AU20" s="152"/>
    </row>
    <row r="21" spans="1:47" ht="11.25">
      <c r="A21" s="143">
        <f t="shared" si="3"/>
        <v>6</v>
      </c>
      <c r="B21" s="229">
        <v>0.06177</v>
      </c>
      <c r="C21" s="143">
        <f t="shared" si="4"/>
        <v>4</v>
      </c>
      <c r="D21" s="23">
        <f t="shared" si="2"/>
        <v>11735</v>
      </c>
      <c r="E21" s="23">
        <f t="shared" si="5"/>
        <v>405</v>
      </c>
      <c r="F21" s="23">
        <f aca="true" t="shared" si="8" ref="F21:F39">ROUND(($F$14-($F$14*$F$16))*B20,0)</f>
        <v>18974</v>
      </c>
      <c r="G21" s="23">
        <f>ROUND((G$14-(G$14*G$16))*$B19,0)</f>
        <v>35783</v>
      </c>
      <c r="H21" s="23">
        <f>ROUND((H$14)*H$16,0)+ROUND((H$14-(H$14*H$16))*$B18,0)</f>
        <v>239613</v>
      </c>
      <c r="AF21" s="23">
        <f>SUM(D21:H21)</f>
        <v>306510</v>
      </c>
      <c r="AG21" s="23">
        <f>'Plant &amp; Book Depr Form 2.0'!H38+'Plant &amp; Book Depr Form 2.0'!H39+'Plant &amp; Book Depr Form 2.0'!H41+'Plant &amp; Book Depr Form 2.0'!H42+'Plant &amp; Book Depr Form 2.0'!H43</f>
        <v>6910.97</v>
      </c>
      <c r="AH21" s="23">
        <f>'Plant &amp; Book Depr Form 2.0'!G34+'Plant &amp; Book Depr Form 2.0'!I34-'Tax Depr Form 2.1 p.2'!AH21</f>
        <v>59482</v>
      </c>
      <c r="AI21" s="116">
        <f aca="true" t="shared" si="9" ref="AI21:AI35">AF21+AG21-AH21</f>
        <v>253938.96999999997</v>
      </c>
      <c r="AJ21" s="23">
        <f t="shared" si="6"/>
        <v>63358</v>
      </c>
      <c r="AK21" s="55">
        <v>0</v>
      </c>
      <c r="AL21" s="55">
        <v>0</v>
      </c>
      <c r="AM21" s="23">
        <f t="shared" si="7"/>
        <v>140188.20058647374</v>
      </c>
      <c r="AN21" s="56"/>
      <c r="AO21" s="151"/>
      <c r="AP21" s="151"/>
      <c r="AQ21" s="151"/>
      <c r="AR21" s="151"/>
      <c r="AS21" s="151"/>
      <c r="AT21" s="123"/>
      <c r="AU21" s="152"/>
    </row>
    <row r="22" spans="1:47" ht="11.25">
      <c r="A22" s="143">
        <f t="shared" si="3"/>
        <v>7</v>
      </c>
      <c r="B22" s="229">
        <v>0.05713</v>
      </c>
      <c r="C22" s="143">
        <f t="shared" si="4"/>
        <v>5</v>
      </c>
      <c r="D22" s="23">
        <f t="shared" si="2"/>
        <v>10854</v>
      </c>
      <c r="E22" s="23">
        <f t="shared" si="5"/>
        <v>375</v>
      </c>
      <c r="F22" s="23">
        <f t="shared" si="8"/>
        <v>17553</v>
      </c>
      <c r="G22" s="23">
        <f aca="true" t="shared" si="10" ref="G22:G41">ROUND((G$14-(G$14*G$16))*$B20,0)</f>
        <v>33097</v>
      </c>
      <c r="H22" s="23">
        <f>ROUND((H$14-(H$14*H$16))*$B19,0)</f>
        <v>218198</v>
      </c>
      <c r="AF22" s="23">
        <f aca="true" t="shared" si="11" ref="AF22:AF41">SUM(D22:H22)</f>
        <v>280077</v>
      </c>
      <c r="AG22" s="23"/>
      <c r="AH22" s="23">
        <f aca="true" t="shared" si="12" ref="AH22:AH41">AH21</f>
        <v>59482</v>
      </c>
      <c r="AI22" s="116">
        <f t="shared" si="9"/>
        <v>220595</v>
      </c>
      <c r="AJ22" s="23">
        <f t="shared" si="6"/>
        <v>55038</v>
      </c>
      <c r="AK22" s="55">
        <v>0</v>
      </c>
      <c r="AL22" s="55">
        <v>0</v>
      </c>
      <c r="AM22" s="23">
        <f t="shared" si="7"/>
        <v>195226.20058647374</v>
      </c>
      <c r="AN22" s="56"/>
      <c r="AT22" s="22"/>
      <c r="AU22" s="152"/>
    </row>
    <row r="23" spans="1:47" ht="11.25">
      <c r="A23" s="143">
        <f t="shared" si="3"/>
        <v>8</v>
      </c>
      <c r="B23" s="229">
        <v>0.05285</v>
      </c>
      <c r="C23" s="143">
        <f t="shared" si="4"/>
        <v>6</v>
      </c>
      <c r="D23" s="23">
        <f t="shared" si="2"/>
        <v>10041</v>
      </c>
      <c r="E23" s="23">
        <f t="shared" si="5"/>
        <v>347</v>
      </c>
      <c r="F23" s="23">
        <f t="shared" si="8"/>
        <v>16235</v>
      </c>
      <c r="G23" s="23">
        <f t="shared" si="10"/>
        <v>30618</v>
      </c>
      <c r="H23" s="23">
        <f>ROUND((H$14-(H$14*H$16))*$B20,0)</f>
        <v>201815</v>
      </c>
      <c r="AF23" s="23">
        <f t="shared" si="11"/>
        <v>259056</v>
      </c>
      <c r="AG23" s="23"/>
      <c r="AH23" s="23">
        <f t="shared" si="12"/>
        <v>59482</v>
      </c>
      <c r="AI23" s="116">
        <f t="shared" si="9"/>
        <v>199574</v>
      </c>
      <c r="AJ23" s="23">
        <f t="shared" si="6"/>
        <v>49794</v>
      </c>
      <c r="AK23" s="55">
        <v>0</v>
      </c>
      <c r="AL23" s="55">
        <v>0</v>
      </c>
      <c r="AM23" s="23">
        <f t="shared" si="7"/>
        <v>245020.20058647374</v>
      </c>
      <c r="AN23" s="56"/>
      <c r="AT23" s="22"/>
      <c r="AU23" s="152"/>
    </row>
    <row r="24" spans="1:47" ht="11.25">
      <c r="A24" s="143">
        <f t="shared" si="3"/>
        <v>9</v>
      </c>
      <c r="B24" s="229">
        <v>0.04888</v>
      </c>
      <c r="C24" s="143">
        <f t="shared" si="4"/>
        <v>7</v>
      </c>
      <c r="D24" s="23">
        <f t="shared" si="2"/>
        <v>9286</v>
      </c>
      <c r="E24" s="23">
        <f t="shared" si="5"/>
        <v>321</v>
      </c>
      <c r="F24" s="23">
        <f t="shared" si="8"/>
        <v>15019</v>
      </c>
      <c r="G24" s="23">
        <f t="shared" si="10"/>
        <v>28318</v>
      </c>
      <c r="H24" s="23">
        <f aca="true" t="shared" si="13" ref="H24:H41">ROUND((H$14-(H$14*H$16))*$B21,0)</f>
        <v>186703</v>
      </c>
      <c r="AF24" s="23">
        <f t="shared" si="11"/>
        <v>239647</v>
      </c>
      <c r="AG24" s="23"/>
      <c r="AH24" s="23">
        <f t="shared" si="12"/>
        <v>59482</v>
      </c>
      <c r="AI24" s="116">
        <f t="shared" si="9"/>
        <v>180165</v>
      </c>
      <c r="AJ24" s="23">
        <f t="shared" si="6"/>
        <v>44951</v>
      </c>
      <c r="AK24" s="23">
        <v>0</v>
      </c>
      <c r="AL24" s="55">
        <v>0</v>
      </c>
      <c r="AM24" s="23">
        <f t="shared" si="7"/>
        <v>289971.20058647374</v>
      </c>
      <c r="AN24" s="56"/>
      <c r="AT24" s="22"/>
      <c r="AU24" s="152"/>
    </row>
    <row r="25" spans="1:47" ht="11.25">
      <c r="A25" s="143">
        <f t="shared" si="3"/>
        <v>10</v>
      </c>
      <c r="B25" s="229">
        <v>0.04522</v>
      </c>
      <c r="C25" s="143">
        <f t="shared" si="4"/>
        <v>8</v>
      </c>
      <c r="D25" s="23">
        <f t="shared" si="2"/>
        <v>8591</v>
      </c>
      <c r="E25" s="23">
        <f t="shared" si="5"/>
        <v>297</v>
      </c>
      <c r="F25" s="23">
        <f t="shared" si="8"/>
        <v>13890</v>
      </c>
      <c r="G25" s="23">
        <f t="shared" si="10"/>
        <v>26197</v>
      </c>
      <c r="H25" s="23">
        <f t="shared" si="13"/>
        <v>172678</v>
      </c>
      <c r="I25" s="23"/>
      <c r="AF25" s="23">
        <f t="shared" si="11"/>
        <v>221653</v>
      </c>
      <c r="AG25" s="23"/>
      <c r="AH25" s="23">
        <f t="shared" si="12"/>
        <v>59482</v>
      </c>
      <c r="AI25" s="116">
        <f t="shared" si="9"/>
        <v>162171</v>
      </c>
      <c r="AJ25" s="23">
        <f t="shared" si="6"/>
        <v>40462</v>
      </c>
      <c r="AK25" s="23">
        <v>0</v>
      </c>
      <c r="AL25" s="55">
        <v>0</v>
      </c>
      <c r="AM25" s="23">
        <f t="shared" si="7"/>
        <v>330433.20058647374</v>
      </c>
      <c r="AN25" s="56"/>
      <c r="AT25" s="22"/>
      <c r="AU25" s="152"/>
    </row>
    <row r="26" spans="1:47" ht="11.25">
      <c r="A26" s="143">
        <f t="shared" si="3"/>
        <v>11</v>
      </c>
      <c r="B26" s="229">
        <v>0.04462</v>
      </c>
      <c r="C26" s="143">
        <f t="shared" si="4"/>
        <v>9</v>
      </c>
      <c r="D26" s="23">
        <f t="shared" si="2"/>
        <v>8477</v>
      </c>
      <c r="E26" s="23">
        <f t="shared" si="5"/>
        <v>293</v>
      </c>
      <c r="F26" s="23">
        <f t="shared" si="8"/>
        <v>12850</v>
      </c>
      <c r="G26" s="23">
        <f t="shared" si="10"/>
        <v>24229</v>
      </c>
      <c r="H26" s="23">
        <f t="shared" si="13"/>
        <v>159742</v>
      </c>
      <c r="I26" s="23"/>
      <c r="J26" s="23"/>
      <c r="AF26" s="23">
        <f t="shared" si="11"/>
        <v>205591</v>
      </c>
      <c r="AG26" s="23"/>
      <c r="AH26" s="23">
        <f t="shared" si="12"/>
        <v>59482</v>
      </c>
      <c r="AI26" s="116">
        <f t="shared" si="9"/>
        <v>146109</v>
      </c>
      <c r="AJ26" s="23">
        <f t="shared" si="6"/>
        <v>36454</v>
      </c>
      <c r="AK26" s="23">
        <v>0</v>
      </c>
      <c r="AL26" s="55">
        <v>0</v>
      </c>
      <c r="AM26" s="23">
        <f t="shared" si="7"/>
        <v>366887.20058647374</v>
      </c>
      <c r="AN26" s="56"/>
      <c r="AT26" s="22"/>
      <c r="AU26" s="152"/>
    </row>
    <row r="27" spans="1:47" ht="11.25">
      <c r="A27" s="143">
        <f t="shared" si="3"/>
        <v>12</v>
      </c>
      <c r="B27" s="229">
        <v>0.04461</v>
      </c>
      <c r="C27" s="143">
        <f t="shared" si="4"/>
        <v>10</v>
      </c>
      <c r="D27" s="23">
        <f t="shared" si="2"/>
        <v>8475</v>
      </c>
      <c r="E27" s="23">
        <f t="shared" si="5"/>
        <v>293</v>
      </c>
      <c r="F27" s="23">
        <f t="shared" si="8"/>
        <v>12680</v>
      </c>
      <c r="G27" s="23">
        <f t="shared" si="10"/>
        <v>22415</v>
      </c>
      <c r="H27" s="23">
        <f t="shared" si="13"/>
        <v>147742</v>
      </c>
      <c r="I27" s="23"/>
      <c r="J27" s="23"/>
      <c r="K27" s="23"/>
      <c r="AF27" s="23">
        <f t="shared" si="11"/>
        <v>191605</v>
      </c>
      <c r="AG27" s="23"/>
      <c r="AH27" s="23">
        <f t="shared" si="12"/>
        <v>59482</v>
      </c>
      <c r="AI27" s="116">
        <f t="shared" si="9"/>
        <v>132123</v>
      </c>
      <c r="AJ27" s="23">
        <f t="shared" si="6"/>
        <v>32965</v>
      </c>
      <c r="AK27" s="23">
        <v>0</v>
      </c>
      <c r="AL27" s="55">
        <v>0</v>
      </c>
      <c r="AM27" s="23">
        <f t="shared" si="7"/>
        <v>399852.20058647374</v>
      </c>
      <c r="AN27" s="56"/>
      <c r="AT27" s="22"/>
      <c r="AU27" s="152"/>
    </row>
    <row r="28" spans="1:47" ht="11.25">
      <c r="A28" s="143">
        <f t="shared" si="3"/>
        <v>13</v>
      </c>
      <c r="B28" s="229">
        <v>0.04462</v>
      </c>
      <c r="C28" s="143">
        <f t="shared" si="4"/>
        <v>11</v>
      </c>
      <c r="D28" s="23">
        <f t="shared" si="2"/>
        <v>8477</v>
      </c>
      <c r="E28" s="23">
        <f t="shared" si="5"/>
        <v>293</v>
      </c>
      <c r="F28" s="23">
        <f t="shared" si="8"/>
        <v>12677</v>
      </c>
      <c r="G28" s="23">
        <f t="shared" si="10"/>
        <v>22117</v>
      </c>
      <c r="H28" s="23">
        <f t="shared" si="13"/>
        <v>136680</v>
      </c>
      <c r="I28" s="23"/>
      <c r="J28" s="23"/>
      <c r="K28" s="23"/>
      <c r="L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>
        <f t="shared" si="11"/>
        <v>180244</v>
      </c>
      <c r="AG28" s="23"/>
      <c r="AH28" s="23">
        <f t="shared" si="12"/>
        <v>59482</v>
      </c>
      <c r="AI28" s="116">
        <f t="shared" si="9"/>
        <v>120762</v>
      </c>
      <c r="AJ28" s="23">
        <f t="shared" si="6"/>
        <v>30130</v>
      </c>
      <c r="AK28" s="23">
        <v>0</v>
      </c>
      <c r="AL28" s="55">
        <v>0</v>
      </c>
      <c r="AM28" s="23">
        <f t="shared" si="7"/>
        <v>429982.20058647374</v>
      </c>
      <c r="AN28" s="56"/>
      <c r="AT28" s="22"/>
      <c r="AU28" s="152"/>
    </row>
    <row r="29" spans="1:47" ht="11.25">
      <c r="A29" s="143">
        <f t="shared" si="3"/>
        <v>14</v>
      </c>
      <c r="B29" s="229">
        <v>0.04461</v>
      </c>
      <c r="C29" s="143">
        <f t="shared" si="4"/>
        <v>12</v>
      </c>
      <c r="D29" s="23">
        <f t="shared" si="2"/>
        <v>8475</v>
      </c>
      <c r="E29" s="23">
        <f t="shared" si="5"/>
        <v>293</v>
      </c>
      <c r="F29" s="23">
        <f t="shared" si="8"/>
        <v>12680</v>
      </c>
      <c r="G29" s="23">
        <f t="shared" si="10"/>
        <v>22112</v>
      </c>
      <c r="H29" s="23">
        <f t="shared" si="13"/>
        <v>134866</v>
      </c>
      <c r="I29" s="23"/>
      <c r="J29" s="23"/>
      <c r="K29" s="23"/>
      <c r="L29" s="23"/>
      <c r="M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>
        <f t="shared" si="11"/>
        <v>178426</v>
      </c>
      <c r="AG29" s="23"/>
      <c r="AH29" s="23">
        <f t="shared" si="12"/>
        <v>59482</v>
      </c>
      <c r="AI29" s="116">
        <f t="shared" si="9"/>
        <v>118944</v>
      </c>
      <c r="AJ29" s="23">
        <f t="shared" si="6"/>
        <v>29677</v>
      </c>
      <c r="AK29" s="23">
        <v>0</v>
      </c>
      <c r="AL29" s="55">
        <v>0</v>
      </c>
      <c r="AM29" s="23">
        <f t="shared" si="7"/>
        <v>459659.20058647374</v>
      </c>
      <c r="AN29" s="56"/>
      <c r="AT29" s="22"/>
      <c r="AU29" s="152"/>
    </row>
    <row r="30" spans="1:47" ht="11.25">
      <c r="A30" s="143">
        <f t="shared" si="3"/>
        <v>15</v>
      </c>
      <c r="B30" s="229">
        <v>0.04462</v>
      </c>
      <c r="C30" s="143">
        <f t="shared" si="4"/>
        <v>13</v>
      </c>
      <c r="D30" s="23">
        <f t="shared" si="2"/>
        <v>8477</v>
      </c>
      <c r="E30" s="23">
        <f t="shared" si="5"/>
        <v>293</v>
      </c>
      <c r="F30" s="23">
        <f t="shared" si="8"/>
        <v>12677</v>
      </c>
      <c r="G30" s="23">
        <f t="shared" si="10"/>
        <v>22117</v>
      </c>
      <c r="H30" s="23">
        <f t="shared" si="13"/>
        <v>134836</v>
      </c>
      <c r="I30" s="23"/>
      <c r="J30" s="23"/>
      <c r="K30" s="23"/>
      <c r="L30" s="23"/>
      <c r="M30" s="23"/>
      <c r="N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>
        <f t="shared" si="11"/>
        <v>178400</v>
      </c>
      <c r="AG30" s="23"/>
      <c r="AH30" s="23">
        <f t="shared" si="12"/>
        <v>59482</v>
      </c>
      <c r="AI30" s="116">
        <f t="shared" si="9"/>
        <v>118918</v>
      </c>
      <c r="AJ30" s="23">
        <f t="shared" si="6"/>
        <v>29670</v>
      </c>
      <c r="AK30" s="23">
        <v>0</v>
      </c>
      <c r="AL30" s="55">
        <v>0</v>
      </c>
      <c r="AM30" s="23">
        <f t="shared" si="7"/>
        <v>489329.20058647374</v>
      </c>
      <c r="AN30" s="56"/>
      <c r="AT30" s="22"/>
      <c r="AU30" s="152"/>
    </row>
    <row r="31" spans="1:47" ht="11.25">
      <c r="A31" s="143">
        <f t="shared" si="3"/>
        <v>16</v>
      </c>
      <c r="B31" s="229">
        <v>0.04461</v>
      </c>
      <c r="C31" s="143">
        <f t="shared" si="4"/>
        <v>14</v>
      </c>
      <c r="D31" s="23">
        <f t="shared" si="2"/>
        <v>8475</v>
      </c>
      <c r="E31" s="23">
        <f t="shared" si="5"/>
        <v>293</v>
      </c>
      <c r="F31" s="23">
        <f t="shared" si="8"/>
        <v>12680</v>
      </c>
      <c r="G31" s="23">
        <f t="shared" si="10"/>
        <v>22112</v>
      </c>
      <c r="H31" s="23">
        <f t="shared" si="13"/>
        <v>134866</v>
      </c>
      <c r="I31" s="23"/>
      <c r="J31" s="23"/>
      <c r="K31" s="23"/>
      <c r="L31" s="23"/>
      <c r="M31" s="23"/>
      <c r="N31" s="23"/>
      <c r="O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>
        <f t="shared" si="11"/>
        <v>178426</v>
      </c>
      <c r="AG31" s="23"/>
      <c r="AH31" s="23">
        <f t="shared" si="12"/>
        <v>59482</v>
      </c>
      <c r="AI31" s="116">
        <f t="shared" si="9"/>
        <v>118944</v>
      </c>
      <c r="AJ31" s="23">
        <f t="shared" si="6"/>
        <v>29677</v>
      </c>
      <c r="AK31" s="23">
        <v>0</v>
      </c>
      <c r="AL31" s="55">
        <v>0</v>
      </c>
      <c r="AM31" s="23">
        <f t="shared" si="7"/>
        <v>519006.20058647374</v>
      </c>
      <c r="AN31" s="56"/>
      <c r="AT31" s="22"/>
      <c r="AU31" s="152"/>
    </row>
    <row r="32" spans="1:47" ht="11.25">
      <c r="A32" s="143">
        <f t="shared" si="3"/>
        <v>17</v>
      </c>
      <c r="B32" s="229">
        <v>0.04462</v>
      </c>
      <c r="C32" s="143">
        <f t="shared" si="4"/>
        <v>15</v>
      </c>
      <c r="D32" s="23">
        <f t="shared" si="2"/>
        <v>8477</v>
      </c>
      <c r="E32" s="23">
        <f t="shared" si="5"/>
        <v>293</v>
      </c>
      <c r="F32" s="23">
        <f t="shared" si="8"/>
        <v>12677</v>
      </c>
      <c r="G32" s="23">
        <f t="shared" si="10"/>
        <v>22117</v>
      </c>
      <c r="H32" s="23">
        <f t="shared" si="13"/>
        <v>134836</v>
      </c>
      <c r="I32" s="23"/>
      <c r="J32" s="23"/>
      <c r="K32" s="23"/>
      <c r="L32" s="23"/>
      <c r="M32" s="23"/>
      <c r="N32" s="23"/>
      <c r="O32" s="23"/>
      <c r="P32" s="23"/>
      <c r="AF32" s="23">
        <f t="shared" si="11"/>
        <v>178400</v>
      </c>
      <c r="AG32" s="23"/>
      <c r="AH32" s="23">
        <f t="shared" si="12"/>
        <v>59482</v>
      </c>
      <c r="AI32" s="116">
        <f t="shared" si="9"/>
        <v>118918</v>
      </c>
      <c r="AJ32" s="23">
        <f t="shared" si="6"/>
        <v>29670</v>
      </c>
      <c r="AK32" s="23">
        <v>0</v>
      </c>
      <c r="AL32" s="55">
        <v>0</v>
      </c>
      <c r="AM32" s="23">
        <f t="shared" si="7"/>
        <v>548676.2005864738</v>
      </c>
      <c r="AN32" s="56"/>
      <c r="AT32" s="22"/>
      <c r="AU32" s="152"/>
    </row>
    <row r="33" spans="1:47" ht="11.25">
      <c r="A33" s="143">
        <f t="shared" si="3"/>
        <v>18</v>
      </c>
      <c r="B33" s="229">
        <v>0.04461</v>
      </c>
      <c r="C33" s="143">
        <f t="shared" si="4"/>
        <v>16</v>
      </c>
      <c r="D33" s="23">
        <f t="shared" si="2"/>
        <v>8475</v>
      </c>
      <c r="E33" s="23">
        <f t="shared" si="5"/>
        <v>293</v>
      </c>
      <c r="F33" s="23">
        <f t="shared" si="8"/>
        <v>12680</v>
      </c>
      <c r="G33" s="23">
        <f t="shared" si="10"/>
        <v>22112</v>
      </c>
      <c r="H33" s="23">
        <f t="shared" si="13"/>
        <v>134866</v>
      </c>
      <c r="I33" s="23"/>
      <c r="J33" s="23"/>
      <c r="K33" s="23"/>
      <c r="L33" s="23"/>
      <c r="M33" s="23"/>
      <c r="N33" s="23"/>
      <c r="O33" s="23"/>
      <c r="P33" s="23"/>
      <c r="Q33" s="23"/>
      <c r="AF33" s="23">
        <f t="shared" si="11"/>
        <v>178426</v>
      </c>
      <c r="AG33" s="23"/>
      <c r="AH33" s="23">
        <f t="shared" si="12"/>
        <v>59482</v>
      </c>
      <c r="AI33" s="116">
        <f t="shared" si="9"/>
        <v>118944</v>
      </c>
      <c r="AJ33" s="23">
        <f t="shared" si="6"/>
        <v>29677</v>
      </c>
      <c r="AK33" s="23">
        <v>0</v>
      </c>
      <c r="AL33" s="55">
        <v>0</v>
      </c>
      <c r="AM33" s="23">
        <f t="shared" si="7"/>
        <v>578353.2005864738</v>
      </c>
      <c r="AN33" s="56"/>
      <c r="AT33" s="22"/>
      <c r="AU33" s="152"/>
    </row>
    <row r="34" spans="1:47" ht="11.25">
      <c r="A34" s="143">
        <f t="shared" si="3"/>
        <v>19</v>
      </c>
      <c r="B34" s="229">
        <v>0.04462</v>
      </c>
      <c r="C34" s="143">
        <f t="shared" si="4"/>
        <v>17</v>
      </c>
      <c r="D34" s="23">
        <f t="shared" si="2"/>
        <v>8477</v>
      </c>
      <c r="E34" s="23">
        <f t="shared" si="5"/>
        <v>293</v>
      </c>
      <c r="F34" s="23">
        <f t="shared" si="8"/>
        <v>12677</v>
      </c>
      <c r="G34" s="23">
        <f t="shared" si="10"/>
        <v>22117</v>
      </c>
      <c r="H34" s="23">
        <f t="shared" si="13"/>
        <v>134836</v>
      </c>
      <c r="I34" s="23"/>
      <c r="J34" s="23"/>
      <c r="K34" s="23"/>
      <c r="L34" s="23"/>
      <c r="M34" s="23"/>
      <c r="N34" s="23"/>
      <c r="O34" s="23"/>
      <c r="P34" s="23"/>
      <c r="Q34" s="23"/>
      <c r="R34" s="23"/>
      <c r="AF34" s="23">
        <f t="shared" si="11"/>
        <v>178400</v>
      </c>
      <c r="AG34" s="23"/>
      <c r="AH34" s="23">
        <f t="shared" si="12"/>
        <v>59482</v>
      </c>
      <c r="AI34" s="116">
        <f t="shared" si="9"/>
        <v>118918</v>
      </c>
      <c r="AJ34" s="23">
        <f t="shared" si="6"/>
        <v>29670</v>
      </c>
      <c r="AK34" s="23">
        <v>0</v>
      </c>
      <c r="AL34" s="55">
        <v>0</v>
      </c>
      <c r="AM34" s="23">
        <f t="shared" si="7"/>
        <v>608023.2005864738</v>
      </c>
      <c r="AN34" s="56"/>
      <c r="AT34" s="22"/>
      <c r="AU34" s="152"/>
    </row>
    <row r="35" spans="1:47" ht="11.25">
      <c r="A35" s="143">
        <f t="shared" si="3"/>
        <v>20</v>
      </c>
      <c r="B35" s="229">
        <v>0.04461</v>
      </c>
      <c r="C35" s="143">
        <f t="shared" si="4"/>
        <v>18</v>
      </c>
      <c r="D35" s="23">
        <f t="shared" si="2"/>
        <v>8475</v>
      </c>
      <c r="E35" s="23">
        <f t="shared" si="5"/>
        <v>293</v>
      </c>
      <c r="F35" s="23">
        <f t="shared" si="8"/>
        <v>12680</v>
      </c>
      <c r="G35" s="23">
        <f t="shared" si="10"/>
        <v>22112</v>
      </c>
      <c r="H35" s="23">
        <f t="shared" si="13"/>
        <v>134866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AF35" s="23">
        <f t="shared" si="11"/>
        <v>178426</v>
      </c>
      <c r="AG35" s="23"/>
      <c r="AH35" s="23">
        <f t="shared" si="12"/>
        <v>59482</v>
      </c>
      <c r="AI35" s="116">
        <f t="shared" si="9"/>
        <v>118944</v>
      </c>
      <c r="AJ35" s="23">
        <f t="shared" si="6"/>
        <v>29677</v>
      </c>
      <c r="AK35" s="23">
        <v>0</v>
      </c>
      <c r="AL35" s="55">
        <v>0</v>
      </c>
      <c r="AM35" s="23">
        <f t="shared" si="7"/>
        <v>637700.2005864738</v>
      </c>
      <c r="AN35" s="56"/>
      <c r="AT35" s="22"/>
      <c r="AU35" s="152"/>
    </row>
    <row r="36" spans="1:47" ht="11.25">
      <c r="A36" s="143">
        <f t="shared" si="3"/>
        <v>21</v>
      </c>
      <c r="B36" s="229">
        <v>0.04462</v>
      </c>
      <c r="C36" s="143">
        <f t="shared" si="4"/>
        <v>19</v>
      </c>
      <c r="D36" s="23">
        <f t="shared" si="2"/>
        <v>8477</v>
      </c>
      <c r="E36" s="23">
        <f t="shared" si="5"/>
        <v>293</v>
      </c>
      <c r="F36" s="23">
        <f t="shared" si="8"/>
        <v>12677</v>
      </c>
      <c r="G36" s="23">
        <f t="shared" si="10"/>
        <v>22117</v>
      </c>
      <c r="H36" s="23">
        <f t="shared" si="13"/>
        <v>134836</v>
      </c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F36" s="23">
        <f t="shared" si="11"/>
        <v>178400</v>
      </c>
      <c r="AG36" s="23"/>
      <c r="AH36" s="23">
        <f t="shared" si="12"/>
        <v>59482</v>
      </c>
      <c r="AI36" s="116">
        <f aca="true" t="shared" si="14" ref="AI36:AI41">AF36+AG36-AH36</f>
        <v>118918</v>
      </c>
      <c r="AJ36" s="23">
        <f t="shared" si="6"/>
        <v>29670</v>
      </c>
      <c r="AK36" s="23">
        <v>0</v>
      </c>
      <c r="AL36" s="55">
        <v>0</v>
      </c>
      <c r="AM36" s="23">
        <f t="shared" si="7"/>
        <v>667370.2005864738</v>
      </c>
      <c r="AN36" s="56"/>
      <c r="AT36" s="22"/>
      <c r="AU36" s="152"/>
    </row>
    <row r="37" spans="1:47" ht="11.25">
      <c r="A37" s="143">
        <f t="shared" si="3"/>
        <v>22</v>
      </c>
      <c r="B37" s="229">
        <v>0.04461</v>
      </c>
      <c r="C37" s="143">
        <f t="shared" si="4"/>
        <v>20</v>
      </c>
      <c r="D37" s="23">
        <f t="shared" si="2"/>
        <v>8475</v>
      </c>
      <c r="E37" s="23">
        <f t="shared" si="5"/>
        <v>293</v>
      </c>
      <c r="F37" s="23">
        <f t="shared" si="8"/>
        <v>12680</v>
      </c>
      <c r="G37" s="23">
        <f t="shared" si="10"/>
        <v>22112</v>
      </c>
      <c r="H37" s="23">
        <f t="shared" si="13"/>
        <v>134866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>
        <f t="shared" si="11"/>
        <v>178426</v>
      </c>
      <c r="AG37" s="23"/>
      <c r="AH37" s="23">
        <f t="shared" si="12"/>
        <v>59482</v>
      </c>
      <c r="AI37" s="116">
        <f t="shared" si="14"/>
        <v>118944</v>
      </c>
      <c r="AJ37" s="23">
        <f t="shared" si="6"/>
        <v>29677</v>
      </c>
      <c r="AK37" s="23">
        <v>0</v>
      </c>
      <c r="AL37" s="55">
        <v>0</v>
      </c>
      <c r="AM37" s="23">
        <f t="shared" si="7"/>
        <v>697047.2005864738</v>
      </c>
      <c r="AN37" s="56"/>
      <c r="AT37" s="22"/>
      <c r="AU37" s="152"/>
    </row>
    <row r="38" spans="1:47" ht="11.25">
      <c r="A38" s="143">
        <f t="shared" si="3"/>
        <v>23</v>
      </c>
      <c r="B38" s="229">
        <v>0.02231</v>
      </c>
      <c r="C38" s="143">
        <f t="shared" si="4"/>
        <v>21</v>
      </c>
      <c r="D38" s="23">
        <f t="shared" si="2"/>
        <v>4239</v>
      </c>
      <c r="E38" s="23">
        <f t="shared" si="5"/>
        <v>146</v>
      </c>
      <c r="F38" s="23">
        <f t="shared" si="8"/>
        <v>12677</v>
      </c>
      <c r="G38" s="23">
        <f t="shared" si="10"/>
        <v>22117</v>
      </c>
      <c r="H38" s="23">
        <f t="shared" si="13"/>
        <v>134836</v>
      </c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>
        <f t="shared" si="11"/>
        <v>174015</v>
      </c>
      <c r="AG38" s="23"/>
      <c r="AH38" s="23">
        <f t="shared" si="12"/>
        <v>59482</v>
      </c>
      <c r="AI38" s="116">
        <f t="shared" si="14"/>
        <v>114533</v>
      </c>
      <c r="AJ38" s="23">
        <f t="shared" si="6"/>
        <v>28576</v>
      </c>
      <c r="AK38" s="23">
        <v>0</v>
      </c>
      <c r="AL38" s="55">
        <v>0</v>
      </c>
      <c r="AM38" s="23">
        <f t="shared" si="7"/>
        <v>725623.2005864738</v>
      </c>
      <c r="AN38" s="56"/>
      <c r="AT38" s="22"/>
      <c r="AU38" s="152"/>
    </row>
    <row r="39" spans="1:40" ht="11.25">
      <c r="A39" s="143">
        <f t="shared" si="3"/>
        <v>24</v>
      </c>
      <c r="B39" s="229"/>
      <c r="C39" s="143">
        <f t="shared" si="4"/>
        <v>22</v>
      </c>
      <c r="F39" s="23">
        <f t="shared" si="8"/>
        <v>6340</v>
      </c>
      <c r="G39" s="23">
        <f t="shared" si="10"/>
        <v>22112</v>
      </c>
      <c r="H39" s="23">
        <f t="shared" si="13"/>
        <v>134866</v>
      </c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>
        <f t="shared" si="11"/>
        <v>163318</v>
      </c>
      <c r="AH39" s="23">
        <f t="shared" si="12"/>
        <v>59482</v>
      </c>
      <c r="AI39" s="116">
        <f t="shared" si="14"/>
        <v>103836</v>
      </c>
      <c r="AJ39" s="23">
        <f t="shared" si="6"/>
        <v>25907</v>
      </c>
      <c r="AK39" s="23">
        <v>0</v>
      </c>
      <c r="AL39" s="55">
        <v>0</v>
      </c>
      <c r="AM39" s="23">
        <f t="shared" si="7"/>
        <v>751530.2005864738</v>
      </c>
      <c r="AN39" s="56"/>
    </row>
    <row r="40" spans="1:39" ht="11.25">
      <c r="A40" s="143">
        <f t="shared" si="3"/>
        <v>25</v>
      </c>
      <c r="B40" s="229"/>
      <c r="C40" s="143"/>
      <c r="F40" s="23"/>
      <c r="G40" s="23">
        <f t="shared" si="10"/>
        <v>11059</v>
      </c>
      <c r="H40" s="23">
        <f t="shared" si="13"/>
        <v>134836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>
        <f t="shared" si="11"/>
        <v>145895</v>
      </c>
      <c r="AH40" s="23">
        <f t="shared" si="12"/>
        <v>59482</v>
      </c>
      <c r="AI40" s="116">
        <f t="shared" si="14"/>
        <v>86413</v>
      </c>
      <c r="AJ40" s="23">
        <f t="shared" si="6"/>
        <v>21560</v>
      </c>
      <c r="AK40" s="23">
        <v>0</v>
      </c>
      <c r="AL40" s="55">
        <v>0</v>
      </c>
      <c r="AM40" s="23">
        <f>AM39+AJ40+AK40</f>
        <v>773090.2005864738</v>
      </c>
    </row>
    <row r="41" spans="1:39" ht="11.25">
      <c r="A41" s="143">
        <f t="shared" si="3"/>
        <v>26</v>
      </c>
      <c r="B41" s="229"/>
      <c r="C41" s="143"/>
      <c r="F41" s="23"/>
      <c r="G41" s="23">
        <f t="shared" si="10"/>
        <v>0</v>
      </c>
      <c r="H41" s="23">
        <f t="shared" si="13"/>
        <v>67433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>
        <f t="shared" si="11"/>
        <v>67433</v>
      </c>
      <c r="AH41" s="23">
        <f t="shared" si="12"/>
        <v>59482</v>
      </c>
      <c r="AI41" s="116">
        <f t="shared" si="14"/>
        <v>7951</v>
      </c>
      <c r="AJ41" s="23">
        <f>ROUND($AP$10*AI41,0)</f>
        <v>1984</v>
      </c>
      <c r="AK41" s="23">
        <v>0</v>
      </c>
      <c r="AL41" s="55">
        <v>0</v>
      </c>
      <c r="AM41" s="23">
        <f>AM40+AJ41+AK41</f>
        <v>775074.2005864738</v>
      </c>
    </row>
    <row r="42" spans="1:40" ht="11.25">
      <c r="A42" s="143">
        <f>A40+1</f>
        <v>26</v>
      </c>
      <c r="D42" s="116">
        <f>SUM(D18:D39)</f>
        <v>395840</v>
      </c>
      <c r="E42" s="116">
        <f>SUM(E18:E39)</f>
        <v>13677</v>
      </c>
      <c r="F42" s="116">
        <f aca="true" t="shared" si="15" ref="F42:AE42">SUM(F18:F39)</f>
        <v>296046</v>
      </c>
      <c r="G42" s="116">
        <f>SUM(G18:G40)</f>
        <v>516385</v>
      </c>
      <c r="H42" s="116">
        <f>SUM(H18:H41)</f>
        <v>3148816</v>
      </c>
      <c r="I42" s="116">
        <f t="shared" si="15"/>
        <v>0</v>
      </c>
      <c r="J42" s="116">
        <f t="shared" si="15"/>
        <v>0</v>
      </c>
      <c r="K42" s="116">
        <f t="shared" si="15"/>
        <v>0</v>
      </c>
      <c r="L42" s="116">
        <f t="shared" si="15"/>
        <v>0</v>
      </c>
      <c r="M42" s="116">
        <f t="shared" si="15"/>
        <v>0</v>
      </c>
      <c r="N42" s="116">
        <f t="shared" si="15"/>
        <v>0</v>
      </c>
      <c r="O42" s="116">
        <f t="shared" si="15"/>
        <v>0</v>
      </c>
      <c r="P42" s="116">
        <f t="shared" si="15"/>
        <v>0</v>
      </c>
      <c r="Q42" s="116">
        <f t="shared" si="15"/>
        <v>0</v>
      </c>
      <c r="R42" s="116">
        <f t="shared" si="15"/>
        <v>0</v>
      </c>
      <c r="S42" s="116">
        <f t="shared" si="15"/>
        <v>0</v>
      </c>
      <c r="T42" s="116">
        <f t="shared" si="15"/>
        <v>0</v>
      </c>
      <c r="U42" s="116">
        <f t="shared" si="15"/>
        <v>0</v>
      </c>
      <c r="V42" s="116">
        <f t="shared" si="15"/>
        <v>0</v>
      </c>
      <c r="W42" s="116">
        <f t="shared" si="15"/>
        <v>0</v>
      </c>
      <c r="X42" s="116">
        <f t="shared" si="15"/>
        <v>0</v>
      </c>
      <c r="Y42" s="116">
        <f t="shared" si="15"/>
        <v>0</v>
      </c>
      <c r="Z42" s="116">
        <f t="shared" si="15"/>
        <v>0</v>
      </c>
      <c r="AA42" s="116">
        <f t="shared" si="15"/>
        <v>0</v>
      </c>
      <c r="AB42" s="116">
        <f t="shared" si="15"/>
        <v>0</v>
      </c>
      <c r="AC42" s="116">
        <f t="shared" si="15"/>
        <v>0</v>
      </c>
      <c r="AD42" s="116">
        <f t="shared" si="15"/>
        <v>0</v>
      </c>
      <c r="AE42" s="116">
        <f t="shared" si="15"/>
        <v>0</v>
      </c>
      <c r="AF42" s="116">
        <f>SUM(AF18:AF40)</f>
        <v>4303331</v>
      </c>
      <c r="AG42" s="116">
        <f>SUM(AG18:AG40)</f>
        <v>15389.240000000002</v>
      </c>
      <c r="AH42" s="116">
        <f>SUM(AH18:AH40)</f>
        <v>1228795.2073875</v>
      </c>
      <c r="AI42" s="23"/>
      <c r="AJ42" s="23"/>
      <c r="AK42" s="23"/>
      <c r="AL42" s="23"/>
      <c r="AM42" s="116"/>
      <c r="AN42" s="116"/>
    </row>
    <row r="43" spans="4:40" ht="11.25"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23"/>
      <c r="AG43" s="116"/>
      <c r="AH43" s="23"/>
      <c r="AI43" s="23"/>
      <c r="AJ43" s="23"/>
      <c r="AK43" s="23"/>
      <c r="AL43" s="23"/>
      <c r="AM43" s="116"/>
      <c r="AN43" s="116"/>
    </row>
    <row r="44" spans="1:40" ht="11.25">
      <c r="A44" s="115" t="s">
        <v>131</v>
      </c>
      <c r="F44" s="116"/>
      <c r="AF44" s="116"/>
      <c r="AG44" s="116"/>
      <c r="AH44" s="23"/>
      <c r="AI44" s="23"/>
      <c r="AJ44" s="153"/>
      <c r="AK44" s="153"/>
      <c r="AL44" s="153"/>
      <c r="AM44" s="116"/>
      <c r="AN44" s="116"/>
    </row>
    <row r="45" spans="1:38" ht="11.25">
      <c r="A45" s="115" t="s">
        <v>250</v>
      </c>
      <c r="AH45" s="116"/>
      <c r="AI45" s="23"/>
      <c r="AJ45" s="23"/>
      <c r="AK45" s="23"/>
      <c r="AL45" s="23"/>
    </row>
    <row r="46" spans="1:38" ht="11.25">
      <c r="A46" s="115" t="s">
        <v>321</v>
      </c>
      <c r="AH46" s="116"/>
      <c r="AI46" s="23"/>
      <c r="AJ46" s="23"/>
      <c r="AK46" s="23"/>
      <c r="AL46" s="23"/>
    </row>
    <row r="47" spans="1:38" ht="11.25">
      <c r="A47" s="115" t="s">
        <v>240</v>
      </c>
      <c r="AH47" s="116"/>
      <c r="AI47" s="23"/>
      <c r="AJ47" s="23"/>
      <c r="AK47" s="23"/>
      <c r="AL47" s="23"/>
    </row>
    <row r="48" spans="1:38" ht="11.25">
      <c r="A48" s="239" t="s">
        <v>299</v>
      </c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"/>
      <c r="AL48" s="23"/>
    </row>
    <row r="49" spans="1:38" ht="11.25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39"/>
      <c r="AK49" s="23"/>
      <c r="AL49" s="23"/>
    </row>
    <row r="50" spans="1:38" ht="11.25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3"/>
      <c r="AL50" s="23"/>
    </row>
    <row r="51" spans="1:38" ht="11.25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3"/>
      <c r="AL51" s="23"/>
    </row>
    <row r="52" spans="4:39" ht="11.25">
      <c r="D52" s="126">
        <v>2017</v>
      </c>
      <c r="E52" s="126">
        <v>2017</v>
      </c>
      <c r="F52" s="126">
        <v>2018</v>
      </c>
      <c r="G52" s="126">
        <v>2019</v>
      </c>
      <c r="H52" s="126">
        <v>2020</v>
      </c>
      <c r="AH52" s="116"/>
      <c r="AI52" s="23"/>
      <c r="AJ52" s="23"/>
      <c r="AK52" s="23"/>
      <c r="AL52" s="23"/>
      <c r="AM52" s="154"/>
    </row>
    <row r="53" spans="2:39" ht="11.25">
      <c r="B53" s="60" t="s">
        <v>134</v>
      </c>
      <c r="D53" s="232">
        <v>0</v>
      </c>
      <c r="E53" s="232">
        <v>0</v>
      </c>
      <c r="F53" s="232">
        <v>0</v>
      </c>
      <c r="G53" s="232">
        <v>0</v>
      </c>
      <c r="H53" s="232">
        <v>0</v>
      </c>
      <c r="AH53" s="116"/>
      <c r="AI53" s="23"/>
      <c r="AJ53" s="23"/>
      <c r="AK53" s="23"/>
      <c r="AL53" s="23"/>
      <c r="AM53" s="154"/>
    </row>
    <row r="54" spans="2:39" ht="11.25">
      <c r="B54" s="60" t="s">
        <v>135</v>
      </c>
      <c r="D54" s="232">
        <v>0.0401</v>
      </c>
      <c r="E54" s="232">
        <v>0.0401</v>
      </c>
      <c r="F54" s="232">
        <v>0.0401</v>
      </c>
      <c r="G54" s="232">
        <v>0.0401</v>
      </c>
      <c r="H54" s="232">
        <v>0.0401</v>
      </c>
      <c r="AG54" s="141" t="s">
        <v>195</v>
      </c>
      <c r="AM54" s="116"/>
    </row>
    <row r="55" spans="2:39" ht="11.25">
      <c r="B55" s="61"/>
      <c r="D55" s="34">
        <f>(1-D53)*D54</f>
        <v>0.0401</v>
      </c>
      <c r="E55" s="34">
        <f>(1-E53)*E54</f>
        <v>0.0401</v>
      </c>
      <c r="F55" s="34">
        <f aca="true" t="shared" si="16" ref="F55:AE55">(1-F53)*F54</f>
        <v>0.0401</v>
      </c>
      <c r="G55" s="34">
        <f>(1-G53)*G54</f>
        <v>0.0401</v>
      </c>
      <c r="H55" s="34">
        <f>(1-H53)*H54</f>
        <v>0.0401</v>
      </c>
      <c r="I55" s="34">
        <f t="shared" si="16"/>
        <v>0</v>
      </c>
      <c r="J55" s="34">
        <f t="shared" si="16"/>
        <v>0</v>
      </c>
      <c r="K55" s="34">
        <f t="shared" si="16"/>
        <v>0</v>
      </c>
      <c r="L55" s="34">
        <f t="shared" si="16"/>
        <v>0</v>
      </c>
      <c r="M55" s="34">
        <f t="shared" si="16"/>
        <v>0</v>
      </c>
      <c r="N55" s="34">
        <f t="shared" si="16"/>
        <v>0</v>
      </c>
      <c r="O55" s="34">
        <f t="shared" si="16"/>
        <v>0</v>
      </c>
      <c r="P55" s="34">
        <f t="shared" si="16"/>
        <v>0</v>
      </c>
      <c r="Q55" s="34">
        <f t="shared" si="16"/>
        <v>0</v>
      </c>
      <c r="R55" s="34">
        <f t="shared" si="16"/>
        <v>0</v>
      </c>
      <c r="S55" s="34">
        <f t="shared" si="16"/>
        <v>0</v>
      </c>
      <c r="T55" s="34">
        <f t="shared" si="16"/>
        <v>0</v>
      </c>
      <c r="U55" s="34">
        <f t="shared" si="16"/>
        <v>0</v>
      </c>
      <c r="V55" s="34">
        <f t="shared" si="16"/>
        <v>0</v>
      </c>
      <c r="W55" s="34">
        <f t="shared" si="16"/>
        <v>0</v>
      </c>
      <c r="X55" s="34">
        <f t="shared" si="16"/>
        <v>0</v>
      </c>
      <c r="Y55" s="34">
        <f t="shared" si="16"/>
        <v>0</v>
      </c>
      <c r="Z55" s="34">
        <f t="shared" si="16"/>
        <v>0</v>
      </c>
      <c r="AA55" s="34">
        <f t="shared" si="16"/>
        <v>0</v>
      </c>
      <c r="AB55" s="34">
        <f t="shared" si="16"/>
        <v>0</v>
      </c>
      <c r="AC55" s="34">
        <f t="shared" si="16"/>
        <v>0</v>
      </c>
      <c r="AD55" s="34">
        <f t="shared" si="16"/>
        <v>0</v>
      </c>
      <c r="AE55" s="34">
        <f t="shared" si="16"/>
        <v>0</v>
      </c>
      <c r="AJ55" s="143" t="s">
        <v>177</v>
      </c>
      <c r="AM55" s="116"/>
    </row>
    <row r="56" spans="2:40" ht="11.25">
      <c r="B56" s="199" t="s">
        <v>193</v>
      </c>
      <c r="D56" s="34">
        <f>(1-D53-D55)*0.5</f>
        <v>0.47995</v>
      </c>
      <c r="E56" s="34">
        <f>(1-E53-E55)*0.5</f>
        <v>0.47995</v>
      </c>
      <c r="F56" s="34">
        <f>(1-F53-F55)*0</f>
        <v>0</v>
      </c>
      <c r="G56" s="34">
        <f>(1-G53-G55)*0</f>
        <v>0</v>
      </c>
      <c r="H56" s="34">
        <f>(1-H53-H55)*0</f>
        <v>0</v>
      </c>
      <c r="AG56" s="143"/>
      <c r="AH56" s="143"/>
      <c r="AI56" s="143" t="s">
        <v>178</v>
      </c>
      <c r="AJ56" s="143" t="s">
        <v>179</v>
      </c>
      <c r="AK56" s="143" t="s">
        <v>180</v>
      </c>
      <c r="AL56" s="143"/>
      <c r="AM56" s="143" t="s">
        <v>9</v>
      </c>
      <c r="AN56" s="143" t="s">
        <v>181</v>
      </c>
    </row>
    <row r="57" spans="2:40" ht="11.25">
      <c r="B57" s="62"/>
      <c r="D57" s="34">
        <f>D53+D55</f>
        <v>0.0401</v>
      </c>
      <c r="E57" s="34">
        <f>E53+E55</f>
        <v>0.0401</v>
      </c>
      <c r="F57" s="34">
        <f>F53+F55</f>
        <v>0.0401</v>
      </c>
      <c r="G57" s="34">
        <f>G53+G55</f>
        <v>0.0401</v>
      </c>
      <c r="H57" s="34">
        <f>H53+H55</f>
        <v>0.0401</v>
      </c>
      <c r="AG57" s="155" t="s">
        <v>0</v>
      </c>
      <c r="AH57" s="155" t="s">
        <v>182</v>
      </c>
      <c r="AI57" s="155" t="s">
        <v>183</v>
      </c>
      <c r="AJ57" s="155" t="s">
        <v>184</v>
      </c>
      <c r="AK57" s="155" t="s">
        <v>185</v>
      </c>
      <c r="AL57" s="155"/>
      <c r="AM57" s="155" t="s">
        <v>186</v>
      </c>
      <c r="AN57" s="155" t="s">
        <v>186</v>
      </c>
    </row>
    <row r="58" spans="4:40" ht="11.25">
      <c r="D58" s="156"/>
      <c r="E58" s="156"/>
      <c r="F58" s="156"/>
      <c r="AG58" s="24">
        <v>2017</v>
      </c>
      <c r="AH58" s="23">
        <f aca="true" t="shared" si="17" ref="AH58:AH78">($D$14+$E$14)*B18</f>
        <v>15356.925000000036</v>
      </c>
      <c r="AI58" s="116">
        <f aca="true" t="shared" si="18" ref="AI58:AI78">D18+E18-AH58</f>
        <v>204983.07499999995</v>
      </c>
      <c r="AJ58" s="23">
        <f>AI58*0.06</f>
        <v>12298.984499999997</v>
      </c>
      <c r="AK58" s="23">
        <f>-AJ58*0.35</f>
        <v>-4304.644574999998</v>
      </c>
      <c r="AL58" s="23"/>
      <c r="AM58" s="116">
        <f>AK58+AJ58</f>
        <v>7994.339924999998</v>
      </c>
      <c r="AN58" s="116">
        <f>AM58</f>
        <v>7994.339924999998</v>
      </c>
    </row>
    <row r="59" spans="4:40" ht="11.25">
      <c r="D59" s="156"/>
      <c r="E59" s="156"/>
      <c r="F59" s="156"/>
      <c r="AG59" s="24">
        <v>2018</v>
      </c>
      <c r="AH59" s="23">
        <f t="shared" si="17"/>
        <v>29563.104420000003</v>
      </c>
      <c r="AI59" s="116">
        <f t="shared" si="18"/>
        <v>-15374.104420000003</v>
      </c>
      <c r="AJ59" s="23">
        <f>AI59*0.05</f>
        <v>-768.7052210000002</v>
      </c>
      <c r="AK59" s="23">
        <f>-AJ59*0.21</f>
        <v>161.42809641000002</v>
      </c>
      <c r="AL59" s="23"/>
      <c r="AM59" s="116">
        <f aca="true" t="shared" si="19" ref="AM59:AM78">AK59+AJ59</f>
        <v>-607.2771245900001</v>
      </c>
      <c r="AN59" s="116">
        <f>AM59+AN58</f>
        <v>7387.062800409998</v>
      </c>
    </row>
    <row r="60" spans="33:40" ht="11.25">
      <c r="AG60" s="24">
        <v>2019</v>
      </c>
      <c r="AH60" s="23">
        <f t="shared" si="17"/>
        <v>27343.51686</v>
      </c>
      <c r="AI60" s="116">
        <f t="shared" si="18"/>
        <v>-14220.51686</v>
      </c>
      <c r="AJ60" s="23">
        <f aca="true" t="shared" si="20" ref="AJ60:AJ78">AI60*0.05</f>
        <v>-711.025843</v>
      </c>
      <c r="AK60" s="23">
        <f aca="true" t="shared" si="21" ref="AK60:AK78">-AJ60*0.21</f>
        <v>149.31542703</v>
      </c>
      <c r="AL60" s="23"/>
      <c r="AM60" s="116">
        <f t="shared" si="19"/>
        <v>-561.71041597</v>
      </c>
      <c r="AN60" s="116">
        <f aca="true" t="shared" si="22" ref="AN60:AN78">AM60+AN59</f>
        <v>6825.352384439998</v>
      </c>
    </row>
    <row r="61" spans="33:40" ht="11.25">
      <c r="AG61" s="24">
        <v>2020</v>
      </c>
      <c r="AH61" s="23">
        <f t="shared" si="17"/>
        <v>25295.92686</v>
      </c>
      <c r="AI61" s="116">
        <f t="shared" si="18"/>
        <v>-13155.92686</v>
      </c>
      <c r="AJ61" s="23">
        <f t="shared" si="20"/>
        <v>-657.796343</v>
      </c>
      <c r="AK61" s="23">
        <f t="shared" si="21"/>
        <v>138.13723202999998</v>
      </c>
      <c r="AL61" s="23"/>
      <c r="AM61" s="116">
        <f t="shared" si="19"/>
        <v>-519.65911097</v>
      </c>
      <c r="AN61" s="116">
        <f t="shared" si="22"/>
        <v>6305.693273469998</v>
      </c>
    </row>
    <row r="62" spans="33:40" ht="11.25">
      <c r="AG62" s="24">
        <v>2021</v>
      </c>
      <c r="AH62" s="23">
        <f t="shared" si="17"/>
        <v>23395.76334</v>
      </c>
      <c r="AI62" s="116">
        <f t="shared" si="18"/>
        <v>-12166.763340000001</v>
      </c>
      <c r="AJ62" s="23">
        <f t="shared" si="20"/>
        <v>-608.3381670000001</v>
      </c>
      <c r="AK62" s="23">
        <f t="shared" si="21"/>
        <v>127.75101507000002</v>
      </c>
      <c r="AL62" s="23"/>
      <c r="AM62" s="116">
        <f t="shared" si="19"/>
        <v>-480.5871519300001</v>
      </c>
      <c r="AN62" s="116">
        <f t="shared" si="22"/>
        <v>5825.106121539998</v>
      </c>
    </row>
    <row r="63" spans="33:40" ht="11.25">
      <c r="AG63" s="24">
        <v>2022</v>
      </c>
      <c r="AH63" s="23">
        <f t="shared" si="17"/>
        <v>21643.0263</v>
      </c>
      <c r="AI63" s="116">
        <f t="shared" si="18"/>
        <v>-11255.026300000001</v>
      </c>
      <c r="AJ63" s="23">
        <f t="shared" si="20"/>
        <v>-562.7513150000001</v>
      </c>
      <c r="AK63" s="23">
        <f t="shared" si="21"/>
        <v>118.17777615000001</v>
      </c>
      <c r="AL63" s="23"/>
      <c r="AM63" s="116">
        <f t="shared" si="19"/>
        <v>-444.5735388500001</v>
      </c>
      <c r="AN63" s="116">
        <f t="shared" si="22"/>
        <v>5380.532582689998</v>
      </c>
    </row>
    <row r="64" spans="32:40" ht="11.25">
      <c r="AF64" s="116"/>
      <c r="AG64" s="24">
        <v>2023</v>
      </c>
      <c r="AH64" s="23">
        <f t="shared" si="17"/>
        <v>20017.23984</v>
      </c>
      <c r="AI64" s="116">
        <f t="shared" si="18"/>
        <v>-10410.239839999998</v>
      </c>
      <c r="AJ64" s="23">
        <f t="shared" si="20"/>
        <v>-520.511992</v>
      </c>
      <c r="AK64" s="23">
        <f t="shared" si="21"/>
        <v>109.30751831999999</v>
      </c>
      <c r="AL64" s="23"/>
      <c r="AM64" s="116">
        <f t="shared" si="19"/>
        <v>-411.20447368</v>
      </c>
      <c r="AN64" s="116">
        <f t="shared" si="22"/>
        <v>4969.328109009998</v>
      </c>
    </row>
    <row r="65" spans="32:40" ht="11.25">
      <c r="AF65" s="116"/>
      <c r="AG65" s="24">
        <v>2024</v>
      </c>
      <c r="AH65" s="23">
        <f t="shared" si="17"/>
        <v>18518.40396</v>
      </c>
      <c r="AI65" s="116">
        <f t="shared" si="18"/>
        <v>-9630.40396</v>
      </c>
      <c r="AJ65" s="23">
        <f t="shared" si="20"/>
        <v>-481.520198</v>
      </c>
      <c r="AK65" s="23">
        <f t="shared" si="21"/>
        <v>101.11924158</v>
      </c>
      <c r="AL65" s="23"/>
      <c r="AM65" s="116">
        <f t="shared" si="19"/>
        <v>-380.40095642</v>
      </c>
      <c r="AN65" s="116">
        <f t="shared" si="22"/>
        <v>4588.9271525899985</v>
      </c>
    </row>
    <row r="66" spans="32:40" ht="11.25">
      <c r="AF66" s="116"/>
      <c r="AG66" s="24">
        <v>2025</v>
      </c>
      <c r="AH66" s="23">
        <f t="shared" si="17"/>
        <v>18272.69316</v>
      </c>
      <c r="AI66" s="116">
        <f t="shared" si="18"/>
        <v>-9502.693159999999</v>
      </c>
      <c r="AJ66" s="23">
        <f t="shared" si="20"/>
        <v>-475.13465799999994</v>
      </c>
      <c r="AK66" s="23">
        <f t="shared" si="21"/>
        <v>99.77827817999999</v>
      </c>
      <c r="AL66" s="23"/>
      <c r="AM66" s="116">
        <f t="shared" si="19"/>
        <v>-375.35637982</v>
      </c>
      <c r="AN66" s="116">
        <f t="shared" si="22"/>
        <v>4213.570772769998</v>
      </c>
    </row>
    <row r="67" spans="32:40" ht="11.25">
      <c r="AF67" s="116"/>
      <c r="AG67" s="24">
        <v>2026</v>
      </c>
      <c r="AH67" s="23">
        <f t="shared" si="17"/>
        <v>18268.59798</v>
      </c>
      <c r="AI67" s="116">
        <f t="shared" si="18"/>
        <v>-9500.597979999999</v>
      </c>
      <c r="AJ67" s="23">
        <f t="shared" si="20"/>
        <v>-475.02989899999994</v>
      </c>
      <c r="AK67" s="23">
        <f t="shared" si="21"/>
        <v>99.75627878999998</v>
      </c>
      <c r="AL67" s="23"/>
      <c r="AM67" s="116">
        <f t="shared" si="19"/>
        <v>-375.27362021</v>
      </c>
      <c r="AN67" s="116">
        <f t="shared" si="22"/>
        <v>3838.2971525599983</v>
      </c>
    </row>
    <row r="68" spans="7:40" ht="11.25">
      <c r="G68" s="23"/>
      <c r="AF68" s="116"/>
      <c r="AG68" s="24">
        <v>2027</v>
      </c>
      <c r="AH68" s="23">
        <f t="shared" si="17"/>
        <v>18272.69316</v>
      </c>
      <c r="AI68" s="116">
        <f t="shared" si="18"/>
        <v>-9502.693159999999</v>
      </c>
      <c r="AJ68" s="23">
        <f t="shared" si="20"/>
        <v>-475.13465799999994</v>
      </c>
      <c r="AK68" s="23">
        <f t="shared" si="21"/>
        <v>99.77827817999999</v>
      </c>
      <c r="AL68" s="23"/>
      <c r="AM68" s="116">
        <f t="shared" si="19"/>
        <v>-375.35637982</v>
      </c>
      <c r="AN68" s="116">
        <f t="shared" si="22"/>
        <v>3462.9407727399985</v>
      </c>
    </row>
    <row r="69" spans="7:40" ht="11.25">
      <c r="G69" s="23"/>
      <c r="H69" s="23"/>
      <c r="AF69" s="116"/>
      <c r="AG69" s="24">
        <v>2028</v>
      </c>
      <c r="AH69" s="23">
        <f t="shared" si="17"/>
        <v>18268.59798</v>
      </c>
      <c r="AI69" s="116">
        <f t="shared" si="18"/>
        <v>-9500.597979999999</v>
      </c>
      <c r="AJ69" s="23">
        <f t="shared" si="20"/>
        <v>-475.02989899999994</v>
      </c>
      <c r="AK69" s="23">
        <f t="shared" si="21"/>
        <v>99.75627878999998</v>
      </c>
      <c r="AL69" s="23"/>
      <c r="AM69" s="116">
        <f t="shared" si="19"/>
        <v>-375.27362021</v>
      </c>
      <c r="AN69" s="116">
        <f t="shared" si="22"/>
        <v>3087.6671525299985</v>
      </c>
    </row>
    <row r="70" spans="7:40" ht="11.25">
      <c r="G70" s="23"/>
      <c r="H70" s="23"/>
      <c r="I70" s="23"/>
      <c r="AF70" s="116"/>
      <c r="AG70" s="24">
        <v>2029</v>
      </c>
      <c r="AH70" s="23">
        <f t="shared" si="17"/>
        <v>18272.69316</v>
      </c>
      <c r="AI70" s="116">
        <f t="shared" si="18"/>
        <v>-9502.693159999999</v>
      </c>
      <c r="AJ70" s="23">
        <f t="shared" si="20"/>
        <v>-475.13465799999994</v>
      </c>
      <c r="AK70" s="23">
        <f t="shared" si="21"/>
        <v>99.77827817999999</v>
      </c>
      <c r="AL70" s="23"/>
      <c r="AM70" s="116">
        <f t="shared" si="19"/>
        <v>-375.35637982</v>
      </c>
      <c r="AN70" s="116">
        <f t="shared" si="22"/>
        <v>2712.3107727099987</v>
      </c>
    </row>
    <row r="71" spans="7:40" ht="11.25">
      <c r="G71" s="23"/>
      <c r="H71" s="23"/>
      <c r="I71" s="23"/>
      <c r="J71" s="23"/>
      <c r="AF71" s="116"/>
      <c r="AG71" s="24">
        <v>2030</v>
      </c>
      <c r="AH71" s="23">
        <f t="shared" si="17"/>
        <v>18268.59798</v>
      </c>
      <c r="AI71" s="116">
        <f t="shared" si="18"/>
        <v>-9500.597979999999</v>
      </c>
      <c r="AJ71" s="23">
        <f t="shared" si="20"/>
        <v>-475.02989899999994</v>
      </c>
      <c r="AK71" s="23">
        <f t="shared" si="21"/>
        <v>99.75627878999998</v>
      </c>
      <c r="AL71" s="23"/>
      <c r="AM71" s="116">
        <f t="shared" si="19"/>
        <v>-375.27362021</v>
      </c>
      <c r="AN71" s="116">
        <f t="shared" si="22"/>
        <v>2337.0371524999987</v>
      </c>
    </row>
    <row r="72" spans="7:40" ht="11.25">
      <c r="G72" s="23"/>
      <c r="H72" s="23"/>
      <c r="I72" s="23"/>
      <c r="J72" s="23"/>
      <c r="K72" s="23"/>
      <c r="AF72" s="116"/>
      <c r="AG72" s="24">
        <v>2031</v>
      </c>
      <c r="AH72" s="23">
        <f t="shared" si="17"/>
        <v>18272.69316</v>
      </c>
      <c r="AI72" s="116">
        <f t="shared" si="18"/>
        <v>-9502.693159999999</v>
      </c>
      <c r="AJ72" s="23">
        <f t="shared" si="20"/>
        <v>-475.13465799999994</v>
      </c>
      <c r="AK72" s="23">
        <f t="shared" si="21"/>
        <v>99.77827817999999</v>
      </c>
      <c r="AL72" s="23"/>
      <c r="AM72" s="116">
        <f t="shared" si="19"/>
        <v>-375.35637982</v>
      </c>
      <c r="AN72" s="116">
        <f t="shared" si="22"/>
        <v>1961.6807726799987</v>
      </c>
    </row>
    <row r="73" spans="7:40" ht="11.25"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116"/>
      <c r="AG73" s="24">
        <v>2032</v>
      </c>
      <c r="AH73" s="23">
        <f t="shared" si="17"/>
        <v>18268.59798</v>
      </c>
      <c r="AI73" s="116">
        <f t="shared" si="18"/>
        <v>-9500.597979999999</v>
      </c>
      <c r="AJ73" s="23">
        <f t="shared" si="20"/>
        <v>-475.02989899999994</v>
      </c>
      <c r="AK73" s="23">
        <f t="shared" si="21"/>
        <v>99.75627878999998</v>
      </c>
      <c r="AL73" s="23"/>
      <c r="AM73" s="116">
        <f t="shared" si="19"/>
        <v>-375.27362021</v>
      </c>
      <c r="AN73" s="116">
        <f t="shared" si="22"/>
        <v>1586.4071524699987</v>
      </c>
    </row>
    <row r="74" spans="7:40" ht="11.25"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116"/>
      <c r="AG74" s="24">
        <v>2033</v>
      </c>
      <c r="AH74" s="23">
        <f t="shared" si="17"/>
        <v>18272.69316</v>
      </c>
      <c r="AI74" s="116">
        <f t="shared" si="18"/>
        <v>-9502.693159999999</v>
      </c>
      <c r="AJ74" s="23">
        <f t="shared" si="20"/>
        <v>-475.13465799999994</v>
      </c>
      <c r="AK74" s="23">
        <f t="shared" si="21"/>
        <v>99.77827817999999</v>
      </c>
      <c r="AL74" s="23"/>
      <c r="AM74" s="116">
        <f t="shared" si="19"/>
        <v>-375.35637982</v>
      </c>
      <c r="AN74" s="116">
        <f t="shared" si="22"/>
        <v>1211.0507726499986</v>
      </c>
    </row>
    <row r="75" spans="7:40" ht="11.25"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116"/>
      <c r="AG75" s="24">
        <v>2034</v>
      </c>
      <c r="AH75" s="23">
        <f t="shared" si="17"/>
        <v>18268.59798</v>
      </c>
      <c r="AI75" s="116">
        <f t="shared" si="18"/>
        <v>-9500.597979999999</v>
      </c>
      <c r="AJ75" s="23">
        <f t="shared" si="20"/>
        <v>-475.02989899999994</v>
      </c>
      <c r="AK75" s="23">
        <f t="shared" si="21"/>
        <v>99.75627878999998</v>
      </c>
      <c r="AL75" s="23"/>
      <c r="AM75" s="116">
        <f t="shared" si="19"/>
        <v>-375.27362021</v>
      </c>
      <c r="AN75" s="116">
        <f t="shared" si="22"/>
        <v>835.7771524399986</v>
      </c>
    </row>
    <row r="76" spans="7:40" ht="11.25"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116"/>
      <c r="AG76" s="24">
        <v>2035</v>
      </c>
      <c r="AH76" s="23">
        <f t="shared" si="17"/>
        <v>18272.69316</v>
      </c>
      <c r="AI76" s="116">
        <f t="shared" si="18"/>
        <v>-9502.693159999999</v>
      </c>
      <c r="AJ76" s="23">
        <f t="shared" si="20"/>
        <v>-475.13465799999994</v>
      </c>
      <c r="AK76" s="23">
        <f t="shared" si="21"/>
        <v>99.77827817999999</v>
      </c>
      <c r="AL76" s="23"/>
      <c r="AM76" s="116">
        <f t="shared" si="19"/>
        <v>-375.35637982</v>
      </c>
      <c r="AN76" s="116">
        <f t="shared" si="22"/>
        <v>460.4207726199987</v>
      </c>
    </row>
    <row r="77" spans="7:40" ht="11.25"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G77" s="24">
        <v>2036</v>
      </c>
      <c r="AH77" s="23">
        <f t="shared" si="17"/>
        <v>18268.59798</v>
      </c>
      <c r="AI77" s="116">
        <f t="shared" si="18"/>
        <v>-9500.597979999999</v>
      </c>
      <c r="AJ77" s="23">
        <f t="shared" si="20"/>
        <v>-475.02989899999994</v>
      </c>
      <c r="AK77" s="23">
        <f t="shared" si="21"/>
        <v>99.75627878999998</v>
      </c>
      <c r="AL77" s="23"/>
      <c r="AM77" s="116">
        <f t="shared" si="19"/>
        <v>-375.27362021</v>
      </c>
      <c r="AN77" s="116">
        <f t="shared" si="22"/>
        <v>85.14715240999868</v>
      </c>
    </row>
    <row r="78" spans="8:40" ht="11.25"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G78" s="24">
        <v>2037</v>
      </c>
      <c r="AH78" s="23">
        <f t="shared" si="17"/>
        <v>9136.34658</v>
      </c>
      <c r="AI78" s="116">
        <f t="shared" si="18"/>
        <v>-4751.346579999999</v>
      </c>
      <c r="AJ78" s="23">
        <f t="shared" si="20"/>
        <v>-237.56732899999997</v>
      </c>
      <c r="AK78" s="23">
        <f t="shared" si="21"/>
        <v>49.88913908999999</v>
      </c>
      <c r="AL78" s="23"/>
      <c r="AM78" s="116">
        <f t="shared" si="19"/>
        <v>-187.67818991</v>
      </c>
      <c r="AN78" s="116">
        <f t="shared" si="22"/>
        <v>-102.5310375000013</v>
      </c>
    </row>
    <row r="79" spans="9:39" ht="11.25"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H79" s="116">
        <f>SUM(AH58:AH78)</f>
        <v>409518.0000000002</v>
      </c>
      <c r="AI79" s="116">
        <f>SUM(AI58:AI78)</f>
        <v>-1.000000000005457</v>
      </c>
      <c r="AJ79" s="116">
        <f>SUM(AJ58:AJ78)</f>
        <v>2049.7807499999976</v>
      </c>
      <c r="AK79" s="116">
        <f>SUM(AK58:AK78)</f>
        <v>-2152.3117874999966</v>
      </c>
      <c r="AL79" s="116"/>
      <c r="AM79" s="116">
        <f>SUM(AM58:AM78)</f>
        <v>-102.5310375000013</v>
      </c>
    </row>
    <row r="80" spans="10:31" ht="11.25"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1" spans="11:31" ht="11.25"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</row>
    <row r="82" spans="12:39" ht="11.25"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G82" s="141" t="s">
        <v>197</v>
      </c>
      <c r="AM82" s="116"/>
    </row>
    <row r="83" spans="36:39" ht="11.25">
      <c r="AJ83" s="143" t="s">
        <v>177</v>
      </c>
      <c r="AM83" s="116"/>
    </row>
    <row r="84" spans="33:40" ht="11.25">
      <c r="AG84" s="143"/>
      <c r="AH84" s="143"/>
      <c r="AI84" s="143" t="s">
        <v>178</v>
      </c>
      <c r="AJ84" s="143" t="s">
        <v>179</v>
      </c>
      <c r="AK84" s="143" t="s">
        <v>180</v>
      </c>
      <c r="AL84" s="143"/>
      <c r="AM84" s="143" t="s">
        <v>9</v>
      </c>
      <c r="AN84" s="143" t="s">
        <v>181</v>
      </c>
    </row>
    <row r="85" spans="33:40" ht="11.25">
      <c r="AG85" s="155" t="s">
        <v>0</v>
      </c>
      <c r="AH85" s="155" t="s">
        <v>182</v>
      </c>
      <c r="AI85" s="155" t="s">
        <v>183</v>
      </c>
      <c r="AJ85" s="155" t="s">
        <v>184</v>
      </c>
      <c r="AK85" s="155" t="s">
        <v>185</v>
      </c>
      <c r="AL85" s="155"/>
      <c r="AM85" s="155" t="s">
        <v>186</v>
      </c>
      <c r="AN85" s="155" t="s">
        <v>186</v>
      </c>
    </row>
    <row r="86" spans="33:40" ht="11.25">
      <c r="AG86" s="24">
        <v>2018</v>
      </c>
      <c r="AH86" s="23">
        <f aca="true" t="shared" si="23" ref="AH86:AH106">$F$14*B18*0</f>
        <v>0</v>
      </c>
      <c r="AI86" s="116">
        <f aca="true" t="shared" si="24" ref="AI86:AI106">(F19-AH86)*0</f>
        <v>0</v>
      </c>
      <c r="AJ86" s="23">
        <f>AI86*0.06</f>
        <v>0</v>
      </c>
      <c r="AK86" s="23">
        <f>-AJ86*0.21</f>
        <v>0</v>
      </c>
      <c r="AL86" s="23"/>
      <c r="AM86" s="116">
        <f>AK86+AJ86</f>
        <v>0</v>
      </c>
      <c r="AN86" s="116">
        <f>AM86</f>
        <v>0</v>
      </c>
    </row>
    <row r="87" spans="33:40" ht="11.25">
      <c r="AG87" s="24">
        <v>2019</v>
      </c>
      <c r="AH87" s="23">
        <f t="shared" si="23"/>
        <v>0</v>
      </c>
      <c r="AI87" s="116">
        <f t="shared" si="24"/>
        <v>0</v>
      </c>
      <c r="AJ87" s="23">
        <f aca="true" t="shared" si="25" ref="AJ87:AJ106">AI87*0.06</f>
        <v>0</v>
      </c>
      <c r="AK87" s="23">
        <f>-AJ87*0.21</f>
        <v>0</v>
      </c>
      <c r="AL87" s="23"/>
      <c r="AM87" s="116">
        <f aca="true" t="shared" si="26" ref="AM87:AM106">AK87+AJ87</f>
        <v>0</v>
      </c>
      <c r="AN87" s="116">
        <f>AM87+AN86</f>
        <v>0</v>
      </c>
    </row>
    <row r="88" spans="33:40" ht="11.25">
      <c r="AG88" s="24">
        <v>2020</v>
      </c>
      <c r="AH88" s="23">
        <f t="shared" si="23"/>
        <v>0</v>
      </c>
      <c r="AI88" s="116">
        <f t="shared" si="24"/>
        <v>0</v>
      </c>
      <c r="AJ88" s="23">
        <f t="shared" si="25"/>
        <v>0</v>
      </c>
      <c r="AK88" s="23">
        <f aca="true" t="shared" si="27" ref="AK88:AK106">-AJ88*0.21</f>
        <v>0</v>
      </c>
      <c r="AL88" s="23"/>
      <c r="AM88" s="116">
        <f t="shared" si="26"/>
        <v>0</v>
      </c>
      <c r="AN88" s="116">
        <f aca="true" t="shared" si="28" ref="AN88:AN106">AM88+AN87</f>
        <v>0</v>
      </c>
    </row>
    <row r="89" spans="33:40" ht="11.25">
      <c r="AG89" s="24">
        <v>2021</v>
      </c>
      <c r="AH89" s="23">
        <f t="shared" si="23"/>
        <v>0</v>
      </c>
      <c r="AI89" s="116">
        <f t="shared" si="24"/>
        <v>0</v>
      </c>
      <c r="AJ89" s="23">
        <f t="shared" si="25"/>
        <v>0</v>
      </c>
      <c r="AK89" s="23">
        <f t="shared" si="27"/>
        <v>0</v>
      </c>
      <c r="AL89" s="23"/>
      <c r="AM89" s="116">
        <f t="shared" si="26"/>
        <v>0</v>
      </c>
      <c r="AN89" s="116">
        <f t="shared" si="28"/>
        <v>0</v>
      </c>
    </row>
    <row r="90" spans="33:40" ht="11.25">
      <c r="AG90" s="24">
        <v>2022</v>
      </c>
      <c r="AH90" s="23">
        <f t="shared" si="23"/>
        <v>0</v>
      </c>
      <c r="AI90" s="116">
        <f t="shared" si="24"/>
        <v>0</v>
      </c>
      <c r="AJ90" s="23">
        <f t="shared" si="25"/>
        <v>0</v>
      </c>
      <c r="AK90" s="23">
        <f t="shared" si="27"/>
        <v>0</v>
      </c>
      <c r="AL90" s="23"/>
      <c r="AM90" s="116">
        <f t="shared" si="26"/>
        <v>0</v>
      </c>
      <c r="AN90" s="116">
        <f t="shared" si="28"/>
        <v>0</v>
      </c>
    </row>
    <row r="91" spans="33:40" ht="11.25">
      <c r="AG91" s="24">
        <v>2023</v>
      </c>
      <c r="AH91" s="23">
        <f t="shared" si="23"/>
        <v>0</v>
      </c>
      <c r="AI91" s="116">
        <f t="shared" si="24"/>
        <v>0</v>
      </c>
      <c r="AJ91" s="23">
        <f t="shared" si="25"/>
        <v>0</v>
      </c>
      <c r="AK91" s="23">
        <f t="shared" si="27"/>
        <v>0</v>
      </c>
      <c r="AL91" s="23"/>
      <c r="AM91" s="116">
        <f t="shared" si="26"/>
        <v>0</v>
      </c>
      <c r="AN91" s="116">
        <f t="shared" si="28"/>
        <v>0</v>
      </c>
    </row>
    <row r="92" spans="33:40" ht="11.25">
      <c r="AG92" s="24">
        <v>2024</v>
      </c>
      <c r="AH92" s="23">
        <f t="shared" si="23"/>
        <v>0</v>
      </c>
      <c r="AI92" s="116">
        <f t="shared" si="24"/>
        <v>0</v>
      </c>
      <c r="AJ92" s="23">
        <f t="shared" si="25"/>
        <v>0</v>
      </c>
      <c r="AK92" s="23">
        <f t="shared" si="27"/>
        <v>0</v>
      </c>
      <c r="AL92" s="23"/>
      <c r="AM92" s="116">
        <f t="shared" si="26"/>
        <v>0</v>
      </c>
      <c r="AN92" s="116">
        <f t="shared" si="28"/>
        <v>0</v>
      </c>
    </row>
    <row r="93" spans="33:40" ht="11.25">
      <c r="AG93" s="24">
        <v>2025</v>
      </c>
      <c r="AH93" s="23">
        <f t="shared" si="23"/>
        <v>0</v>
      </c>
      <c r="AI93" s="116">
        <f t="shared" si="24"/>
        <v>0</v>
      </c>
      <c r="AJ93" s="23">
        <f t="shared" si="25"/>
        <v>0</v>
      </c>
      <c r="AK93" s="23">
        <f t="shared" si="27"/>
        <v>0</v>
      </c>
      <c r="AL93" s="23"/>
      <c r="AM93" s="116">
        <f t="shared" si="26"/>
        <v>0</v>
      </c>
      <c r="AN93" s="116">
        <f t="shared" si="28"/>
        <v>0</v>
      </c>
    </row>
    <row r="94" spans="33:40" ht="11.25">
      <c r="AG94" s="24">
        <v>2026</v>
      </c>
      <c r="AH94" s="23">
        <f t="shared" si="23"/>
        <v>0</v>
      </c>
      <c r="AI94" s="116">
        <f t="shared" si="24"/>
        <v>0</v>
      </c>
      <c r="AJ94" s="23">
        <f t="shared" si="25"/>
        <v>0</v>
      </c>
      <c r="AK94" s="23">
        <f t="shared" si="27"/>
        <v>0</v>
      </c>
      <c r="AL94" s="23"/>
      <c r="AM94" s="116">
        <f t="shared" si="26"/>
        <v>0</v>
      </c>
      <c r="AN94" s="116">
        <f t="shared" si="28"/>
        <v>0</v>
      </c>
    </row>
    <row r="95" spans="33:40" ht="11.25">
      <c r="AG95" s="24">
        <v>2027</v>
      </c>
      <c r="AH95" s="23">
        <f t="shared" si="23"/>
        <v>0</v>
      </c>
      <c r="AI95" s="116">
        <f t="shared" si="24"/>
        <v>0</v>
      </c>
      <c r="AJ95" s="23">
        <f t="shared" si="25"/>
        <v>0</v>
      </c>
      <c r="AK95" s="23">
        <f t="shared" si="27"/>
        <v>0</v>
      </c>
      <c r="AL95" s="23"/>
      <c r="AM95" s="116">
        <f t="shared" si="26"/>
        <v>0</v>
      </c>
      <c r="AN95" s="116">
        <f t="shared" si="28"/>
        <v>0</v>
      </c>
    </row>
    <row r="96" spans="33:40" ht="11.25">
      <c r="AG96" s="24">
        <v>2028</v>
      </c>
      <c r="AH96" s="23">
        <f t="shared" si="23"/>
        <v>0</v>
      </c>
      <c r="AI96" s="116">
        <f t="shared" si="24"/>
        <v>0</v>
      </c>
      <c r="AJ96" s="23">
        <f t="shared" si="25"/>
        <v>0</v>
      </c>
      <c r="AK96" s="23">
        <f t="shared" si="27"/>
        <v>0</v>
      </c>
      <c r="AL96" s="23"/>
      <c r="AM96" s="116">
        <f t="shared" si="26"/>
        <v>0</v>
      </c>
      <c r="AN96" s="116">
        <f t="shared" si="28"/>
        <v>0</v>
      </c>
    </row>
    <row r="97" spans="33:40" ht="11.25">
      <c r="AG97" s="24">
        <v>2029</v>
      </c>
      <c r="AH97" s="23">
        <f t="shared" si="23"/>
        <v>0</v>
      </c>
      <c r="AI97" s="116">
        <f t="shared" si="24"/>
        <v>0</v>
      </c>
      <c r="AJ97" s="23">
        <f t="shared" si="25"/>
        <v>0</v>
      </c>
      <c r="AK97" s="23">
        <f t="shared" si="27"/>
        <v>0</v>
      </c>
      <c r="AL97" s="23"/>
      <c r="AM97" s="116">
        <f t="shared" si="26"/>
        <v>0</v>
      </c>
      <c r="AN97" s="116">
        <f t="shared" si="28"/>
        <v>0</v>
      </c>
    </row>
    <row r="98" spans="33:40" ht="11.25">
      <c r="AG98" s="24">
        <v>2030</v>
      </c>
      <c r="AH98" s="23">
        <f t="shared" si="23"/>
        <v>0</v>
      </c>
      <c r="AI98" s="116">
        <f t="shared" si="24"/>
        <v>0</v>
      </c>
      <c r="AJ98" s="23">
        <f t="shared" si="25"/>
        <v>0</v>
      </c>
      <c r="AK98" s="23">
        <f t="shared" si="27"/>
        <v>0</v>
      </c>
      <c r="AL98" s="23"/>
      <c r="AM98" s="116">
        <f t="shared" si="26"/>
        <v>0</v>
      </c>
      <c r="AN98" s="116">
        <f t="shared" si="28"/>
        <v>0</v>
      </c>
    </row>
    <row r="99" spans="33:40" ht="11.25">
      <c r="AG99" s="24">
        <v>2031</v>
      </c>
      <c r="AH99" s="23">
        <f t="shared" si="23"/>
        <v>0</v>
      </c>
      <c r="AI99" s="116">
        <f t="shared" si="24"/>
        <v>0</v>
      </c>
      <c r="AJ99" s="23">
        <f t="shared" si="25"/>
        <v>0</v>
      </c>
      <c r="AK99" s="23">
        <f t="shared" si="27"/>
        <v>0</v>
      </c>
      <c r="AL99" s="23"/>
      <c r="AM99" s="116">
        <f t="shared" si="26"/>
        <v>0</v>
      </c>
      <c r="AN99" s="116">
        <f t="shared" si="28"/>
        <v>0</v>
      </c>
    </row>
    <row r="100" spans="33:40" ht="11.25">
      <c r="AG100" s="24">
        <v>2032</v>
      </c>
      <c r="AH100" s="23">
        <f t="shared" si="23"/>
        <v>0</v>
      </c>
      <c r="AI100" s="116">
        <f t="shared" si="24"/>
        <v>0</v>
      </c>
      <c r="AJ100" s="23">
        <f t="shared" si="25"/>
        <v>0</v>
      </c>
      <c r="AK100" s="23">
        <f t="shared" si="27"/>
        <v>0</v>
      </c>
      <c r="AL100" s="23"/>
      <c r="AM100" s="116">
        <f t="shared" si="26"/>
        <v>0</v>
      </c>
      <c r="AN100" s="116">
        <f t="shared" si="28"/>
        <v>0</v>
      </c>
    </row>
    <row r="101" spans="33:40" ht="11.25">
      <c r="AG101" s="24">
        <v>2033</v>
      </c>
      <c r="AH101" s="23">
        <f t="shared" si="23"/>
        <v>0</v>
      </c>
      <c r="AI101" s="116">
        <f t="shared" si="24"/>
        <v>0</v>
      </c>
      <c r="AJ101" s="23">
        <f t="shared" si="25"/>
        <v>0</v>
      </c>
      <c r="AK101" s="23">
        <f t="shared" si="27"/>
        <v>0</v>
      </c>
      <c r="AL101" s="23"/>
      <c r="AM101" s="116">
        <f t="shared" si="26"/>
        <v>0</v>
      </c>
      <c r="AN101" s="116">
        <f t="shared" si="28"/>
        <v>0</v>
      </c>
    </row>
    <row r="102" spans="33:40" ht="11.25">
      <c r="AG102" s="24">
        <v>2034</v>
      </c>
      <c r="AH102" s="23">
        <f t="shared" si="23"/>
        <v>0</v>
      </c>
      <c r="AI102" s="116">
        <f t="shared" si="24"/>
        <v>0</v>
      </c>
      <c r="AJ102" s="23">
        <f t="shared" si="25"/>
        <v>0</v>
      </c>
      <c r="AK102" s="23">
        <f t="shared" si="27"/>
        <v>0</v>
      </c>
      <c r="AL102" s="23"/>
      <c r="AM102" s="116">
        <f t="shared" si="26"/>
        <v>0</v>
      </c>
      <c r="AN102" s="116">
        <f t="shared" si="28"/>
        <v>0</v>
      </c>
    </row>
    <row r="103" spans="33:40" ht="11.25">
      <c r="AG103" s="24">
        <v>2035</v>
      </c>
      <c r="AH103" s="23">
        <f t="shared" si="23"/>
        <v>0</v>
      </c>
      <c r="AI103" s="116">
        <f t="shared" si="24"/>
        <v>0</v>
      </c>
      <c r="AJ103" s="23">
        <f t="shared" si="25"/>
        <v>0</v>
      </c>
      <c r="AK103" s="23">
        <f t="shared" si="27"/>
        <v>0</v>
      </c>
      <c r="AL103" s="23"/>
      <c r="AM103" s="116">
        <f t="shared" si="26"/>
        <v>0</v>
      </c>
      <c r="AN103" s="116">
        <f t="shared" si="28"/>
        <v>0</v>
      </c>
    </row>
    <row r="104" spans="33:40" ht="11.25">
      <c r="AG104" s="24">
        <v>2036</v>
      </c>
      <c r="AH104" s="23">
        <f t="shared" si="23"/>
        <v>0</v>
      </c>
      <c r="AI104" s="116">
        <f t="shared" si="24"/>
        <v>0</v>
      </c>
      <c r="AJ104" s="23">
        <f t="shared" si="25"/>
        <v>0</v>
      </c>
      <c r="AK104" s="23">
        <f t="shared" si="27"/>
        <v>0</v>
      </c>
      <c r="AL104" s="23"/>
      <c r="AM104" s="116">
        <f t="shared" si="26"/>
        <v>0</v>
      </c>
      <c r="AN104" s="116">
        <f t="shared" si="28"/>
        <v>0</v>
      </c>
    </row>
    <row r="105" spans="33:40" ht="11.25">
      <c r="AG105" s="24">
        <v>2037</v>
      </c>
      <c r="AH105" s="23">
        <f t="shared" si="23"/>
        <v>0</v>
      </c>
      <c r="AI105" s="116">
        <f t="shared" si="24"/>
        <v>0</v>
      </c>
      <c r="AJ105" s="23">
        <f t="shared" si="25"/>
        <v>0</v>
      </c>
      <c r="AK105" s="23">
        <f t="shared" si="27"/>
        <v>0</v>
      </c>
      <c r="AL105" s="23"/>
      <c r="AM105" s="116">
        <f t="shared" si="26"/>
        <v>0</v>
      </c>
      <c r="AN105" s="116">
        <f t="shared" si="28"/>
        <v>0</v>
      </c>
    </row>
    <row r="106" spans="33:40" ht="11.25">
      <c r="AG106" s="24">
        <v>2038</v>
      </c>
      <c r="AH106" s="23">
        <f t="shared" si="23"/>
        <v>0</v>
      </c>
      <c r="AI106" s="116">
        <f t="shared" si="24"/>
        <v>0</v>
      </c>
      <c r="AJ106" s="23">
        <f t="shared" si="25"/>
        <v>0</v>
      </c>
      <c r="AK106" s="23">
        <f t="shared" si="27"/>
        <v>0</v>
      </c>
      <c r="AL106" s="23"/>
      <c r="AM106" s="116">
        <f t="shared" si="26"/>
        <v>0</v>
      </c>
      <c r="AN106" s="116">
        <f t="shared" si="28"/>
        <v>0</v>
      </c>
    </row>
    <row r="107" spans="34:39" ht="11.25">
      <c r="AH107" s="116">
        <f>SUM(AH86:AH106)</f>
        <v>0</v>
      </c>
      <c r="AI107" s="116">
        <f>SUM(AI86:AI106)</f>
        <v>0</v>
      </c>
      <c r="AJ107" s="116">
        <f>SUM(AJ86:AJ106)</f>
        <v>0</v>
      </c>
      <c r="AK107" s="116">
        <f>SUM(AK86:AK106)</f>
        <v>0</v>
      </c>
      <c r="AL107" s="116"/>
      <c r="AM107" s="116">
        <f>SUM(AM86:AM106)</f>
        <v>0</v>
      </c>
    </row>
  </sheetData>
  <sheetProtection/>
  <mergeCells count="5">
    <mergeCell ref="A3:AM3"/>
    <mergeCell ref="A5:AM5"/>
    <mergeCell ref="A4:AM4"/>
    <mergeCell ref="D15:AG15"/>
    <mergeCell ref="A48:AJ49"/>
  </mergeCells>
  <printOptions horizontalCentered="1"/>
  <pageMargins left="0.5" right="0.5" top="0.5" bottom="0.5" header="0.5" footer="0.5"/>
  <pageSetup fitToHeight="1" fitToWidth="1" horizontalDpi="600" verticalDpi="600" orientation="landscape" scale="62" r:id="rId1"/>
  <ignoredErrors>
    <ignoredError sqref="D11 G42 AF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Cooper \ Judy \ M</cp:lastModifiedBy>
  <cp:lastPrinted>2020-03-13T18:53:34Z</cp:lastPrinted>
  <dcterms:created xsi:type="dcterms:W3CDTF">2006-12-27T16:37:29Z</dcterms:created>
  <dcterms:modified xsi:type="dcterms:W3CDTF">2021-04-01T02:39:06Z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K4XLRetrievePerWS">
    <vt:lpwstr>Y</vt:lpwstr>
  </property>
  <property fmtid="{D5CDD505-2E9C-101B-9397-08002B2CF9AE}" pid="4" name="K4XLScatterRefresh">
    <vt:lpwstr>N</vt:lpwstr>
  </property>
  <property fmtid="{D5CDD505-2E9C-101B-9397-08002B2CF9AE}" pid="5" name="K4XLVersion">
    <vt:lpwstr>7.1.4.2171.24</vt:lpwstr>
  </property>
  <property fmtid="{D5CDD505-2E9C-101B-9397-08002B2CF9AE}" pid="6" name="K4XL KID">
    <vt:lpwstr/>
  </property>
  <property fmtid="{D5CDD505-2E9C-101B-9397-08002B2CF9AE}" pid="7" name="K4XL DBKID">
    <vt:lpwstr/>
  </property>
</Properties>
</file>