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organ County Water District\Rates &amp; Revenue\"/>
    </mc:Choice>
  </mc:AlternateContent>
  <xr:revisionPtr revIDLastSave="0" documentId="14_{0CE5E68A-1D6C-4E91-B9AA-41AA77B360C5}" xr6:coauthVersionLast="45" xr6:coauthVersionMax="45" xr10:uidLastSave="{00000000-0000-0000-0000-000000000000}"/>
  <bookViews>
    <workbookView xWindow="28680" yWindow="-120" windowWidth="29040" windowHeight="16440" activeTab="4" xr2:uid="{015CFE09-62BA-4941-A14F-8EDC7C2C7F6B}"/>
  </bookViews>
  <sheets>
    <sheet name="Residential 3.4&quot; Meter" sheetId="1" r:id="rId1"/>
    <sheet name="1&quot; Meter" sheetId="2" r:id="rId2"/>
    <sheet name="2&quot; Meter" sheetId="3" r:id="rId3"/>
    <sheet name="6&quot; Meter" sheetId="4" r:id="rId4"/>
    <sheet name="Totals" sheetId="5" r:id="rId5"/>
  </sheets>
  <definedNames>
    <definedName name="_xlnm.Print_Area" localSheetId="0">'Residential 3.4" Meter'!$A$1:$H$38</definedName>
    <definedName name="_xlnm.Print_Area" localSheetId="4">Totals!$A$1:$F$24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E18" i="1"/>
  <c r="G23" i="1"/>
  <c r="G18" i="1"/>
  <c r="E13" i="1"/>
  <c r="C10" i="5" l="1"/>
  <c r="D15" i="5" s="1"/>
  <c r="D20" i="5" s="1"/>
  <c r="D21" i="5" s="1"/>
  <c r="B10" i="5"/>
  <c r="G8" i="3"/>
  <c r="E9" i="3"/>
  <c r="E8" i="3"/>
  <c r="H8" i="3" s="1"/>
  <c r="G11" i="4"/>
  <c r="G18" i="4"/>
  <c r="G17" i="4"/>
  <c r="G16" i="4"/>
  <c r="G15" i="4"/>
  <c r="G14" i="4"/>
  <c r="G13" i="4"/>
  <c r="G12" i="4"/>
  <c r="G10" i="4"/>
  <c r="G9" i="4"/>
  <c r="G8" i="4"/>
  <c r="G7" i="4"/>
  <c r="F19" i="4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E12" i="4"/>
  <c r="H12" i="4" s="1"/>
  <c r="E11" i="4"/>
  <c r="H11" i="4" s="1"/>
  <c r="E10" i="4"/>
  <c r="H10" i="4" s="1"/>
  <c r="E9" i="4"/>
  <c r="H9" i="4" s="1"/>
  <c r="E7" i="4"/>
  <c r="E8" i="4"/>
  <c r="H8" i="4" s="1"/>
  <c r="H7" i="4" l="1"/>
  <c r="H19" i="4" s="1"/>
  <c r="G19" i="4"/>
  <c r="E23" i="4" s="1"/>
  <c r="H9" i="3"/>
  <c r="E10" i="2"/>
  <c r="H10" i="2" s="1"/>
  <c r="E7" i="3"/>
  <c r="H7" i="3" s="1"/>
  <c r="G9" i="3"/>
  <c r="G7" i="3"/>
  <c r="F10" i="3"/>
  <c r="E20" i="2"/>
  <c r="H20" i="2" s="1"/>
  <c r="E19" i="2"/>
  <c r="H19" i="2" s="1"/>
  <c r="E18" i="2"/>
  <c r="H18" i="2" s="1"/>
  <c r="E17" i="2"/>
  <c r="H17" i="2" s="1"/>
  <c r="E16" i="2"/>
  <c r="H16" i="2" s="1"/>
  <c r="E15" i="2"/>
  <c r="H15" i="2" s="1"/>
  <c r="G20" i="2"/>
  <c r="G19" i="2"/>
  <c r="G18" i="2"/>
  <c r="G17" i="2"/>
  <c r="G16" i="2"/>
  <c r="G15" i="2"/>
  <c r="G14" i="2"/>
  <c r="G13" i="2"/>
  <c r="G12" i="2"/>
  <c r="G11" i="2"/>
  <c r="G10" i="2"/>
  <c r="E14" i="2"/>
  <c r="H14" i="2" s="1"/>
  <c r="E13" i="2"/>
  <c r="H13" i="2" s="1"/>
  <c r="E12" i="2"/>
  <c r="H12" i="2" s="1"/>
  <c r="E11" i="2"/>
  <c r="H11" i="2" s="1"/>
  <c r="G9" i="2"/>
  <c r="E9" i="2"/>
  <c r="H9" i="2" s="1"/>
  <c r="F21" i="2"/>
  <c r="G27" i="1"/>
  <c r="G26" i="1"/>
  <c r="G25" i="1"/>
  <c r="G24" i="1"/>
  <c r="G22" i="1"/>
  <c r="G21" i="1"/>
  <c r="G20" i="1"/>
  <c r="G19" i="1"/>
  <c r="G17" i="1"/>
  <c r="G16" i="1"/>
  <c r="G15" i="1"/>
  <c r="G14" i="1"/>
  <c r="G12" i="1"/>
  <c r="E27" i="1"/>
  <c r="H27" i="1" s="1"/>
  <c r="E26" i="1"/>
  <c r="H26" i="1" s="1"/>
  <c r="E25" i="1"/>
  <c r="H25" i="1" s="1"/>
  <c r="E24" i="1"/>
  <c r="H24" i="1" s="1"/>
  <c r="E22" i="1"/>
  <c r="H22" i="1" s="1"/>
  <c r="E21" i="1"/>
  <c r="H21" i="1" s="1"/>
  <c r="E20" i="1"/>
  <c r="H20" i="1" s="1"/>
  <c r="E19" i="1"/>
  <c r="H19" i="1" s="1"/>
  <c r="E17" i="1"/>
  <c r="H17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G11" i="1"/>
  <c r="F28" i="1"/>
  <c r="E35" i="1" s="1"/>
  <c r="J15" i="1"/>
  <c r="J12" i="1"/>
  <c r="J14" i="1"/>
  <c r="J27" i="1"/>
  <c r="J26" i="1"/>
  <c r="J25" i="1"/>
  <c r="J24" i="1"/>
  <c r="J22" i="1"/>
  <c r="J21" i="1"/>
  <c r="J20" i="1"/>
  <c r="J19" i="1"/>
  <c r="J17" i="1"/>
  <c r="J16" i="1"/>
  <c r="J11" i="1"/>
  <c r="I10" i="1"/>
  <c r="I28" i="1" s="1"/>
  <c r="G10" i="1"/>
  <c r="H21" i="2" l="1"/>
  <c r="E30" i="2" s="1"/>
  <c r="H10" i="3"/>
  <c r="E12" i="3" s="1"/>
  <c r="E18" i="3" s="1"/>
  <c r="G21" i="2"/>
  <c r="E25" i="2"/>
  <c r="E31" i="2"/>
  <c r="H28" i="1"/>
  <c r="E37" i="1" s="1"/>
  <c r="E27" i="4"/>
  <c r="E21" i="4"/>
  <c r="E28" i="4"/>
  <c r="E29" i="4"/>
  <c r="G10" i="3"/>
  <c r="J10" i="1"/>
  <c r="J28" i="1"/>
  <c r="G28" i="1"/>
  <c r="E23" i="2" l="1"/>
  <c r="E29" i="2" s="1"/>
  <c r="E19" i="3"/>
  <c r="E30" i="1"/>
  <c r="E36" i="1" s="1"/>
  <c r="E32" i="1"/>
  <c r="E38" i="1"/>
  <c r="E14" i="3"/>
  <c r="E20" i="3"/>
</calcChain>
</file>

<file path=xl/sharedStrings.xml><?xml version="1.0" encoding="utf-8"?>
<sst xmlns="http://schemas.openxmlformats.org/spreadsheetml/2006/main" count="127" uniqueCount="52">
  <si>
    <t>First 2,000 Gal. at</t>
  </si>
  <si>
    <t>First 5,000 Gal. at</t>
  </si>
  <si>
    <t>Next 3,000 Gal. at</t>
  </si>
  <si>
    <t>Next 5,000 Gal. at</t>
  </si>
  <si>
    <t>All Over 15,000 Gal. at</t>
  </si>
  <si>
    <t>No. of Users</t>
  </si>
  <si>
    <t>Usage (1000-Gal.)</t>
  </si>
  <si>
    <t>Monthly Income</t>
  </si>
  <si>
    <t>Average Monthly Usage</t>
  </si>
  <si>
    <t>From</t>
  </si>
  <si>
    <t>To</t>
  </si>
  <si>
    <t>Monthly Usage Gallons</t>
  </si>
  <si>
    <t>Minimum</t>
  </si>
  <si>
    <t>per Thousand Gallons</t>
  </si>
  <si>
    <t>Totals</t>
  </si>
  <si>
    <t>over</t>
  </si>
  <si>
    <t>Annual Residential Water Sales</t>
  </si>
  <si>
    <t>Total Users</t>
  </si>
  <si>
    <t>RESIDENTIAL</t>
  </si>
  <si>
    <t>Total Annual Water Sales</t>
  </si>
  <si>
    <t>Average Monthly Bill</t>
  </si>
  <si>
    <t>Average Monthly Usage (Gallons)</t>
  </si>
  <si>
    <t>First 15,000 Gal. at</t>
  </si>
  <si>
    <t>First 100,000 Gal. at</t>
  </si>
  <si>
    <t xml:space="preserve">Average
Monthly
Bill </t>
  </si>
  <si>
    <t>Total Annual Water Sold (Gallons)</t>
  </si>
  <si>
    <t>Rates</t>
  </si>
  <si>
    <t>Effective</t>
  </si>
  <si>
    <t>Meter Size</t>
  </si>
  <si>
    <t>Annual
Gallons
Sold</t>
  </si>
  <si>
    <t>Annual
Revenue</t>
  </si>
  <si>
    <t>1" Meter</t>
  </si>
  <si>
    <t>2" Meter</t>
  </si>
  <si>
    <t>6" Meter</t>
  </si>
  <si>
    <t>Residential 5/8 x 3/4" Meter</t>
  </si>
  <si>
    <t>5/8 x 3/4" Meter</t>
  </si>
  <si>
    <t>per month</t>
  </si>
  <si>
    <r>
      <rPr>
        <b/>
        <sz val="11"/>
        <color theme="1"/>
        <rFont val="Arial"/>
        <family val="2"/>
      </rPr>
      <t>Morgan County Water District</t>
    </r>
    <r>
      <rPr>
        <sz val="11"/>
        <color theme="1"/>
        <rFont val="Arial"/>
        <family val="2"/>
      </rPr>
      <t>;  Proposed Rates - 2019 customers</t>
    </r>
  </si>
  <si>
    <t>Existing Rates (5 Rate Blocks - Effective 10/01/2018) - 2019 customers</t>
  </si>
  <si>
    <t>Verification of Revenue in Audit (YE 12/31/2017)</t>
  </si>
  <si>
    <r>
      <rPr>
        <b/>
        <sz val="16"/>
        <color theme="1"/>
        <rFont val="Arial"/>
        <family val="2"/>
      </rPr>
      <t>Morgan County Water District</t>
    </r>
    <r>
      <rPr>
        <sz val="16"/>
        <color theme="1"/>
        <rFont val="Arial"/>
        <family val="2"/>
      </rPr>
      <t xml:space="preserve">  </t>
    </r>
  </si>
  <si>
    <t>per year or</t>
  </si>
  <si>
    <t xml:space="preserve">Annual Revenue Required for 2022 (2019 WL Replacement Project and </t>
  </si>
  <si>
    <t>additional Debt Service) =</t>
  </si>
  <si>
    <t>Existing Income based on 2018 rates and 2019 customers =</t>
  </si>
  <si>
    <r>
      <rPr>
        <b/>
        <sz val="11"/>
        <color theme="1"/>
        <rFont val="Arial"/>
        <family val="2"/>
      </rPr>
      <t>Morgan County Water District</t>
    </r>
    <r>
      <rPr>
        <sz val="11"/>
        <color theme="1"/>
        <rFont val="Arial"/>
        <family val="2"/>
      </rPr>
      <t>; Pproposed Rates - 2019 customers</t>
    </r>
  </si>
  <si>
    <t>This would require approximately a 11.5 % increase in rates to generate the additional revenue shown above.</t>
  </si>
  <si>
    <t>Required Additional Revenue in 2022 =</t>
  </si>
  <si>
    <t xml:space="preserve"> 1" Meter</t>
  </si>
  <si>
    <t>Annual Water Sales</t>
  </si>
  <si>
    <t xml:space="preserve"> 2" Meter</t>
  </si>
  <si>
    <t xml:space="preserve"> 6" 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</si>
</sst>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center" vertical="center"/>
    </xf>
    <xf numFmtId="8" fontId="0" fillId="0" borderId="4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44" fontId="0" fillId="0" borderId="1" xfId="2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44" fontId="1" fillId="0" borderId="12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8" fontId="0" fillId="0" borderId="2" xfId="0" applyNumberFormat="1" applyBorder="1" applyAlignment="1">
      <alignment horizontal="center" vertical="center"/>
    </xf>
    <xf numFmtId="44" fontId="0" fillId="0" borderId="17" xfId="2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" fontId="1" fillId="0" borderId="33" xfId="0" applyNumberFormat="1" applyFont="1" applyBorder="1" applyAlignment="1">
      <alignment horizontal="center" vertical="center"/>
    </xf>
    <xf numFmtId="44" fontId="1" fillId="0" borderId="38" xfId="2" applyFont="1" applyBorder="1" applyAlignment="1">
      <alignment horizontal="center" vertical="center"/>
    </xf>
    <xf numFmtId="2" fontId="1" fillId="0" borderId="3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17" xfId="0" applyNumberFormat="1" applyBorder="1" applyAlignment="1">
      <alignment horizontal="center" vertical="center"/>
    </xf>
    <xf numFmtId="3" fontId="0" fillId="0" borderId="39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40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7" fontId="0" fillId="0" borderId="10" xfId="1" applyNumberFormat="1" applyFont="1" applyBorder="1" applyAlignment="1">
      <alignment horizontal="center" vertical="center"/>
    </xf>
    <xf numFmtId="37" fontId="0" fillId="0" borderId="11" xfId="1" applyNumberFormat="1" applyFon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44" fontId="0" fillId="0" borderId="14" xfId="2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44" fontId="0" fillId="0" borderId="16" xfId="2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8" fontId="0" fillId="0" borderId="1" xfId="2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0" xfId="2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0" fillId="0" borderId="0" xfId="1" applyNumberFormat="1" applyFont="1"/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0" borderId="33" xfId="1" applyNumberFormat="1" applyFont="1" applyBorder="1" applyAlignment="1">
      <alignment horizontal="center"/>
    </xf>
    <xf numFmtId="0" fontId="4" fillId="0" borderId="4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164" fontId="4" fillId="0" borderId="14" xfId="1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/>
    </xf>
    <xf numFmtId="0" fontId="5" fillId="0" borderId="45" xfId="0" applyFont="1" applyBorder="1"/>
    <xf numFmtId="164" fontId="5" fillId="0" borderId="46" xfId="1" applyNumberFormat="1" applyFont="1" applyBorder="1" applyAlignment="1">
      <alignment horizontal="center"/>
    </xf>
    <xf numFmtId="44" fontId="5" fillId="0" borderId="47" xfId="2" applyFont="1" applyBorder="1" applyAlignment="1">
      <alignment horizontal="center"/>
    </xf>
    <xf numFmtId="0" fontId="5" fillId="0" borderId="0" xfId="0" applyFont="1"/>
    <xf numFmtId="8" fontId="0" fillId="0" borderId="14" xfId="0" applyNumberFormat="1" applyBorder="1" applyAlignment="1">
      <alignment horizontal="center" vertical="center"/>
    </xf>
    <xf numFmtId="8" fontId="0" fillId="0" borderId="33" xfId="0" applyNumberFormat="1" applyBorder="1" applyAlignment="1">
      <alignment horizontal="center" vertical="center"/>
    </xf>
    <xf numFmtId="14" fontId="0" fillId="0" borderId="38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4" fontId="1" fillId="0" borderId="33" xfId="0" applyNumberFormat="1" applyFont="1" applyBorder="1" applyAlignment="1">
      <alignment horizontal="center" vertical="center"/>
    </xf>
    <xf numFmtId="4" fontId="1" fillId="0" borderId="38" xfId="0" applyNumberFormat="1" applyFont="1" applyBorder="1" applyAlignment="1">
      <alignment horizontal="center" vertical="center"/>
    </xf>
    <xf numFmtId="165" fontId="0" fillId="0" borderId="0" xfId="2" applyNumberFormat="1" applyFont="1"/>
    <xf numFmtId="3" fontId="0" fillId="2" borderId="20" xfId="0" applyNumberForma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3" fontId="0" fillId="2" borderId="15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44" fontId="0" fillId="0" borderId="0" xfId="0" applyNumberFormat="1"/>
    <xf numFmtId="0" fontId="6" fillId="0" borderId="0" xfId="0" applyFont="1" applyAlignment="1">
      <alignment horizontal="left" vertical="center"/>
    </xf>
    <xf numFmtId="0" fontId="2" fillId="0" borderId="0" xfId="0" applyFont="1"/>
    <xf numFmtId="165" fontId="0" fillId="0" borderId="48" xfId="2" applyNumberFormat="1" applyFont="1" applyBorder="1"/>
    <xf numFmtId="8" fontId="4" fillId="0" borderId="16" xfId="2" applyNumberFormat="1" applyFont="1" applyBorder="1" applyAlignment="1">
      <alignment horizontal="center" vertical="center"/>
    </xf>
    <xf numFmtId="8" fontId="4" fillId="0" borderId="17" xfId="2" applyNumberFormat="1" applyFont="1" applyBorder="1" applyAlignment="1">
      <alignment horizontal="center"/>
    </xf>
    <xf numFmtId="8" fontId="4" fillId="0" borderId="38" xfId="2" applyNumberFormat="1" applyFont="1" applyBorder="1" applyAlignment="1">
      <alignment horizontal="center"/>
    </xf>
    <xf numFmtId="0" fontId="8" fillId="0" borderId="0" xfId="0" applyFont="1"/>
    <xf numFmtId="0" fontId="0" fillId="0" borderId="9" xfId="0" applyBorder="1"/>
    <xf numFmtId="0" fontId="0" fillId="0" borderId="3" xfId="0" applyBorder="1"/>
    <xf numFmtId="0" fontId="0" fillId="0" borderId="5" xfId="0" applyBorder="1"/>
    <xf numFmtId="44" fontId="0" fillId="3" borderId="1" xfId="0" applyNumberFormat="1" applyFill="1" applyBorder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6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3" fontId="1" fillId="0" borderId="32" xfId="0" applyNumberFormat="1" applyFont="1" applyBorder="1" applyAlignment="1">
      <alignment horizontal="center" vertical="center"/>
    </xf>
    <xf numFmtId="3" fontId="1" fillId="0" borderId="33" xfId="0" applyNumberFormat="1" applyFont="1" applyBorder="1" applyAlignment="1">
      <alignment horizontal="center" vertical="center"/>
    </xf>
    <xf numFmtId="3" fontId="0" fillId="0" borderId="21" xfId="0" applyNumberFormat="1" applyBorder="1" applyAlignment="1">
      <alignment horizontal="left" vertical="center"/>
    </xf>
    <xf numFmtId="3" fontId="0" fillId="0" borderId="22" xfId="0" applyNumberForma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3" fontId="0" fillId="0" borderId="27" xfId="0" applyNumberFormat="1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8" fontId="0" fillId="0" borderId="22" xfId="0" applyNumberFormat="1" applyBorder="1" applyAlignment="1">
      <alignment horizontal="center" vertical="center"/>
    </xf>
    <xf numFmtId="8" fontId="0" fillId="0" borderId="23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8" fontId="0" fillId="0" borderId="28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3" fontId="1" fillId="0" borderId="25" xfId="0" applyNumberFormat="1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56DB0-3A1E-4F7B-BCEB-F6ADC53BD8D0}">
  <dimension ref="B1:J48"/>
  <sheetViews>
    <sheetView view="pageBreakPreview" topLeftCell="A7" zoomScaleNormal="100" zoomScaleSheetLayoutView="100" workbookViewId="0">
      <selection activeCell="E30" sqref="E30:F30"/>
    </sheetView>
  </sheetViews>
  <sheetFormatPr defaultRowHeight="14.25" x14ac:dyDescent="0.2"/>
  <cols>
    <col min="1" max="1" width="2.375" customWidth="1"/>
    <col min="2" max="3" width="10.75" customWidth="1"/>
    <col min="4" max="4" width="13.375" customWidth="1"/>
    <col min="5" max="5" width="12.25" customWidth="1"/>
    <col min="6" max="6" width="10.875" customWidth="1"/>
    <col min="7" max="7" width="13.625" customWidth="1"/>
    <col min="8" max="8" width="13.5" customWidth="1"/>
  </cols>
  <sheetData>
    <row r="1" spans="2:10" ht="40.5" customHeight="1" thickBot="1" x14ac:dyDescent="0.25">
      <c r="B1" s="33" t="s">
        <v>37</v>
      </c>
      <c r="C1" s="1"/>
      <c r="D1" s="1"/>
      <c r="E1" s="1"/>
      <c r="F1" s="1"/>
      <c r="G1" s="1"/>
      <c r="H1" s="1"/>
    </row>
    <row r="2" spans="2:10" ht="33" customHeight="1" thickTop="1" thickBot="1" x14ac:dyDescent="0.25">
      <c r="B2" s="102" t="s">
        <v>34</v>
      </c>
      <c r="C2" s="103"/>
      <c r="D2" s="103"/>
      <c r="E2" s="103"/>
      <c r="F2" s="103"/>
      <c r="G2" s="103"/>
      <c r="H2" s="104"/>
    </row>
    <row r="3" spans="2:10" ht="17.25" customHeight="1" thickTop="1" x14ac:dyDescent="0.2">
      <c r="B3" s="105" t="s">
        <v>0</v>
      </c>
      <c r="C3" s="106"/>
      <c r="D3" s="2">
        <v>28.34</v>
      </c>
      <c r="E3" s="109" t="s">
        <v>12</v>
      </c>
      <c r="F3" s="110"/>
      <c r="G3" s="111"/>
      <c r="H3" s="11" t="s">
        <v>26</v>
      </c>
    </row>
    <row r="4" spans="2:10" ht="17.25" customHeight="1" x14ac:dyDescent="0.2">
      <c r="B4" s="107" t="s">
        <v>2</v>
      </c>
      <c r="C4" s="108"/>
      <c r="D4" s="3">
        <v>10.49</v>
      </c>
      <c r="E4" s="112" t="s">
        <v>13</v>
      </c>
      <c r="F4" s="113"/>
      <c r="G4" s="114"/>
      <c r="H4" s="12" t="s">
        <v>27</v>
      </c>
    </row>
    <row r="5" spans="2:10" ht="17.25" customHeight="1" x14ac:dyDescent="0.2">
      <c r="B5" s="107" t="s">
        <v>3</v>
      </c>
      <c r="C5" s="108"/>
      <c r="D5" s="3">
        <v>9.7200000000000006</v>
      </c>
      <c r="E5" s="112" t="s">
        <v>13</v>
      </c>
      <c r="F5" s="113"/>
      <c r="G5" s="114"/>
      <c r="H5" s="34">
        <v>43374</v>
      </c>
    </row>
    <row r="6" spans="2:10" ht="17.25" customHeight="1" x14ac:dyDescent="0.2">
      <c r="B6" s="107" t="s">
        <v>3</v>
      </c>
      <c r="C6" s="108"/>
      <c r="D6" s="3">
        <v>8.9499999999999993</v>
      </c>
      <c r="E6" s="112" t="s">
        <v>13</v>
      </c>
      <c r="F6" s="113"/>
      <c r="G6" s="114"/>
      <c r="H6" s="12"/>
    </row>
    <row r="7" spans="2:10" ht="18" customHeight="1" thickBot="1" x14ac:dyDescent="0.25">
      <c r="B7" s="94" t="s">
        <v>4</v>
      </c>
      <c r="C7" s="95"/>
      <c r="D7" s="27">
        <v>8.18</v>
      </c>
      <c r="E7" s="99" t="s">
        <v>13</v>
      </c>
      <c r="F7" s="100"/>
      <c r="G7" s="101"/>
      <c r="H7" s="15"/>
    </row>
    <row r="8" spans="2:10" ht="55.5" customHeight="1" thickTop="1" x14ac:dyDescent="0.2">
      <c r="B8" s="96" t="s">
        <v>11</v>
      </c>
      <c r="C8" s="97"/>
      <c r="D8" s="97" t="s">
        <v>8</v>
      </c>
      <c r="E8" s="97" t="s">
        <v>24</v>
      </c>
      <c r="F8" s="97" t="s">
        <v>5</v>
      </c>
      <c r="G8" s="97" t="s">
        <v>6</v>
      </c>
      <c r="H8" s="92" t="s">
        <v>7</v>
      </c>
    </row>
    <row r="9" spans="2:10" x14ac:dyDescent="0.2">
      <c r="B9" s="9" t="s">
        <v>9</v>
      </c>
      <c r="C9" s="16" t="s">
        <v>10</v>
      </c>
      <c r="D9" s="98"/>
      <c r="E9" s="98"/>
      <c r="F9" s="98"/>
      <c r="G9" s="98"/>
      <c r="H9" s="93"/>
      <c r="I9">
        <v>1.1000000000000001</v>
      </c>
    </row>
    <row r="10" spans="2:10" ht="15" thickBot="1" x14ac:dyDescent="0.25">
      <c r="B10" s="17">
        <v>0</v>
      </c>
      <c r="C10" s="37">
        <v>2000</v>
      </c>
      <c r="D10" s="4">
        <v>1800</v>
      </c>
      <c r="E10" s="22">
        <f>D3</f>
        <v>28.34</v>
      </c>
      <c r="F10" s="21">
        <v>1153.9000000000001</v>
      </c>
      <c r="G10" s="13">
        <f>167.48+912.6</f>
        <v>1080.08</v>
      </c>
      <c r="H10" s="28">
        <f>E10*F10</f>
        <v>32701.526000000002</v>
      </c>
      <c r="I10" s="25">
        <f>542+507</f>
        <v>1049</v>
      </c>
      <c r="J10" s="20">
        <f>I10*$I$9</f>
        <v>1153.9000000000001</v>
      </c>
    </row>
    <row r="11" spans="2:10" ht="15" thickTop="1" x14ac:dyDescent="0.2">
      <c r="B11" s="35">
        <v>2000</v>
      </c>
      <c r="C11" s="36">
        <v>3000</v>
      </c>
      <c r="D11" s="4">
        <v>2895</v>
      </c>
      <c r="E11" s="22">
        <f>$D$3+((D11-2000)/1000)*$D$4</f>
        <v>37.728549999999998</v>
      </c>
      <c r="F11" s="21">
        <v>425.70000000000005</v>
      </c>
      <c r="G11" s="8">
        <f>(D11*F11)/1000</f>
        <v>1232.4015000000002</v>
      </c>
      <c r="H11" s="28">
        <f>E11*F11</f>
        <v>16061.043735000001</v>
      </c>
      <c r="I11" s="25">
        <v>387</v>
      </c>
      <c r="J11" s="20">
        <f>I11*$I$9</f>
        <v>425.70000000000005</v>
      </c>
    </row>
    <row r="12" spans="2:10" x14ac:dyDescent="0.2">
      <c r="B12" s="10">
        <v>3000</v>
      </c>
      <c r="C12" s="4">
        <v>4000</v>
      </c>
      <c r="D12" s="4">
        <v>3550</v>
      </c>
      <c r="E12" s="22">
        <f t="shared" ref="E12:E14" si="0">$D$3+((D12-2000)/1000)*$D$4</f>
        <v>44.599499999999999</v>
      </c>
      <c r="F12" s="21">
        <v>359.8</v>
      </c>
      <c r="G12" s="8">
        <f t="shared" ref="G12:G27" si="1">(D12*F12)/1000</f>
        <v>1277.29</v>
      </c>
      <c r="H12" s="28">
        <f>E12*F12</f>
        <v>16046.900100000001</v>
      </c>
      <c r="I12" s="25">
        <v>328</v>
      </c>
      <c r="J12" s="20">
        <f>I12*$I$9-1</f>
        <v>359.8</v>
      </c>
    </row>
    <row r="13" spans="2:10" x14ac:dyDescent="0.2">
      <c r="B13" s="76"/>
      <c r="C13" s="77"/>
      <c r="D13" s="4">
        <v>4000</v>
      </c>
      <c r="E13" s="22">
        <f t="shared" si="0"/>
        <v>49.32</v>
      </c>
      <c r="F13" s="21">
        <v>0</v>
      </c>
      <c r="G13" s="8">
        <v>0</v>
      </c>
      <c r="H13" s="28">
        <v>0</v>
      </c>
      <c r="I13" s="25"/>
      <c r="J13" s="20"/>
    </row>
    <row r="14" spans="2:10" ht="15" thickBot="1" x14ac:dyDescent="0.25">
      <c r="B14" s="17">
        <v>4000</v>
      </c>
      <c r="C14" s="37">
        <v>5000</v>
      </c>
      <c r="D14" s="4">
        <v>4863</v>
      </c>
      <c r="E14" s="22">
        <f t="shared" si="0"/>
        <v>58.372869999999999</v>
      </c>
      <c r="F14" s="21">
        <v>290.3</v>
      </c>
      <c r="G14" s="8">
        <f t="shared" si="1"/>
        <v>1411.7289000000001</v>
      </c>
      <c r="H14" s="28">
        <f>E14*F14</f>
        <v>16945.644161</v>
      </c>
      <c r="I14" s="25">
        <v>263</v>
      </c>
      <c r="J14" s="20">
        <f>I14*$I$9+1</f>
        <v>290.3</v>
      </c>
    </row>
    <row r="15" spans="2:10" ht="15" thickTop="1" x14ac:dyDescent="0.2">
      <c r="B15" s="35">
        <v>5000</v>
      </c>
      <c r="C15" s="36">
        <v>6000</v>
      </c>
      <c r="D15" s="4">
        <v>5442</v>
      </c>
      <c r="E15" s="22">
        <f>$D$3+((5000-2000)/1000)*$D$4+((D15-5000)/1000)*$D$5</f>
        <v>64.10624</v>
      </c>
      <c r="F15" s="21">
        <v>174.70000000000002</v>
      </c>
      <c r="G15" s="8">
        <f t="shared" si="1"/>
        <v>950.71740000000011</v>
      </c>
      <c r="H15" s="28">
        <f>E15*F15</f>
        <v>11199.360128</v>
      </c>
      <c r="I15" s="25">
        <v>157</v>
      </c>
      <c r="J15" s="20">
        <f>I15*$I$9+2</f>
        <v>174.70000000000002</v>
      </c>
    </row>
    <row r="16" spans="2:10" x14ac:dyDescent="0.2">
      <c r="B16" s="10">
        <v>6000</v>
      </c>
      <c r="C16" s="4">
        <v>7000</v>
      </c>
      <c r="D16" s="4">
        <v>6670</v>
      </c>
      <c r="E16" s="22">
        <f t="shared" ref="E16:E20" si="2">$D$3+((5000-2000)/1000)*$D$4+((D16-5000)/1000)*$D$5</f>
        <v>76.042400000000001</v>
      </c>
      <c r="F16" s="21">
        <v>150.70000000000002</v>
      </c>
      <c r="G16" s="8">
        <f t="shared" si="1"/>
        <v>1005.1690000000001</v>
      </c>
      <c r="H16" s="28">
        <f t="shared" ref="H16:H27" si="3">E16*F16</f>
        <v>11459.589680000001</v>
      </c>
      <c r="I16" s="25">
        <v>137</v>
      </c>
      <c r="J16" s="20">
        <f t="shared" ref="J16:J27" si="4">I16*$I$9</f>
        <v>150.70000000000002</v>
      </c>
    </row>
    <row r="17" spans="2:10" x14ac:dyDescent="0.2">
      <c r="B17" s="10">
        <v>7000</v>
      </c>
      <c r="C17" s="4">
        <v>8000</v>
      </c>
      <c r="D17" s="4">
        <v>7346</v>
      </c>
      <c r="E17" s="22">
        <f t="shared" si="2"/>
        <v>82.613120000000009</v>
      </c>
      <c r="F17" s="21">
        <v>107.80000000000001</v>
      </c>
      <c r="G17" s="8">
        <f t="shared" si="1"/>
        <v>791.89880000000005</v>
      </c>
      <c r="H17" s="28">
        <f t="shared" si="3"/>
        <v>8905.6943360000023</v>
      </c>
      <c r="I17" s="25">
        <v>98</v>
      </c>
      <c r="J17" s="20">
        <f t="shared" si="4"/>
        <v>107.80000000000001</v>
      </c>
    </row>
    <row r="18" spans="2:10" x14ac:dyDescent="0.2">
      <c r="B18" s="78"/>
      <c r="C18" s="79"/>
      <c r="D18" s="4">
        <v>8000</v>
      </c>
      <c r="E18" s="22">
        <f t="shared" si="2"/>
        <v>88.97</v>
      </c>
      <c r="F18" s="21">
        <v>0</v>
      </c>
      <c r="G18" s="8">
        <f t="shared" si="1"/>
        <v>0</v>
      </c>
      <c r="H18" s="28">
        <v>0</v>
      </c>
      <c r="I18" s="25"/>
      <c r="J18" s="20"/>
    </row>
    <row r="19" spans="2:10" x14ac:dyDescent="0.2">
      <c r="B19" s="10">
        <v>8000</v>
      </c>
      <c r="C19" s="4">
        <v>9000</v>
      </c>
      <c r="D19" s="4">
        <v>8593</v>
      </c>
      <c r="E19" s="22">
        <f t="shared" si="2"/>
        <v>94.733959999999996</v>
      </c>
      <c r="F19" s="21">
        <v>51.7</v>
      </c>
      <c r="G19" s="8">
        <f t="shared" si="1"/>
        <v>444.25810000000001</v>
      </c>
      <c r="H19" s="28">
        <f t="shared" si="3"/>
        <v>4897.7457320000003</v>
      </c>
      <c r="I19" s="25">
        <v>47</v>
      </c>
      <c r="J19" s="20">
        <f t="shared" si="4"/>
        <v>51.7</v>
      </c>
    </row>
    <row r="20" spans="2:10" ht="15" thickBot="1" x14ac:dyDescent="0.25">
      <c r="B20" s="17">
        <v>9000</v>
      </c>
      <c r="C20" s="37">
        <v>10000</v>
      </c>
      <c r="D20" s="4">
        <v>9818</v>
      </c>
      <c r="E20" s="22">
        <f t="shared" si="2"/>
        <v>106.64096000000001</v>
      </c>
      <c r="F20" s="21">
        <v>39.6</v>
      </c>
      <c r="G20" s="8">
        <f t="shared" si="1"/>
        <v>388.7928</v>
      </c>
      <c r="H20" s="28">
        <f t="shared" si="3"/>
        <v>4222.9820160000008</v>
      </c>
      <c r="I20" s="25">
        <v>36</v>
      </c>
      <c r="J20" s="20">
        <f t="shared" si="4"/>
        <v>39.6</v>
      </c>
    </row>
    <row r="21" spans="2:10" ht="15" thickTop="1" x14ac:dyDescent="0.2">
      <c r="B21" s="35">
        <v>10000</v>
      </c>
      <c r="C21" s="36">
        <v>11000</v>
      </c>
      <c r="D21" s="4">
        <v>10290</v>
      </c>
      <c r="E21" s="22">
        <f>$D$3+((5000-2000)/1000)*$D$4+((10000-5000)/1000)*$D$5+((D21-10000)/1000)*$D$6</f>
        <v>111.0055</v>
      </c>
      <c r="F21" s="21">
        <v>15.400000000000002</v>
      </c>
      <c r="G21" s="8">
        <f t="shared" si="1"/>
        <v>158.46600000000004</v>
      </c>
      <c r="H21" s="28">
        <f t="shared" si="3"/>
        <v>1709.4847000000002</v>
      </c>
      <c r="I21" s="25">
        <v>14</v>
      </c>
      <c r="J21" s="20">
        <f t="shared" si="4"/>
        <v>15.400000000000002</v>
      </c>
    </row>
    <row r="22" spans="2:10" x14ac:dyDescent="0.2">
      <c r="B22" s="10">
        <v>11000</v>
      </c>
      <c r="C22" s="4">
        <v>12000</v>
      </c>
      <c r="D22" s="4">
        <v>11861</v>
      </c>
      <c r="E22" s="22">
        <f t="shared" ref="E22:E26" si="5">$D$3+((5000-2000)/1000)*$D$4+((10000-5000)/1000)*$D$5+((D22-10000)/1000)*$D$6</f>
        <v>125.06594999999999</v>
      </c>
      <c r="F22" s="21">
        <v>7.7000000000000011</v>
      </c>
      <c r="G22" s="8">
        <f t="shared" si="1"/>
        <v>91.329700000000017</v>
      </c>
      <c r="H22" s="28">
        <f t="shared" si="3"/>
        <v>963.00781500000005</v>
      </c>
      <c r="I22" s="25">
        <v>7</v>
      </c>
      <c r="J22" s="20">
        <f t="shared" si="4"/>
        <v>7.7000000000000011</v>
      </c>
    </row>
    <row r="23" spans="2:10" x14ac:dyDescent="0.2">
      <c r="B23" s="78"/>
      <c r="C23" s="79"/>
      <c r="D23" s="4">
        <v>12000</v>
      </c>
      <c r="E23" s="22">
        <f t="shared" si="5"/>
        <v>126.31</v>
      </c>
      <c r="F23" s="21">
        <v>0</v>
      </c>
      <c r="G23" s="8">
        <f t="shared" si="1"/>
        <v>0</v>
      </c>
      <c r="H23" s="28">
        <v>0</v>
      </c>
      <c r="I23" s="25"/>
      <c r="J23" s="20"/>
    </row>
    <row r="24" spans="2:10" x14ac:dyDescent="0.2">
      <c r="B24" s="10">
        <v>12000</v>
      </c>
      <c r="C24" s="4">
        <v>13000</v>
      </c>
      <c r="D24" s="4">
        <v>12605</v>
      </c>
      <c r="E24" s="22">
        <f t="shared" si="5"/>
        <v>131.72475</v>
      </c>
      <c r="F24" s="21">
        <v>4.4000000000000004</v>
      </c>
      <c r="G24" s="8">
        <f t="shared" si="1"/>
        <v>55.46200000000001</v>
      </c>
      <c r="H24" s="28">
        <f t="shared" si="3"/>
        <v>579.58890000000008</v>
      </c>
      <c r="I24" s="25">
        <v>4</v>
      </c>
      <c r="J24" s="20">
        <f t="shared" si="4"/>
        <v>4.4000000000000004</v>
      </c>
    </row>
    <row r="25" spans="2:10" x14ac:dyDescent="0.2">
      <c r="B25" s="10">
        <v>13000</v>
      </c>
      <c r="C25" s="4">
        <v>14000</v>
      </c>
      <c r="D25" s="4">
        <v>13848</v>
      </c>
      <c r="E25" s="22">
        <f t="shared" si="5"/>
        <v>142.84960000000001</v>
      </c>
      <c r="F25" s="21">
        <v>3.3000000000000003</v>
      </c>
      <c r="G25" s="8">
        <f t="shared" si="1"/>
        <v>45.698399999999999</v>
      </c>
      <c r="H25" s="28">
        <f t="shared" si="3"/>
        <v>471.40368000000007</v>
      </c>
      <c r="I25" s="25">
        <v>3</v>
      </c>
      <c r="J25" s="20">
        <f t="shared" si="4"/>
        <v>3.3000000000000003</v>
      </c>
    </row>
    <row r="26" spans="2:10" ht="15" thickBot="1" x14ac:dyDescent="0.25">
      <c r="B26" s="17">
        <v>14000</v>
      </c>
      <c r="C26" s="37">
        <v>15000</v>
      </c>
      <c r="D26" s="4">
        <v>14567</v>
      </c>
      <c r="E26" s="22">
        <f t="shared" si="5"/>
        <v>149.28465</v>
      </c>
      <c r="F26" s="21">
        <v>7.7000000000000011</v>
      </c>
      <c r="G26" s="8">
        <f t="shared" si="1"/>
        <v>112.16590000000001</v>
      </c>
      <c r="H26" s="28">
        <f t="shared" si="3"/>
        <v>1149.4918050000001</v>
      </c>
      <c r="I26" s="25">
        <v>7</v>
      </c>
      <c r="J26" s="20">
        <f t="shared" si="4"/>
        <v>7.7000000000000011</v>
      </c>
    </row>
    <row r="27" spans="2:10" ht="15.75" thickTop="1" thickBot="1" x14ac:dyDescent="0.25">
      <c r="B27" s="35">
        <v>15000</v>
      </c>
      <c r="C27" s="40" t="s">
        <v>15</v>
      </c>
      <c r="D27" s="4">
        <v>15400</v>
      </c>
      <c r="E27" s="22">
        <f>$D$3+((5000-2000)/1000)*$D$4+((10000-5000)/1000)*$D$5+((15000-10000)/1000)*$D$6+((D27-15000)/1000)*$D$7</f>
        <v>156.43199999999999</v>
      </c>
      <c r="F27" s="21">
        <v>7.7000000000000011</v>
      </c>
      <c r="G27" s="8">
        <f t="shared" si="1"/>
        <v>118.58000000000001</v>
      </c>
      <c r="H27" s="28">
        <f t="shared" si="3"/>
        <v>1204.5264</v>
      </c>
      <c r="I27" s="26">
        <v>7</v>
      </c>
      <c r="J27" s="20">
        <f t="shared" si="4"/>
        <v>7.7000000000000011</v>
      </c>
    </row>
    <row r="28" spans="2:10" ht="21.75" customHeight="1" thickTop="1" thickBot="1" x14ac:dyDescent="0.25">
      <c r="B28" s="115" t="s">
        <v>14</v>
      </c>
      <c r="C28" s="116"/>
      <c r="D28" s="29"/>
      <c r="E28" s="29"/>
      <c r="F28" s="30">
        <f>SUM(F10:F27)</f>
        <v>2800.3999999999996</v>
      </c>
      <c r="G28" s="32">
        <f t="shared" ref="G28:H28" si="6">SUM(G10:G27)</f>
        <v>9164.0384999999987</v>
      </c>
      <c r="H28" s="31">
        <f t="shared" si="6"/>
        <v>128517.98918800001</v>
      </c>
      <c r="I28" s="23">
        <f>SUM(I10:I27)</f>
        <v>2544</v>
      </c>
      <c r="J28" s="20">
        <f>SUM(J10:J27)</f>
        <v>2800.3999999999996</v>
      </c>
    </row>
    <row r="29" spans="2:10" ht="15.75" thickTop="1" thickBot="1" x14ac:dyDescent="0.25">
      <c r="B29" s="6"/>
      <c r="C29" s="7"/>
      <c r="D29" s="7"/>
      <c r="E29" s="7"/>
      <c r="F29" s="7"/>
      <c r="G29" s="7"/>
      <c r="H29" s="7"/>
    </row>
    <row r="30" spans="2:10" ht="19.5" customHeight="1" thickBot="1" x14ac:dyDescent="0.25">
      <c r="B30" s="117" t="s">
        <v>16</v>
      </c>
      <c r="C30" s="118"/>
      <c r="D30" s="118"/>
      <c r="E30" s="124">
        <f>H28*12</f>
        <v>1542215.8702560002</v>
      </c>
      <c r="F30" s="125"/>
      <c r="G30" s="7"/>
      <c r="H30" s="7"/>
    </row>
    <row r="31" spans="2:10" ht="15" thickBot="1" x14ac:dyDescent="0.25">
      <c r="B31" s="6"/>
      <c r="C31" s="7"/>
      <c r="D31" s="7"/>
      <c r="E31" s="7"/>
      <c r="F31" s="7"/>
      <c r="G31" s="7"/>
      <c r="H31" s="7"/>
    </row>
    <row r="32" spans="2:10" ht="18" customHeight="1" thickBot="1" x14ac:dyDescent="0.25">
      <c r="B32" s="117" t="s">
        <v>25</v>
      </c>
      <c r="C32" s="118"/>
      <c r="D32" s="118"/>
      <c r="E32" s="126">
        <f>12*(G28*1000)</f>
        <v>109968461.99999997</v>
      </c>
      <c r="F32" s="127"/>
      <c r="G32" s="7"/>
      <c r="H32" s="7"/>
    </row>
    <row r="33" spans="2:8" ht="15" thickBot="1" x14ac:dyDescent="0.25">
      <c r="B33" s="6"/>
      <c r="C33" s="7"/>
      <c r="D33" s="7"/>
      <c r="E33" s="7"/>
      <c r="F33" s="7"/>
      <c r="G33" s="7"/>
      <c r="H33" s="7"/>
    </row>
    <row r="34" spans="2:8" ht="19.5" customHeight="1" x14ac:dyDescent="0.2">
      <c r="B34" s="134" t="s">
        <v>18</v>
      </c>
      <c r="C34" s="135"/>
      <c r="D34" s="135"/>
      <c r="E34" s="135"/>
      <c r="F34" s="136"/>
      <c r="G34" s="7"/>
      <c r="H34" s="7"/>
    </row>
    <row r="35" spans="2:8" ht="17.25" customHeight="1" x14ac:dyDescent="0.2">
      <c r="B35" s="120" t="s">
        <v>17</v>
      </c>
      <c r="C35" s="121"/>
      <c r="D35" s="121"/>
      <c r="E35" s="130">
        <f>F28</f>
        <v>2800.3999999999996</v>
      </c>
      <c r="F35" s="131"/>
      <c r="G35" s="7"/>
      <c r="H35" s="7"/>
    </row>
    <row r="36" spans="2:8" ht="16.5" customHeight="1" x14ac:dyDescent="0.2">
      <c r="B36" s="119" t="s">
        <v>19</v>
      </c>
      <c r="C36" s="108"/>
      <c r="D36" s="108"/>
      <c r="E36" s="128">
        <f>E30</f>
        <v>1542215.8702560002</v>
      </c>
      <c r="F36" s="129"/>
      <c r="G36" s="7"/>
      <c r="H36" s="7"/>
    </row>
    <row r="37" spans="2:8" ht="17.25" customHeight="1" x14ac:dyDescent="0.2">
      <c r="B37" s="119" t="s">
        <v>20</v>
      </c>
      <c r="C37" s="108"/>
      <c r="D37" s="108"/>
      <c r="E37" s="128">
        <f>H28/F28</f>
        <v>45.892725749178695</v>
      </c>
      <c r="F37" s="129"/>
      <c r="G37" s="7"/>
      <c r="H37" s="7"/>
    </row>
    <row r="38" spans="2:8" ht="18" customHeight="1" thickBot="1" x14ac:dyDescent="0.25">
      <c r="B38" s="122" t="s">
        <v>21</v>
      </c>
      <c r="C38" s="123"/>
      <c r="D38" s="123"/>
      <c r="E38" s="132">
        <f>(G28*1000)/F28</f>
        <v>3272.4034066561917</v>
      </c>
      <c r="F38" s="133"/>
      <c r="G38" s="7"/>
      <c r="H38" s="7"/>
    </row>
    <row r="39" spans="2:8" x14ac:dyDescent="0.2">
      <c r="B39" s="7"/>
      <c r="C39" s="7"/>
      <c r="D39" s="7"/>
      <c r="E39" s="7"/>
      <c r="F39" s="7"/>
      <c r="G39" s="7"/>
      <c r="H39" s="7"/>
    </row>
    <row r="40" spans="2:8" x14ac:dyDescent="0.2">
      <c r="B40" s="7"/>
      <c r="C40" s="7"/>
      <c r="D40" s="7"/>
      <c r="E40" s="7"/>
      <c r="F40" s="7"/>
      <c r="G40" s="7"/>
      <c r="H40" s="7"/>
    </row>
    <row r="41" spans="2:8" x14ac:dyDescent="0.2">
      <c r="B41" s="7"/>
      <c r="C41" s="7"/>
      <c r="D41" s="7"/>
      <c r="E41" s="7"/>
      <c r="F41" s="7"/>
      <c r="G41" s="7"/>
      <c r="H41" s="7"/>
    </row>
    <row r="42" spans="2:8" x14ac:dyDescent="0.2">
      <c r="B42" s="7"/>
      <c r="C42" s="7"/>
      <c r="D42" s="7"/>
      <c r="E42" s="7"/>
      <c r="F42" s="7"/>
      <c r="G42" s="7"/>
      <c r="H42" s="7"/>
    </row>
    <row r="43" spans="2:8" x14ac:dyDescent="0.2">
      <c r="B43" s="7"/>
      <c r="C43" s="7"/>
      <c r="D43" s="7"/>
      <c r="E43" s="7"/>
      <c r="F43" s="7"/>
      <c r="G43" s="7"/>
      <c r="H43" s="7"/>
    </row>
    <row r="44" spans="2:8" x14ac:dyDescent="0.2">
      <c r="B44" s="7"/>
      <c r="C44" s="7"/>
      <c r="D44" s="7"/>
      <c r="E44" s="7"/>
      <c r="F44" s="7"/>
      <c r="G44" s="7"/>
      <c r="H44" s="7"/>
    </row>
    <row r="45" spans="2:8" x14ac:dyDescent="0.2">
      <c r="B45" s="7"/>
      <c r="C45" s="7"/>
      <c r="D45" s="7"/>
      <c r="E45" s="7"/>
      <c r="F45" s="7"/>
      <c r="G45" s="7"/>
      <c r="H45" s="7"/>
    </row>
    <row r="46" spans="2:8" x14ac:dyDescent="0.2">
      <c r="B46" s="7"/>
      <c r="C46" s="7"/>
      <c r="D46" s="7"/>
      <c r="E46" s="7"/>
      <c r="F46" s="7"/>
      <c r="G46" s="7"/>
      <c r="H46" s="7"/>
    </row>
    <row r="47" spans="2:8" x14ac:dyDescent="0.2">
      <c r="B47" s="7"/>
      <c r="C47" s="7"/>
      <c r="D47" s="7"/>
      <c r="E47" s="7"/>
      <c r="F47" s="7"/>
      <c r="G47" s="7"/>
      <c r="H47" s="7"/>
    </row>
    <row r="48" spans="2:8" x14ac:dyDescent="0.2">
      <c r="B48" s="7"/>
      <c r="C48" s="7"/>
      <c r="D48" s="7"/>
      <c r="E48" s="7"/>
      <c r="F48" s="7"/>
      <c r="G48" s="7"/>
      <c r="H48" s="7"/>
    </row>
  </sheetData>
  <mergeCells count="31">
    <mergeCell ref="B38:D38"/>
    <mergeCell ref="E30:F30"/>
    <mergeCell ref="E32:F32"/>
    <mergeCell ref="E36:F36"/>
    <mergeCell ref="E35:F35"/>
    <mergeCell ref="E37:F37"/>
    <mergeCell ref="E38:F38"/>
    <mergeCell ref="B34:F34"/>
    <mergeCell ref="B28:C28"/>
    <mergeCell ref="B30:D30"/>
    <mergeCell ref="B32:D32"/>
    <mergeCell ref="B36:D36"/>
    <mergeCell ref="B37:D37"/>
    <mergeCell ref="B35:D35"/>
    <mergeCell ref="B2:H2"/>
    <mergeCell ref="B3:C3"/>
    <mergeCell ref="B4:C4"/>
    <mergeCell ref="B5:C5"/>
    <mergeCell ref="B6:C6"/>
    <mergeCell ref="E3:G3"/>
    <mergeCell ref="E6:G6"/>
    <mergeCell ref="E5:G5"/>
    <mergeCell ref="E4:G4"/>
    <mergeCell ref="H8:H9"/>
    <mergeCell ref="B7:C7"/>
    <mergeCell ref="B8:C8"/>
    <mergeCell ref="D8:D9"/>
    <mergeCell ref="F8:F9"/>
    <mergeCell ref="G8:G9"/>
    <mergeCell ref="E7:G7"/>
    <mergeCell ref="E8:E9"/>
  </mergeCells>
  <pageMargins left="0.45" right="0.45" top="0.75" bottom="0.75" header="0.3" footer="0.3"/>
  <pageSetup orientation="portrait" r:id="rId1"/>
  <headerFooter>
    <oddFooter>&amp;L&amp;9&amp;Z&amp;F&amp;A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FDF47-40AF-430A-8FD1-B1355C5F897C}">
  <dimension ref="B1:H41"/>
  <sheetViews>
    <sheetView topLeftCell="A10" workbookViewId="0">
      <selection activeCell="B27" sqref="B27:F27"/>
    </sheetView>
  </sheetViews>
  <sheetFormatPr defaultRowHeight="14.25" x14ac:dyDescent="0.2"/>
  <cols>
    <col min="1" max="1" width="2.875" customWidth="1"/>
    <col min="2" max="2" width="10.75" customWidth="1"/>
    <col min="3" max="3" width="9.875" customWidth="1"/>
    <col min="4" max="5" width="12.25" customWidth="1"/>
    <col min="6" max="6" width="10.875" customWidth="1"/>
    <col min="7" max="7" width="11.75" customWidth="1"/>
    <col min="8" max="8" width="13.5" customWidth="1"/>
  </cols>
  <sheetData>
    <row r="1" spans="2:8" ht="40.5" customHeight="1" thickBot="1" x14ac:dyDescent="0.25">
      <c r="B1" s="33" t="s">
        <v>45</v>
      </c>
      <c r="C1" s="1"/>
      <c r="D1" s="1"/>
      <c r="E1" s="1"/>
      <c r="F1" s="1"/>
      <c r="G1" s="1"/>
      <c r="H1" s="1"/>
    </row>
    <row r="2" spans="2:8" ht="33" customHeight="1" thickTop="1" thickBot="1" x14ac:dyDescent="0.25">
      <c r="B2" s="102" t="s">
        <v>48</v>
      </c>
      <c r="C2" s="103"/>
      <c r="D2" s="103"/>
      <c r="E2" s="103"/>
      <c r="F2" s="103"/>
      <c r="G2" s="103"/>
      <c r="H2" s="104"/>
    </row>
    <row r="3" spans="2:8" ht="17.25" customHeight="1" thickTop="1" x14ac:dyDescent="0.2">
      <c r="B3" s="105" t="s">
        <v>1</v>
      </c>
      <c r="C3" s="106"/>
      <c r="D3" s="2">
        <v>59.97</v>
      </c>
      <c r="E3" s="109" t="s">
        <v>12</v>
      </c>
      <c r="F3" s="110"/>
      <c r="G3" s="111"/>
      <c r="H3" s="11" t="s">
        <v>26</v>
      </c>
    </row>
    <row r="4" spans="2:8" ht="17.25" customHeight="1" x14ac:dyDescent="0.2">
      <c r="B4" s="107" t="s">
        <v>3</v>
      </c>
      <c r="C4" s="108"/>
      <c r="D4" s="3">
        <v>9.7200000000000006</v>
      </c>
      <c r="E4" s="112" t="s">
        <v>13</v>
      </c>
      <c r="F4" s="113"/>
      <c r="G4" s="114"/>
      <c r="H4" s="12" t="s">
        <v>27</v>
      </c>
    </row>
    <row r="5" spans="2:8" ht="17.25" customHeight="1" x14ac:dyDescent="0.2">
      <c r="B5" s="107" t="s">
        <v>3</v>
      </c>
      <c r="C5" s="108"/>
      <c r="D5" s="3">
        <v>8.9499999999999993</v>
      </c>
      <c r="E5" s="112" t="s">
        <v>13</v>
      </c>
      <c r="F5" s="113"/>
      <c r="G5" s="114"/>
      <c r="H5" s="34">
        <v>43374</v>
      </c>
    </row>
    <row r="6" spans="2:8" ht="18" customHeight="1" thickBot="1" x14ac:dyDescent="0.25">
      <c r="B6" s="94" t="s">
        <v>4</v>
      </c>
      <c r="C6" s="95"/>
      <c r="D6" s="27">
        <v>8.18</v>
      </c>
      <c r="E6" s="99" t="s">
        <v>13</v>
      </c>
      <c r="F6" s="100"/>
      <c r="G6" s="101"/>
      <c r="H6" s="15"/>
    </row>
    <row r="7" spans="2:8" ht="55.5" customHeight="1" thickTop="1" x14ac:dyDescent="0.2">
      <c r="B7" s="96" t="s">
        <v>11</v>
      </c>
      <c r="C7" s="97"/>
      <c r="D7" s="97" t="s">
        <v>8</v>
      </c>
      <c r="E7" s="97" t="s">
        <v>24</v>
      </c>
      <c r="F7" s="97" t="s">
        <v>5</v>
      </c>
      <c r="G7" s="97" t="s">
        <v>6</v>
      </c>
      <c r="H7" s="92" t="s">
        <v>7</v>
      </c>
    </row>
    <row r="8" spans="2:8" ht="15" thickBot="1" x14ac:dyDescent="0.25">
      <c r="B8" s="41" t="s">
        <v>9</v>
      </c>
      <c r="C8" s="18" t="s">
        <v>10</v>
      </c>
      <c r="D8" s="137"/>
      <c r="E8" s="137"/>
      <c r="F8" s="137"/>
      <c r="G8" s="137"/>
      <c r="H8" s="138"/>
    </row>
    <row r="9" spans="2:8" ht="15.75" thickTop="1" thickBot="1" x14ac:dyDescent="0.25">
      <c r="B9" s="42">
        <v>0</v>
      </c>
      <c r="C9" s="43">
        <v>5000</v>
      </c>
      <c r="D9" s="44">
        <v>4863</v>
      </c>
      <c r="E9" s="45">
        <f>D3</f>
        <v>59.97</v>
      </c>
      <c r="F9" s="46">
        <v>4</v>
      </c>
      <c r="G9" s="47">
        <f>(D9*F9)/1000</f>
        <v>19.452000000000002</v>
      </c>
      <c r="H9" s="48">
        <f>E9*F9</f>
        <v>239.88</v>
      </c>
    </row>
    <row r="10" spans="2:8" ht="15" thickTop="1" x14ac:dyDescent="0.2">
      <c r="B10" s="35">
        <v>5000</v>
      </c>
      <c r="C10" s="36">
        <v>6000</v>
      </c>
      <c r="D10" s="4">
        <v>5442</v>
      </c>
      <c r="E10" s="22">
        <f t="shared" ref="E10:E14" si="0">$D$3+((D10-5000)/1000)*$D$4</f>
        <v>64.266239999999996</v>
      </c>
      <c r="F10" s="16">
        <v>0</v>
      </c>
      <c r="G10" s="13">
        <f t="shared" ref="G10:G20" si="1">(D10*F10)/1000</f>
        <v>0</v>
      </c>
      <c r="H10" s="28">
        <f t="shared" ref="H10:H20" si="2">E10*F10</f>
        <v>0</v>
      </c>
    </row>
    <row r="11" spans="2:8" x14ac:dyDescent="0.2">
      <c r="B11" s="10">
        <v>6000</v>
      </c>
      <c r="C11" s="4">
        <v>7000</v>
      </c>
      <c r="D11" s="4">
        <v>6670</v>
      </c>
      <c r="E11" s="22">
        <f t="shared" si="0"/>
        <v>76.202399999999997</v>
      </c>
      <c r="F11" s="16">
        <v>0</v>
      </c>
      <c r="G11" s="13">
        <f t="shared" si="1"/>
        <v>0</v>
      </c>
      <c r="H11" s="28">
        <f t="shared" si="2"/>
        <v>0</v>
      </c>
    </row>
    <row r="12" spans="2:8" x14ac:dyDescent="0.2">
      <c r="B12" s="10">
        <v>7000</v>
      </c>
      <c r="C12" s="4">
        <v>8000</v>
      </c>
      <c r="D12" s="4">
        <v>7350</v>
      </c>
      <c r="E12" s="22">
        <f t="shared" si="0"/>
        <v>82.811999999999998</v>
      </c>
      <c r="F12" s="16">
        <v>0</v>
      </c>
      <c r="G12" s="13">
        <f t="shared" si="1"/>
        <v>0</v>
      </c>
      <c r="H12" s="28">
        <f t="shared" si="2"/>
        <v>0</v>
      </c>
    </row>
    <row r="13" spans="2:8" x14ac:dyDescent="0.2">
      <c r="B13" s="10">
        <v>8000</v>
      </c>
      <c r="C13" s="4">
        <v>9000</v>
      </c>
      <c r="D13" s="4">
        <v>8950</v>
      </c>
      <c r="E13" s="22">
        <f t="shared" si="0"/>
        <v>98.364000000000004</v>
      </c>
      <c r="F13" s="16">
        <v>4</v>
      </c>
      <c r="G13" s="13">
        <f t="shared" si="1"/>
        <v>35.799999999999997</v>
      </c>
      <c r="H13" s="28">
        <f t="shared" si="2"/>
        <v>393.45600000000002</v>
      </c>
    </row>
    <row r="14" spans="2:8" ht="15" thickBot="1" x14ac:dyDescent="0.25">
      <c r="B14" s="17">
        <v>9000</v>
      </c>
      <c r="C14" s="37">
        <v>10000</v>
      </c>
      <c r="D14" s="4">
        <v>9818</v>
      </c>
      <c r="E14" s="22">
        <f t="shared" si="0"/>
        <v>106.80096</v>
      </c>
      <c r="F14" s="16">
        <v>0</v>
      </c>
      <c r="G14" s="13">
        <f t="shared" si="1"/>
        <v>0</v>
      </c>
      <c r="H14" s="28">
        <f t="shared" si="2"/>
        <v>0</v>
      </c>
    </row>
    <row r="15" spans="2:8" ht="15" thickTop="1" x14ac:dyDescent="0.2">
      <c r="B15" s="35">
        <v>10000</v>
      </c>
      <c r="C15" s="36">
        <v>11000</v>
      </c>
      <c r="D15" s="4">
        <v>10881</v>
      </c>
      <c r="E15" s="22">
        <f>$D$3+((10000-5000)/1000)*$D$4+((D15-10000)/1000)*$D$5</f>
        <v>116.45495</v>
      </c>
      <c r="F15" s="16">
        <v>3</v>
      </c>
      <c r="G15" s="13">
        <f t="shared" si="1"/>
        <v>32.643000000000001</v>
      </c>
      <c r="H15" s="28">
        <f t="shared" si="2"/>
        <v>349.36484999999999</v>
      </c>
    </row>
    <row r="16" spans="2:8" x14ac:dyDescent="0.2">
      <c r="B16" s="10">
        <v>11000</v>
      </c>
      <c r="C16" s="4">
        <v>12000</v>
      </c>
      <c r="D16" s="4">
        <v>11855</v>
      </c>
      <c r="E16" s="22">
        <f t="shared" ref="E16:E19" si="3">$D$3+((10000-5000)/1000)*$D$4+((D16-10000)/1000)*$D$5</f>
        <v>125.17224999999999</v>
      </c>
      <c r="F16" s="16">
        <v>0</v>
      </c>
      <c r="G16" s="13">
        <f t="shared" si="1"/>
        <v>0</v>
      </c>
      <c r="H16" s="28">
        <f t="shared" si="2"/>
        <v>0</v>
      </c>
    </row>
    <row r="17" spans="2:8" x14ac:dyDescent="0.2">
      <c r="B17" s="10">
        <v>12000</v>
      </c>
      <c r="C17" s="4">
        <v>13000</v>
      </c>
      <c r="D17" s="4">
        <v>12605</v>
      </c>
      <c r="E17" s="22">
        <f t="shared" si="3"/>
        <v>131.88475</v>
      </c>
      <c r="F17" s="16">
        <v>0</v>
      </c>
      <c r="G17" s="13">
        <f t="shared" si="1"/>
        <v>0</v>
      </c>
      <c r="H17" s="28">
        <f t="shared" si="2"/>
        <v>0</v>
      </c>
    </row>
    <row r="18" spans="2:8" x14ac:dyDescent="0.2">
      <c r="B18" s="10">
        <v>13000</v>
      </c>
      <c r="C18" s="4">
        <v>14000</v>
      </c>
      <c r="D18" s="4">
        <v>13846</v>
      </c>
      <c r="E18" s="22">
        <f t="shared" si="3"/>
        <v>142.99169999999998</v>
      </c>
      <c r="F18" s="16">
        <v>0</v>
      </c>
      <c r="G18" s="13">
        <f t="shared" si="1"/>
        <v>0</v>
      </c>
      <c r="H18" s="28">
        <f t="shared" si="2"/>
        <v>0</v>
      </c>
    </row>
    <row r="19" spans="2:8" ht="15" thickBot="1" x14ac:dyDescent="0.25">
      <c r="B19" s="17">
        <v>14000</v>
      </c>
      <c r="C19" s="37">
        <v>15000</v>
      </c>
      <c r="D19" s="4">
        <v>14567</v>
      </c>
      <c r="E19" s="22">
        <f t="shared" si="3"/>
        <v>149.44465</v>
      </c>
      <c r="F19" s="16">
        <v>0</v>
      </c>
      <c r="G19" s="13">
        <f t="shared" si="1"/>
        <v>0</v>
      </c>
      <c r="H19" s="28">
        <f t="shared" si="2"/>
        <v>0</v>
      </c>
    </row>
    <row r="20" spans="2:8" ht="15.75" thickTop="1" thickBot="1" x14ac:dyDescent="0.25">
      <c r="B20" s="38">
        <v>15000</v>
      </c>
      <c r="C20" s="39" t="s">
        <v>15</v>
      </c>
      <c r="D20" s="5">
        <v>15400</v>
      </c>
      <c r="E20" s="22">
        <f>$D$3+((10000-5000)/1000)*$D$4+((15000-10000)/1000)*$D$5+((D20-15000)/1000)*$D$6</f>
        <v>156.59199999999998</v>
      </c>
      <c r="F20" s="16">
        <v>0</v>
      </c>
      <c r="G20" s="13">
        <f t="shared" si="1"/>
        <v>0</v>
      </c>
      <c r="H20" s="28">
        <f t="shared" si="2"/>
        <v>0</v>
      </c>
    </row>
    <row r="21" spans="2:8" ht="21.75" customHeight="1" thickTop="1" thickBot="1" x14ac:dyDescent="0.25">
      <c r="B21" s="139" t="s">
        <v>14</v>
      </c>
      <c r="C21" s="140"/>
      <c r="D21" s="14"/>
      <c r="E21" s="14"/>
      <c r="F21" s="14">
        <f>SUM(F9:F20)</f>
        <v>11</v>
      </c>
      <c r="G21" s="49">
        <f>SUM(G9:G20)</f>
        <v>87.894999999999996</v>
      </c>
      <c r="H21" s="24">
        <f>SUM(H9:H20)</f>
        <v>982.70084999999995</v>
      </c>
    </row>
    <row r="22" spans="2:8" ht="15.75" thickTop="1" thickBot="1" x14ac:dyDescent="0.25">
      <c r="B22" s="6"/>
      <c r="C22" s="7"/>
      <c r="D22" s="7"/>
      <c r="E22" s="7"/>
      <c r="F22" s="7"/>
      <c r="G22" s="7"/>
      <c r="H22" s="7"/>
    </row>
    <row r="23" spans="2:8" ht="19.5" customHeight="1" thickBot="1" x14ac:dyDescent="0.25">
      <c r="B23" s="117" t="s">
        <v>49</v>
      </c>
      <c r="C23" s="118"/>
      <c r="D23" s="118"/>
      <c r="E23" s="124">
        <f>12*H21</f>
        <v>11792.410199999998</v>
      </c>
      <c r="F23" s="125"/>
      <c r="G23" s="7"/>
      <c r="H23" s="7"/>
    </row>
    <row r="24" spans="2:8" ht="15" thickBot="1" x14ac:dyDescent="0.25">
      <c r="B24" s="6"/>
      <c r="C24" s="7"/>
      <c r="D24" s="7"/>
      <c r="E24" s="7"/>
      <c r="F24" s="7"/>
      <c r="G24" s="7"/>
      <c r="H24" s="7"/>
    </row>
    <row r="25" spans="2:8" ht="18" customHeight="1" thickBot="1" x14ac:dyDescent="0.25">
      <c r="B25" s="117" t="s">
        <v>25</v>
      </c>
      <c r="C25" s="118"/>
      <c r="D25" s="118"/>
      <c r="E25" s="126">
        <f>12*G21*1000</f>
        <v>1054740</v>
      </c>
      <c r="F25" s="127"/>
      <c r="G25" s="7"/>
      <c r="H25" s="7"/>
    </row>
    <row r="26" spans="2:8" ht="15" thickBot="1" x14ac:dyDescent="0.25">
      <c r="B26" s="6"/>
      <c r="C26" s="7"/>
      <c r="D26" s="7"/>
      <c r="E26" s="7"/>
      <c r="F26" s="7"/>
      <c r="G26" s="7"/>
      <c r="H26" s="7"/>
    </row>
    <row r="27" spans="2:8" ht="19.5" customHeight="1" x14ac:dyDescent="0.2">
      <c r="B27" s="134" t="s">
        <v>31</v>
      </c>
      <c r="C27" s="135"/>
      <c r="D27" s="135"/>
      <c r="E27" s="135"/>
      <c r="F27" s="136"/>
      <c r="G27" s="7"/>
      <c r="H27" s="7"/>
    </row>
    <row r="28" spans="2:8" ht="17.25" customHeight="1" x14ac:dyDescent="0.2">
      <c r="B28" s="120" t="s">
        <v>17</v>
      </c>
      <c r="C28" s="121"/>
      <c r="D28" s="121"/>
      <c r="E28" s="141">
        <v>11</v>
      </c>
      <c r="F28" s="131"/>
      <c r="G28" s="7"/>
      <c r="H28" s="7"/>
    </row>
    <row r="29" spans="2:8" ht="16.5" customHeight="1" x14ac:dyDescent="0.2">
      <c r="B29" s="119" t="s">
        <v>19</v>
      </c>
      <c r="C29" s="108"/>
      <c r="D29" s="108"/>
      <c r="E29" s="128">
        <f>E23</f>
        <v>11792.410199999998</v>
      </c>
      <c r="F29" s="129"/>
      <c r="G29" s="7"/>
      <c r="H29" s="7"/>
    </row>
    <row r="30" spans="2:8" ht="17.25" customHeight="1" x14ac:dyDescent="0.2">
      <c r="B30" s="119" t="s">
        <v>20</v>
      </c>
      <c r="C30" s="108"/>
      <c r="D30" s="108"/>
      <c r="E30" s="128">
        <f>H21/F21</f>
        <v>89.336440909090911</v>
      </c>
      <c r="F30" s="129"/>
      <c r="G30" s="7"/>
      <c r="H30" s="7"/>
    </row>
    <row r="31" spans="2:8" ht="18" customHeight="1" thickBot="1" x14ac:dyDescent="0.25">
      <c r="B31" s="122" t="s">
        <v>21</v>
      </c>
      <c r="C31" s="123"/>
      <c r="D31" s="123"/>
      <c r="E31" s="132">
        <f>(G21/F21)*1000</f>
        <v>7990.454545454545</v>
      </c>
      <c r="F31" s="133"/>
      <c r="G31" s="7"/>
      <c r="H31" s="7"/>
    </row>
    <row r="32" spans="2:8" x14ac:dyDescent="0.2">
      <c r="B32" s="7"/>
      <c r="C32" s="7"/>
      <c r="D32" s="7"/>
      <c r="E32" s="7"/>
      <c r="F32" s="7"/>
      <c r="G32" s="7"/>
      <c r="H32" s="7"/>
    </row>
    <row r="33" spans="2:8" x14ac:dyDescent="0.2">
      <c r="B33" s="7"/>
      <c r="C33" s="7"/>
      <c r="D33" s="7"/>
      <c r="E33" s="7"/>
      <c r="F33" s="7"/>
      <c r="G33" s="7"/>
      <c r="H33" s="7"/>
    </row>
    <row r="34" spans="2:8" x14ac:dyDescent="0.2">
      <c r="B34" s="7"/>
      <c r="C34" s="7"/>
      <c r="D34" s="7"/>
      <c r="E34" s="7"/>
      <c r="F34" s="7"/>
      <c r="G34" s="7"/>
      <c r="H34" s="7"/>
    </row>
    <row r="35" spans="2:8" x14ac:dyDescent="0.2">
      <c r="B35" s="7"/>
      <c r="C35" s="7"/>
      <c r="D35" s="7"/>
      <c r="E35" s="7"/>
      <c r="F35" s="7"/>
      <c r="G35" s="7"/>
      <c r="H35" s="7"/>
    </row>
    <row r="36" spans="2:8" x14ac:dyDescent="0.2">
      <c r="B36" s="7"/>
      <c r="C36" s="7"/>
      <c r="D36" s="7"/>
      <c r="E36" s="7"/>
      <c r="F36" s="7"/>
      <c r="G36" s="7"/>
      <c r="H36" s="7"/>
    </row>
    <row r="37" spans="2:8" x14ac:dyDescent="0.2">
      <c r="B37" s="7"/>
      <c r="C37" s="7"/>
      <c r="D37" s="7"/>
      <c r="E37" s="7"/>
      <c r="F37" s="7"/>
      <c r="G37" s="7"/>
      <c r="H37" s="7"/>
    </row>
    <row r="38" spans="2:8" x14ac:dyDescent="0.2">
      <c r="B38" s="7"/>
      <c r="C38" s="7"/>
      <c r="D38" s="7"/>
      <c r="E38" s="7"/>
      <c r="F38" s="7"/>
      <c r="G38" s="7"/>
      <c r="H38" s="7"/>
    </row>
    <row r="39" spans="2:8" x14ac:dyDescent="0.2">
      <c r="B39" s="7"/>
      <c r="C39" s="7"/>
      <c r="D39" s="7"/>
      <c r="E39" s="7"/>
      <c r="F39" s="7"/>
      <c r="G39" s="7"/>
      <c r="H39" s="7"/>
    </row>
    <row r="40" spans="2:8" x14ac:dyDescent="0.2">
      <c r="B40" s="7"/>
      <c r="C40" s="7"/>
      <c r="D40" s="7"/>
      <c r="E40" s="7"/>
      <c r="F40" s="7"/>
      <c r="G40" s="7"/>
      <c r="H40" s="7"/>
    </row>
    <row r="41" spans="2:8" x14ac:dyDescent="0.2">
      <c r="B41" s="7"/>
      <c r="C41" s="7"/>
      <c r="D41" s="7"/>
      <c r="E41" s="7"/>
      <c r="F41" s="7"/>
      <c r="G41" s="7"/>
      <c r="H41" s="7"/>
    </row>
  </sheetData>
  <mergeCells count="29">
    <mergeCell ref="B25:D25"/>
    <mergeCell ref="E25:F25"/>
    <mergeCell ref="B31:D31"/>
    <mergeCell ref="E31:F31"/>
    <mergeCell ref="B27:F27"/>
    <mergeCell ref="B28:D28"/>
    <mergeCell ref="E28:F28"/>
    <mergeCell ref="B29:D29"/>
    <mergeCell ref="E29:F29"/>
    <mergeCell ref="B30:D30"/>
    <mergeCell ref="E30:F30"/>
    <mergeCell ref="H7:H8"/>
    <mergeCell ref="E7:E8"/>
    <mergeCell ref="B21:C21"/>
    <mergeCell ref="B23:D23"/>
    <mergeCell ref="E23:F23"/>
    <mergeCell ref="B5:C5"/>
    <mergeCell ref="E5:G5"/>
    <mergeCell ref="B6:C6"/>
    <mergeCell ref="E6:G6"/>
    <mergeCell ref="B7:C7"/>
    <mergeCell ref="D7:D8"/>
    <mergeCell ref="F7:F8"/>
    <mergeCell ref="G7:G8"/>
    <mergeCell ref="B2:H2"/>
    <mergeCell ref="B3:C3"/>
    <mergeCell ref="E3:G3"/>
    <mergeCell ref="B4:C4"/>
    <mergeCell ref="E4:G4"/>
  </mergeCells>
  <pageMargins left="0.45" right="0.45" top="0.75" bottom="0.75" header="0.3" footer="0.3"/>
  <pageSetup orientation="portrait" r:id="rId1"/>
  <headerFooter>
    <oddFooter>&amp;L&amp;9&amp;Z&amp;F&amp;A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FC483-ACE1-48FC-ADCA-1470DEF37CEC}">
  <dimension ref="B1:H30"/>
  <sheetViews>
    <sheetView zoomScale="110" zoomScaleNormal="110" workbookViewId="0">
      <selection activeCell="G23" sqref="G23"/>
    </sheetView>
  </sheetViews>
  <sheetFormatPr defaultRowHeight="14.25" x14ac:dyDescent="0.2"/>
  <cols>
    <col min="1" max="1" width="2.875" customWidth="1"/>
    <col min="2" max="2" width="10.75" customWidth="1"/>
    <col min="3" max="3" width="9.875" customWidth="1"/>
    <col min="4" max="5" width="12.25" customWidth="1"/>
    <col min="6" max="6" width="10.875" customWidth="1"/>
    <col min="7" max="7" width="11.75" customWidth="1"/>
    <col min="8" max="8" width="12.375" customWidth="1"/>
  </cols>
  <sheetData>
    <row r="1" spans="2:8" ht="40.5" customHeight="1" thickBot="1" x14ac:dyDescent="0.25">
      <c r="B1" s="33" t="s">
        <v>37</v>
      </c>
      <c r="C1" s="1"/>
      <c r="D1" s="1"/>
      <c r="E1" s="1"/>
      <c r="F1" s="1"/>
      <c r="G1" s="1"/>
      <c r="H1" s="1"/>
    </row>
    <row r="2" spans="2:8" ht="33" customHeight="1" thickTop="1" thickBot="1" x14ac:dyDescent="0.25">
      <c r="B2" s="102" t="s">
        <v>50</v>
      </c>
      <c r="C2" s="103"/>
      <c r="D2" s="103"/>
      <c r="E2" s="103"/>
      <c r="F2" s="103"/>
      <c r="G2" s="103"/>
      <c r="H2" s="104"/>
    </row>
    <row r="3" spans="2:8" ht="17.25" customHeight="1" thickTop="1" x14ac:dyDescent="0.2">
      <c r="B3" s="105" t="s">
        <v>22</v>
      </c>
      <c r="C3" s="106"/>
      <c r="D3" s="2">
        <v>152.06</v>
      </c>
      <c r="E3" s="109" t="s">
        <v>12</v>
      </c>
      <c r="F3" s="110"/>
      <c r="G3" s="111"/>
      <c r="H3" s="12" t="s">
        <v>27</v>
      </c>
    </row>
    <row r="4" spans="2:8" ht="18" customHeight="1" thickBot="1" x14ac:dyDescent="0.25">
      <c r="B4" s="94" t="s">
        <v>4</v>
      </c>
      <c r="C4" s="95"/>
      <c r="D4" s="27">
        <v>8.18</v>
      </c>
      <c r="E4" s="99" t="s">
        <v>13</v>
      </c>
      <c r="F4" s="100"/>
      <c r="G4" s="101"/>
      <c r="H4" s="34">
        <v>43374</v>
      </c>
    </row>
    <row r="5" spans="2:8" ht="55.5" customHeight="1" thickTop="1" x14ac:dyDescent="0.2">
      <c r="B5" s="96" t="s">
        <v>11</v>
      </c>
      <c r="C5" s="97"/>
      <c r="D5" s="142" t="s">
        <v>8</v>
      </c>
      <c r="E5" s="97" t="s">
        <v>24</v>
      </c>
      <c r="F5" s="142" t="s">
        <v>5</v>
      </c>
      <c r="G5" s="142" t="s">
        <v>6</v>
      </c>
      <c r="H5" s="144" t="s">
        <v>7</v>
      </c>
    </row>
    <row r="6" spans="2:8" ht="15" thickBot="1" x14ac:dyDescent="0.25">
      <c r="B6" s="9" t="s">
        <v>9</v>
      </c>
      <c r="C6" s="16" t="s">
        <v>10</v>
      </c>
      <c r="D6" s="143"/>
      <c r="E6" s="137"/>
      <c r="F6" s="143"/>
      <c r="G6" s="143"/>
      <c r="H6" s="145"/>
    </row>
    <row r="7" spans="2:8" ht="15.75" thickTop="1" thickBot="1" x14ac:dyDescent="0.25">
      <c r="B7" s="17">
        <v>0</v>
      </c>
      <c r="C7" s="4">
        <v>15000</v>
      </c>
      <c r="D7" s="4">
        <v>14750</v>
      </c>
      <c r="E7" s="22">
        <f>D3</f>
        <v>152.06</v>
      </c>
      <c r="F7" s="16">
        <v>2</v>
      </c>
      <c r="G7" s="13">
        <f>(D7*F7)/1000</f>
        <v>29.5</v>
      </c>
      <c r="H7" s="28">
        <f>E7*F7</f>
        <v>304.12</v>
      </c>
    </row>
    <row r="8" spans="2:8" ht="15" thickTop="1" x14ac:dyDescent="0.2">
      <c r="B8" s="38">
        <v>15000</v>
      </c>
      <c r="C8" s="4" t="s">
        <v>15</v>
      </c>
      <c r="D8" s="4">
        <v>58652</v>
      </c>
      <c r="E8" s="22">
        <f>$D$3+((D8-15000)/1000)*$D$4</f>
        <v>509.13335999999998</v>
      </c>
      <c r="F8" s="19">
        <v>1</v>
      </c>
      <c r="G8" s="13">
        <f>(D8*F8)/1000</f>
        <v>58.652000000000001</v>
      </c>
      <c r="H8" s="28">
        <f>E8*F8</f>
        <v>509.13335999999998</v>
      </c>
    </row>
    <row r="9" spans="2:8" ht="15" thickBot="1" x14ac:dyDescent="0.25">
      <c r="B9" s="35">
        <v>15000</v>
      </c>
      <c r="C9" s="4" t="s">
        <v>15</v>
      </c>
      <c r="D9" s="4">
        <v>100100</v>
      </c>
      <c r="E9" s="22">
        <f>$D$3+((D9-15000)/1000)*$D$4</f>
        <v>848.17799999999988</v>
      </c>
      <c r="F9" s="16">
        <v>4</v>
      </c>
      <c r="G9" s="13">
        <f>(D9*F9)/1000</f>
        <v>400.4</v>
      </c>
      <c r="H9" s="28">
        <f>E9*F9</f>
        <v>3392.7119999999995</v>
      </c>
    </row>
    <row r="10" spans="2:8" ht="21.75" customHeight="1" thickTop="1" thickBot="1" x14ac:dyDescent="0.25">
      <c r="B10" s="139" t="s">
        <v>14</v>
      </c>
      <c r="C10" s="140"/>
      <c r="D10" s="14"/>
      <c r="E10" s="14"/>
      <c r="F10" s="14">
        <f>SUM(F7:F9)</f>
        <v>7</v>
      </c>
      <c r="G10" s="14">
        <f>SUM(G7:G9)</f>
        <v>488.55199999999996</v>
      </c>
      <c r="H10" s="24">
        <f>SUM(H7:H9)</f>
        <v>4205.9653599999992</v>
      </c>
    </row>
    <row r="11" spans="2:8" ht="15.75" thickTop="1" thickBot="1" x14ac:dyDescent="0.25">
      <c r="B11" s="6"/>
      <c r="C11" s="7"/>
      <c r="D11" s="7"/>
      <c r="E11" s="7"/>
      <c r="F11" s="7"/>
      <c r="G11" s="7"/>
      <c r="H11" s="7"/>
    </row>
    <row r="12" spans="2:8" ht="19.5" customHeight="1" thickBot="1" x14ac:dyDescent="0.25">
      <c r="B12" s="117" t="s">
        <v>16</v>
      </c>
      <c r="C12" s="118"/>
      <c r="D12" s="118"/>
      <c r="E12" s="124">
        <f>12*H10</f>
        <v>50471.584319999994</v>
      </c>
      <c r="F12" s="125"/>
      <c r="G12" s="7"/>
      <c r="H12" s="7"/>
    </row>
    <row r="13" spans="2:8" ht="15" thickBot="1" x14ac:dyDescent="0.25">
      <c r="B13" s="6"/>
      <c r="C13" s="7"/>
      <c r="D13" s="7"/>
      <c r="E13" s="7"/>
      <c r="F13" s="7"/>
      <c r="G13" s="7"/>
      <c r="H13" s="7"/>
    </row>
    <row r="14" spans="2:8" ht="18" customHeight="1" thickBot="1" x14ac:dyDescent="0.25">
      <c r="B14" s="117" t="s">
        <v>25</v>
      </c>
      <c r="C14" s="118"/>
      <c r="D14" s="118"/>
      <c r="E14" s="126">
        <f>12*G10*1000</f>
        <v>5862624</v>
      </c>
      <c r="F14" s="127"/>
      <c r="G14" s="7"/>
      <c r="H14" s="7"/>
    </row>
    <row r="15" spans="2:8" ht="15" thickBot="1" x14ac:dyDescent="0.25">
      <c r="B15" s="6"/>
      <c r="C15" s="7"/>
      <c r="D15" s="7"/>
      <c r="E15" s="7"/>
      <c r="F15" s="7"/>
      <c r="G15" s="7"/>
      <c r="H15" s="7"/>
    </row>
    <row r="16" spans="2:8" ht="19.5" customHeight="1" x14ac:dyDescent="0.2">
      <c r="B16" s="134" t="s">
        <v>32</v>
      </c>
      <c r="C16" s="135"/>
      <c r="D16" s="135"/>
      <c r="E16" s="135"/>
      <c r="F16" s="136"/>
      <c r="G16" s="7"/>
      <c r="H16" s="7"/>
    </row>
    <row r="17" spans="2:8" ht="17.25" customHeight="1" thickBot="1" x14ac:dyDescent="0.25">
      <c r="B17" s="120" t="s">
        <v>17</v>
      </c>
      <c r="C17" s="121"/>
      <c r="D17" s="121"/>
      <c r="E17" s="141">
        <v>7</v>
      </c>
      <c r="F17" s="131"/>
      <c r="G17" s="7"/>
      <c r="H17" s="7"/>
    </row>
    <row r="18" spans="2:8" ht="16.5" customHeight="1" thickBot="1" x14ac:dyDescent="0.25">
      <c r="B18" s="119" t="s">
        <v>19</v>
      </c>
      <c r="C18" s="108"/>
      <c r="D18" s="108"/>
      <c r="E18" s="124">
        <f>E12</f>
        <v>50471.584319999994</v>
      </c>
      <c r="F18" s="125"/>
      <c r="G18" s="7"/>
      <c r="H18" s="7"/>
    </row>
    <row r="19" spans="2:8" ht="17.25" customHeight="1" x14ac:dyDescent="0.2">
      <c r="B19" s="119" t="s">
        <v>20</v>
      </c>
      <c r="C19" s="108"/>
      <c r="D19" s="108"/>
      <c r="E19" s="128">
        <f>H10/F10</f>
        <v>600.85219428571418</v>
      </c>
      <c r="F19" s="129"/>
      <c r="G19" s="7"/>
      <c r="H19" s="7"/>
    </row>
    <row r="20" spans="2:8" ht="18" customHeight="1" thickBot="1" x14ac:dyDescent="0.25">
      <c r="B20" s="122" t="s">
        <v>21</v>
      </c>
      <c r="C20" s="123"/>
      <c r="D20" s="123"/>
      <c r="E20" s="132">
        <f>(G10*1000/F10)</f>
        <v>69793.142857142855</v>
      </c>
      <c r="F20" s="133"/>
      <c r="G20" s="7"/>
      <c r="H20" s="7"/>
    </row>
    <row r="21" spans="2:8" x14ac:dyDescent="0.2">
      <c r="B21" s="7"/>
      <c r="C21" s="7"/>
      <c r="D21" s="7"/>
      <c r="E21" s="7"/>
      <c r="F21" s="7"/>
      <c r="G21" s="7"/>
      <c r="H21" s="7"/>
    </row>
    <row r="22" spans="2:8" x14ac:dyDescent="0.2">
      <c r="B22" s="7"/>
      <c r="C22" s="7"/>
      <c r="D22" s="7"/>
      <c r="E22" s="7"/>
      <c r="F22" s="7"/>
      <c r="G22" s="7"/>
      <c r="H22" s="7"/>
    </row>
    <row r="23" spans="2:8" x14ac:dyDescent="0.2">
      <c r="B23" s="7"/>
      <c r="C23" s="7"/>
      <c r="D23" s="7"/>
      <c r="E23" s="7"/>
      <c r="F23" s="7"/>
      <c r="G23" s="7"/>
      <c r="H23" s="7"/>
    </row>
    <row r="24" spans="2:8" x14ac:dyDescent="0.2">
      <c r="B24" s="7"/>
      <c r="C24" s="7"/>
      <c r="D24" s="7"/>
      <c r="E24" s="7"/>
      <c r="F24" s="7"/>
      <c r="G24" s="7"/>
      <c r="H24" s="7"/>
    </row>
    <row r="25" spans="2:8" x14ac:dyDescent="0.2">
      <c r="B25" s="7"/>
      <c r="C25" s="7"/>
      <c r="D25" s="7"/>
      <c r="E25" s="7"/>
      <c r="F25" s="7"/>
      <c r="G25" s="7"/>
      <c r="H25" s="7"/>
    </row>
    <row r="26" spans="2:8" x14ac:dyDescent="0.2">
      <c r="B26" s="7"/>
      <c r="C26" s="7"/>
      <c r="D26" s="7"/>
      <c r="E26" s="7"/>
      <c r="F26" s="7"/>
      <c r="G26" s="7"/>
      <c r="H26" s="7"/>
    </row>
    <row r="27" spans="2:8" x14ac:dyDescent="0.2">
      <c r="B27" s="7"/>
      <c r="C27" s="7"/>
      <c r="D27" s="7"/>
      <c r="E27" s="7"/>
      <c r="F27" s="7"/>
      <c r="G27" s="7"/>
      <c r="H27" s="7"/>
    </row>
    <row r="28" spans="2:8" x14ac:dyDescent="0.2">
      <c r="B28" s="7"/>
      <c r="C28" s="7"/>
      <c r="D28" s="7"/>
      <c r="E28" s="7"/>
      <c r="F28" s="7"/>
      <c r="G28" s="7"/>
      <c r="H28" s="7"/>
    </row>
    <row r="29" spans="2:8" x14ac:dyDescent="0.2">
      <c r="B29" s="7"/>
      <c r="C29" s="7"/>
      <c r="D29" s="7"/>
      <c r="E29" s="7"/>
      <c r="F29" s="7"/>
      <c r="G29" s="7"/>
      <c r="H29" s="7"/>
    </row>
    <row r="30" spans="2:8" x14ac:dyDescent="0.2">
      <c r="B30" s="7"/>
      <c r="C30" s="7"/>
      <c r="D30" s="7"/>
      <c r="E30" s="7"/>
      <c r="F30" s="7"/>
      <c r="G30" s="7"/>
      <c r="H30" s="7"/>
    </row>
  </sheetData>
  <mergeCells count="25">
    <mergeCell ref="B20:D20"/>
    <mergeCell ref="E20:F20"/>
    <mergeCell ref="B16:F16"/>
    <mergeCell ref="B17:D17"/>
    <mergeCell ref="E17:F17"/>
    <mergeCell ref="B18:D18"/>
    <mergeCell ref="E18:F18"/>
    <mergeCell ref="B19:D19"/>
    <mergeCell ref="E19:F19"/>
    <mergeCell ref="B5:C5"/>
    <mergeCell ref="D5:D6"/>
    <mergeCell ref="F5:F6"/>
    <mergeCell ref="G5:G6"/>
    <mergeCell ref="H5:H6"/>
    <mergeCell ref="E5:E6"/>
    <mergeCell ref="B10:C10"/>
    <mergeCell ref="B12:D12"/>
    <mergeCell ref="E12:F12"/>
    <mergeCell ref="B14:D14"/>
    <mergeCell ref="E14:F14"/>
    <mergeCell ref="B2:H2"/>
    <mergeCell ref="B3:C3"/>
    <mergeCell ref="E3:G3"/>
    <mergeCell ref="B4:C4"/>
    <mergeCell ref="E4:G4"/>
  </mergeCells>
  <pageMargins left="0.7" right="0.7" top="0.75" bottom="0.75" header="0.3" footer="0.3"/>
  <pageSetup orientation="portrait" r:id="rId1"/>
  <headerFooter>
    <oddFooter>&amp;L&amp;9&amp;Z&amp;F&amp;A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CF2E2-8F7A-452B-99DA-A0CEF1B8AC9E}">
  <dimension ref="B1:H39"/>
  <sheetViews>
    <sheetView topLeftCell="A4" workbookViewId="0">
      <selection activeCell="B25" sqref="B25:F25"/>
    </sheetView>
  </sheetViews>
  <sheetFormatPr defaultRowHeight="14.25" x14ac:dyDescent="0.2"/>
  <cols>
    <col min="1" max="1" width="2.875" customWidth="1"/>
    <col min="2" max="2" width="10.75" customWidth="1"/>
    <col min="3" max="3" width="9.875" customWidth="1"/>
    <col min="4" max="4" width="12.25" customWidth="1"/>
    <col min="5" max="5" width="10.5" customWidth="1"/>
    <col min="6" max="6" width="10.875" customWidth="1"/>
    <col min="7" max="7" width="11.75" customWidth="1"/>
    <col min="8" max="8" width="11.375" customWidth="1"/>
  </cols>
  <sheetData>
    <row r="1" spans="2:8" ht="40.5" customHeight="1" thickBot="1" x14ac:dyDescent="0.25">
      <c r="B1" s="33" t="s">
        <v>37</v>
      </c>
      <c r="C1" s="1"/>
      <c r="D1" s="1"/>
      <c r="E1" s="1"/>
      <c r="F1" s="1"/>
      <c r="G1" s="1"/>
      <c r="H1" s="1"/>
    </row>
    <row r="2" spans="2:8" ht="33" customHeight="1" thickTop="1" thickBot="1" x14ac:dyDescent="0.25">
      <c r="B2" s="102" t="s">
        <v>51</v>
      </c>
      <c r="C2" s="103"/>
      <c r="D2" s="103"/>
      <c r="E2" s="103"/>
      <c r="F2" s="103"/>
      <c r="G2" s="103"/>
      <c r="H2" s="104"/>
    </row>
    <row r="3" spans="2:8" ht="17.25" customHeight="1" thickTop="1" x14ac:dyDescent="0.2">
      <c r="B3" s="105" t="s">
        <v>23</v>
      </c>
      <c r="C3" s="106"/>
      <c r="D3" s="69">
        <v>848.86</v>
      </c>
      <c r="E3" s="106" t="s">
        <v>12</v>
      </c>
      <c r="F3" s="106"/>
      <c r="G3" s="106"/>
      <c r="H3" s="11" t="s">
        <v>27</v>
      </c>
    </row>
    <row r="4" spans="2:8" ht="18" customHeight="1" thickBot="1" x14ac:dyDescent="0.25">
      <c r="B4" s="146" t="s">
        <v>4</v>
      </c>
      <c r="C4" s="147"/>
      <c r="D4" s="70">
        <v>8.18</v>
      </c>
      <c r="E4" s="148" t="s">
        <v>13</v>
      </c>
      <c r="F4" s="148"/>
      <c r="G4" s="148"/>
      <c r="H4" s="71">
        <v>43374</v>
      </c>
    </row>
    <row r="5" spans="2:8" ht="55.5" customHeight="1" thickTop="1" x14ac:dyDescent="0.2">
      <c r="B5" s="96" t="s">
        <v>11</v>
      </c>
      <c r="C5" s="97"/>
      <c r="D5" s="97" t="s">
        <v>8</v>
      </c>
      <c r="E5" s="97" t="s">
        <v>24</v>
      </c>
      <c r="F5" s="97" t="s">
        <v>5</v>
      </c>
      <c r="G5" s="97" t="s">
        <v>6</v>
      </c>
      <c r="H5" s="92" t="s">
        <v>7</v>
      </c>
    </row>
    <row r="6" spans="2:8" x14ac:dyDescent="0.2">
      <c r="B6" s="9" t="s">
        <v>9</v>
      </c>
      <c r="C6" s="19" t="s">
        <v>10</v>
      </c>
      <c r="D6" s="98"/>
      <c r="E6" s="98"/>
      <c r="F6" s="98"/>
      <c r="G6" s="98"/>
      <c r="H6" s="93"/>
    </row>
    <row r="7" spans="2:8" x14ac:dyDescent="0.2">
      <c r="B7" s="10">
        <v>0</v>
      </c>
      <c r="C7" s="4">
        <v>100000</v>
      </c>
      <c r="D7" s="4">
        <v>97260</v>
      </c>
      <c r="E7" s="50">
        <f>$D$3</f>
        <v>848.86</v>
      </c>
      <c r="F7" s="19">
        <v>0</v>
      </c>
      <c r="G7" s="13">
        <f>D7*F7</f>
        <v>0</v>
      </c>
      <c r="H7" s="72">
        <f>E7*F7</f>
        <v>0</v>
      </c>
    </row>
    <row r="8" spans="2:8" x14ac:dyDescent="0.2">
      <c r="B8" s="10">
        <v>100000</v>
      </c>
      <c r="C8" s="4">
        <v>120000</v>
      </c>
      <c r="D8" s="4">
        <v>108834</v>
      </c>
      <c r="E8" s="22">
        <f>$D$3+((D8-100000)/1000)*$D$4</f>
        <v>921.12212</v>
      </c>
      <c r="F8" s="19">
        <v>0</v>
      </c>
      <c r="G8" s="13">
        <f t="shared" ref="G8:G18" si="0">D8*F8</f>
        <v>0</v>
      </c>
      <c r="H8" s="72">
        <f t="shared" ref="H8:H18" si="1">E8*F8</f>
        <v>0</v>
      </c>
    </row>
    <row r="9" spans="2:8" x14ac:dyDescent="0.2">
      <c r="B9" s="10">
        <v>120000</v>
      </c>
      <c r="C9" s="4">
        <v>140000</v>
      </c>
      <c r="D9" s="4">
        <v>133400</v>
      </c>
      <c r="E9" s="22">
        <f t="shared" ref="E9:E18" si="2">$D$3+((D9-100000)/1000)*$D$4</f>
        <v>1122.0720000000001</v>
      </c>
      <c r="F9" s="19">
        <v>0</v>
      </c>
      <c r="G9" s="13">
        <f t="shared" si="0"/>
        <v>0</v>
      </c>
      <c r="H9" s="72">
        <f t="shared" si="1"/>
        <v>0</v>
      </c>
    </row>
    <row r="10" spans="2:8" x14ac:dyDescent="0.2">
      <c r="B10" s="10">
        <v>140000</v>
      </c>
      <c r="C10" s="4">
        <v>160000</v>
      </c>
      <c r="D10" s="4">
        <v>143859</v>
      </c>
      <c r="E10" s="22">
        <f t="shared" si="2"/>
        <v>1207.62662</v>
      </c>
      <c r="F10" s="19">
        <v>0</v>
      </c>
      <c r="G10" s="13">
        <f t="shared" si="0"/>
        <v>0</v>
      </c>
      <c r="H10" s="72">
        <f t="shared" si="1"/>
        <v>0</v>
      </c>
    </row>
    <row r="11" spans="2:8" x14ac:dyDescent="0.2">
      <c r="B11" s="10">
        <v>160000</v>
      </c>
      <c r="C11" s="4">
        <v>180000</v>
      </c>
      <c r="D11" s="4">
        <v>179000</v>
      </c>
      <c r="E11" s="22">
        <f t="shared" si="2"/>
        <v>1495.08</v>
      </c>
      <c r="F11" s="19">
        <v>1</v>
      </c>
      <c r="G11" s="13">
        <f>(D11/1000)*F11</f>
        <v>179</v>
      </c>
      <c r="H11" s="72">
        <f t="shared" si="1"/>
        <v>1495.08</v>
      </c>
    </row>
    <row r="12" spans="2:8" x14ac:dyDescent="0.2">
      <c r="B12" s="10">
        <v>180000</v>
      </c>
      <c r="C12" s="4">
        <v>200000</v>
      </c>
      <c r="D12" s="4">
        <v>196360</v>
      </c>
      <c r="E12" s="22">
        <f t="shared" si="2"/>
        <v>1637.0848000000001</v>
      </c>
      <c r="F12" s="19">
        <v>0</v>
      </c>
      <c r="G12" s="13">
        <f t="shared" si="0"/>
        <v>0</v>
      </c>
      <c r="H12" s="72">
        <f t="shared" si="1"/>
        <v>0</v>
      </c>
    </row>
    <row r="13" spans="2:8" x14ac:dyDescent="0.2">
      <c r="B13" s="10">
        <v>200000</v>
      </c>
      <c r="C13" s="4">
        <v>220000</v>
      </c>
      <c r="D13" s="4">
        <v>217620</v>
      </c>
      <c r="E13" s="22">
        <f t="shared" si="2"/>
        <v>1810.9916000000001</v>
      </c>
      <c r="F13" s="19">
        <v>0</v>
      </c>
      <c r="G13" s="13">
        <f t="shared" si="0"/>
        <v>0</v>
      </c>
      <c r="H13" s="72">
        <f t="shared" si="1"/>
        <v>0</v>
      </c>
    </row>
    <row r="14" spans="2:8" x14ac:dyDescent="0.2">
      <c r="B14" s="10">
        <v>220000</v>
      </c>
      <c r="C14" s="4">
        <v>240000</v>
      </c>
      <c r="D14" s="4">
        <v>237106</v>
      </c>
      <c r="E14" s="22">
        <f t="shared" si="2"/>
        <v>1970.38708</v>
      </c>
      <c r="F14" s="19">
        <v>0</v>
      </c>
      <c r="G14" s="13">
        <f t="shared" si="0"/>
        <v>0</v>
      </c>
      <c r="H14" s="72">
        <f t="shared" si="1"/>
        <v>0</v>
      </c>
    </row>
    <row r="15" spans="2:8" x14ac:dyDescent="0.2">
      <c r="B15" s="10">
        <v>240000</v>
      </c>
      <c r="C15" s="4">
        <v>260000</v>
      </c>
      <c r="D15" s="4">
        <v>267500</v>
      </c>
      <c r="E15" s="22">
        <f t="shared" si="2"/>
        <v>2219.0099999999998</v>
      </c>
      <c r="F15" s="19">
        <v>0</v>
      </c>
      <c r="G15" s="13">
        <f t="shared" si="0"/>
        <v>0</v>
      </c>
      <c r="H15" s="72">
        <f t="shared" si="1"/>
        <v>0</v>
      </c>
    </row>
    <row r="16" spans="2:8" x14ac:dyDescent="0.2">
      <c r="B16" s="10">
        <v>260000</v>
      </c>
      <c r="C16" s="4">
        <v>280000</v>
      </c>
      <c r="D16" s="4">
        <v>28500</v>
      </c>
      <c r="E16" s="22">
        <f t="shared" si="2"/>
        <v>263.99</v>
      </c>
      <c r="F16" s="19">
        <v>0</v>
      </c>
      <c r="G16" s="13">
        <f t="shared" si="0"/>
        <v>0</v>
      </c>
      <c r="H16" s="72">
        <f t="shared" si="1"/>
        <v>0</v>
      </c>
    </row>
    <row r="17" spans="2:8" x14ac:dyDescent="0.2">
      <c r="B17" s="10">
        <v>280000</v>
      </c>
      <c r="C17" s="4">
        <v>300000</v>
      </c>
      <c r="D17" s="4">
        <v>291340</v>
      </c>
      <c r="E17" s="22">
        <f t="shared" si="2"/>
        <v>2414.0212000000001</v>
      </c>
      <c r="F17" s="19">
        <v>0</v>
      </c>
      <c r="G17" s="13">
        <f t="shared" si="0"/>
        <v>0</v>
      </c>
      <c r="H17" s="72">
        <f t="shared" si="1"/>
        <v>0</v>
      </c>
    </row>
    <row r="18" spans="2:8" x14ac:dyDescent="0.2">
      <c r="B18" s="10">
        <v>300000</v>
      </c>
      <c r="C18" s="4" t="s">
        <v>15</v>
      </c>
      <c r="D18" s="4">
        <v>300000</v>
      </c>
      <c r="E18" s="22">
        <f t="shared" si="2"/>
        <v>2484.86</v>
      </c>
      <c r="F18" s="19">
        <v>0</v>
      </c>
      <c r="G18" s="13">
        <f t="shared" si="0"/>
        <v>0</v>
      </c>
      <c r="H18" s="72">
        <f t="shared" si="1"/>
        <v>0</v>
      </c>
    </row>
    <row r="19" spans="2:8" ht="21.75" customHeight="1" thickBot="1" x14ac:dyDescent="0.25">
      <c r="B19" s="115" t="s">
        <v>14</v>
      </c>
      <c r="C19" s="116"/>
      <c r="D19" s="29"/>
      <c r="E19" s="29"/>
      <c r="F19" s="29">
        <f>SUM(F7:F18)</f>
        <v>1</v>
      </c>
      <c r="G19" s="73">
        <f>SUM(G7:G18)</f>
        <v>179</v>
      </c>
      <c r="H19" s="74">
        <f>SUM(H7:H18)</f>
        <v>1495.08</v>
      </c>
    </row>
    <row r="20" spans="2:8" ht="15.75" thickTop="1" thickBot="1" x14ac:dyDescent="0.25">
      <c r="B20" s="6"/>
      <c r="C20" s="7"/>
      <c r="D20" s="7"/>
      <c r="E20" s="7"/>
      <c r="F20" s="7"/>
      <c r="G20" s="7"/>
      <c r="H20" s="7"/>
    </row>
    <row r="21" spans="2:8" ht="19.5" customHeight="1" thickBot="1" x14ac:dyDescent="0.25">
      <c r="B21" s="117" t="s">
        <v>16</v>
      </c>
      <c r="C21" s="118"/>
      <c r="D21" s="118"/>
      <c r="E21" s="124">
        <f>12*H19</f>
        <v>17940.96</v>
      </c>
      <c r="F21" s="125"/>
      <c r="G21" s="7"/>
      <c r="H21" s="7"/>
    </row>
    <row r="22" spans="2:8" ht="15" thickBot="1" x14ac:dyDescent="0.25">
      <c r="B22" s="6"/>
      <c r="C22" s="7"/>
      <c r="D22" s="7"/>
      <c r="E22" s="7"/>
      <c r="F22" s="7"/>
      <c r="G22" s="7"/>
      <c r="H22" s="7"/>
    </row>
    <row r="23" spans="2:8" ht="18" customHeight="1" thickBot="1" x14ac:dyDescent="0.25">
      <c r="B23" s="117" t="s">
        <v>25</v>
      </c>
      <c r="C23" s="118"/>
      <c r="D23" s="118"/>
      <c r="E23" s="126">
        <f>12*(G19*1000)</f>
        <v>2148000</v>
      </c>
      <c r="F23" s="127"/>
      <c r="G23" s="7"/>
      <c r="H23" s="7"/>
    </row>
    <row r="24" spans="2:8" ht="15" thickBot="1" x14ac:dyDescent="0.25">
      <c r="B24" s="6"/>
      <c r="C24" s="7"/>
      <c r="D24" s="7"/>
      <c r="E24" s="7"/>
      <c r="F24" s="7"/>
      <c r="G24" s="7"/>
      <c r="H24" s="7"/>
    </row>
    <row r="25" spans="2:8" ht="19.5" customHeight="1" x14ac:dyDescent="0.2">
      <c r="B25" s="134" t="s">
        <v>33</v>
      </c>
      <c r="C25" s="135"/>
      <c r="D25" s="135"/>
      <c r="E25" s="135"/>
      <c r="F25" s="136"/>
      <c r="G25" s="7"/>
      <c r="H25" s="7"/>
    </row>
    <row r="26" spans="2:8" ht="17.25" customHeight="1" thickBot="1" x14ac:dyDescent="0.25">
      <c r="B26" s="120" t="s">
        <v>17</v>
      </c>
      <c r="C26" s="121"/>
      <c r="D26" s="121"/>
      <c r="E26" s="141">
        <v>1</v>
      </c>
      <c r="F26" s="131"/>
      <c r="G26" s="7"/>
      <c r="H26" s="7"/>
    </row>
    <row r="27" spans="2:8" ht="16.5" customHeight="1" thickBot="1" x14ac:dyDescent="0.25">
      <c r="B27" s="119" t="s">
        <v>19</v>
      </c>
      <c r="C27" s="108"/>
      <c r="D27" s="108"/>
      <c r="E27" s="124">
        <f>H19*12</f>
        <v>17940.96</v>
      </c>
      <c r="F27" s="125"/>
      <c r="G27" s="7"/>
      <c r="H27" s="7"/>
    </row>
    <row r="28" spans="2:8" ht="17.25" customHeight="1" x14ac:dyDescent="0.2">
      <c r="B28" s="119" t="s">
        <v>20</v>
      </c>
      <c r="C28" s="108"/>
      <c r="D28" s="108"/>
      <c r="E28" s="128">
        <f>H19/F19</f>
        <v>1495.08</v>
      </c>
      <c r="F28" s="129"/>
      <c r="G28" s="7"/>
      <c r="H28" s="7"/>
    </row>
    <row r="29" spans="2:8" ht="18" customHeight="1" thickBot="1" x14ac:dyDescent="0.25">
      <c r="B29" s="122" t="s">
        <v>21</v>
      </c>
      <c r="C29" s="123"/>
      <c r="D29" s="123"/>
      <c r="E29" s="132">
        <f>(G19*1000)/F19</f>
        <v>179000</v>
      </c>
      <c r="F29" s="133"/>
      <c r="G29" s="7"/>
      <c r="H29" s="7"/>
    </row>
    <row r="30" spans="2:8" x14ac:dyDescent="0.2">
      <c r="B30" s="7"/>
      <c r="C30" s="7"/>
      <c r="D30" s="7"/>
      <c r="E30" s="7"/>
      <c r="F30" s="7"/>
      <c r="G30" s="7"/>
      <c r="H30" s="7"/>
    </row>
    <row r="31" spans="2:8" x14ac:dyDescent="0.2">
      <c r="B31" s="7"/>
      <c r="C31" s="7"/>
      <c r="D31" s="7"/>
      <c r="E31" s="7"/>
      <c r="F31" s="7"/>
      <c r="G31" s="7"/>
      <c r="H31" s="7"/>
    </row>
    <row r="32" spans="2:8" x14ac:dyDescent="0.2">
      <c r="B32" s="7"/>
      <c r="C32" s="7"/>
      <c r="D32" s="7"/>
      <c r="E32" s="7"/>
      <c r="F32" s="7"/>
      <c r="G32" s="7"/>
      <c r="H32" s="7"/>
    </row>
    <row r="33" spans="2:8" x14ac:dyDescent="0.2">
      <c r="B33" s="7"/>
      <c r="C33" s="7"/>
      <c r="D33" s="7"/>
      <c r="E33" s="7"/>
      <c r="F33" s="7"/>
      <c r="G33" s="7"/>
      <c r="H33" s="7"/>
    </row>
    <row r="34" spans="2:8" x14ac:dyDescent="0.2">
      <c r="B34" s="7"/>
      <c r="C34" s="7"/>
      <c r="D34" s="7"/>
      <c r="E34" s="7"/>
      <c r="F34" s="7"/>
      <c r="G34" s="7"/>
      <c r="H34" s="7"/>
    </row>
    <row r="35" spans="2:8" x14ac:dyDescent="0.2">
      <c r="B35" s="7"/>
      <c r="C35" s="7"/>
      <c r="D35" s="7"/>
      <c r="E35" s="7"/>
      <c r="F35" s="7"/>
      <c r="G35" s="7"/>
      <c r="H35" s="7"/>
    </row>
    <row r="36" spans="2:8" x14ac:dyDescent="0.2">
      <c r="B36" s="7"/>
      <c r="C36" s="7"/>
      <c r="D36" s="7"/>
      <c r="E36" s="7"/>
      <c r="F36" s="7"/>
      <c r="G36" s="7"/>
      <c r="H36" s="7"/>
    </row>
    <row r="37" spans="2:8" x14ac:dyDescent="0.2">
      <c r="B37" s="7"/>
      <c r="C37" s="7"/>
      <c r="D37" s="7"/>
      <c r="E37" s="7"/>
      <c r="F37" s="7"/>
      <c r="G37" s="7"/>
      <c r="H37" s="7"/>
    </row>
    <row r="38" spans="2:8" x14ac:dyDescent="0.2">
      <c r="B38" s="7"/>
      <c r="C38" s="7"/>
      <c r="D38" s="7"/>
      <c r="E38" s="7"/>
      <c r="F38" s="7"/>
      <c r="G38" s="7"/>
      <c r="H38" s="7"/>
    </row>
    <row r="39" spans="2:8" x14ac:dyDescent="0.2">
      <c r="B39" s="7"/>
      <c r="C39" s="7"/>
      <c r="D39" s="7"/>
      <c r="E39" s="7"/>
      <c r="F39" s="7"/>
      <c r="G39" s="7"/>
      <c r="H39" s="7"/>
    </row>
  </sheetData>
  <mergeCells count="25">
    <mergeCell ref="B2:H2"/>
    <mergeCell ref="B3:C3"/>
    <mergeCell ref="E3:G3"/>
    <mergeCell ref="B4:C4"/>
    <mergeCell ref="E4:G4"/>
    <mergeCell ref="B19:C19"/>
    <mergeCell ref="B21:D21"/>
    <mergeCell ref="E21:F21"/>
    <mergeCell ref="B23:D23"/>
    <mergeCell ref="E23:F23"/>
    <mergeCell ref="B5:C5"/>
    <mergeCell ref="D5:D6"/>
    <mergeCell ref="F5:F6"/>
    <mergeCell ref="G5:G6"/>
    <mergeCell ref="H5:H6"/>
    <mergeCell ref="E5:E6"/>
    <mergeCell ref="B29:D29"/>
    <mergeCell ref="E29:F29"/>
    <mergeCell ref="B25:F25"/>
    <mergeCell ref="B26:D26"/>
    <mergeCell ref="E26:F26"/>
    <mergeCell ref="B27:D27"/>
    <mergeCell ref="E27:F27"/>
    <mergeCell ref="B28:D28"/>
    <mergeCell ref="E28:F28"/>
  </mergeCells>
  <pageMargins left="0.7" right="0.7" top="0.75" bottom="0.75" header="0.3" footer="0.3"/>
  <pageSetup orientation="portrait" r:id="rId1"/>
  <headerFooter>
    <oddFooter>&amp;L&amp;9&amp;Z&amp;F&amp;A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14E63-26A8-4D64-AAC0-6D813D242667}">
  <dimension ref="A1:F25"/>
  <sheetViews>
    <sheetView tabSelected="1" view="pageBreakPreview" zoomScale="102" zoomScaleNormal="100" zoomScaleSheetLayoutView="102" workbookViewId="0">
      <selection activeCell="O5" sqref="O5"/>
    </sheetView>
  </sheetViews>
  <sheetFormatPr defaultRowHeight="14.25" x14ac:dyDescent="0.2"/>
  <cols>
    <col min="1" max="3" width="20.75" customWidth="1"/>
    <col min="4" max="4" width="13.625" customWidth="1"/>
  </cols>
  <sheetData>
    <row r="1" spans="1:5" ht="20.25" x14ac:dyDescent="0.2">
      <c r="A1" s="81" t="s">
        <v>40</v>
      </c>
    </row>
    <row r="2" spans="1:5" ht="18" x14ac:dyDescent="0.25">
      <c r="A2" s="82" t="s">
        <v>38</v>
      </c>
    </row>
    <row r="3" spans="1:5" ht="15" x14ac:dyDescent="0.2">
      <c r="A3" s="51" t="s">
        <v>39</v>
      </c>
    </row>
    <row r="4" spans="1:5" ht="15" thickBot="1" x14ac:dyDescent="0.25"/>
    <row r="5" spans="1:5" ht="46.5" thickTop="1" thickBot="1" x14ac:dyDescent="0.25">
      <c r="A5" s="60" t="s">
        <v>28</v>
      </c>
      <c r="B5" s="61" t="s">
        <v>29</v>
      </c>
      <c r="C5" s="62" t="s">
        <v>30</v>
      </c>
      <c r="D5" s="51"/>
      <c r="E5" s="51"/>
    </row>
    <row r="6" spans="1:5" ht="19.899999999999999" customHeight="1" thickTop="1" x14ac:dyDescent="0.2">
      <c r="A6" s="56" t="s">
        <v>35</v>
      </c>
      <c r="B6" s="63">
        <v>109968462</v>
      </c>
      <c r="C6" s="84">
        <v>1542215.8702560002</v>
      </c>
      <c r="D6" s="52"/>
      <c r="E6" s="51"/>
    </row>
    <row r="7" spans="1:5" ht="19.899999999999999" customHeight="1" x14ac:dyDescent="0.2">
      <c r="A7" s="57" t="s">
        <v>31</v>
      </c>
      <c r="B7" s="58">
        <v>1054740</v>
      </c>
      <c r="C7" s="85">
        <v>11792.410199999998</v>
      </c>
      <c r="D7" s="52"/>
      <c r="E7" s="51"/>
    </row>
    <row r="8" spans="1:5" ht="19.899999999999999" customHeight="1" x14ac:dyDescent="0.2">
      <c r="A8" s="57" t="s">
        <v>32</v>
      </c>
      <c r="B8" s="58">
        <v>5862624</v>
      </c>
      <c r="C8" s="85">
        <v>50471.584319999994</v>
      </c>
      <c r="D8" s="52"/>
      <c r="E8" s="51"/>
    </row>
    <row r="9" spans="1:5" ht="19.899999999999999" customHeight="1" thickBot="1" x14ac:dyDescent="0.25">
      <c r="A9" s="64" t="s">
        <v>33</v>
      </c>
      <c r="B9" s="59">
        <v>2148000</v>
      </c>
      <c r="C9" s="86">
        <v>17940.96</v>
      </c>
      <c r="D9" s="52"/>
      <c r="E9" s="51"/>
    </row>
    <row r="10" spans="1:5" s="68" customFormat="1" ht="19.899999999999999" customHeight="1" thickTop="1" thickBot="1" x14ac:dyDescent="0.3">
      <c r="A10" s="65" t="s">
        <v>14</v>
      </c>
      <c r="B10" s="66">
        <f>SUM(B6:B9)</f>
        <v>119033826</v>
      </c>
      <c r="C10" s="67">
        <f>SUM(C6:C9)</f>
        <v>1622420.8247760001</v>
      </c>
    </row>
    <row r="11" spans="1:5" ht="15.75" thickTop="1" x14ac:dyDescent="0.2">
      <c r="B11" s="54"/>
      <c r="C11" s="53"/>
    </row>
    <row r="12" spans="1:5" x14ac:dyDescent="0.2">
      <c r="B12" s="55"/>
    </row>
    <row r="14" spans="1:5" x14ac:dyDescent="0.2">
      <c r="A14" t="s">
        <v>42</v>
      </c>
    </row>
    <row r="15" spans="1:5" x14ac:dyDescent="0.2">
      <c r="C15" s="87" t="s">
        <v>43</v>
      </c>
      <c r="D15" s="91">
        <f>C10</f>
        <v>1622420.8247760001</v>
      </c>
    </row>
    <row r="16" spans="1:5" x14ac:dyDescent="0.2">
      <c r="D16" s="75"/>
    </row>
    <row r="17" spans="1:6" x14ac:dyDescent="0.2">
      <c r="A17" t="s">
        <v>44</v>
      </c>
      <c r="D17" s="75">
        <v>1455328</v>
      </c>
    </row>
    <row r="18" spans="1:6" x14ac:dyDescent="0.2">
      <c r="D18" s="75"/>
    </row>
    <row r="19" spans="1:6" ht="15" thickBot="1" x14ac:dyDescent="0.25">
      <c r="D19" s="83"/>
    </row>
    <row r="20" spans="1:6" ht="15" thickTop="1" x14ac:dyDescent="0.2">
      <c r="A20" t="s">
        <v>47</v>
      </c>
      <c r="D20" s="75">
        <f>D15-D17</f>
        <v>167092.82477600011</v>
      </c>
      <c r="E20" t="s">
        <v>41</v>
      </c>
    </row>
    <row r="21" spans="1:6" x14ac:dyDescent="0.2">
      <c r="D21" s="80">
        <f>D20/12</f>
        <v>13924.402064666676</v>
      </c>
      <c r="E21" t="s">
        <v>36</v>
      </c>
    </row>
    <row r="22" spans="1:6" x14ac:dyDescent="0.2">
      <c r="D22" s="80"/>
    </row>
    <row r="23" spans="1:6" x14ac:dyDescent="0.2">
      <c r="A23" t="s">
        <v>46</v>
      </c>
    </row>
    <row r="25" spans="1:6" x14ac:dyDescent="0.2">
      <c r="A25" s="88"/>
      <c r="B25" s="89"/>
      <c r="C25" s="89"/>
      <c r="D25" s="89"/>
      <c r="E25" s="89"/>
      <c r="F25" s="90"/>
    </row>
  </sheetData>
  <printOptions horizontalCentered="1"/>
  <pageMargins left="0.7" right="0.7" top="1.75" bottom="0.75" header="0.3" footer="0.3"/>
  <pageSetup scale="83" orientation="portrait" r:id="rId1"/>
  <headerFooter>
    <oddFooter>&amp;L&amp;9&amp;Z&amp;F&amp;A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Residential 3.4" Meter</vt:lpstr>
      <vt:lpstr>1" Meter</vt:lpstr>
      <vt:lpstr>2" Meter</vt:lpstr>
      <vt:lpstr>6" Meter</vt:lpstr>
      <vt:lpstr>Totals</vt:lpstr>
      <vt:lpstr>'Residential 3.4" Meter'!Print_Area</vt:lpstr>
      <vt:lpstr>Totals!Print_Area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Anderson</dc:creator>
  <cp:lastModifiedBy>Main, Ora C.</cp:lastModifiedBy>
  <cp:lastPrinted>2021-02-12T15:40:54Z</cp:lastPrinted>
  <dcterms:created xsi:type="dcterms:W3CDTF">2019-05-03T15:57:24Z</dcterms:created>
  <dcterms:modified xsi:type="dcterms:W3CDTF">2021-02-12T21:22:37Z</dcterms:modified>
</cp:coreProperties>
</file>