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"/>
    </mc:Choice>
  </mc:AlternateContent>
  <xr:revisionPtr revIDLastSave="0" documentId="13_ncr:1_{1189CAFE-FA33-47F1-88B9-F9DA6BBC6D0A}" xr6:coauthVersionLast="46" xr6:coauthVersionMax="46" xr10:uidLastSave="{00000000-0000-0000-0000-000000000000}"/>
  <bookViews>
    <workbookView xWindow="-120" yWindow="-120" windowWidth="29040" windowHeight="1584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W.O.R.K.B.O.O.K..C.O.N.T.E.N.T.S____">'[1]Workbook Contents'!$A$1</definedName>
    <definedName name="_Fill" hidden="1">#REF!</definedName>
    <definedName name="ACT_BEGIN_DATE">'[1]1. MAIN INPUTS'!$F$24</definedName>
    <definedName name="ACT_END_DATE">'[1]1. MAIN INPUTS'!$F$23</definedName>
    <definedName name="AREA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'[2]Pipeline Cashout'!$A$9:$C$140</definedName>
    <definedName name="Cashouts">'[3]tbl Texas'!$A$8:$E$52</definedName>
    <definedName name="CF_Month_1">#REF!</definedName>
    <definedName name="CF_Month_2">#REF!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>#REF!</definedName>
    <definedName name="CRIT_SALES_DB">#REF!</definedName>
    <definedName name="CRIT_STORAGE_DB">#REF!</definedName>
    <definedName name="CRIT_TRANS_DB">#REF!</definedName>
    <definedName name="Database_PBR_Savings">#REF!</definedName>
    <definedName name="DatabaseStats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>[4]Macros!$D$9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>#REF!</definedName>
    <definedName name="DB_STORAGE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>#REF!</definedName>
    <definedName name="EWACOG">'[5]Backup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>#REF!</definedName>
    <definedName name="FirmRefFactor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[5]History!$A$12:$N$145</definedName>
    <definedName name="HLF">'[1]gca G1 HLF'!$B$8:$L$98</definedName>
    <definedName name="int_rate">#REF!</definedName>
    <definedName name="InterDemRefFactor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>#REF!</definedName>
    <definedName name="LVS_COG_FINAL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>#REF!</definedName>
    <definedName name="Month2">#REF!</definedName>
    <definedName name="Month3">#REF!</definedName>
    <definedName name="NA">'[6]Main Inputs'!$C$5</definedName>
    <definedName name="NumberTrueUp">'[5]Additional Backup'!$J$1</definedName>
    <definedName name="NymexMonth1">'C.1'!$E$25</definedName>
    <definedName name="NymexMonth2">'C.1'!$G$25</definedName>
    <definedName name="NymexMonth3">'C.1'!$I$25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B.3!$A$1:$I$50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Print_Total">#REF!</definedName>
    <definedName name="rpt_Confidential">'C.2'!$A$1:$P$1</definedName>
    <definedName name="rpt_PublicDisclosure">'C.2'!$A$3:$P$24</definedName>
    <definedName name="SALES_DB">#REF!</definedName>
    <definedName name="SEASON">'[1]1. MAIN INPUTS'!$F$13</definedName>
    <definedName name="SecondEffectiveDate">'[5]Additional Backup'!$B$1</definedName>
    <definedName name="SecondTrueUp">'[5]Additional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>#REF!</definedName>
    <definedName name="TEN_SS">'[1]S S'!$A$10:$L$22</definedName>
    <definedName name="TEN_STORAGE">#REF!</definedName>
    <definedName name="TEN_TRANSITION">#REF!</definedName>
    <definedName name="Tenn">[2]Tenn!$A$8:$F$22</definedName>
    <definedName name="test">'[1]gca G1'!$H$1:$I$2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>'[1]Cont. T13687'!#REF!</definedName>
    <definedName name="Texas">[2]Texas!$A$7:$E$37</definedName>
    <definedName name="TexasGasNNS">'C.2'!#REF!</definedName>
    <definedName name="TexasGasNoticePayback">#REF!</definedName>
    <definedName name="TGX_2">[1]B.1!$B$11:$K$21</definedName>
    <definedName name="ThirdEffectiveDate">'[5]Additional Backup'!$B$39</definedName>
    <definedName name="ThirdTrueUp">'[5]Additional Backup'!$F$73</definedName>
    <definedName name="TrueUp">'[5]Backup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6" l="1"/>
  <c r="F17" i="26"/>
  <c r="D17" i="26"/>
  <c r="H18" i="27"/>
  <c r="F18" i="27"/>
  <c r="D18" i="27"/>
  <c r="E10" i="28" l="1"/>
  <c r="H7" i="30" l="1"/>
  <c r="D7" i="30"/>
  <c r="F7" i="30" s="1"/>
  <c r="I7" i="30"/>
  <c r="J7" i="30" s="1"/>
  <c r="E28" i="15" l="1"/>
  <c r="E21" i="15"/>
  <c r="F9" i="28" l="1"/>
  <c r="F10" i="28"/>
  <c r="I36" i="6" l="1"/>
  <c r="I35" i="6"/>
  <c r="I21" i="7"/>
  <c r="I20" i="7"/>
  <c r="I14" i="7"/>
  <c r="I13" i="7"/>
  <c r="I12" i="7"/>
  <c r="K12" i="7" s="1"/>
  <c r="K24" i="28" l="1"/>
  <c r="K17" i="28"/>
  <c r="K23" i="28"/>
  <c r="K16" i="28"/>
  <c r="G20" i="6" l="1"/>
  <c r="G24" i="6" s="1"/>
  <c r="E33" i="14" l="1"/>
  <c r="B9" i="30" l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D17" i="27" l="1"/>
  <c r="F22" i="16" l="1"/>
  <c r="G12" i="6" l="1"/>
  <c r="G13" i="6"/>
  <c r="G14" i="6"/>
  <c r="G35" i="6"/>
  <c r="G36" i="6"/>
  <c r="G42" i="6"/>
  <c r="G46" i="6" s="1"/>
  <c r="G29" i="6" l="1"/>
  <c r="G28" i="6"/>
  <c r="G27" i="6"/>
  <c r="G50" i="6"/>
  <c r="G49" i="6"/>
  <c r="G57" i="13" l="1"/>
  <c r="F33" i="19" l="1"/>
  <c r="G30" i="13" l="1"/>
  <c r="G24" i="13"/>
  <c r="G21" i="13"/>
  <c r="G18" i="13"/>
  <c r="G12" i="13"/>
  <c r="I57" i="13" l="1"/>
  <c r="G59" i="13"/>
  <c r="E33" i="19" l="1"/>
  <c r="E59" i="13" l="1"/>
  <c r="E66" i="13" s="1"/>
  <c r="I59" i="13"/>
  <c r="I66" i="13" s="1"/>
  <c r="G66" i="13"/>
  <c r="I30" i="13"/>
  <c r="A3" i="30" l="1"/>
  <c r="H30" i="17" l="1"/>
  <c r="F15" i="30" l="1"/>
  <c r="F9" i="30"/>
  <c r="F10" i="30"/>
  <c r="F12" i="30"/>
  <c r="F13" i="30"/>
  <c r="F14" i="30"/>
  <c r="F16" i="30"/>
  <c r="F18" i="30"/>
  <c r="F8" i="30"/>
  <c r="F11" i="30" l="1"/>
  <c r="F17" i="30"/>
  <c r="F19" i="30"/>
  <c r="B19" i="7" l="1"/>
  <c r="B34" i="6"/>
  <c r="L9" i="28" l="1"/>
  <c r="N12" i="28"/>
  <c r="E24" i="14" l="1"/>
  <c r="F49" i="15" s="1"/>
  <c r="E18" i="14"/>
  <c r="G22" i="14" l="1"/>
  <c r="G24" i="14" s="1"/>
  <c r="I22" i="14"/>
  <c r="I24" i="14" s="1"/>
  <c r="I24" i="13"/>
  <c r="E26" i="13"/>
  <c r="F41" i="15" s="1"/>
  <c r="I23" i="28" l="1"/>
  <c r="I16" i="28" l="1"/>
  <c r="L10" i="28" l="1"/>
  <c r="G23" i="28"/>
  <c r="G16" i="28"/>
  <c r="E23" i="28"/>
  <c r="E16" i="28"/>
  <c r="F16" i="28" s="1"/>
  <c r="G30" i="25" l="1"/>
  <c r="I25" i="22" l="1"/>
  <c r="E25" i="22"/>
  <c r="G25" i="22"/>
  <c r="I19" i="30"/>
  <c r="I18" i="30"/>
  <c r="I17" i="30"/>
  <c r="I16" i="30"/>
  <c r="I15" i="30"/>
  <c r="I14" i="30"/>
  <c r="I13" i="30"/>
  <c r="I12" i="30"/>
  <c r="I11" i="30"/>
  <c r="I10" i="30"/>
  <c r="I9" i="30"/>
  <c r="I8" i="30"/>
  <c r="J8" i="30" s="1"/>
  <c r="N26" i="28"/>
  <c r="D25" i="28"/>
  <c r="D27" i="28" s="1"/>
  <c r="L24" i="28"/>
  <c r="L23" i="28"/>
  <c r="J23" i="28"/>
  <c r="H23" i="28"/>
  <c r="F23" i="28"/>
  <c r="N19" i="28"/>
  <c r="D18" i="28"/>
  <c r="D20" i="28" s="1"/>
  <c r="L17" i="28"/>
  <c r="L16" i="28"/>
  <c r="J16" i="28"/>
  <c r="H16" i="28"/>
  <c r="D11" i="28"/>
  <c r="D13" i="28" s="1"/>
  <c r="J10" i="28"/>
  <c r="G10" i="28"/>
  <c r="J9" i="28"/>
  <c r="H9" i="28"/>
  <c r="H17" i="27"/>
  <c r="F17" i="27"/>
  <c r="A67" i="26"/>
  <c r="G33" i="26"/>
  <c r="H16" i="26"/>
  <c r="F16" i="26"/>
  <c r="D16" i="26"/>
  <c r="A64" i="25"/>
  <c r="G42" i="25"/>
  <c r="G19" i="25"/>
  <c r="F18" i="19"/>
  <c r="E18" i="19" s="1"/>
  <c r="F25" i="19"/>
  <c r="E25" i="19" s="1"/>
  <c r="F11" i="20"/>
  <c r="F13" i="20" s="1"/>
  <c r="F15" i="20" s="1"/>
  <c r="F22" i="20" s="1"/>
  <c r="A2" i="20"/>
  <c r="F19" i="19"/>
  <c r="E19" i="19" s="1"/>
  <c r="A2" i="19"/>
  <c r="E35" i="18"/>
  <c r="F30" i="18"/>
  <c r="G26" i="18"/>
  <c r="G35" i="18" s="1"/>
  <c r="F26" i="18"/>
  <c r="A2" i="18"/>
  <c r="I30" i="16"/>
  <c r="I21" i="16"/>
  <c r="J21" i="16" s="1"/>
  <c r="J20" i="16"/>
  <c r="A2" i="16"/>
  <c r="A2" i="15"/>
  <c r="I32" i="14"/>
  <c r="I29" i="14"/>
  <c r="G29" i="14"/>
  <c r="F48" i="15"/>
  <c r="I16" i="14"/>
  <c r="G16" i="14"/>
  <c r="I13" i="14"/>
  <c r="G13" i="14"/>
  <c r="A2" i="14"/>
  <c r="E53" i="13"/>
  <c r="F44" i="15" s="1"/>
  <c r="I51" i="13"/>
  <c r="I53" i="13" s="1"/>
  <c r="I65" i="13" s="1"/>
  <c r="G51" i="13"/>
  <c r="G53" i="13" s="1"/>
  <c r="G65" i="13" s="1"/>
  <c r="G45" i="13"/>
  <c r="I42" i="13"/>
  <c r="I39" i="13"/>
  <c r="G39" i="13"/>
  <c r="E35" i="13"/>
  <c r="F42" i="15" s="1"/>
  <c r="I35" i="13"/>
  <c r="I63" i="13" s="1"/>
  <c r="G35" i="13"/>
  <c r="G63" i="13" s="1"/>
  <c r="I21" i="13"/>
  <c r="I18" i="13"/>
  <c r="E14" i="13"/>
  <c r="F40" i="15" s="1"/>
  <c r="I12" i="13"/>
  <c r="I14" i="13" s="1"/>
  <c r="I61" i="13" s="1"/>
  <c r="G14" i="13"/>
  <c r="G61" i="13" s="1"/>
  <c r="K21" i="7"/>
  <c r="K20" i="7"/>
  <c r="K14" i="7"/>
  <c r="K13" i="7"/>
  <c r="A2" i="7"/>
  <c r="K36" i="6"/>
  <c r="K35" i="6"/>
  <c r="K14" i="6"/>
  <c r="K13" i="6"/>
  <c r="K12" i="6"/>
  <c r="J9" i="30" l="1"/>
  <c r="J10" i="30" s="1"/>
  <c r="J11" i="30" s="1"/>
  <c r="J12" i="30" s="1"/>
  <c r="J13" i="30" s="1"/>
  <c r="J14" i="30" s="1"/>
  <c r="J15" i="30" s="1"/>
  <c r="J16" i="30" s="1"/>
  <c r="J17" i="30" s="1"/>
  <c r="J18" i="30" s="1"/>
  <c r="J19" i="30" s="1"/>
  <c r="G35" i="25" s="1"/>
  <c r="I22" i="6"/>
  <c r="I44" i="6"/>
  <c r="J28" i="16"/>
  <c r="J29" i="16"/>
  <c r="J14" i="17"/>
  <c r="J15" i="17"/>
  <c r="J14" i="16"/>
  <c r="G19" i="19"/>
  <c r="G28" i="14"/>
  <c r="I28" i="14"/>
  <c r="N9" i="28"/>
  <c r="G7" i="7"/>
  <c r="H10" i="28"/>
  <c r="H11" i="28" s="1"/>
  <c r="H13" i="28" s="1"/>
  <c r="G17" i="28"/>
  <c r="H17" i="28" s="1"/>
  <c r="H18" i="28" s="1"/>
  <c r="H20" i="28" s="1"/>
  <c r="G24" i="28"/>
  <c r="H24" i="28" s="1"/>
  <c r="H25" i="28" s="1"/>
  <c r="H27" i="28" s="1"/>
  <c r="G26" i="13"/>
  <c r="G62" i="13" s="1"/>
  <c r="I26" i="13"/>
  <c r="I62" i="13" s="1"/>
  <c r="G18" i="18"/>
  <c r="E17" i="18"/>
  <c r="G18" i="14"/>
  <c r="I18" i="14"/>
  <c r="F35" i="18"/>
  <c r="J11" i="28"/>
  <c r="J13" i="28" s="1"/>
  <c r="L25" i="28"/>
  <c r="L27" i="28" s="1"/>
  <c r="E16" i="25" s="1"/>
  <c r="I24" i="28"/>
  <c r="J24" i="28" s="1"/>
  <c r="J25" i="28" s="1"/>
  <c r="J27" i="28" s="1"/>
  <c r="I17" i="28"/>
  <c r="J17" i="28" s="1"/>
  <c r="J18" i="28" s="1"/>
  <c r="J20" i="28" s="1"/>
  <c r="E17" i="28"/>
  <c r="F17" i="28" s="1"/>
  <c r="E24" i="28"/>
  <c r="F24" i="28" s="1"/>
  <c r="F25" i="28" s="1"/>
  <c r="F27" i="28" s="1"/>
  <c r="D36" i="27"/>
  <c r="L11" i="28"/>
  <c r="L13" i="28" s="1"/>
  <c r="E12" i="25" s="1"/>
  <c r="G36" i="25"/>
  <c r="I45" i="13"/>
  <c r="I47" i="13" s="1"/>
  <c r="I64" i="13" s="1"/>
  <c r="G32" i="14"/>
  <c r="L18" i="28"/>
  <c r="L20" i="28" s="1"/>
  <c r="E14" i="25" s="1"/>
  <c r="K44" i="6"/>
  <c r="F50" i="15"/>
  <c r="G49" i="15" s="1"/>
  <c r="I49" i="15" s="1"/>
  <c r="G42" i="13"/>
  <c r="G47" i="13" s="1"/>
  <c r="G64" i="13" s="1"/>
  <c r="E47" i="13"/>
  <c r="E61" i="13"/>
  <c r="E63" i="13"/>
  <c r="E65" i="13"/>
  <c r="G31" i="14"/>
  <c r="I13" i="15"/>
  <c r="I20" i="15"/>
  <c r="F12" i="19"/>
  <c r="E12" i="19" s="1"/>
  <c r="F13" i="19"/>
  <c r="E13" i="19" s="1"/>
  <c r="E62" i="13"/>
  <c r="I31" i="14"/>
  <c r="N16" i="28"/>
  <c r="F36" i="27"/>
  <c r="H36" i="27"/>
  <c r="N23" i="28"/>
  <c r="G68" i="13" l="1"/>
  <c r="G71" i="13" s="1"/>
  <c r="E28" i="19"/>
  <c r="E29" i="19"/>
  <c r="I68" i="13"/>
  <c r="I71" i="13" s="1"/>
  <c r="E9" i="18" s="1"/>
  <c r="F22" i="19"/>
  <c r="E22" i="19" s="1"/>
  <c r="H31" i="16"/>
  <c r="J30" i="16"/>
  <c r="D33" i="26"/>
  <c r="F21" i="19"/>
  <c r="H35" i="16"/>
  <c r="D14" i="25"/>
  <c r="F14" i="25" s="1"/>
  <c r="I14" i="25" s="1"/>
  <c r="G29" i="15"/>
  <c r="G32" i="15" s="1"/>
  <c r="I27" i="15"/>
  <c r="F14" i="19"/>
  <c r="E14" i="19" s="1"/>
  <c r="E15" i="19" s="1"/>
  <c r="E18" i="18"/>
  <c r="D16" i="25"/>
  <c r="I33" i="14"/>
  <c r="I35" i="14" s="1"/>
  <c r="E11" i="18" s="1"/>
  <c r="F11" i="28"/>
  <c r="F13" i="28" s="1"/>
  <c r="O13" i="28" s="1"/>
  <c r="N10" i="28"/>
  <c r="N11" i="28" s="1"/>
  <c r="N13" i="28" s="1"/>
  <c r="K22" i="6"/>
  <c r="G17" i="18"/>
  <c r="J26" i="16"/>
  <c r="G38" i="25"/>
  <c r="O27" i="28"/>
  <c r="N17" i="28"/>
  <c r="N18" i="28" s="1"/>
  <c r="N20" i="28" s="1"/>
  <c r="I25" i="15"/>
  <c r="N24" i="28"/>
  <c r="N25" i="28" s="1"/>
  <c r="N27" i="28" s="1"/>
  <c r="F18" i="28"/>
  <c r="F20" i="28" s="1"/>
  <c r="J32" i="28"/>
  <c r="L33" i="28"/>
  <c r="G33" i="14"/>
  <c r="G35" i="14" s="1"/>
  <c r="E19" i="25"/>
  <c r="H31" i="28"/>
  <c r="F43" i="15"/>
  <c r="E64" i="13"/>
  <c r="E68" i="13" s="1"/>
  <c r="G48" i="15"/>
  <c r="H32" i="17"/>
  <c r="I30" i="17"/>
  <c r="I32" i="17" s="1"/>
  <c r="E12" i="18" s="1"/>
  <c r="E30" i="19" l="1"/>
  <c r="F28" i="26"/>
  <c r="F33" i="26" s="1"/>
  <c r="C14" i="25" s="1"/>
  <c r="I45" i="6"/>
  <c r="F30" i="19"/>
  <c r="D28" i="26"/>
  <c r="H22" i="19"/>
  <c r="G22" i="19" s="1"/>
  <c r="E21" i="19"/>
  <c r="E23" i="19" s="1"/>
  <c r="E37" i="19" s="1"/>
  <c r="F23" i="19"/>
  <c r="H28" i="26"/>
  <c r="H33" i="26" s="1"/>
  <c r="C12" i="25"/>
  <c r="F16" i="25"/>
  <c r="I16" i="25" s="1"/>
  <c r="F15" i="19"/>
  <c r="F30" i="28"/>
  <c r="G26" i="25" s="1"/>
  <c r="E13" i="18"/>
  <c r="F18" i="18" s="1"/>
  <c r="H18" i="18" s="1"/>
  <c r="O20" i="28"/>
  <c r="O36" i="28" s="1"/>
  <c r="N34" i="28"/>
  <c r="K23" i="6"/>
  <c r="D12" i="25"/>
  <c r="G50" i="15"/>
  <c r="I48" i="15"/>
  <c r="I50" i="15" s="1"/>
  <c r="I13" i="16" s="1"/>
  <c r="J13" i="16" s="1"/>
  <c r="F45" i="15"/>
  <c r="K45" i="6" l="1"/>
  <c r="F37" i="19"/>
  <c r="F39" i="19" s="1"/>
  <c r="E39" i="19" s="1"/>
  <c r="E41" i="19" s="1"/>
  <c r="E45" i="19" s="1"/>
  <c r="C16" i="25"/>
  <c r="F17" i="18"/>
  <c r="H17" i="18" s="1"/>
  <c r="D19" i="25"/>
  <c r="F12" i="25"/>
  <c r="I12" i="25" s="1"/>
  <c r="I19" i="25" s="1"/>
  <c r="H14" i="15"/>
  <c r="G40" i="15"/>
  <c r="G42" i="15"/>
  <c r="I42" i="15" s="1"/>
  <c r="G44" i="15"/>
  <c r="I44" i="15" s="1"/>
  <c r="G41" i="15"/>
  <c r="I41" i="15" s="1"/>
  <c r="G43" i="15"/>
  <c r="I43" i="15" s="1"/>
  <c r="I7" i="7" l="1"/>
  <c r="F41" i="19"/>
  <c r="F45" i="19" s="1"/>
  <c r="G25" i="25"/>
  <c r="F19" i="18"/>
  <c r="F19" i="25"/>
  <c r="I12" i="15"/>
  <c r="J27" i="16"/>
  <c r="H21" i="19" s="1"/>
  <c r="G21" i="19" s="1"/>
  <c r="G33" i="19"/>
  <c r="J12" i="16"/>
  <c r="I14" i="15"/>
  <c r="H15" i="15"/>
  <c r="G45" i="15"/>
  <c r="I40" i="15"/>
  <c r="I45" i="15" s="1"/>
  <c r="H19" i="15" s="1"/>
  <c r="H19" i="18"/>
  <c r="I19" i="6" s="1"/>
  <c r="I17" i="18"/>
  <c r="I19" i="18" s="1"/>
  <c r="I41" i="6" s="1"/>
  <c r="G29" i="25" l="1"/>
  <c r="G41" i="25" s="1"/>
  <c r="I15" i="15"/>
  <c r="H12" i="19" s="1"/>
  <c r="G12" i="19" s="1"/>
  <c r="I15" i="16"/>
  <c r="I16" i="16" s="1"/>
  <c r="I19" i="16"/>
  <c r="I22" i="16" s="1"/>
  <c r="J31" i="16"/>
  <c r="I31" i="16" s="1"/>
  <c r="I16" i="17"/>
  <c r="J13" i="17"/>
  <c r="H21" i="15"/>
  <c r="I21" i="15" s="1"/>
  <c r="I18" i="15"/>
  <c r="H28" i="15"/>
  <c r="I28" i="15" s="1"/>
  <c r="I26" i="15"/>
  <c r="I19" i="15"/>
  <c r="I30" i="18"/>
  <c r="H30" i="18"/>
  <c r="H26" i="18"/>
  <c r="G32" i="25" l="1"/>
  <c r="G44" i="25" s="1"/>
  <c r="J19" i="16"/>
  <c r="H22" i="15"/>
  <c r="J15" i="16"/>
  <c r="J16" i="16" s="1"/>
  <c r="H18" i="19" s="1"/>
  <c r="G18" i="19" s="1"/>
  <c r="I22" i="15"/>
  <c r="H13" i="19" s="1"/>
  <c r="G13" i="19" s="1"/>
  <c r="I29" i="15"/>
  <c r="J16" i="17"/>
  <c r="J17" i="17" s="1"/>
  <c r="H25" i="19" s="1"/>
  <c r="G25" i="19" s="1"/>
  <c r="I17" i="17"/>
  <c r="J22" i="16"/>
  <c r="I23" i="16"/>
  <c r="K41" i="6"/>
  <c r="K19" i="6"/>
  <c r="I21" i="6" l="1"/>
  <c r="I43" i="6"/>
  <c r="J23" i="16"/>
  <c r="H19" i="19" s="1"/>
  <c r="H23" i="19" s="1"/>
  <c r="I32" i="15"/>
  <c r="H32" i="15" s="1"/>
  <c r="H14" i="19"/>
  <c r="H15" i="19" s="1"/>
  <c r="H29" i="15"/>
  <c r="H29" i="19" s="1"/>
  <c r="G29" i="19" s="1"/>
  <c r="K43" i="6" l="1"/>
  <c r="K21" i="6"/>
  <c r="H28" i="19"/>
  <c r="G15" i="19"/>
  <c r="J35" i="16"/>
  <c r="I35" i="16" s="1"/>
  <c r="G14" i="19"/>
  <c r="G23" i="19"/>
  <c r="H30" i="19" l="1"/>
  <c r="G30" i="19" s="1"/>
  <c r="G28" i="19"/>
  <c r="H37" i="19" l="1"/>
  <c r="H41" i="19" s="1"/>
  <c r="G41" i="19" l="1"/>
  <c r="H45" i="19"/>
  <c r="G45" i="19" s="1"/>
  <c r="I18" i="6" s="1"/>
  <c r="G37" i="19"/>
  <c r="I20" i="6" l="1"/>
  <c r="I40" i="6"/>
  <c r="K18" i="6"/>
  <c r="I42" i="6" l="1"/>
  <c r="K40" i="6"/>
  <c r="I24" i="6"/>
  <c r="K20" i="6"/>
  <c r="I46" i="6" l="1"/>
  <c r="I27" i="6"/>
  <c r="I28" i="6"/>
  <c r="I29" i="6"/>
  <c r="K24" i="6"/>
  <c r="K42" i="6"/>
  <c r="I50" i="6" l="1"/>
  <c r="I49" i="6"/>
  <c r="K29" i="6"/>
  <c r="K28" i="6"/>
  <c r="K27" i="6"/>
  <c r="K46" i="6"/>
  <c r="K50" i="6" l="1"/>
  <c r="K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I14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base rate per Dth usage rate zone 1B only</t>
        </r>
      </text>
    </comment>
    <comment ref="I15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footnote (1) - ACA</t>
        </r>
      </text>
    </comment>
    <comment ref="F16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under Fuel Reimbursement Zone 1B only</t>
        </r>
      </text>
    </comment>
  </commentList>
</comments>
</file>

<file path=xl/sharedStrings.xml><?xml version="1.0" encoding="utf-8"?>
<sst xmlns="http://schemas.openxmlformats.org/spreadsheetml/2006/main" count="1025" uniqueCount="416">
  <si>
    <t>Tariff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</si>
  <si>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</si>
  <si>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</si>
  <si>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</si>
  <si>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</si>
  <si>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</si>
  <si>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</si>
  <si>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</si>
  <si>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</si>
  <si>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</si>
  <si>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</si>
  <si>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</si>
  <si>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</si>
  <si>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</si>
  <si>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</si>
  <si>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</si>
  <si>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</si>
  <si>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</si>
  <si>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</si>
  <si>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</si>
  <si>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</si>
  <si>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</si>
  <si>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</si>
  <si>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</si>
  <si>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</si>
  <si>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</si>
  <si>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</si>
  <si>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</si>
  <si>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</si>
  <si>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</si>
  <si>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</si>
  <si>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</si>
  <si>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</si>
  <si>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</si>
  <si>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</si>
  <si>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</si>
  <si>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</si>
  <si>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</si>
  <si>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</si>
  <si>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</si>
  <si>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40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</si>
  <si>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</si>
  <si>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</si>
  <si>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</si>
  <si>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</si>
  <si>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</si>
  <si>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</si>
  <si>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</si>
  <si>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</si>
  <si>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</si>
  <si>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</si>
  <si>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</si>
  <si>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</si>
  <si>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</si>
  <si>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</si>
  <si>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</si>
  <si>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</si>
  <si>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</si>
  <si>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</si>
  <si>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</si>
  <si>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</si>
  <si>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</si>
  <si>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</si>
  <si>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</si>
  <si>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</si>
  <si>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</si>
  <si>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</si>
  <si>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</si>
  <si>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</si>
  <si>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</si>
  <si>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</si>
  <si>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</si>
  <si>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</si>
  <si>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</si>
  <si>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</si>
  <si>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</si>
  <si>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</si>
  <si>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</si>
  <si>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</si>
  <si>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</si>
  <si>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</si>
  <si>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</si>
  <si>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</si>
  <si>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</si>
  <si>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</si>
  <si>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</si>
  <si>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</si>
  <si>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</si>
  <si>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</si>
  <si>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</si>
  <si>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</si>
  <si>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</si>
  <si>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</si>
  <si>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</si>
  <si>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</si>
  <si>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</si>
  <si>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</si>
  <si>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</si>
  <si>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</si>
  <si>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</si>
  <si>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</si>
  <si>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</si>
  <si>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</si>
  <si>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</si>
  <si>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</si>
  <si>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</si>
  <si>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</si>
  <si>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</si>
  <si>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</si>
  <si>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</si>
  <si>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</si>
  <si>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</si>
  <si>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</si>
  <si>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</si>
  <si>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</si>
  <si>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</si>
  <si>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</si>
  <si>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</si>
  <si>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</si>
  <si>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</si>
  <si>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</si>
  <si>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</si>
  <si>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</si>
  <si>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</si>
  <si>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</si>
  <si>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</si>
  <si>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</si>
  <si>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</si>
  <si>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</si>
  <si>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</si>
  <si>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</si>
  <si>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</si>
  <si>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</si>
  <si>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</si>
  <si>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</si>
  <si>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</si>
  <si>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</si>
  <si>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</si>
  <si>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</si>
  <si>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</si>
  <si>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</si>
  <si>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</si>
  <si>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</si>
  <si>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</si>
  <si>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</si>
  <si>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</si>
  <si>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</si>
  <si>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</si>
  <si>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</si>
  <si>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</si>
  <si>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</si>
  <si>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</si>
  <si>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</si>
  <si>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</si>
  <si>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</si>
  <si>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</si>
  <si>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</si>
  <si>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</si>
  <si>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</si>
  <si>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</si>
  <si>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</si>
  <si>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</si>
  <si>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</si>
  <si>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</si>
  <si>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</si>
  <si>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</si>
  <si>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</si>
  <si>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</si>
  <si>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</si>
  <si>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</si>
  <si>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</si>
  <si>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</si>
  <si>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</si>
  <si>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</si>
  <si>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</si>
  <si>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</si>
  <si>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</si>
  <si>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</si>
  <si>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</si>
  <si>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</si>
  <si>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</si>
  <si>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</si>
  <si>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</si>
  <si>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</si>
  <si>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</si>
  <si>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</si>
  <si>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</si>
  <si>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</si>
  <si>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</si>
  <si>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</si>
  <si>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</si>
  <si>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</si>
  <si>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</si>
  <si>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</si>
  <si>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</si>
  <si>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</si>
  <si>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</si>
  <si>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</si>
  <si>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</si>
  <si>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</si>
  <si>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</si>
  <si>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</si>
  <si>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</si>
  <si>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</si>
  <si>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</si>
  <si>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</si>
  <si>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</si>
  <si>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</si>
  <si>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</si>
  <si>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</si>
  <si>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</si>
  <si>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</si>
  <si>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</si>
  <si>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</si>
  <si>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</si>
  <si>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</si>
  <si>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</si>
  <si>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</si>
  <si>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</si>
  <si>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</si>
  <si>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</si>
  <si>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</si>
  <si>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</si>
  <si>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</si>
  <si>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</si>
  <si>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</si>
  <si>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</si>
  <si>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</si>
  <si>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</si>
  <si>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</si>
  <si>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</si>
  <si>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</si>
  <si>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</si>
  <si>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</si>
  <si>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</si>
  <si>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</si>
  <si>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</si>
  <si>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</si>
  <si>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</si>
  <si>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</si>
  <si>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</si>
  <si>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</si>
  <si>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</si>
  <si>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</si>
  <si>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</si>
  <si>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</si>
  <si>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</si>
  <si>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</si>
  <si>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</si>
  <si>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</si>
  <si>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</si>
  <si>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</si>
  <si>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</si>
  <si>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</si>
  <si>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</si>
  <si>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</si>
  <si>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</si>
  <si>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</si>
  <si>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</si>
  <si>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</si>
  <si>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</si>
  <si>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</si>
  <si>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</si>
  <si>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</si>
  <si>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</si>
  <si>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</si>
  <si>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</si>
  <si>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</si>
  <si>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</si>
  <si>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</si>
  <si>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</si>
  <si>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</si>
  <si>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</si>
  <si>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</si>
  <si>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</si>
  <si>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</si>
  <si>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</si>
  <si>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</si>
  <si>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</si>
  <si>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</si>
  <si>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</si>
  <si>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</si>
  <si>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</si>
  <si>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</si>
  <si>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</si>
  <si>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</si>
  <si>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</si>
  <si>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</si>
  <si>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</si>
  <si>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</si>
  <si>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</si>
  <si>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</si>
  <si>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</si>
  <si>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</si>
  <si>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</si>
  <si>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</si>
  <si>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</si>
  <si>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</si>
  <si>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</si>
  <si>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</si>
  <si>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</si>
  <si>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</si>
  <si>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</si>
  <si>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</si>
  <si>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</si>
  <si>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</si>
  <si>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</si>
  <si>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</si>
  <si>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</si>
  <si>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</si>
  <si>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</si>
  <si>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</si>
  <si>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</si>
  <si>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</si>
  <si>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</si>
  <si>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</si>
  <si>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</si>
  <si>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</si>
  <si>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</si>
  <si>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</si>
  <si>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</si>
  <si>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</si>
  <si>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</si>
  <si>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</si>
  <si>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</si>
  <si>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</si>
  <si>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</si>
  <si>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</si>
  <si>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</si>
  <si>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</si>
  <si>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</si>
  <si>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</si>
  <si>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</si>
  <si>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</si>
  <si>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</si>
  <si>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</si>
  <si>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</si>
  <si>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</si>
  <si>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</si>
  <si>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</si>
  <si>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</si>
  <si>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</si>
  <si>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</si>
  <si>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</si>
  <si>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</si>
  <si>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</si>
  <si>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</si>
  <si>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</si>
  <si>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</si>
  <si>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</si>
  <si>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</si>
  <si>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</si>
  <si>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</si>
  <si>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</si>
  <si>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</si>
  <si>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</si>
  <si>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</si>
  <si>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</si>
  <si>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</si>
  <si>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</si>
  <si>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</si>
  <si>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</si>
  <si>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</si>
  <si>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</si>
  <si>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</si>
  <si>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</si>
  <si>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</si>
  <si>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</si>
  <si>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</si>
  <si>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</si>
  <si>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</si>
  <si>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</si>
  <si>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</si>
  <si>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</si>
  <si>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FT-A  Contract #</t>
  </si>
  <si>
    <t>Zone 2 to Zone 4</t>
  </si>
  <si>
    <t>Total Zone 2 to Zone 4</t>
  </si>
  <si>
    <t>2 to Zone 4</t>
  </si>
  <si>
    <t>41</t>
  </si>
  <si>
    <t xml:space="preserve"> </t>
  </si>
  <si>
    <t>Chevron Natural Gas, Inc.</t>
  </si>
  <si>
    <t>EGC</t>
  </si>
  <si>
    <t>EGC Recovery</t>
  </si>
  <si>
    <t>Total Zone 1 to 2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</si>
  <si>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</si>
  <si>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</si>
  <si>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</si>
  <si>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</si>
  <si>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</si>
  <si>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</si>
  <si>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</si>
  <si>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</si>
  <si>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</si>
  <si>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</si>
  <si>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2020-00403</t>
  </si>
  <si>
    <t>Prior Year Adjustment</t>
  </si>
  <si>
    <t>`</t>
  </si>
  <si>
    <t>Distribution Charge (per Case No. 2018-00281)</t>
  </si>
  <si>
    <t>2021-00142</t>
  </si>
  <si>
    <t>For the Quarter ending  July - 2021</t>
  </si>
  <si>
    <t>The Gas Supply Department reviewed the NYMEX futures close prices for the quarter of May 2021 through July 2021 during the period March 10 through March 23, 2021.</t>
  </si>
  <si>
    <t>Wednesday</t>
  </si>
  <si>
    <t>Thursday</t>
  </si>
  <si>
    <t>Friday</t>
  </si>
  <si>
    <t>Monday</t>
  </si>
  <si>
    <t>Tuesday</t>
  </si>
  <si>
    <t>The Company believes prices are decreasing and prices for the quarter ending July 31, 2021 will settle at $2.655 per MMBTU (based on the average of the past ten days) for the period that the GCA is to become effective.</t>
  </si>
  <si>
    <t>November, 2020</t>
  </si>
  <si>
    <t>December, 2020</t>
  </si>
  <si>
    <t>January, 2021</t>
  </si>
  <si>
    <t>(Over)/Under Recovered Gas Cost through October 2020 (November 2020 GL)</t>
  </si>
  <si>
    <t>Total Gas Cost Under/(Over) Recovery for the three months ended January 2021</t>
  </si>
  <si>
    <t>Prior Net Uncollectable Gas Cost as of November, 2019</t>
  </si>
  <si>
    <t>(Over)/Under Recovered Gas Cost through January 2021 (February 2021 GL) (a)</t>
  </si>
  <si>
    <t>Net Uncollectible Gas Cost through November 2020 (c)</t>
  </si>
  <si>
    <t>Total Deferred Balance through January 2021 (February 2021 GL) incl. Net Uncol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</si>
</sst>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</numFmts>
  <fonts count="1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0"/>
      <name val="Arial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11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0" fontId="48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  <xf numFmtId="0" fontId="5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4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  <xf numFmtId="0" fontId="1" fillId="0" borderId="0">
      <alignment vertical="center"/>
    </xf>
    <xf numFmtId="0" fontId="52" fillId="0" borderId="0"/>
    <xf numFmtId="4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>
      <alignment vertical="center"/>
    </xf>
    <xf numFmtId="164" fontId="4" fillId="0" borderId="0">
      <alignment horizontal="left" vertical="center" indent="1"/>
    </xf>
    <xf numFmtId="0" fontId="49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49" fillId="0" borderId="0" applyFont="0" applyFill="0" applyBorder="0" applyAlignment="0" applyProtection="0"/>
    <xf numFmtId="0" fontId="54" fillId="0" borderId="0"/>
    <xf numFmtId="0" fontId="28" fillId="0" borderId="0"/>
    <xf numFmtId="0" fontId="61" fillId="0" borderId="0" applyNumberFormat="0" applyFill="0" applyBorder="0" applyAlignment="0" applyProtection="0"/>
    <xf numFmtId="0" fontId="62" fillId="0" borderId="14" applyNumberFormat="0" applyFont="0" applyFill="0" applyAlignment="0" applyProtection="0"/>
    <xf numFmtId="206" fontId="63" fillId="0" borderId="15" applyNumberFormat="0" applyProtection="0">
      <alignment horizontal="right" vertical="center"/>
    </xf>
    <xf numFmtId="206" fontId="64" fillId="0" borderId="16" applyNumberFormat="0" applyProtection="0">
      <alignment horizontal="right" vertical="center"/>
    </xf>
    <xf numFmtId="0" fontId="64" fillId="4" borderId="14" applyNumberFormat="0" applyAlignment="0" applyProtection="0">
      <alignment horizontal="left" vertical="center" indent="1"/>
    </xf>
    <xf numFmtId="0" fontId="65" fillId="5" borderId="16" applyNumberFormat="0" applyAlignment="0" applyProtection="0">
      <alignment horizontal="left" vertical="center" indent="1"/>
    </xf>
    <xf numFmtId="0" fontId="65" fillId="5" borderId="16" applyNumberFormat="0" applyAlignment="0" applyProtection="0">
      <alignment horizontal="left" vertical="center" indent="1"/>
    </xf>
    <xf numFmtId="0" fontId="66" fillId="0" borderId="17" applyNumberFormat="0" applyFill="0" applyBorder="0" applyAlignment="0" applyProtection="0"/>
    <xf numFmtId="206" fontId="67" fillId="6" borderId="18" applyNumberFormat="0" applyBorder="0" applyAlignment="0" applyProtection="0">
      <alignment horizontal="right" vertical="center" indent="1"/>
    </xf>
    <xf numFmtId="206" fontId="68" fillId="7" borderId="18" applyNumberFormat="0" applyBorder="0" applyAlignment="0" applyProtection="0">
      <alignment horizontal="right" vertical="center" indent="1"/>
    </xf>
    <xf numFmtId="206" fontId="68" fillId="8" borderId="18" applyNumberFormat="0" applyBorder="0" applyAlignment="0" applyProtection="0">
      <alignment horizontal="right" vertical="center" indent="1"/>
    </xf>
    <xf numFmtId="206" fontId="69" fillId="9" borderId="18" applyNumberFormat="0" applyBorder="0" applyAlignment="0" applyProtection="0">
      <alignment horizontal="right" vertical="center" indent="1"/>
    </xf>
    <xf numFmtId="206" fontId="69" fillId="10" borderId="18" applyNumberFormat="0" applyBorder="0" applyAlignment="0" applyProtection="0">
      <alignment horizontal="right" vertical="center" indent="1"/>
    </xf>
    <xf numFmtId="206" fontId="69" fillId="11" borderId="18" applyNumberFormat="0" applyBorder="0" applyAlignment="0" applyProtection="0">
      <alignment horizontal="right" vertical="center" indent="1"/>
    </xf>
    <xf numFmtId="206" fontId="70" fillId="12" borderId="18" applyNumberFormat="0" applyBorder="0" applyAlignment="0" applyProtection="0">
      <alignment horizontal="right" vertical="center" indent="1"/>
    </xf>
    <xf numFmtId="206" fontId="70" fillId="13" borderId="18" applyNumberFormat="0" applyBorder="0" applyAlignment="0" applyProtection="0">
      <alignment horizontal="right" vertical="center" indent="1"/>
    </xf>
    <xf numFmtId="206" fontId="70" fillId="14" borderId="18" applyNumberFormat="0" applyBorder="0" applyAlignment="0" applyProtection="0">
      <alignment horizontal="right" vertical="center" indent="1"/>
    </xf>
    <xf numFmtId="0" fontId="65" fillId="15" borderId="14" applyNumberFormat="0" applyAlignment="0" applyProtection="0">
      <alignment horizontal="left" vertical="center" indent="1"/>
    </xf>
    <xf numFmtId="0" fontId="65" fillId="16" borderId="14" applyNumberFormat="0" applyAlignment="0" applyProtection="0">
      <alignment horizontal="left" vertical="center" indent="1"/>
    </xf>
    <xf numFmtId="0" fontId="65" fillId="17" borderId="14" applyNumberFormat="0" applyAlignment="0" applyProtection="0">
      <alignment horizontal="left" vertical="center" indent="1"/>
    </xf>
    <xf numFmtId="0" fontId="65" fillId="18" borderId="14" applyNumberFormat="0" applyAlignment="0" applyProtection="0">
      <alignment horizontal="left" vertical="center" indent="1"/>
    </xf>
    <xf numFmtId="0" fontId="65" fillId="19" borderId="16" applyNumberFormat="0" applyAlignment="0" applyProtection="0">
      <alignment horizontal="left" vertical="center" indent="1"/>
    </xf>
    <xf numFmtId="206" fontId="63" fillId="18" borderId="15" applyNumberFormat="0" applyBorder="0" applyProtection="0">
      <alignment horizontal="right" vertical="center"/>
    </xf>
    <xf numFmtId="206" fontId="64" fillId="18" borderId="16" applyNumberFormat="0" applyBorder="0" applyProtection="0">
      <alignment horizontal="right" vertical="center"/>
    </xf>
    <xf numFmtId="206" fontId="63" fillId="20" borderId="14" applyNumberFormat="0" applyAlignment="0" applyProtection="0">
      <alignment horizontal="left" vertical="center" indent="1"/>
    </xf>
    <xf numFmtId="0" fontId="64" fillId="4" borderId="16" applyNumberFormat="0" applyAlignment="0" applyProtection="0">
      <alignment horizontal="left" vertical="center" indent="1"/>
    </xf>
    <xf numFmtId="0" fontId="65" fillId="19" borderId="16" applyNumberFormat="0" applyAlignment="0" applyProtection="0">
      <alignment horizontal="left" vertical="center" indent="1"/>
    </xf>
    <xf numFmtId="206" fontId="64" fillId="19" borderId="16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49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3" borderId="0" applyNumberFormat="0" applyBorder="0" applyAlignment="0" applyProtection="0"/>
    <xf numFmtId="0" fontId="75" fillId="25" borderId="0" applyNumberFormat="0" applyBorder="0" applyAlignment="0" applyProtection="0"/>
    <xf numFmtId="0" fontId="75" fillId="22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5" borderId="0" applyNumberFormat="0" applyBorder="0" applyAlignment="0" applyProtection="0"/>
    <xf numFmtId="0" fontId="75" fillId="23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7" borderId="0" applyNumberFormat="0" applyBorder="0" applyAlignment="0" applyProtection="0"/>
    <xf numFmtId="0" fontId="76" fillId="25" borderId="0" applyNumberFormat="0" applyBorder="0" applyAlignment="0" applyProtection="0"/>
    <xf numFmtId="0" fontId="76" fillId="22" borderId="0" applyNumberFormat="0" applyBorder="0" applyAlignment="0" applyProtection="0"/>
    <xf numFmtId="0" fontId="77" fillId="0" borderId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3" fontId="78" fillId="34" borderId="0" applyBorder="0">
      <alignment horizontal="right"/>
      <protection locked="0"/>
    </xf>
    <xf numFmtId="0" fontId="79" fillId="3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4" borderId="19" applyNumberFormat="0" applyAlignment="0" applyProtection="0"/>
    <xf numFmtId="0" fontId="82" fillId="36" borderId="20" applyNumberFormat="0" applyAlignment="0" applyProtection="0"/>
    <xf numFmtId="0" fontId="83" fillId="37" borderId="0">
      <alignment horizontal="left"/>
    </xf>
    <xf numFmtId="0" fontId="84" fillId="37" borderId="0">
      <alignment horizontal="right"/>
    </xf>
    <xf numFmtId="0" fontId="85" fillId="34" borderId="0">
      <alignment horizontal="center"/>
    </xf>
    <xf numFmtId="0" fontId="84" fillId="37" borderId="0">
      <alignment horizontal="right"/>
    </xf>
    <xf numFmtId="0" fontId="86" fillId="34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9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21"/>
    <xf numFmtId="0" fontId="10" fillId="0" borderId="0" applyNumberFormat="0">
      <protection locked="0"/>
    </xf>
    <xf numFmtId="0" fontId="87" fillId="0" borderId="0" applyNumberFormat="0" applyFill="0" applyBorder="0" applyAlignment="0" applyProtection="0"/>
    <xf numFmtId="0" fontId="88" fillId="25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3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89" fillId="0" borderId="22" applyNumberFormat="0" applyFill="0" applyAlignment="0" applyProtection="0"/>
    <xf numFmtId="0" fontId="90" fillId="0" borderId="23" applyNumberFormat="0" applyFill="0" applyAlignment="0" applyProtection="0"/>
    <xf numFmtId="0" fontId="91" fillId="0" borderId="24" applyNumberFormat="0" applyFill="0" applyAlignment="0" applyProtection="0"/>
    <xf numFmtId="0" fontId="91" fillId="0" borderId="0" applyNumberFormat="0" applyFill="0" applyBorder="0" applyAlignment="0" applyProtection="0"/>
    <xf numFmtId="10" fontId="10" fillId="38" borderId="12" applyNumberFormat="0" applyBorder="0" applyAlignment="0" applyProtection="0"/>
    <xf numFmtId="0" fontId="92" fillId="26" borderId="19" applyNumberFormat="0" applyAlignment="0" applyProtection="0"/>
    <xf numFmtId="41" fontId="55" fillId="0" borderId="0">
      <alignment horizontal="left"/>
    </xf>
    <xf numFmtId="0" fontId="93" fillId="39" borderId="21"/>
    <xf numFmtId="0" fontId="83" fillId="37" borderId="0">
      <alignment horizontal="left"/>
    </xf>
    <xf numFmtId="0" fontId="47" fillId="34" borderId="0">
      <alignment horizontal="left"/>
    </xf>
    <xf numFmtId="0" fontId="94" fillId="0" borderId="25" applyNumberFormat="0" applyFill="0" applyAlignment="0" applyProtection="0"/>
    <xf numFmtId="0" fontId="95" fillId="26" borderId="0" applyNumberFormat="0" applyBorder="0" applyAlignment="0" applyProtection="0"/>
    <xf numFmtId="37" fontId="96" fillId="0" borderId="0"/>
    <xf numFmtId="3" fontId="10" fillId="2" borderId="0" applyNumberFormat="0"/>
    <xf numFmtId="211" fontId="97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9" fillId="0" borderId="0"/>
    <xf numFmtId="0" fontId="1" fillId="23" borderId="26" applyNumberFormat="0" applyFont="0" applyAlignment="0" applyProtection="0"/>
    <xf numFmtId="43" fontId="99" fillId="0" borderId="0"/>
    <xf numFmtId="212" fontId="100" fillId="0" borderId="0"/>
    <xf numFmtId="0" fontId="101" fillId="34" borderId="27" applyNumberFormat="0" applyAlignment="0" applyProtection="0"/>
    <xf numFmtId="40" fontId="102" fillId="40" borderId="0">
      <alignment horizontal="right"/>
    </xf>
    <xf numFmtId="0" fontId="103" fillId="40" borderId="0">
      <alignment horizontal="right"/>
    </xf>
    <xf numFmtId="0" fontId="104" fillId="40" borderId="2"/>
    <xf numFmtId="0" fontId="104" fillId="0" borderId="0" applyBorder="0">
      <alignment horizontal="centerContinuous"/>
    </xf>
    <xf numFmtId="0" fontId="105" fillId="0" borderId="0" applyBorder="0">
      <alignment horizontal="centerContinuous"/>
    </xf>
    <xf numFmtId="10" fontId="1" fillId="0" borderId="0" applyFont="0" applyFill="0" applyBorder="0" applyAlignment="0" applyProtection="0"/>
    <xf numFmtId="0" fontId="106" fillId="0" borderId="0" applyNumberFormat="0" applyFont="0" applyFill="0" applyBorder="0" applyAlignment="0" applyProtection="0">
      <alignment horizontal="left"/>
    </xf>
    <xf numFmtId="15" fontId="106" fillId="0" borderId="0" applyFont="0" applyFill="0" applyBorder="0" applyAlignment="0" applyProtection="0"/>
    <xf numFmtId="4" fontId="106" fillId="0" borderId="0" applyFont="0" applyFill="0" applyBorder="0" applyAlignment="0" applyProtection="0"/>
    <xf numFmtId="0" fontId="107" fillId="0" borderId="11">
      <alignment horizontal="center"/>
    </xf>
    <xf numFmtId="3" fontId="106" fillId="0" borderId="0" applyFont="0" applyFill="0" applyBorder="0" applyAlignment="0" applyProtection="0"/>
    <xf numFmtId="0" fontId="106" fillId="41" borderId="0" applyNumberFormat="0" applyFont="0" applyBorder="0" applyAlignment="0" applyProtection="0"/>
    <xf numFmtId="0" fontId="47" fillId="26" borderId="0">
      <alignment horizontal="center"/>
    </xf>
    <xf numFmtId="49" fontId="60" fillId="34" borderId="0">
      <alignment horizontal="center"/>
    </xf>
    <xf numFmtId="0" fontId="80" fillId="0" borderId="0"/>
    <xf numFmtId="0" fontId="80" fillId="0" borderId="0"/>
    <xf numFmtId="0" fontId="84" fillId="37" borderId="0">
      <alignment horizontal="center"/>
    </xf>
    <xf numFmtId="0" fontId="84" fillId="37" borderId="0">
      <alignment horizontal="centerContinuous"/>
    </xf>
    <xf numFmtId="0" fontId="108" fillId="34" borderId="0">
      <alignment horizontal="left"/>
    </xf>
    <xf numFmtId="49" fontId="108" fillId="34" borderId="0">
      <alignment horizontal="center"/>
    </xf>
    <xf numFmtId="0" fontId="83" fillId="37" borderId="0">
      <alignment horizontal="left"/>
    </xf>
    <xf numFmtId="49" fontId="108" fillId="34" borderId="0">
      <alignment horizontal="left"/>
    </xf>
    <xf numFmtId="0" fontId="83" fillId="37" borderId="0">
      <alignment horizontal="centerContinuous"/>
    </xf>
    <xf numFmtId="0" fontId="83" fillId="37" borderId="0">
      <alignment horizontal="right"/>
    </xf>
    <xf numFmtId="49" fontId="47" fillId="34" borderId="0">
      <alignment horizontal="left"/>
    </xf>
    <xf numFmtId="0" fontId="84" fillId="37" borderId="0">
      <alignment horizontal="right"/>
    </xf>
    <xf numFmtId="0" fontId="108" fillId="24" borderId="0">
      <alignment horizontal="center"/>
    </xf>
    <xf numFmtId="0" fontId="109" fillId="24" borderId="0">
      <alignment horizontal="center"/>
    </xf>
    <xf numFmtId="206" fontId="110" fillId="20" borderId="0" applyNumberFormat="0" applyAlignment="0" applyProtection="0">
      <alignment horizontal="left" vertical="center" indent="1"/>
    </xf>
    <xf numFmtId="0" fontId="62" fillId="0" borderId="28" applyNumberFormat="0" applyFont="0" applyFill="0" applyAlignment="0" applyProtection="0"/>
    <xf numFmtId="206" fontId="63" fillId="20" borderId="14" applyNumberFormat="0" applyAlignment="0" applyProtection="0">
      <alignment horizontal="left" vertical="center" indent="1"/>
    </xf>
    <xf numFmtId="0" fontId="65" fillId="42" borderId="29" applyNumberFormat="0" applyAlignment="0" applyProtection="0">
      <alignment horizontal="left" vertical="center" indent="1"/>
    </xf>
    <xf numFmtId="0" fontId="65" fillId="43" borderId="29" applyNumberFormat="0" applyAlignment="0" applyProtection="0">
      <alignment horizontal="left" vertical="center" indent="1"/>
    </xf>
    <xf numFmtId="206" fontId="63" fillId="0" borderId="15" applyNumberFormat="0" applyFill="0" applyBorder="0" applyAlignment="0" applyProtection="0">
      <alignment horizontal="right" vertical="center"/>
    </xf>
    <xf numFmtId="0" fontId="80" fillId="0" borderId="21"/>
    <xf numFmtId="0" fontId="80" fillId="0" borderId="21"/>
    <xf numFmtId="0" fontId="111" fillId="37" borderId="0"/>
    <xf numFmtId="0" fontId="111" fillId="37" borderId="0"/>
    <xf numFmtId="0" fontId="112" fillId="0" borderId="0" applyNumberFormat="0" applyFill="0" applyBorder="0" applyAlignment="0" applyProtection="0"/>
    <xf numFmtId="0" fontId="113" fillId="0" borderId="30" applyNumberFormat="0" applyFill="0" applyAlignment="0" applyProtection="0"/>
    <xf numFmtId="0" fontId="93" fillId="0" borderId="31"/>
    <xf numFmtId="0" fontId="93" fillId="0" borderId="31"/>
    <xf numFmtId="0" fontId="93" fillId="0" borderId="21"/>
    <xf numFmtId="0" fontId="93" fillId="0" borderId="21"/>
    <xf numFmtId="0" fontId="114" fillId="34" borderId="0">
      <alignment horizontal="center"/>
    </xf>
    <xf numFmtId="0" fontId="94" fillId="0" borderId="0" applyNumberFormat="0" applyFill="0" applyBorder="0" applyAlignment="0" applyProtection="0"/>
    <xf numFmtId="0" fontId="115" fillId="0" borderId="0"/>
  </cellStyleXfs>
  <cellXfs count="509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 applyFont="1" applyBorder="1"/>
    <xf numFmtId="166" fontId="1" fillId="0" borderId="0" xfId="1" applyNumberFormat="1"/>
    <xf numFmtId="165" fontId="1" fillId="0" borderId="1" xfId="1" applyNumberFormat="1" applyFill="1" applyBorder="1"/>
    <xf numFmtId="14" fontId="1" fillId="0" borderId="0" xfId="1" applyNumberFormat="1" applyFill="1"/>
    <xf numFmtId="0" fontId="1" fillId="0" borderId="0" xfId="1" applyFont="1" applyBorder="1"/>
    <xf numFmtId="0" fontId="1" fillId="0" borderId="0" xfId="1" applyFill="1" applyAlignment="1">
      <alignment horizontal="center"/>
    </xf>
    <xf numFmtId="0" fontId="7" fillId="0" borderId="0" xfId="1" applyFont="1" applyBorder="1"/>
    <xf numFmtId="0" fontId="8" fillId="0" borderId="0" xfId="1" applyFont="1"/>
    <xf numFmtId="165" fontId="1" fillId="0" borderId="0" xfId="1" applyNumberForma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1" fillId="0" borderId="1" xfId="1" applyNumberFormat="1" applyBorder="1"/>
    <xf numFmtId="165" fontId="3" fillId="0" borderId="1" xfId="1" applyNumberFormat="1" applyFont="1" applyFill="1" applyBorder="1"/>
    <xf numFmtId="0" fontId="1" fillId="0" borderId="0" xfId="1" applyAlignment="1">
      <alignment horizontal="left" indent="2"/>
    </xf>
    <xf numFmtId="165" fontId="1" fillId="0" borderId="0" xfId="1" applyNumberFormat="1" applyFill="1"/>
    <xf numFmtId="0" fontId="1" fillId="0" borderId="0" xfId="1" applyAlignment="1">
      <alignment horizontal="left" indent="3"/>
    </xf>
    <xf numFmtId="0" fontId="3" fillId="0" borderId="0" xfId="6"/>
    <xf numFmtId="0" fontId="8" fillId="0" borderId="0" xfId="1" applyFont="1" applyBorder="1"/>
    <xf numFmtId="0" fontId="1" fillId="0" borderId="0" xfId="1" quotePrefix="1" applyFill="1" applyAlignment="1">
      <alignment horizontal="center"/>
    </xf>
    <xf numFmtId="0" fontId="7" fillId="0" borderId="1" xfId="1" applyFont="1" applyBorder="1"/>
    <xf numFmtId="49" fontId="7" fillId="0" borderId="1" xfId="1" quotePrefix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0" fontId="7" fillId="0" borderId="1" xfId="1" applyNumberFormat="1" applyFont="1" applyBorder="1"/>
    <xf numFmtId="0" fontId="1" fillId="0" borderId="0" xfId="1" applyBorder="1"/>
    <xf numFmtId="0" fontId="13" fillId="0" borderId="0" xfId="6" applyFont="1" applyFill="1"/>
    <xf numFmtId="165" fontId="13" fillId="0" borderId="0" xfId="6" applyNumberFormat="1" applyFont="1" applyFill="1"/>
    <xf numFmtId="0" fontId="14" fillId="0" borderId="0" xfId="6" applyFont="1" applyFill="1" applyProtection="1"/>
    <xf numFmtId="39" fontId="13" fillId="0" borderId="0" xfId="6" applyNumberFormat="1" applyFont="1" applyFill="1"/>
    <xf numFmtId="38" fontId="13" fillId="0" borderId="0" xfId="6" applyNumberFormat="1" applyFont="1" applyFill="1"/>
    <xf numFmtId="37" fontId="14" fillId="0" borderId="5" xfId="6" applyNumberFormat="1" applyFont="1" applyFill="1" applyBorder="1" applyProtection="1"/>
    <xf numFmtId="0" fontId="14" fillId="0" borderId="5" xfId="6" applyFont="1" applyFill="1" applyBorder="1" applyProtection="1"/>
    <xf numFmtId="165" fontId="14" fillId="0" borderId="0" xfId="6" applyNumberFormat="1" applyFont="1" applyFill="1" applyProtection="1"/>
    <xf numFmtId="37" fontId="14" fillId="0" borderId="0" xfId="6" applyNumberFormat="1" applyFont="1" applyFill="1" applyProtection="1"/>
    <xf numFmtId="37" fontId="14" fillId="0" borderId="6" xfId="6" applyNumberFormat="1" applyFont="1" applyFill="1" applyBorder="1" applyProtection="1"/>
    <xf numFmtId="37" fontId="14" fillId="0" borderId="3" xfId="6" applyNumberFormat="1" applyFont="1" applyFill="1" applyBorder="1" applyProtection="1"/>
    <xf numFmtId="37" fontId="13" fillId="0" borderId="0" xfId="6" applyNumberFormat="1" applyFont="1" applyFill="1" applyProtection="1"/>
    <xf numFmtId="37" fontId="13" fillId="0" borderId="0" xfId="6" applyNumberFormat="1" applyFont="1" applyFill="1"/>
    <xf numFmtId="37" fontId="14" fillId="0" borderId="0" xfId="6" applyNumberFormat="1" applyFont="1" applyFill="1" applyAlignment="1" applyProtection="1">
      <alignment horizontal="center"/>
    </xf>
    <xf numFmtId="176" fontId="16" fillId="0" borderId="0" xfId="6" applyNumberFormat="1" applyFont="1" applyFill="1" applyProtection="1"/>
    <xf numFmtId="0" fontId="14" fillId="0" borderId="0" xfId="6" quotePrefix="1" applyFont="1" applyFill="1" applyProtection="1"/>
    <xf numFmtId="0" fontId="14" fillId="0" borderId="0" xfId="6" quotePrefix="1" applyFont="1" applyFill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7" fillId="0" borderId="0" xfId="6" applyFont="1" applyFill="1" applyProtection="1"/>
    <xf numFmtId="38" fontId="13" fillId="0" borderId="6" xfId="6" applyNumberFormat="1" applyFont="1" applyFill="1" applyBorder="1"/>
    <xf numFmtId="0" fontId="13" fillId="0" borderId="0" xfId="6" applyFont="1" applyFill="1" applyBorder="1"/>
    <xf numFmtId="0" fontId="14" fillId="0" borderId="0" xfId="6" applyFont="1" applyFill="1" applyBorder="1" applyProtection="1"/>
    <xf numFmtId="37" fontId="14" fillId="0" borderId="0" xfId="6" applyNumberFormat="1" applyFont="1" applyFill="1" applyBorder="1" applyProtection="1"/>
    <xf numFmtId="177" fontId="14" fillId="0" borderId="0" xfId="6" applyNumberFormat="1" applyFont="1" applyFill="1" applyBorder="1" applyProtection="1"/>
    <xf numFmtId="177" fontId="14" fillId="0" borderId="0" xfId="6" applyNumberFormat="1" applyFont="1" applyFill="1" applyProtection="1"/>
    <xf numFmtId="14" fontId="13" fillId="0" borderId="0" xfId="6" applyNumberFormat="1" applyFont="1" applyFill="1"/>
    <xf numFmtId="0" fontId="14" fillId="0" borderId="0" xfId="6" applyFont="1" applyFill="1" applyAlignment="1" applyProtection="1">
      <alignment horizontal="center"/>
    </xf>
    <xf numFmtId="0" fontId="18" fillId="0" borderId="0" xfId="6" applyFont="1" applyFill="1" applyProtection="1"/>
    <xf numFmtId="0" fontId="18" fillId="0" borderId="7" xfId="6" applyFont="1" applyFill="1" applyBorder="1" applyProtection="1"/>
    <xf numFmtId="0" fontId="18" fillId="0" borderId="7" xfId="6" applyFont="1" applyFill="1" applyBorder="1" applyAlignment="1" applyProtection="1">
      <alignment horizontal="center"/>
    </xf>
    <xf numFmtId="0" fontId="18" fillId="0" borderId="0" xfId="6" applyFont="1" applyFill="1" applyAlignment="1" applyProtection="1">
      <alignment horizontal="center"/>
    </xf>
    <xf numFmtId="0" fontId="18" fillId="0" borderId="7" xfId="6" applyFont="1" applyFill="1" applyBorder="1" applyAlignment="1" applyProtection="1">
      <alignment horizontal="centerContinuous"/>
    </xf>
    <xf numFmtId="0" fontId="19" fillId="0" borderId="0" xfId="6" applyFont="1" applyFill="1" applyProtection="1">
      <protection locked="0"/>
    </xf>
    <xf numFmtId="0" fontId="13" fillId="0" borderId="0" xfId="6" applyFont="1" applyFill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left"/>
    </xf>
    <xf numFmtId="37" fontId="14" fillId="0" borderId="1" xfId="6" applyNumberFormat="1" applyFont="1" applyFill="1" applyBorder="1" applyProtection="1"/>
    <xf numFmtId="37" fontId="14" fillId="0" borderId="0" xfId="6" quotePrefix="1" applyNumberFormat="1" applyFont="1" applyFill="1" applyAlignment="1" applyProtection="1">
      <alignment horizontal="center"/>
    </xf>
    <xf numFmtId="0" fontId="13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 applyProtection="1"/>
    <xf numFmtId="178" fontId="14" fillId="0" borderId="5" xfId="4" applyNumberFormat="1" applyFont="1" applyFill="1" applyBorder="1" applyProtection="1"/>
    <xf numFmtId="10" fontId="14" fillId="0" borderId="5" xfId="6" applyNumberFormat="1" applyFont="1" applyFill="1" applyBorder="1" applyProtection="1"/>
    <xf numFmtId="179" fontId="14" fillId="0" borderId="0" xfId="6" applyNumberFormat="1" applyFont="1" applyFill="1" applyAlignment="1" applyProtection="1">
      <alignment horizontal="center"/>
    </xf>
    <xf numFmtId="176" fontId="14" fillId="0" borderId="0" xfId="6" applyNumberFormat="1" applyFont="1" applyFill="1" applyProtection="1"/>
    <xf numFmtId="180" fontId="14" fillId="0" borderId="0" xfId="2" applyNumberFormat="1" applyFont="1" applyFill="1" applyBorder="1" applyProtection="1"/>
    <xf numFmtId="37" fontId="14" fillId="0" borderId="7" xfId="6" applyNumberFormat="1" applyFont="1" applyFill="1" applyBorder="1" applyProtection="1"/>
    <xf numFmtId="178" fontId="14" fillId="0" borderId="0" xfId="4" applyNumberFormat="1" applyFont="1" applyFill="1" applyBorder="1" applyProtection="1"/>
    <xf numFmtId="0" fontId="14" fillId="0" borderId="0" xfId="6" applyFont="1" applyFill="1" applyBorder="1" applyAlignment="1" applyProtection="1">
      <alignment horizontal="center"/>
    </xf>
    <xf numFmtId="176" fontId="14" fillId="0" borderId="0" xfId="6" applyNumberFormat="1" applyFont="1" applyFill="1" applyBorder="1" applyProtection="1"/>
    <xf numFmtId="0" fontId="14" fillId="0" borderId="7" xfId="6" applyFont="1" applyFill="1" applyBorder="1" applyProtection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 applyFill="1" applyProtection="1"/>
    <xf numFmtId="178" fontId="14" fillId="0" borderId="5" xfId="4" applyNumberFormat="1" applyFont="1" applyFill="1" applyBorder="1" applyAlignment="1" applyProtection="1">
      <alignment horizontal="center"/>
    </xf>
    <xf numFmtId="0" fontId="14" fillId="0" borderId="0" xfId="6" applyFont="1" applyProtection="1"/>
    <xf numFmtId="176" fontId="14" fillId="0" borderId="0" xfId="6" applyNumberFormat="1" applyFont="1" applyProtection="1"/>
    <xf numFmtId="0" fontId="14" fillId="0" borderId="0" xfId="6" applyFont="1" applyBorder="1" applyProtection="1"/>
    <xf numFmtId="176" fontId="14" fillId="0" borderId="0" xfId="6" applyNumberFormat="1" applyFont="1" applyBorder="1" applyAlignment="1" applyProtection="1">
      <alignment horizontal="center"/>
    </xf>
    <xf numFmtId="0" fontId="14" fillId="0" borderId="7" xfId="6" applyFont="1" applyBorder="1" applyProtection="1"/>
    <xf numFmtId="0" fontId="14" fillId="0" borderId="0" xfId="6" applyFont="1" applyAlignment="1" applyProtection="1">
      <alignment horizontal="center"/>
    </xf>
    <xf numFmtId="0" fontId="14" fillId="0" borderId="8" xfId="6" applyFont="1" applyBorder="1" applyProtection="1"/>
    <xf numFmtId="37" fontId="13" fillId="0" borderId="0" xfId="6" applyNumberFormat="1" applyFont="1"/>
    <xf numFmtId="165" fontId="14" fillId="0" borderId="0" xfId="6" applyNumberFormat="1" applyFont="1" applyProtection="1"/>
    <xf numFmtId="0" fontId="22" fillId="0" borderId="0" xfId="6" applyFont="1" applyProtection="1"/>
    <xf numFmtId="165" fontId="14" fillId="0" borderId="7" xfId="6" applyNumberFormat="1" applyFont="1" applyFill="1" applyBorder="1" applyProtection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 applyFill="1" applyProtection="1"/>
    <xf numFmtId="0" fontId="17" fillId="0" borderId="0" xfId="6" applyFont="1" applyProtection="1"/>
    <xf numFmtId="0" fontId="18" fillId="0" borderId="0" xfId="6" applyFont="1" applyProtection="1"/>
    <xf numFmtId="0" fontId="18" fillId="0" borderId="7" xfId="6" applyFont="1" applyBorder="1" applyAlignment="1" applyProtection="1">
      <alignment horizontal="center"/>
    </xf>
    <xf numFmtId="0" fontId="18" fillId="0" borderId="7" xfId="6" applyFont="1" applyBorder="1" applyProtection="1"/>
    <xf numFmtId="0" fontId="18" fillId="0" borderId="0" xfId="6" applyFont="1" applyAlignment="1" applyProtection="1">
      <alignment horizontal="center"/>
    </xf>
    <xf numFmtId="0" fontId="24" fillId="0" borderId="0" xfId="6" applyFont="1" applyProtection="1"/>
    <xf numFmtId="0" fontId="14" fillId="0" borderId="0" xfId="6" applyFont="1" applyAlignment="1" applyProtection="1">
      <alignment horizontal="left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 applyProtection="1">
      <alignment horizontal="left"/>
    </xf>
    <xf numFmtId="165" fontId="14" fillId="0" borderId="5" xfId="6" applyNumberFormat="1" applyFont="1" applyFill="1" applyBorder="1" applyProtection="1"/>
    <xf numFmtId="165" fontId="14" fillId="0" borderId="0" xfId="6" applyNumberFormat="1" applyFont="1" applyFill="1" applyBorder="1" applyProtection="1"/>
    <xf numFmtId="0" fontId="14" fillId="0" borderId="0" xfId="6" quotePrefix="1" applyFont="1" applyFill="1" applyAlignment="1" applyProtection="1">
      <alignment horizontal="center"/>
    </xf>
    <xf numFmtId="10" fontId="14" fillId="0" borderId="0" xfId="6" applyNumberFormat="1" applyFont="1" applyFill="1" applyBorder="1" applyProtection="1"/>
    <xf numFmtId="0" fontId="22" fillId="0" borderId="0" xfId="6" applyFont="1" applyFill="1" applyBorder="1" applyProtection="1"/>
    <xf numFmtId="38" fontId="14" fillId="0" borderId="5" xfId="6" applyNumberFormat="1" applyFont="1" applyFill="1" applyBorder="1" applyProtection="1"/>
    <xf numFmtId="0" fontId="16" fillId="0" borderId="0" xfId="6" applyFont="1" applyFill="1"/>
    <xf numFmtId="10" fontId="14" fillId="0" borderId="0" xfId="5" applyNumberFormat="1" applyFont="1" applyFill="1" applyProtection="1"/>
    <xf numFmtId="0" fontId="23" fillId="0" borderId="0" xfId="6" applyFont="1" applyFill="1"/>
    <xf numFmtId="38" fontId="14" fillId="0" borderId="0" xfId="6" applyNumberFormat="1" applyFont="1" applyFill="1" applyProtection="1"/>
    <xf numFmtId="180" fontId="14" fillId="0" borderId="0" xfId="2" applyNumberFormat="1" applyFont="1" applyFill="1" applyProtection="1"/>
    <xf numFmtId="0" fontId="18" fillId="0" borderId="0" xfId="6" applyFont="1" applyFill="1" applyBorder="1" applyAlignment="1" applyProtection="1">
      <alignment horizontal="center"/>
    </xf>
    <xf numFmtId="0" fontId="18" fillId="0" borderId="0" xfId="6" applyFont="1" applyFill="1" applyBorder="1" applyAlignment="1" applyProtection="1"/>
    <xf numFmtId="0" fontId="22" fillId="0" borderId="0" xfId="6" applyFont="1" applyFill="1" applyProtection="1"/>
    <xf numFmtId="0" fontId="18" fillId="0" borderId="0" xfId="6" applyFont="1" applyFill="1" applyAlignment="1" applyProtection="1">
      <alignment horizontal="centerContinuous"/>
    </xf>
    <xf numFmtId="0" fontId="13" fillId="0" borderId="0" xfId="6" applyFont="1" applyFill="1" applyAlignment="1">
      <alignment horizontal="center"/>
    </xf>
    <xf numFmtId="0" fontId="14" fillId="0" borderId="0" xfId="6" applyFont="1" applyFill="1" applyAlignment="1" applyProtection="1">
      <alignment horizontal="centerContinuous"/>
    </xf>
    <xf numFmtId="166" fontId="14" fillId="0" borderId="0" xfId="6" applyNumberFormat="1" applyFont="1" applyFill="1" applyProtection="1"/>
    <xf numFmtId="169" fontId="14" fillId="0" borderId="0" xfId="6" applyNumberFormat="1" applyFont="1" applyFill="1" applyBorder="1" applyProtection="1"/>
    <xf numFmtId="169" fontId="14" fillId="0" borderId="0" xfId="6" applyNumberFormat="1" applyFont="1" applyFill="1" applyProtection="1"/>
    <xf numFmtId="5" fontId="14" fillId="0" borderId="0" xfId="6" applyNumberFormat="1" applyFont="1" applyFill="1" applyProtection="1"/>
    <xf numFmtId="0" fontId="14" fillId="0" borderId="7" xfId="6" applyFont="1" applyFill="1" applyBorder="1" applyAlignment="1" applyProtection="1">
      <alignment horizontal="center"/>
    </xf>
    <xf numFmtId="0" fontId="14" fillId="0" borderId="7" xfId="6" applyFont="1" applyFill="1" applyBorder="1" applyAlignment="1" applyProtection="1">
      <alignment horizontal="centerContinuous"/>
    </xf>
    <xf numFmtId="183" fontId="14" fillId="0" borderId="5" xfId="6" applyNumberFormat="1" applyFont="1" applyFill="1" applyBorder="1" applyProtection="1"/>
    <xf numFmtId="5" fontId="14" fillId="0" borderId="5" xfId="6" applyNumberFormat="1" applyFont="1" applyFill="1" applyBorder="1" applyProtection="1"/>
    <xf numFmtId="183" fontId="14" fillId="0" borderId="0" xfId="6" applyNumberFormat="1" applyFont="1" applyFill="1" applyBorder="1" applyAlignment="1" applyProtection="1">
      <alignment horizontal="right"/>
    </xf>
    <xf numFmtId="183" fontId="14" fillId="0" borderId="0" xfId="6" applyNumberFormat="1" applyFont="1" applyFill="1" applyBorder="1" applyProtection="1"/>
    <xf numFmtId="183" fontId="14" fillId="0" borderId="0" xfId="6" applyNumberFormat="1" applyFont="1" applyFill="1" applyProtection="1"/>
    <xf numFmtId="181" fontId="13" fillId="0" borderId="0" xfId="2" applyNumberFormat="1" applyFont="1" applyFill="1" applyBorder="1"/>
    <xf numFmtId="0" fontId="13" fillId="0" borderId="0" xfId="6" applyFont="1" applyFill="1" applyAlignment="1" applyProtection="1"/>
    <xf numFmtId="0" fontId="14" fillId="0" borderId="0" xfId="6" applyFont="1" applyFill="1" applyAlignment="1" applyProtection="1"/>
    <xf numFmtId="0" fontId="18" fillId="0" borderId="0" xfId="6" applyFont="1" applyFill="1" applyAlignment="1" applyProtection="1"/>
    <xf numFmtId="181" fontId="13" fillId="0" borderId="0" xfId="2" applyNumberFormat="1" applyFont="1" applyFill="1"/>
    <xf numFmtId="175" fontId="14" fillId="0" borderId="0" xfId="6" applyNumberFormat="1" applyFont="1" applyFill="1" applyProtection="1"/>
    <xf numFmtId="0" fontId="14" fillId="0" borderId="1" xfId="6" applyFont="1" applyFill="1" applyBorder="1" applyProtection="1"/>
    <xf numFmtId="0" fontId="22" fillId="0" borderId="0" xfId="6" applyFont="1" applyFill="1" applyAlignment="1" applyProtection="1">
      <alignment horizontal="centerContinuous"/>
    </xf>
    <xf numFmtId="181" fontId="13" fillId="0" borderId="0" xfId="6" applyNumberFormat="1" applyFont="1" applyFill="1"/>
    <xf numFmtId="37" fontId="14" fillId="0" borderId="9" xfId="6" applyNumberFormat="1" applyFont="1" applyFill="1" applyBorder="1" applyProtection="1"/>
    <xf numFmtId="37" fontId="14" fillId="0" borderId="9" xfId="6" applyNumberFormat="1" applyFont="1" applyFill="1" applyBorder="1" applyProtection="1">
      <protection locked="0"/>
    </xf>
    <xf numFmtId="165" fontId="26" fillId="0" borderId="0" xfId="6" applyNumberFormat="1" applyFont="1" applyFill="1" applyProtection="1"/>
    <xf numFmtId="165" fontId="14" fillId="0" borderId="6" xfId="6" applyNumberFormat="1" applyFont="1" applyFill="1" applyBorder="1" applyProtection="1"/>
    <xf numFmtId="37" fontId="13" fillId="0" borderId="1" xfId="6" applyNumberFormat="1" applyFont="1" applyFill="1" applyBorder="1"/>
    <xf numFmtId="37" fontId="13" fillId="0" borderId="0" xfId="6" applyNumberFormat="1" applyFont="1" applyFill="1" applyBorder="1"/>
    <xf numFmtId="0" fontId="24" fillId="0" borderId="0" xfId="6" applyFont="1" applyFill="1" applyProtection="1"/>
    <xf numFmtId="165" fontId="18" fillId="0" borderId="0" xfId="6" applyNumberFormat="1" applyFont="1" applyFill="1" applyProtection="1"/>
    <xf numFmtId="37" fontId="14" fillId="0" borderId="10" xfId="6" applyNumberFormat="1" applyFont="1" applyFill="1" applyBorder="1" applyProtection="1"/>
    <xf numFmtId="0" fontId="19" fillId="0" borderId="0" xfId="6" applyFont="1" applyFill="1" applyProtection="1"/>
    <xf numFmtId="184" fontId="0" fillId="0" borderId="0" xfId="4" applyNumberFormat="1" applyFont="1"/>
    <xf numFmtId="185" fontId="3" fillId="0" borderId="0" xfId="6" applyNumberFormat="1" applyFont="1"/>
    <xf numFmtId="181" fontId="3" fillId="0" borderId="0" xfId="6" applyNumberFormat="1"/>
    <xf numFmtId="185" fontId="27" fillId="0" borderId="0" xfId="4" applyNumberFormat="1" applyFont="1"/>
    <xf numFmtId="184" fontId="28" fillId="0" borderId="0" xfId="4" applyNumberFormat="1" applyFont="1"/>
    <xf numFmtId="181" fontId="27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8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8" fillId="0" borderId="0" xfId="2" applyNumberFormat="1" applyFont="1"/>
    <xf numFmtId="185" fontId="12" fillId="0" borderId="0" xfId="4" applyNumberFormat="1" applyFont="1"/>
    <xf numFmtId="181" fontId="29" fillId="0" borderId="0" xfId="2" applyNumberFormat="1" applyFont="1"/>
    <xf numFmtId="181" fontId="30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0" fontId="3" fillId="0" borderId="0" xfId="6" applyFont="1"/>
    <xf numFmtId="0" fontId="3" fillId="0" borderId="0" xfId="6" applyFill="1"/>
    <xf numFmtId="0" fontId="31" fillId="0" borderId="0" xfId="6" applyFont="1"/>
    <xf numFmtId="188" fontId="31" fillId="0" borderId="0" xfId="6" applyNumberFormat="1" applyFont="1"/>
    <xf numFmtId="0" fontId="32" fillId="0" borderId="0" xfId="6" applyFont="1" applyProtection="1">
      <protection locked="0"/>
    </xf>
    <xf numFmtId="0" fontId="34" fillId="0" borderId="0" xfId="6" applyFont="1" applyAlignment="1" applyProtection="1"/>
    <xf numFmtId="188" fontId="34" fillId="0" borderId="0" xfId="6" applyNumberFormat="1" applyFont="1" applyAlignment="1" applyProtection="1"/>
    <xf numFmtId="0" fontId="34" fillId="0" borderId="0" xfId="6" applyFont="1" applyProtection="1"/>
    <xf numFmtId="0" fontId="32" fillId="0" borderId="0" xfId="6" applyFont="1" applyAlignment="1" applyProtection="1"/>
    <xf numFmtId="0" fontId="35" fillId="0" borderId="0" xfId="6" applyFont="1" applyProtection="1"/>
    <xf numFmtId="189" fontId="36" fillId="0" borderId="0" xfId="4" applyNumberFormat="1" applyFont="1" applyFill="1" applyBorder="1" applyProtection="1"/>
    <xf numFmtId="0" fontId="37" fillId="0" borderId="0" xfId="6" applyFont="1" applyFill="1" applyBorder="1" applyProtection="1"/>
    <xf numFmtId="0" fontId="36" fillId="0" borderId="0" xfId="6" applyFont="1" applyFill="1" applyBorder="1" applyProtection="1">
      <protection locked="0"/>
    </xf>
    <xf numFmtId="189" fontId="33" fillId="0" borderId="4" xfId="4" applyNumberFormat="1" applyFont="1" applyBorder="1" applyProtection="1"/>
    <xf numFmtId="189" fontId="33" fillId="0" borderId="0" xfId="4" applyNumberFormat="1" applyFont="1" applyBorder="1" applyProtection="1"/>
    <xf numFmtId="0" fontId="33" fillId="0" borderId="0" xfId="6" applyFont="1" applyProtection="1"/>
    <xf numFmtId="188" fontId="33" fillId="0" borderId="0" xfId="6" applyNumberFormat="1" applyFont="1" applyProtection="1"/>
    <xf numFmtId="0" fontId="33" fillId="0" borderId="0" xfId="6" applyFont="1" applyProtection="1">
      <protection locked="0"/>
    </xf>
    <xf numFmtId="190" fontId="32" fillId="0" borderId="0" xfId="6" applyNumberFormat="1" applyFont="1" applyProtection="1">
      <protection locked="0"/>
    </xf>
    <xf numFmtId="190" fontId="32" fillId="0" borderId="0" xfId="6" applyNumberFormat="1" applyFont="1" applyBorder="1" applyProtection="1">
      <protection locked="0"/>
    </xf>
    <xf numFmtId="191" fontId="38" fillId="0" borderId="0" xfId="6" applyNumberFormat="1" applyFont="1" applyFill="1"/>
    <xf numFmtId="191" fontId="39" fillId="0" borderId="0" xfId="6" applyNumberFormat="1" applyFont="1" applyFill="1"/>
    <xf numFmtId="0" fontId="35" fillId="0" borderId="7" xfId="6" quotePrefix="1" applyFont="1" applyBorder="1" applyAlignment="1" applyProtection="1">
      <alignment horizontal="center"/>
    </xf>
    <xf numFmtId="0" fontId="35" fillId="0" borderId="0" xfId="6" quotePrefix="1" applyFont="1" applyBorder="1" applyAlignment="1" applyProtection="1">
      <alignment horizontal="center"/>
    </xf>
    <xf numFmtId="188" fontId="35" fillId="0" borderId="0" xfId="6" applyNumberFormat="1" applyFont="1" applyProtection="1"/>
    <xf numFmtId="193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Border="1" applyAlignment="1" applyProtection="1">
      <alignment horizontal="center"/>
    </xf>
    <xf numFmtId="193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 applyProtection="1">
      <alignment horizontal="center"/>
    </xf>
    <xf numFmtId="40" fontId="13" fillId="0" borderId="0" xfId="8" applyNumberFormat="1" applyFont="1"/>
    <xf numFmtId="0" fontId="43" fillId="0" borderId="0" xfId="8" applyFont="1" applyProtection="1"/>
    <xf numFmtId="166" fontId="43" fillId="0" borderId="0" xfId="8" applyNumberFormat="1" applyFont="1" applyBorder="1" applyProtection="1"/>
    <xf numFmtId="0" fontId="13" fillId="0" borderId="0" xfId="8" applyFont="1" applyProtection="1"/>
    <xf numFmtId="0" fontId="13" fillId="0" borderId="0" xfId="8" applyFont="1" applyBorder="1"/>
    <xf numFmtId="5" fontId="13" fillId="0" borderId="0" xfId="8" applyNumberFormat="1" applyFont="1" applyBorder="1" applyProtection="1"/>
    <xf numFmtId="44" fontId="13" fillId="0" borderId="0" xfId="8" applyNumberFormat="1" applyFont="1"/>
    <xf numFmtId="178" fontId="13" fillId="0" borderId="0" xfId="8" applyNumberFormat="1" applyFont="1"/>
    <xf numFmtId="0" fontId="13" fillId="0" borderId="0" xfId="8" applyFont="1" applyBorder="1" applyProtection="1"/>
    <xf numFmtId="0" fontId="13" fillId="0" borderId="0" xfId="8" applyFont="1" applyBorder="1" applyAlignment="1" applyProtection="1">
      <alignment horizontal="center"/>
    </xf>
    <xf numFmtId="37" fontId="13" fillId="0" borderId="0" xfId="8" applyNumberFormat="1" applyFont="1" applyProtection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5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Fill="1" applyBorder="1" applyProtection="1"/>
    <xf numFmtId="0" fontId="44" fillId="0" borderId="0" xfId="8" applyFont="1" applyProtection="1"/>
    <xf numFmtId="44" fontId="13" fillId="0" borderId="0" xfId="8" applyNumberFormat="1" applyFont="1" applyProtection="1"/>
    <xf numFmtId="0" fontId="13" fillId="0" borderId="0" xfId="8" quotePrefix="1" applyFont="1"/>
    <xf numFmtId="39" fontId="13" fillId="0" borderId="0" xfId="8" applyNumberFormat="1" applyFont="1" applyProtection="1"/>
    <xf numFmtId="37" fontId="15" fillId="0" borderId="0" xfId="8" applyNumberFormat="1" applyFont="1" applyFill="1" applyProtection="1"/>
    <xf numFmtId="7" fontId="13" fillId="0" borderId="0" xfId="8" applyNumberFormat="1" applyFont="1" applyProtection="1"/>
    <xf numFmtId="0" fontId="13" fillId="0" borderId="0" xfId="8" applyFont="1" applyAlignment="1" applyProtection="1">
      <alignment horizontal="right"/>
    </xf>
    <xf numFmtId="166" fontId="13" fillId="0" borderId="0" xfId="8" applyNumberFormat="1" applyFont="1" applyProtection="1"/>
    <xf numFmtId="7" fontId="13" fillId="0" borderId="6" xfId="9" quotePrefix="1" applyNumberFormat="1" applyFont="1" applyFill="1" applyBorder="1"/>
    <xf numFmtId="7" fontId="45" fillId="0" borderId="0" xfId="8" applyNumberFormat="1" applyFont="1" applyProtection="1"/>
    <xf numFmtId="39" fontId="13" fillId="0" borderId="0" xfId="8" quotePrefix="1" applyNumberFormat="1" applyFont="1" applyAlignment="1" applyProtection="1">
      <alignment horizontal="left"/>
    </xf>
    <xf numFmtId="14" fontId="13" fillId="0" borderId="0" xfId="8" applyNumberFormat="1" applyFont="1" applyAlignment="1" applyProtection="1">
      <alignment horizontal="center"/>
    </xf>
    <xf numFmtId="39" fontId="13" fillId="0" borderId="0" xfId="8" applyNumberFormat="1" applyFont="1" applyAlignment="1" applyProtection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 applyProtection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0" fontId="13" fillId="0" borderId="0" xfId="8" applyFont="1" applyAlignment="1" applyProtection="1"/>
    <xf numFmtId="39" fontId="13" fillId="0" borderId="0" xfId="8" applyNumberFormat="1" applyFont="1" applyAlignment="1" applyProtection="1"/>
    <xf numFmtId="194" fontId="13" fillId="0" borderId="0" xfId="8" applyNumberFormat="1" applyFont="1" applyAlignment="1" applyProtection="1"/>
    <xf numFmtId="0" fontId="43" fillId="0" borderId="0" xfId="8" applyFont="1" applyAlignment="1" applyProtection="1"/>
    <xf numFmtId="43" fontId="13" fillId="0" borderId="0" xfId="10" applyFont="1"/>
    <xf numFmtId="181" fontId="13" fillId="0" borderId="0" xfId="8" applyNumberFormat="1" applyFont="1"/>
    <xf numFmtId="0" fontId="46" fillId="0" borderId="0" xfId="8" applyFont="1" applyProtection="1"/>
    <xf numFmtId="195" fontId="13" fillId="0" borderId="0" xfId="8" applyNumberFormat="1" applyFont="1" applyProtection="1"/>
    <xf numFmtId="43" fontId="13" fillId="0" borderId="0" xfId="8" applyNumberFormat="1" applyFont="1" applyProtection="1"/>
    <xf numFmtId="0" fontId="42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0" fontId="13" fillId="0" borderId="0" xfId="8" applyFont="1" applyFill="1" applyProtection="1"/>
    <xf numFmtId="0" fontId="13" fillId="0" borderId="0" xfId="8" applyFont="1" applyAlignment="1">
      <alignment horizontal="center"/>
    </xf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Fill="1" applyProtection="1">
      <protection locked="0"/>
    </xf>
    <xf numFmtId="196" fontId="3" fillId="0" borderId="0" xfId="11" applyNumberFormat="1" applyBorder="1"/>
    <xf numFmtId="0" fontId="3" fillId="0" borderId="0" xfId="11" applyBorder="1"/>
    <xf numFmtId="37" fontId="13" fillId="0" borderId="0" xfId="8" applyNumberFormat="1" applyFont="1" applyBorder="1" applyProtection="1">
      <protection locked="0"/>
    </xf>
    <xf numFmtId="37" fontId="13" fillId="0" borderId="0" xfId="8" applyNumberFormat="1" applyFont="1" applyBorder="1" applyProtection="1"/>
    <xf numFmtId="0" fontId="13" fillId="0" borderId="0" xfId="8" applyFont="1" applyBorder="1" applyProtection="1">
      <protection locked="0"/>
    </xf>
    <xf numFmtId="37" fontId="13" fillId="0" borderId="0" xfId="8" applyNumberFormat="1" applyFont="1" applyBorder="1" applyAlignment="1" applyProtection="1">
      <alignment horizontal="center"/>
    </xf>
    <xf numFmtId="186" fontId="13" fillId="0" borderId="1" xfId="8" applyNumberFormat="1" applyFont="1" applyBorder="1" applyAlignment="1" applyProtection="1">
      <alignment horizontal="center"/>
    </xf>
    <xf numFmtId="0" fontId="13" fillId="0" borderId="1" xfId="8" applyFont="1" applyBorder="1" applyProtection="1"/>
    <xf numFmtId="0" fontId="13" fillId="0" borderId="1" xfId="8" applyFont="1" applyBorder="1" applyAlignment="1" applyProtection="1">
      <alignment horizontal="center"/>
    </xf>
    <xf numFmtId="37" fontId="13" fillId="0" borderId="0" xfId="8" applyNumberFormat="1" applyFont="1" applyAlignment="1" applyProtection="1">
      <alignment horizontal="center"/>
    </xf>
    <xf numFmtId="0" fontId="13" fillId="0" borderId="1" xfId="8" applyFont="1" applyBorder="1" applyAlignment="1" applyProtection="1">
      <alignment horizontal="centerContinuous"/>
    </xf>
    <xf numFmtId="186" fontId="13" fillId="0" borderId="0" xfId="8" applyNumberFormat="1" applyFont="1" applyBorder="1" applyAlignment="1" applyProtection="1">
      <alignment horizontal="center"/>
    </xf>
    <xf numFmtId="0" fontId="13" fillId="0" borderId="0" xfId="8" applyFont="1" applyAlignment="1" applyProtection="1">
      <alignment horizontal="left"/>
    </xf>
    <xf numFmtId="0" fontId="43" fillId="0" borderId="0" xfId="8" applyFont="1" applyAlignment="1" applyProtection="1">
      <alignment horizontal="left"/>
    </xf>
    <xf numFmtId="39" fontId="13" fillId="0" borderId="0" xfId="8" applyNumberFormat="1" applyFont="1" applyProtection="1">
      <protection locked="0"/>
    </xf>
    <xf numFmtId="0" fontId="13" fillId="0" borderId="0" xfId="8" quotePrefix="1" applyFont="1" applyProtection="1"/>
    <xf numFmtId="40" fontId="13" fillId="0" borderId="0" xfId="8" applyNumberFormat="1" applyFont="1" applyProtection="1"/>
    <xf numFmtId="39" fontId="42" fillId="0" borderId="0" xfId="8" applyNumberFormat="1"/>
    <xf numFmtId="39" fontId="13" fillId="0" borderId="4" xfId="8" applyNumberFormat="1" applyFont="1" applyFill="1" applyBorder="1" applyProtection="1"/>
    <xf numFmtId="181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 applyBorder="1"/>
    <xf numFmtId="0" fontId="42" fillId="0" borderId="0" xfId="8" applyBorder="1"/>
    <xf numFmtId="0" fontId="15" fillId="0" borderId="0" xfId="8" applyFont="1" applyFill="1" applyProtection="1"/>
    <xf numFmtId="37" fontId="13" fillId="0" borderId="0" xfId="8" applyNumberFormat="1" applyFont="1" applyFill="1" applyProtection="1"/>
    <xf numFmtId="39" fontId="13" fillId="0" borderId="0" xfId="8" applyNumberFormat="1" applyFont="1" applyFill="1" applyProtection="1"/>
    <xf numFmtId="0" fontId="3" fillId="0" borderId="0" xfId="12" applyNumberFormat="1" applyBorder="1"/>
    <xf numFmtId="0" fontId="3" fillId="0" borderId="0" xfId="12" applyBorder="1"/>
    <xf numFmtId="8" fontId="13" fillId="0" borderId="0" xfId="8" applyNumberFormat="1" applyFont="1"/>
    <xf numFmtId="197" fontId="13" fillId="0" borderId="0" xfId="8" applyNumberFormat="1" applyFont="1" applyProtection="1"/>
    <xf numFmtId="165" fontId="13" fillId="0" borderId="0" xfId="8" applyNumberFormat="1" applyFont="1" applyProtection="1"/>
    <xf numFmtId="197" fontId="13" fillId="0" borderId="0" xfId="8" applyNumberFormat="1" applyFont="1" applyProtection="1">
      <protection locked="0"/>
    </xf>
    <xf numFmtId="14" fontId="13" fillId="0" borderId="0" xfId="8" applyNumberFormat="1" applyFont="1" applyProtection="1"/>
    <xf numFmtId="0" fontId="43" fillId="0" borderId="0" xfId="8" applyFont="1"/>
    <xf numFmtId="7" fontId="13" fillId="0" borderId="0" xfId="8" applyNumberFormat="1" applyFont="1" applyBorder="1" applyProtection="1"/>
    <xf numFmtId="39" fontId="13" fillId="0" borderId="0" xfId="8" applyNumberFormat="1" applyFont="1" applyBorder="1" applyProtection="1"/>
    <xf numFmtId="186" fontId="13" fillId="0" borderId="0" xfId="8" applyNumberFormat="1" applyFont="1" applyAlignment="1" applyProtection="1">
      <alignment horizontal="left"/>
    </xf>
    <xf numFmtId="0" fontId="13" fillId="0" borderId="0" xfId="8" applyFont="1" applyFill="1"/>
    <xf numFmtId="186" fontId="13" fillId="0" borderId="0" xfId="8" quotePrefix="1" applyNumberFormat="1" applyFont="1" applyAlignment="1" applyProtection="1">
      <alignment horizontal="left"/>
    </xf>
    <xf numFmtId="8" fontId="13" fillId="0" borderId="0" xfId="8" applyNumberFormat="1" applyFont="1" applyProtection="1"/>
    <xf numFmtId="8" fontId="13" fillId="0" borderId="0" xfId="8" applyNumberFormat="1" applyFont="1" applyAlignment="1" applyProtection="1">
      <alignment horizontal="center"/>
    </xf>
    <xf numFmtId="37" fontId="13" fillId="0" borderId="1" xfId="8" applyNumberFormat="1" applyFont="1" applyBorder="1" applyProtection="1"/>
    <xf numFmtId="0" fontId="13" fillId="0" borderId="0" xfId="8" applyFont="1" applyBorder="1" applyAlignment="1" applyProtection="1">
      <alignment horizontal="centerContinuous"/>
    </xf>
    <xf numFmtId="14" fontId="13" fillId="0" borderId="1" xfId="8" applyNumberFormat="1" applyFont="1" applyBorder="1" applyAlignment="1" applyProtection="1">
      <alignment horizontal="centerContinuous"/>
    </xf>
    <xf numFmtId="176" fontId="13" fillId="0" borderId="0" xfId="8" applyNumberFormat="1" applyFont="1" applyProtection="1"/>
    <xf numFmtId="7" fontId="13" fillId="0" borderId="0" xfId="8" applyNumberFormat="1" applyFont="1" applyFill="1" applyProtection="1"/>
    <xf numFmtId="165" fontId="13" fillId="0" borderId="0" xfId="8" applyNumberFormat="1" applyFont="1" applyFill="1" applyProtection="1"/>
    <xf numFmtId="0" fontId="3" fillId="0" borderId="0" xfId="13" applyFont="1"/>
    <xf numFmtId="7" fontId="3" fillId="0" borderId="0" xfId="13" applyNumberFormat="1" applyFont="1"/>
    <xf numFmtId="0" fontId="3" fillId="0" borderId="0" xfId="13" applyFont="1" applyAlignment="1">
      <alignment horizontal="center"/>
    </xf>
    <xf numFmtId="0" fontId="13" fillId="0" borderId="0" xfId="8" applyFont="1" applyFill="1" applyAlignment="1" applyProtection="1">
      <alignment horizontal="center"/>
    </xf>
    <xf numFmtId="43" fontId="13" fillId="0" borderId="0" xfId="8" applyNumberFormat="1" applyFont="1"/>
    <xf numFmtId="37" fontId="15" fillId="0" borderId="0" xfId="8" applyNumberFormat="1" applyFont="1" applyFill="1" applyBorder="1" applyProtection="1">
      <protection locked="0"/>
    </xf>
    <xf numFmtId="39" fontId="13" fillId="0" borderId="0" xfId="8" applyNumberFormat="1" applyFont="1" applyFill="1" applyBorder="1" applyProtection="1"/>
    <xf numFmtId="0" fontId="13" fillId="0" borderId="0" xfId="8" applyFont="1" applyFill="1" applyProtection="1">
      <protection locked="0"/>
    </xf>
    <xf numFmtId="0" fontId="15" fillId="0" borderId="0" xfId="8" applyFont="1" applyFill="1" applyProtection="1">
      <protection locked="0"/>
    </xf>
    <xf numFmtId="181" fontId="13" fillId="0" borderId="0" xfId="10" applyNumberFormat="1" applyFont="1" applyFill="1"/>
    <xf numFmtId="0" fontId="42" fillId="0" borderId="0" xfId="8" applyFill="1"/>
    <xf numFmtId="43" fontId="42" fillId="0" borderId="0" xfId="17" applyFont="1" applyFill="1"/>
    <xf numFmtId="40" fontId="53" fillId="0" borderId="0" xfId="33" applyNumberFormat="1">
      <alignment vertical="center"/>
    </xf>
    <xf numFmtId="43" fontId="13" fillId="0" borderId="0" xfId="17" applyFont="1" applyProtection="1"/>
    <xf numFmtId="7" fontId="42" fillId="0" borderId="0" xfId="8" applyNumberFormat="1"/>
    <xf numFmtId="40" fontId="53" fillId="0" borderId="0" xfId="33" applyNumberFormat="1">
      <alignment vertical="center"/>
    </xf>
    <xf numFmtId="40" fontId="53" fillId="0" borderId="0" xfId="33" applyNumberFormat="1">
      <alignment vertical="center"/>
    </xf>
    <xf numFmtId="40" fontId="53" fillId="0" borderId="0" xfId="33" applyNumberFormat="1">
      <alignment vertical="center"/>
    </xf>
    <xf numFmtId="40" fontId="53" fillId="0" borderId="0" xfId="33" applyNumberFormat="1">
      <alignment vertical="center"/>
    </xf>
    <xf numFmtId="40" fontId="53" fillId="0" borderId="0" xfId="33" applyNumberFormat="1">
      <alignment vertical="center"/>
    </xf>
    <xf numFmtId="0" fontId="15" fillId="0" borderId="0" xfId="8" applyFont="1" applyFill="1" applyBorder="1" applyProtection="1">
      <protection locked="0"/>
    </xf>
    <xf numFmtId="37" fontId="13" fillId="0" borderId="5" xfId="6" applyNumberFormat="1" applyFont="1" applyFill="1" applyBorder="1" applyProtection="1">
      <protection locked="0"/>
    </xf>
    <xf numFmtId="0" fontId="14" fillId="0" borderId="8" xfId="6" applyFont="1" applyFill="1" applyBorder="1" applyProtection="1"/>
    <xf numFmtId="37" fontId="14" fillId="0" borderId="8" xfId="6" applyNumberFormat="1" applyFont="1" applyFill="1" applyBorder="1" applyProtection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Fill="1" applyBorder="1" applyProtection="1"/>
    <xf numFmtId="178" fontId="21" fillId="0" borderId="0" xfId="4" applyNumberFormat="1" applyFont="1" applyFill="1" applyBorder="1" applyAlignment="1" applyProtection="1">
      <alignment horizontal="right"/>
    </xf>
    <xf numFmtId="180" fontId="1" fillId="0" borderId="0" xfId="17" applyNumberFormat="1" applyFont="1"/>
    <xf numFmtId="7" fontId="13" fillId="0" borderId="0" xfId="8" applyNumberFormat="1" applyFont="1" applyFill="1"/>
    <xf numFmtId="176" fontId="13" fillId="0" borderId="0" xfId="8" applyNumberFormat="1" applyFont="1" applyFill="1" applyProtection="1"/>
    <xf numFmtId="7" fontId="13" fillId="0" borderId="1" xfId="8" applyNumberFormat="1" applyFont="1" applyFill="1" applyBorder="1"/>
    <xf numFmtId="8" fontId="13" fillId="0" borderId="0" xfId="8" applyNumberFormat="1" applyFont="1" applyFill="1"/>
    <xf numFmtId="0" fontId="1" fillId="0" borderId="0" xfId="1" applyFont="1" applyFill="1"/>
    <xf numFmtId="167" fontId="14" fillId="0" borderId="5" xfId="6" applyNumberFormat="1" applyFont="1" applyFill="1" applyBorder="1" applyProtection="1"/>
    <xf numFmtId="9" fontId="1" fillId="0" borderId="0" xfId="43" applyFont="1"/>
    <xf numFmtId="180" fontId="13" fillId="0" borderId="0" xfId="17" applyNumberFormat="1" applyFont="1"/>
    <xf numFmtId="205" fontId="13" fillId="0" borderId="0" xfId="8" applyNumberFormat="1" applyFont="1" applyFill="1" applyProtection="1"/>
    <xf numFmtId="165" fontId="56" fillId="0" borderId="0" xfId="1" applyNumberFormat="1" applyFont="1" applyFill="1" applyBorder="1"/>
    <xf numFmtId="165" fontId="56" fillId="0" borderId="1" xfId="1" applyNumberFormat="1" applyFont="1" applyFill="1" applyBorder="1"/>
    <xf numFmtId="37" fontId="57" fillId="0" borderId="0" xfId="6" applyNumberFormat="1" applyFont="1" applyFill="1" applyProtection="1"/>
    <xf numFmtId="177" fontId="57" fillId="0" borderId="0" xfId="6" applyNumberFormat="1" applyFont="1" applyFill="1" applyProtection="1"/>
    <xf numFmtId="0" fontId="57" fillId="0" borderId="0" xfId="6" applyFont="1" applyFill="1" applyProtection="1"/>
    <xf numFmtId="0" fontId="57" fillId="0" borderId="0" xfId="6" applyFont="1" applyFill="1" applyBorder="1" applyAlignment="1" applyProtection="1">
      <alignment horizontal="center"/>
    </xf>
    <xf numFmtId="37" fontId="57" fillId="0" borderId="0" xfId="8" applyNumberFormat="1" applyFont="1" applyFill="1" applyProtection="1">
      <protection locked="0"/>
    </xf>
    <xf numFmtId="37" fontId="57" fillId="0" borderId="1" xfId="8" applyNumberFormat="1" applyFont="1" applyFill="1" applyBorder="1" applyProtection="1">
      <protection locked="0"/>
    </xf>
    <xf numFmtId="37" fontId="57" fillId="0" borderId="0" xfId="8" applyNumberFormat="1" applyFont="1" applyProtection="1">
      <protection locked="0"/>
    </xf>
    <xf numFmtId="0" fontId="57" fillId="0" borderId="0" xfId="8" applyFont="1" applyProtection="1"/>
    <xf numFmtId="0" fontId="57" fillId="0" borderId="0" xfId="8" applyFont="1" applyProtection="1">
      <protection locked="0"/>
    </xf>
    <xf numFmtId="37" fontId="57" fillId="0" borderId="1" xfId="8" applyNumberFormat="1" applyFont="1" applyBorder="1" applyProtection="1">
      <protection locked="0"/>
    </xf>
    <xf numFmtId="37" fontId="57" fillId="0" borderId="0" xfId="8" applyNumberFormat="1" applyFont="1" applyFill="1" applyProtection="1"/>
    <xf numFmtId="166" fontId="57" fillId="0" borderId="0" xfId="8" applyNumberFormat="1" applyFont="1" applyFill="1" applyProtection="1">
      <protection locked="0"/>
    </xf>
    <xf numFmtId="39" fontId="57" fillId="0" borderId="0" xfId="8" applyNumberFormat="1" applyFont="1" applyFill="1" applyBorder="1" applyProtection="1"/>
    <xf numFmtId="0" fontId="58" fillId="0" borderId="0" xfId="8" applyFont="1" applyFill="1"/>
    <xf numFmtId="0" fontId="57" fillId="0" borderId="0" xfId="8" applyFont="1" applyFill="1"/>
    <xf numFmtId="205" fontId="57" fillId="0" borderId="0" xfId="8" applyNumberFormat="1" applyFont="1" applyFill="1" applyProtection="1"/>
    <xf numFmtId="205" fontId="57" fillId="0" borderId="0" xfId="8" applyNumberFormat="1" applyFont="1" applyFill="1"/>
    <xf numFmtId="165" fontId="56" fillId="0" borderId="0" xfId="1" applyNumberFormat="1" applyFont="1" applyFill="1"/>
    <xf numFmtId="0" fontId="56" fillId="0" borderId="0" xfId="1" applyFont="1"/>
    <xf numFmtId="165" fontId="56" fillId="0" borderId="0" xfId="6" applyNumberFormat="1" applyFont="1" applyFill="1"/>
    <xf numFmtId="165" fontId="56" fillId="0" borderId="0" xfId="6" applyNumberFormat="1" applyFont="1"/>
    <xf numFmtId="165" fontId="56" fillId="0" borderId="1" xfId="6" applyNumberFormat="1" applyFont="1" applyFill="1" applyBorder="1"/>
    <xf numFmtId="0" fontId="56" fillId="0" borderId="0" xfId="6" applyFont="1"/>
    <xf numFmtId="14" fontId="56" fillId="0" borderId="0" xfId="1" applyNumberFormat="1" applyFont="1"/>
    <xf numFmtId="180" fontId="13" fillId="0" borderId="0" xfId="2" applyNumberFormat="1" applyFont="1" applyFill="1" applyProtection="1"/>
    <xf numFmtId="7" fontId="1" fillId="0" borderId="0" xfId="13" applyNumberFormat="1" applyFont="1"/>
    <xf numFmtId="39" fontId="13" fillId="0" borderId="0" xfId="8" quotePrefix="1" applyNumberFormat="1" applyFont="1" applyFill="1" applyBorder="1" applyProtection="1"/>
    <xf numFmtId="166" fontId="43" fillId="0" borderId="0" xfId="8" applyNumberFormat="1" applyFont="1" applyFill="1" applyBorder="1" applyProtection="1"/>
    <xf numFmtId="39" fontId="13" fillId="0" borderId="0" xfId="8" applyNumberFormat="1" applyFont="1" applyFill="1"/>
    <xf numFmtId="166" fontId="43" fillId="0" borderId="1" xfId="8" applyNumberFormat="1" applyFont="1" applyFill="1" applyBorder="1" applyProtection="1"/>
    <xf numFmtId="0" fontId="13" fillId="0" borderId="0" xfId="8" applyFont="1" applyFill="1" applyBorder="1" applyProtection="1"/>
    <xf numFmtId="166" fontId="43" fillId="0" borderId="4" xfId="8" applyNumberFormat="1" applyFont="1" applyFill="1" applyBorder="1" applyProtection="1"/>
    <xf numFmtId="165" fontId="1" fillId="0" borderId="0" xfId="6" applyNumberFormat="1" applyFont="1"/>
    <xf numFmtId="165" fontId="1" fillId="0" borderId="0" xfId="1" applyNumberFormat="1" applyFont="1" applyFill="1"/>
    <xf numFmtId="190" fontId="13" fillId="0" borderId="0" xfId="8" applyNumberFormat="1" applyFont="1" applyFill="1" applyProtection="1">
      <protection locked="0"/>
    </xf>
    <xf numFmtId="190" fontId="13" fillId="0" borderId="0" xfId="8" applyNumberFormat="1" applyFont="1" applyFill="1"/>
    <xf numFmtId="190" fontId="42" fillId="0" borderId="0" xfId="8" applyNumberFormat="1" applyFill="1"/>
    <xf numFmtId="165" fontId="1" fillId="0" borderId="0" xfId="6" applyNumberFormat="1" applyFont="1" applyFill="1"/>
    <xf numFmtId="176" fontId="16" fillId="0" borderId="0" xfId="6" applyNumberFormat="1" applyFont="1" applyFill="1" applyAlignment="1" applyProtection="1">
      <alignment horizontal="center"/>
    </xf>
    <xf numFmtId="165" fontId="57" fillId="0" borderId="0" xfId="6" applyNumberFormat="1" applyFont="1" applyFill="1" applyProtection="1"/>
    <xf numFmtId="0" fontId="13" fillId="0" borderId="0" xfId="8" applyFont="1" applyFill="1" applyAlignment="1">
      <alignment horizontal="center"/>
    </xf>
    <xf numFmtId="44" fontId="13" fillId="0" borderId="0" xfId="77" applyFont="1"/>
    <xf numFmtId="44" fontId="51" fillId="0" borderId="0" xfId="77" applyFont="1" applyFill="1" applyAlignment="1">
      <alignment horizontal="left"/>
    </xf>
    <xf numFmtId="44" fontId="13" fillId="0" borderId="0" xfId="8" applyNumberFormat="1" applyFont="1" applyBorder="1"/>
    <xf numFmtId="7" fontId="13" fillId="0" borderId="0" xfId="8" applyNumberFormat="1" applyFont="1" applyBorder="1"/>
    <xf numFmtId="44" fontId="51" fillId="0" borderId="0" xfId="77" applyFont="1" applyFill="1" applyBorder="1" applyAlignment="1">
      <alignment horizontal="left"/>
    </xf>
    <xf numFmtId="166" fontId="13" fillId="0" borderId="0" xfId="8" applyNumberFormat="1" applyFont="1" applyFill="1" applyProtection="1">
      <protection locked="0"/>
    </xf>
    <xf numFmtId="39" fontId="12" fillId="0" borderId="0" xfId="23" applyNumberFormat="1" applyFont="1" applyFill="1"/>
    <xf numFmtId="39" fontId="41" fillId="0" borderId="0" xfId="23" applyNumberFormat="1" applyFont="1" applyFill="1"/>
    <xf numFmtId="39" fontId="3" fillId="0" borderId="0" xfId="13" applyNumberFormat="1" applyFont="1"/>
    <xf numFmtId="49" fontId="56" fillId="0" borderId="0" xfId="1" applyNumberFormat="1" applyFont="1"/>
    <xf numFmtId="0" fontId="71" fillId="0" borderId="0" xfId="1" applyFont="1"/>
    <xf numFmtId="180" fontId="13" fillId="0" borderId="0" xfId="17" applyNumberFormat="1" applyFont="1" applyFill="1"/>
    <xf numFmtId="180" fontId="13" fillId="0" borderId="0" xfId="2" applyNumberFormat="1" applyFont="1" applyFill="1"/>
    <xf numFmtId="175" fontId="13" fillId="0" borderId="0" xfId="6" applyNumberFormat="1" applyFont="1" applyFill="1"/>
    <xf numFmtId="175" fontId="13" fillId="0" borderId="0" xfId="2" applyNumberFormat="1" applyFont="1" applyFill="1"/>
    <xf numFmtId="0" fontId="57" fillId="0" borderId="0" xfId="8" applyFont="1" applyFill="1" applyProtection="1"/>
    <xf numFmtId="0" fontId="57" fillId="0" borderId="0" xfId="8" applyFont="1" applyFill="1" applyProtection="1">
      <protection locked="0"/>
    </xf>
    <xf numFmtId="37" fontId="57" fillId="0" borderId="0" xfId="10" applyNumberFormat="1" applyFont="1" applyFill="1" applyProtection="1"/>
    <xf numFmtId="7" fontId="57" fillId="0" borderId="0" xfId="8" applyNumberFormat="1" applyFont="1" applyFill="1" applyProtection="1">
      <protection locked="0"/>
    </xf>
    <xf numFmtId="39" fontId="57" fillId="0" borderId="0" xfId="8" quotePrefix="1" applyNumberFormat="1" applyFont="1" applyFill="1" applyBorder="1" applyProtection="1"/>
    <xf numFmtId="37" fontId="57" fillId="0" borderId="1" xfId="6" applyNumberFormat="1" applyFont="1" applyFill="1" applyBorder="1" applyProtection="1"/>
    <xf numFmtId="0" fontId="43" fillId="0" borderId="0" xfId="13" applyFont="1" applyFill="1"/>
    <xf numFmtId="0" fontId="3" fillId="0" borderId="0" xfId="13" applyFont="1" applyFill="1"/>
    <xf numFmtId="0" fontId="13" fillId="0" borderId="0" xfId="13" applyFont="1" applyFill="1"/>
    <xf numFmtId="0" fontId="3" fillId="0" borderId="0" xfId="13" applyFont="1" applyFill="1" applyBorder="1"/>
    <xf numFmtId="0" fontId="47" fillId="0" borderId="0" xfId="14" applyFont="1" applyFill="1" applyBorder="1" applyAlignment="1">
      <alignment horizontal="center" wrapText="1"/>
    </xf>
    <xf numFmtId="0" fontId="28" fillId="0" borderId="0" xfId="14" applyFont="1" applyFill="1" applyBorder="1" applyAlignment="1">
      <alignment horizontal="center" wrapText="1"/>
    </xf>
    <xf numFmtId="0" fontId="3" fillId="0" borderId="0" xfId="13" applyFont="1" applyFill="1" applyAlignment="1">
      <alignment horizontal="center"/>
    </xf>
    <xf numFmtId="7" fontId="1" fillId="0" borderId="0" xfId="13" applyNumberFormat="1" applyFont="1" applyFill="1"/>
    <xf numFmtId="7" fontId="3" fillId="0" borderId="0" xfId="13" applyNumberFormat="1" applyFont="1" applyFill="1"/>
    <xf numFmtId="0" fontId="59" fillId="0" borderId="0" xfId="0" applyFont="1" applyFill="1"/>
    <xf numFmtId="39" fontId="57" fillId="0" borderId="1" xfId="8" quotePrefix="1" applyNumberFormat="1" applyFont="1" applyFill="1" applyBorder="1" applyProtection="1"/>
    <xf numFmtId="165" fontId="13" fillId="0" borderId="1" xfId="6" applyNumberFormat="1" applyFont="1" applyFill="1" applyBorder="1" applyProtection="1"/>
    <xf numFmtId="37" fontId="13" fillId="0" borderId="0" xfId="6" applyNumberFormat="1" applyFont="1" applyFill="1" applyBorder="1" applyProtection="1"/>
    <xf numFmtId="0" fontId="13" fillId="0" borderId="0" xfId="6" applyFont="1" applyFill="1" applyProtection="1"/>
    <xf numFmtId="181" fontId="13" fillId="0" borderId="0" xfId="2" applyNumberFormat="1" applyFont="1" applyFill="1" applyProtection="1"/>
    <xf numFmtId="10" fontId="13" fillId="0" borderId="0" xfId="43" applyNumberFormat="1" applyFont="1" applyFill="1"/>
    <xf numFmtId="209" fontId="13" fillId="0" borderId="0" xfId="43" applyNumberFormat="1" applyFont="1" applyFill="1"/>
    <xf numFmtId="190" fontId="33" fillId="0" borderId="0" xfId="6" applyNumberFormat="1" applyFont="1" applyFill="1" applyBorder="1" applyProtection="1">
      <protection locked="0"/>
    </xf>
    <xf numFmtId="0" fontId="13" fillId="0" borderId="1" xfId="8" applyFont="1" applyFill="1" applyBorder="1" applyAlignment="1" applyProtection="1">
      <alignment horizontal="centerContinuous"/>
    </xf>
    <xf numFmtId="165" fontId="13" fillId="0" borderId="0" xfId="8" applyNumberFormat="1" applyFont="1" applyFill="1" applyBorder="1" applyProtection="1"/>
    <xf numFmtId="37" fontId="13" fillId="0" borderId="0" xfId="8" applyNumberFormat="1" applyFont="1" applyFill="1" applyBorder="1" applyProtection="1"/>
    <xf numFmtId="0" fontId="13" fillId="0" borderId="0" xfId="8" applyFont="1" applyFill="1" applyBorder="1"/>
    <xf numFmtId="0" fontId="13" fillId="0" borderId="0" xfId="8" applyFont="1" applyFill="1" applyBorder="1" applyAlignment="1" applyProtection="1">
      <alignment horizontal="centerContinuous"/>
    </xf>
    <xf numFmtId="7" fontId="13" fillId="0" borderId="0" xfId="8" applyNumberFormat="1" applyFont="1" applyFill="1" applyBorder="1" applyProtection="1"/>
    <xf numFmtId="175" fontId="57" fillId="0" borderId="0" xfId="6" applyNumberFormat="1" applyFont="1" applyFill="1"/>
    <xf numFmtId="37" fontId="72" fillId="0" borderId="0" xfId="6" applyNumberFormat="1" applyFont="1" applyFill="1" applyProtection="1"/>
    <xf numFmtId="4" fontId="13" fillId="0" borderId="0" xfId="8" applyNumberFormat="1" applyFont="1" applyProtection="1"/>
    <xf numFmtId="181" fontId="13" fillId="0" borderId="0" xfId="10" applyNumberFormat="1" applyFont="1" applyFill="1" applyBorder="1" applyProtection="1"/>
    <xf numFmtId="37" fontId="57" fillId="0" borderId="10" xfId="6" applyNumberFormat="1" applyFont="1" applyFill="1" applyBorder="1" applyProtection="1"/>
    <xf numFmtId="166" fontId="57" fillId="0" borderId="0" xfId="6" applyNumberFormat="1" applyFont="1" applyFill="1" applyProtection="1"/>
    <xf numFmtId="10" fontId="57" fillId="0" borderId="0" xfId="6" applyNumberFormat="1" applyFont="1" applyFill="1" applyProtection="1"/>
    <xf numFmtId="166" fontId="57" fillId="0" borderId="0" xfId="6" applyNumberFormat="1" applyFont="1" applyFill="1" applyBorder="1" applyProtection="1"/>
    <xf numFmtId="177" fontId="57" fillId="0" borderId="0" xfId="6" applyNumberFormat="1" applyFont="1" applyFill="1" applyBorder="1" applyAlignment="1" applyProtection="1">
      <alignment horizontal="right"/>
    </xf>
    <xf numFmtId="10" fontId="14" fillId="0" borderId="0" xfId="43" applyNumberFormat="1" applyFont="1" applyFill="1" applyProtection="1"/>
    <xf numFmtId="180" fontId="57" fillId="0" borderId="0" xfId="2" applyNumberFormat="1" applyFont="1" applyFill="1" applyProtection="1"/>
    <xf numFmtId="10" fontId="57" fillId="0" borderId="0" xfId="5" quotePrefix="1" applyNumberFormat="1" applyFont="1" applyFill="1" applyAlignment="1" applyProtection="1">
      <alignment horizontal="center"/>
    </xf>
    <xf numFmtId="190" fontId="57" fillId="0" borderId="0" xfId="8" applyNumberFormat="1" applyFont="1" applyFill="1" applyProtection="1">
      <protection locked="0"/>
    </xf>
    <xf numFmtId="190" fontId="57" fillId="0" borderId="1" xfId="8" applyNumberFormat="1" applyFont="1" applyFill="1" applyBorder="1" applyProtection="1">
      <protection locked="0"/>
    </xf>
    <xf numFmtId="39" fontId="57" fillId="0" borderId="1" xfId="8" applyNumberFormat="1" applyFont="1" applyFill="1" applyBorder="1" applyProtection="1"/>
    <xf numFmtId="39" fontId="57" fillId="0" borderId="1" xfId="8" applyNumberFormat="1" applyFont="1" applyFill="1" applyBorder="1"/>
    <xf numFmtId="174" fontId="56" fillId="0" borderId="0" xfId="13" applyNumberFormat="1" applyFont="1" applyFill="1"/>
    <xf numFmtId="174" fontId="1" fillId="0" borderId="0" xfId="13" applyNumberFormat="1" applyFont="1" applyFill="1"/>
    <xf numFmtId="7" fontId="56" fillId="0" borderId="0" xfId="13" applyNumberFormat="1" applyFont="1" applyFill="1"/>
    <xf numFmtId="43" fontId="13" fillId="0" borderId="0" xfId="17" applyFont="1" applyAlignment="1" applyProtection="1"/>
    <xf numFmtId="0" fontId="56" fillId="0" borderId="0" xfId="6" applyFont="1" applyFill="1"/>
    <xf numFmtId="8" fontId="13" fillId="0" borderId="0" xfId="8" applyNumberFormat="1" applyFont="1" applyFill="1" applyProtection="1"/>
    <xf numFmtId="165" fontId="13" fillId="0" borderId="0" xfId="8" applyNumberFormat="1" applyFont="1" applyFill="1"/>
    <xf numFmtId="198" fontId="13" fillId="0" borderId="0" xfId="8" applyNumberFormat="1" applyFont="1" applyFill="1"/>
    <xf numFmtId="8" fontId="10" fillId="0" borderId="0" xfId="18" applyNumberFormat="1" applyFont="1" applyFill="1" applyAlignment="1">
      <alignment vertical="center"/>
    </xf>
    <xf numFmtId="7" fontId="51" fillId="0" borderId="0" xfId="8" applyNumberFormat="1" applyFont="1" applyFill="1"/>
    <xf numFmtId="44" fontId="13" fillId="0" borderId="0" xfId="77" applyFont="1" applyFill="1" applyAlignment="1">
      <alignment horizontal="left"/>
    </xf>
    <xf numFmtId="44" fontId="13" fillId="0" borderId="0" xfId="77" applyFont="1" applyFill="1" applyBorder="1" applyAlignment="1">
      <alignment horizontal="left"/>
    </xf>
    <xf numFmtId="8" fontId="13" fillId="0" borderId="0" xfId="8" applyNumberFormat="1" applyFont="1" applyFill="1" applyAlignment="1" applyProtection="1">
      <alignment horizontal="center"/>
    </xf>
    <xf numFmtId="205" fontId="42" fillId="0" borderId="0" xfId="8" applyNumberFormat="1" applyFill="1"/>
    <xf numFmtId="197" fontId="42" fillId="0" borderId="0" xfId="8" applyNumberFormat="1" applyFill="1"/>
    <xf numFmtId="7" fontId="13" fillId="0" borderId="5" xfId="8" applyNumberFormat="1" applyFont="1" applyFill="1" applyBorder="1" applyProtection="1"/>
    <xf numFmtId="43" fontId="13" fillId="0" borderId="0" xfId="17" applyFont="1" applyFill="1" applyBorder="1"/>
    <xf numFmtId="8" fontId="13" fillId="0" borderId="5" xfId="8" applyNumberFormat="1" applyFont="1" applyFill="1" applyBorder="1"/>
    <xf numFmtId="44" fontId="13" fillId="0" borderId="0" xfId="8" applyNumberFormat="1" applyFont="1" applyFill="1" applyBorder="1"/>
    <xf numFmtId="7" fontId="13" fillId="0" borderId="5" xfId="8" applyNumberFormat="1" applyFont="1" applyFill="1" applyBorder="1"/>
    <xf numFmtId="7" fontId="13" fillId="0" borderId="0" xfId="8" applyNumberFormat="1" applyFont="1" applyFill="1" applyBorder="1"/>
    <xf numFmtId="7" fontId="13" fillId="0" borderId="1" xfId="8" applyNumberFormat="1" applyFont="1" applyBorder="1" applyProtection="1"/>
    <xf numFmtId="7" fontId="44" fillId="0" borderId="0" xfId="8" applyNumberFormat="1" applyFont="1" applyProtection="1"/>
    <xf numFmtId="7" fontId="73" fillId="0" borderId="0" xfId="8" applyNumberFormat="1" applyFont="1" applyFill="1" applyAlignment="1" applyProtection="1">
      <alignment horizontal="right"/>
      <protection locked="0"/>
    </xf>
    <xf numFmtId="39" fontId="13" fillId="0" borderId="0" xfId="8" applyNumberFormat="1" applyFont="1" applyBorder="1" applyAlignment="1" applyProtection="1">
      <alignment horizontal="right"/>
      <protection locked="0"/>
    </xf>
    <xf numFmtId="0" fontId="1" fillId="0" borderId="0" xfId="1" applyBorder="1" applyAlignment="1">
      <alignment horizontal="center"/>
    </xf>
    <xf numFmtId="0" fontId="1" fillId="3" borderId="0" xfId="1" applyFill="1" applyBorder="1" applyAlignment="1">
      <alignment horizontal="center"/>
    </xf>
    <xf numFmtId="175" fontId="1" fillId="3" borderId="0" xfId="17" applyNumberFormat="1" applyFont="1" applyFill="1" applyBorder="1" applyAlignment="1">
      <alignment horizontal="center"/>
    </xf>
    <xf numFmtId="0" fontId="9" fillId="0" borderId="0" xfId="1" applyFont="1" applyFill="1"/>
    <xf numFmtId="0" fontId="1" fillId="0" borderId="0" xfId="1" applyFill="1" applyAlignment="1">
      <alignment horizontal="left" indent="1"/>
    </xf>
    <xf numFmtId="37" fontId="1" fillId="0" borderId="0" xfId="1" applyNumberFormat="1" applyFill="1"/>
    <xf numFmtId="0" fontId="56" fillId="0" borderId="0" xfId="1" applyFont="1" applyFill="1"/>
    <xf numFmtId="0" fontId="9" fillId="0" borderId="0" xfId="1" applyFont="1" applyFill="1" applyAlignment="1">
      <alignment horizontal="left"/>
    </xf>
    <xf numFmtId="0" fontId="1" fillId="0" borderId="0" xfId="1" applyFill="1" applyAlignment="1">
      <alignment horizontal="left" indent="2"/>
    </xf>
    <xf numFmtId="0" fontId="1" fillId="0" borderId="0" xfId="1" applyFill="1" applyAlignment="1">
      <alignment horizontal="left" indent="3"/>
    </xf>
    <xf numFmtId="165" fontId="1" fillId="0" borderId="1" xfId="1" applyNumberFormat="1" applyFont="1" applyFill="1" applyBorder="1"/>
    <xf numFmtId="0" fontId="8" fillId="0" borderId="0" xfId="1" applyFont="1" applyFill="1" applyBorder="1"/>
    <xf numFmtId="0" fontId="1" fillId="0" borderId="0" xfId="13" applyFont="1"/>
    <xf numFmtId="43" fontId="49" fillId="0" borderId="0" xfId="17" applyFont="1"/>
    <xf numFmtId="174" fontId="1" fillId="0" borderId="0" xfId="13" applyNumberFormat="1" applyFont="1" applyFill="1" applyAlignment="1">
      <alignment horizontal="right"/>
    </xf>
    <xf numFmtId="37" fontId="57" fillId="0" borderId="0" xfId="8" applyNumberFormat="1" applyFont="1" applyFill="1" applyBorder="1" applyProtection="1">
      <protection locked="0"/>
    </xf>
    <xf numFmtId="37" fontId="15" fillId="0" borderId="1" xfId="8" applyNumberFormat="1" applyFont="1" applyFill="1" applyBorder="1" applyProtection="1">
      <protection locked="0"/>
    </xf>
    <xf numFmtId="0" fontId="74" fillId="0" borderId="0" xfId="6" applyFont="1" applyFill="1" applyProtection="1"/>
    <xf numFmtId="10" fontId="74" fillId="0" borderId="0" xfId="6" applyNumberFormat="1" applyFont="1" applyFill="1" applyProtection="1"/>
    <xf numFmtId="0" fontId="74" fillId="0" borderId="0" xfId="6" applyFont="1" applyFill="1"/>
    <xf numFmtId="0" fontId="7" fillId="0" borderId="1" xfId="1" applyFont="1" applyBorder="1" applyAlignment="1">
      <alignment horizontal="center"/>
    </xf>
    <xf numFmtId="0" fontId="33" fillId="0" borderId="0" xfId="6" applyFont="1" applyAlignment="1" applyProtection="1">
      <alignment horizontal="left" wrapText="1"/>
    </xf>
    <xf numFmtId="0" fontId="33" fillId="0" borderId="0" xfId="6" applyFont="1" applyFill="1" applyAlignment="1" applyProtection="1">
      <alignment horizontal="left" wrapText="1"/>
    </xf>
    <xf numFmtId="0" fontId="35" fillId="0" borderId="0" xfId="6" applyFont="1" applyAlignment="1" applyProtection="1">
      <alignment horizontal="left" vertical="top" wrapText="1"/>
    </xf>
    <xf numFmtId="0" fontId="35" fillId="0" borderId="0" xfId="6" applyFont="1" applyAlignment="1" applyProtection="1">
      <alignment horizontal="left" wrapText="1"/>
    </xf>
    <xf numFmtId="0" fontId="40" fillId="0" borderId="0" xfId="6" applyFont="1" applyAlignment="1" applyProtection="1">
      <alignment horizontal="center"/>
    </xf>
    <xf numFmtId="0" fontId="35" fillId="0" borderId="0" xfId="6" applyFont="1" applyAlignment="1" applyProtection="1">
      <alignment horizontal="center"/>
    </xf>
    <xf numFmtId="0" fontId="39" fillId="0" borderId="0" xfId="6" applyFont="1" applyAlignment="1" applyProtection="1">
      <alignment horizontal="center"/>
      <protection locked="0"/>
    </xf>
    <xf numFmtId="0" fontId="1" fillId="0" borderId="0" xfId="6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94" fontId="13" fillId="0" borderId="0" xfId="8" applyNumberFormat="1" applyFont="1" applyAlignment="1" applyProtection="1">
      <alignment horizontal="left"/>
    </xf>
    <xf numFmtId="0" fontId="13" fillId="0" borderId="0" xfId="8" applyFont="1" applyAlignment="1" applyProtection="1">
      <alignment horizontal="left"/>
    </xf>
    <xf numFmtId="49" fontId="13" fillId="0" borderId="0" xfId="8" applyNumberFormat="1" applyFont="1" applyAlignment="1" applyProtection="1">
      <alignment horizontal="left"/>
    </xf>
    <xf numFmtId="0" fontId="13" fillId="0" borderId="0" xfId="8" applyNumberFormat="1" applyFont="1" applyAlignment="1" applyProtection="1">
      <alignment horizontal="left"/>
    </xf>
  </cellXfs>
  <cellStyles count="211">
    <cellStyle name="20% - Accent1 2" xfId="82" xr:uid="{103D87C5-E5F9-4808-BDB0-9BD556BC2CAB}"/>
    <cellStyle name="20% - Accent2 2" xfId="83" xr:uid="{4F6B623B-5AE4-4EA2-A41B-F2CD4CD0380F}"/>
    <cellStyle name="20% - Accent3 2" xfId="84" xr:uid="{B098A90D-3821-46BC-838B-7DCB227349B3}"/>
    <cellStyle name="20% - Accent4 2" xfId="85" xr:uid="{C6F11EC6-D6FB-4DFE-B645-57CA79AFF022}"/>
    <cellStyle name="20% - Accent5 2" xfId="86" xr:uid="{7620D099-2172-485B-ABE0-3F08246AB4F1}"/>
    <cellStyle name="20% - Accent6 2" xfId="87" xr:uid="{96ACC221-6F90-411D-B591-95B7953EAD06}"/>
    <cellStyle name="40% - Accent1 2" xfId="88" xr:uid="{6DF03D7B-F386-4BC8-B3AE-3824345DF556}"/>
    <cellStyle name="40% - Accent2 2" xfId="89" xr:uid="{595B3134-AAFD-43D2-9986-7BA944854108}"/>
    <cellStyle name="40% - Accent3 2" xfId="90" xr:uid="{8C0488E6-286C-4DAF-9DA2-296D290E7A51}"/>
    <cellStyle name="40% - Accent4 2" xfId="91" xr:uid="{F60BFA2F-46BD-436B-8A8C-189BD85DF7AB}"/>
    <cellStyle name="40% - Accent5 2" xfId="92" xr:uid="{445BFA76-79F0-419D-B7DC-5030FD970AEE}"/>
    <cellStyle name="40% - Accent6 2" xfId="93" xr:uid="{B2B4FC3F-B599-461D-8984-F82777D73651}"/>
    <cellStyle name="60% - Accent1 2" xfId="94" xr:uid="{9DA53890-7316-4883-B92B-D9122DD979E6}"/>
    <cellStyle name="60% - Accent2 2" xfId="95" xr:uid="{C61027B0-F600-4193-A394-B32C5A01FADA}"/>
    <cellStyle name="60% - Accent3 2" xfId="96" xr:uid="{F16440CA-0549-48AF-9B10-56E3796B5D84}"/>
    <cellStyle name="60% - Accent4 2" xfId="97" xr:uid="{3DDDA0D8-542B-483B-B1BA-D98E0E0A6178}"/>
    <cellStyle name="60% - Accent5 2" xfId="98" xr:uid="{72631935-A8A8-4A96-8D81-90D443B7F0AB}"/>
    <cellStyle name="60% - Accent6 2" xfId="99" xr:uid="{6AEDA5B3-C4D3-4D38-AA2A-85812BDF1E77}"/>
    <cellStyle name="7" xfId="100" xr:uid="{4C76B8B2-A770-4B9C-97BC-B40364D6C16E}"/>
    <cellStyle name="Accent1 2" xfId="101" xr:uid="{EF3CD7D3-FB5F-4CF3-AD7A-6EF9FBDAFD9D}"/>
    <cellStyle name="Accent2 2" xfId="102" xr:uid="{7709D38E-1DDD-4848-BB52-D7A4F4A46761}"/>
    <cellStyle name="Accent3 2" xfId="103" xr:uid="{73012388-506D-4D73-98B1-CB575F2FE64E}"/>
    <cellStyle name="Accent4 2" xfId="104" xr:uid="{906098AA-311C-4015-9301-802D2D9B3376}"/>
    <cellStyle name="Accent5 2" xfId="105" xr:uid="{EB8B0988-FBB6-4991-ADC0-8424BF86D80F}"/>
    <cellStyle name="Accent6 2" xfId="106" xr:uid="{4C1201CA-FAE5-4B14-890E-EB172C66DEE4}"/>
    <cellStyle name="Affinity Input" xfId="107" xr:uid="{4E269CB8-06DF-4C92-909B-F262B9DAF1D7}"/>
    <cellStyle name="Bad 2" xfId="108" xr:uid="{392024E8-0662-4C44-A1B9-322C11C0CC9F}"/>
    <cellStyle name="Body" xfId="109" xr:uid="{C7E54A35-2CD5-4378-8D84-0925B184EA9A}"/>
    <cellStyle name="Calculation 2" xfId="110" xr:uid="{B6625B61-ECD0-421A-8396-0E96AE52CD36}"/>
    <cellStyle name="Check Cell 2" xfId="111" xr:uid="{BBFE83E0-E7CD-4815-BC91-9D99D74B8195}"/>
    <cellStyle name="ColumnAttributeAbovePrompt" xfId="112" xr:uid="{00207C96-8FBD-4103-8F0E-7502974B7D64}"/>
    <cellStyle name="ColumnAttributePrompt" xfId="113" xr:uid="{960EE7F3-A247-45CC-A33A-94632D2133F0}"/>
    <cellStyle name="ColumnAttributeValue" xfId="114" xr:uid="{2256C2C7-2385-4CC1-B5AC-05BD8CE89909}"/>
    <cellStyle name="ColumnHeadingPrompt" xfId="115" xr:uid="{2C34E786-05FE-49A0-B85A-0D6E43B4C945}"/>
    <cellStyle name="ColumnHeadingValue" xfId="116" xr:uid="{7F36E0A4-4251-4150-93E7-E3C5C2C9B85C}"/>
    <cellStyle name="Comma" xfId="17" builtinId="3"/>
    <cellStyle name="Comma 14" xfId="80" xr:uid="{00000000-0005-0000-0000-000001000000}"/>
    <cellStyle name="Comma 2" xfId="2" xr:uid="{00000000-0005-0000-0000-000002000000}"/>
    <cellStyle name="Comma 2 19" xfId="81" xr:uid="{00000000-0005-0000-0000-000003000000}"/>
    <cellStyle name="Comma 2 2" xfId="23" xr:uid="{00000000-0005-0000-0000-000004000000}"/>
    <cellStyle name="Comma 2 3" xfId="21" xr:uid="{00000000-0005-0000-0000-000005000000}"/>
    <cellStyle name="Comma 2_D.6" xfId="117" xr:uid="{519C0CD4-3522-4E52-A5D4-385B03C092D6}"/>
    <cellStyle name="Comma 3" xfId="10" xr:uid="{00000000-0005-0000-0000-000006000000}"/>
    <cellStyle name="Comma 4" xfId="28" xr:uid="{00000000-0005-0000-0000-000007000000}"/>
    <cellStyle name="Comma 4 2" xfId="119" xr:uid="{92C59A23-C6E2-4D2C-BF4F-FBA6ABD1ACA1}"/>
    <cellStyle name="Comma 4_D.6" xfId="118" xr:uid="{3ADA4C22-9B68-4E72-AD07-6477E7139146}"/>
    <cellStyle name="Comma 5" xfId="20" xr:uid="{00000000-0005-0000-0000-000008000000}"/>
    <cellStyle name="Comma 5 2" xfId="120" xr:uid="{C563E875-3C2E-4C81-AE80-1BACF6A95C74}"/>
    <cellStyle name="Comma 6" xfId="32" xr:uid="{00000000-0005-0000-0000-000009000000}"/>
    <cellStyle name="Comma 6 2" xfId="41" xr:uid="{00000000-0005-0000-0000-00000A000000}"/>
    <cellStyle name="Comma 7" xfId="38" xr:uid="{00000000-0005-0000-0000-00000B000000}"/>
    <cellStyle name="Comma 8" xfId="121" xr:uid="{2F944D7E-6168-462B-81E9-B99A19036F8E}"/>
    <cellStyle name="CommaBlank" xfId="122" xr:uid="{F8DC0AA5-251C-4020-98CB-042B4D80FE3F}"/>
    <cellStyle name="ContentsHyperlink" xfId="3" xr:uid="{00000000-0005-0000-0000-00000C000000}"/>
    <cellStyle name="ContentsHyperlink 2" xfId="36" xr:uid="{00000000-0005-0000-0000-00000D000000}"/>
    <cellStyle name="ContentsHyperlink 3" xfId="34" xr:uid="{00000000-0005-0000-0000-00000E000000}"/>
    <cellStyle name="Currency" xfId="77" builtinId="4"/>
    <cellStyle name="Currency 2" xfId="4" xr:uid="{00000000-0005-0000-0000-000010000000}"/>
    <cellStyle name="Currency 2 2" xfId="24" xr:uid="{00000000-0005-0000-0000-000011000000}"/>
    <cellStyle name="Currency 3" xfId="9" xr:uid="{00000000-0005-0000-0000-000012000000}"/>
    <cellStyle name="Currency 4" xfId="31" xr:uid="{00000000-0005-0000-0000-000013000000}"/>
    <cellStyle name="Currency 4 2" xfId="40" xr:uid="{00000000-0005-0000-0000-000014000000}"/>
    <cellStyle name="Custom - Style1" xfId="123" xr:uid="{254BB995-B4A1-41C9-AEB3-6E6839D4B4BC}"/>
    <cellStyle name="Custom - Style8" xfId="124" xr:uid="{9D7FECBC-F7ED-4F62-8CFF-D58FB48C4D0C}"/>
    <cellStyle name="Data   - Style2" xfId="125" xr:uid="{A526CDA9-B44C-4D2F-B695-2C494F1283AC}"/>
    <cellStyle name="Edit" xfId="126" xr:uid="{C7DF97F3-BA29-45DA-B0BB-BCEB4AF6413A}"/>
    <cellStyle name="Explanatory Text 2" xfId="127" xr:uid="{F02F6E7E-5C8D-43F3-A3F7-7E1DE903849D}"/>
    <cellStyle name="Good 2" xfId="128" xr:uid="{9CC9834D-8A74-4A40-957B-0018071957AA}"/>
    <cellStyle name="Grey" xfId="129" xr:uid="{DA81F850-EFB6-447F-A0BD-6D8E174007D4}"/>
    <cellStyle name="Header1" xfId="130" xr:uid="{88EC5A50-70D5-462E-9450-BDFE10AC1112}"/>
    <cellStyle name="Header2" xfId="131" xr:uid="{EFA28DC9-B50B-4287-B6A1-DA08057AED71}"/>
    <cellStyle name="Heading 1 2" xfId="132" xr:uid="{4F59C915-82B3-4E1A-AE86-45245250E12A}"/>
    <cellStyle name="Heading 2 2" xfId="133" xr:uid="{37B29622-5126-4FF1-AFFE-125887F5C200}"/>
    <cellStyle name="Heading 3 2" xfId="134" xr:uid="{AB511C7B-3BC8-4D39-85F0-2EA481DABEAC}"/>
    <cellStyle name="Heading 4 2" xfId="135" xr:uid="{593E2F0F-A503-4348-8CEA-FC082AF0FC1C}"/>
    <cellStyle name="Hyperlink 2" xfId="16" xr:uid="{00000000-0005-0000-0000-000016000000}"/>
    <cellStyle name="Hyperlink 3" xfId="27" xr:uid="{00000000-0005-0000-0000-000017000000}"/>
    <cellStyle name="Hyperlink 4" xfId="37" xr:uid="{00000000-0005-0000-0000-000018000000}"/>
    <cellStyle name="Hyperlink 5" xfId="46" xr:uid="{00000000-0005-0000-0000-000019000000}"/>
    <cellStyle name="Input [yellow]" xfId="136" xr:uid="{94AC8FF2-E02E-463E-A5B6-431A244AAE5F}"/>
    <cellStyle name="Input 2" xfId="137" xr:uid="{A8C01A64-0843-488E-AB80-7206ED1BB0B5}"/>
    <cellStyle name="kirkdollars" xfId="138" xr:uid="{4C561C97-E6E8-41E3-BE40-611610EF40D5}"/>
    <cellStyle name="Labels - Style3" xfId="139" xr:uid="{4E1C4FAC-1323-4AA0-A357-B94B67D82CE2}"/>
    <cellStyle name="LineItemPrompt" xfId="140" xr:uid="{B92DB52F-7D58-4BFF-AD4E-3FA69E41E522}"/>
    <cellStyle name="LineItemValue" xfId="141" xr:uid="{0A101C5C-DFEE-4D3D-A964-52F48AD7B24F}"/>
    <cellStyle name="Linked Cell 2" xfId="142" xr:uid="{A616B158-667D-469C-A7E1-1D85E54EEDB3}"/>
    <cellStyle name="Neutral 2" xfId="143" xr:uid="{2FE9DBC3-2CD5-486A-A137-7635F1544A6F}"/>
    <cellStyle name="no dec" xfId="144" xr:uid="{55CEAF57-6BDB-4BD2-9FB0-F982405D60FE}"/>
    <cellStyle name="No Edit" xfId="145" xr:uid="{2D5F5731-811E-428D-B294-525E6080B050}"/>
    <cellStyle name="Normal" xfId="0" builtinId="0"/>
    <cellStyle name="Normal - Style1" xfId="146" xr:uid="{AE970C93-94D6-47D2-B6F3-F0C0D82FBECE}"/>
    <cellStyle name="Normal - Style2" xfId="147" xr:uid="{80827FA8-5801-45EF-AAAE-1D37562820C9}"/>
    <cellStyle name="Normal - Style3" xfId="148" xr:uid="{24B2304A-7D65-4CD2-ABAC-99C519AD7D32}"/>
    <cellStyle name="Normal - Style4" xfId="149" xr:uid="{0CB74930-2B01-413E-8ECD-67AFAA331B68}"/>
    <cellStyle name="Normal - Style5" xfId="150" xr:uid="{841DAA31-B0AF-4784-977E-42142D4093E1}"/>
    <cellStyle name="Normal - Style6" xfId="151" xr:uid="{BEA3A58A-9FF8-4291-BB1A-822ACB16F534}"/>
    <cellStyle name="Normal - Style7" xfId="152" xr:uid="{427EA1F5-2CA3-4ACB-87D5-768F43603672}"/>
    <cellStyle name="Normal - Style8" xfId="153" xr:uid="{B6091E9A-BB9E-4160-B256-591C5C57FF90}"/>
    <cellStyle name="Normal 10" xfId="35" xr:uid="{00000000-0005-0000-0000-00001B000000}"/>
    <cellStyle name="Normal 11" xfId="44" xr:uid="{00000000-0005-0000-0000-00001C000000}"/>
    <cellStyle name="Normal 11 2" xfId="76" xr:uid="{00000000-0005-0000-0000-00001D000000}"/>
    <cellStyle name="Normal 2" xfId="1" xr:uid="{00000000-0005-0000-0000-00001E000000}"/>
    <cellStyle name="Normal 2 2" xfId="6" xr:uid="{00000000-0005-0000-0000-00001F000000}"/>
    <cellStyle name="Normal 2 2 2" xfId="26" xr:uid="{00000000-0005-0000-0000-000020000000}"/>
    <cellStyle name="Normal 2 2_C.1" xfId="78" xr:uid="{00000000-0005-0000-0000-000021000000}"/>
    <cellStyle name="Normal 2 3" xfId="75" xr:uid="{00000000-0005-0000-0000-000022000000}"/>
    <cellStyle name="Normal 2_2012-10 CO Reasonableness" xfId="154" xr:uid="{C1C17BF7-D68D-4D83-9711-F5D68E0C45A5}"/>
    <cellStyle name="Normal 3" xfId="8" xr:uid="{00000000-0005-0000-0000-000023000000}"/>
    <cellStyle name="Normal 3 2" xfId="45" xr:uid="{00000000-0005-0000-0000-000024000000}"/>
    <cellStyle name="Normal 3_D.6" xfId="155" xr:uid="{465DAEDC-27C8-4F6E-A61D-9CE415F4CF7F}"/>
    <cellStyle name="Normal 4" xfId="15" xr:uid="{00000000-0005-0000-0000-000025000000}"/>
    <cellStyle name="Normal 4 2" xfId="74" xr:uid="{00000000-0005-0000-0000-000026000000}"/>
    <cellStyle name="Normal 4_D.6" xfId="156" xr:uid="{A7F3384F-4882-491C-AFCB-F449E2FEFB06}"/>
    <cellStyle name="Normal 5" xfId="18" xr:uid="{00000000-0005-0000-0000-000027000000}"/>
    <cellStyle name="Normal 5 2" xfId="29" xr:uid="{00000000-0005-0000-0000-000028000000}"/>
    <cellStyle name="Normal 5_C.1" xfId="79" xr:uid="{00000000-0005-0000-0000-000029000000}"/>
    <cellStyle name="Normal 6" xfId="22" xr:uid="{00000000-0005-0000-0000-00002A000000}"/>
    <cellStyle name="Normal 7" xfId="19" xr:uid="{00000000-0005-0000-0000-00002B000000}"/>
    <cellStyle name="Normal 7 2" xfId="157" xr:uid="{53358BFE-6C82-4014-9FDD-48E12D376B4B}"/>
    <cellStyle name="Normal 8" xfId="30" xr:uid="{00000000-0005-0000-0000-00002C000000}"/>
    <cellStyle name="Normal 8 2" xfId="39" xr:uid="{00000000-0005-0000-0000-00002D000000}"/>
    <cellStyle name="Normal 8_D.6" xfId="158" xr:uid="{57DF0058-EFDE-40D1-B788-0CCBF63AA5EB}"/>
    <cellStyle name="Normal 9" xfId="33" xr:uid="{00000000-0005-0000-0000-00002E000000}"/>
    <cellStyle name="Normal 9 2" xfId="42" xr:uid="{00000000-0005-0000-0000-00002F000000}"/>
    <cellStyle name="Normal 9_D.6" xfId="159" xr:uid="{7023D7EC-1BDC-4172-AB5A-1B9D723D535D}"/>
    <cellStyle name="Normal_D2 (Purchase Volumes)" xfId="11" xr:uid="{00000000-0005-0000-0000-000030000000}"/>
    <cellStyle name="Normal_D3 (Purchase Costs)" xfId="12" xr:uid="{00000000-0005-0000-0000-000031000000}"/>
    <cellStyle name="Normal_Net Uncollectible Gas Cost thru Nov-10" xfId="13" xr:uid="{00000000-0005-0000-0000-000034000000}"/>
    <cellStyle name="Normal_Sheet1" xfId="14" xr:uid="{00000000-0005-0000-0000-000035000000}"/>
    <cellStyle name="Note 2" xfId="160" xr:uid="{74D9E63B-F720-4B58-9C7E-85292392CDE2}"/>
    <cellStyle name="nPlosion" xfId="161" xr:uid="{2612812C-51A0-4C88-810A-745FFE82BE1C}"/>
    <cellStyle name="nvision" xfId="162" xr:uid="{4DFBEF5F-A506-42F6-B38E-CD77CD4DB5FE}"/>
    <cellStyle name="Output 2" xfId="163" xr:uid="{45D1636E-3E56-4B2A-ADD6-403DCBA73531}"/>
    <cellStyle name="Output Amounts" xfId="164" xr:uid="{44B7C13B-D3D0-4D9B-B9A3-1CA2A3F5C030}"/>
    <cellStyle name="Output Column Headings" xfId="165" xr:uid="{B0645B04-CF43-477C-85BF-D62E620623CE}"/>
    <cellStyle name="Output Line Items" xfId="166" xr:uid="{BF314BCA-9B4C-4DCD-9553-71195BAEDF5B}"/>
    <cellStyle name="Output Report Heading" xfId="167" xr:uid="{7848AA82-0F60-4CB6-AD6F-BD8B74A88579}"/>
    <cellStyle name="Output Report Title" xfId="168" xr:uid="{FDC3549B-9239-4CB9-B4B6-169153AC54A9}"/>
    <cellStyle name="Percent" xfId="43" builtinId="5"/>
    <cellStyle name="Percent [2]" xfId="169" xr:uid="{4D805959-163C-4549-AD98-A040C73CB396}"/>
    <cellStyle name="Percent 2" xfId="5" xr:uid="{00000000-0005-0000-0000-000038000000}"/>
    <cellStyle name="Percent 2 2" xfId="25" xr:uid="{00000000-0005-0000-0000-000039000000}"/>
    <cellStyle name="Percent 3" xfId="7" xr:uid="{00000000-0005-0000-0000-00003A000000}"/>
    <cellStyle name="PSChar" xfId="170" xr:uid="{2F099D1E-397A-4EA7-BAD2-61FA6AB8CB2C}"/>
    <cellStyle name="PSDate" xfId="171" xr:uid="{60C27FED-C27B-4451-BE48-C7C868615D9A}"/>
    <cellStyle name="PSDec" xfId="172" xr:uid="{27078118-6EDA-442C-B6BB-5C15A5ECA9DC}"/>
    <cellStyle name="PSHeading" xfId="173" xr:uid="{5FF54A08-D80F-4615-A66C-A29168A7C236}"/>
    <cellStyle name="PSInt" xfId="174" xr:uid="{C05E324E-63FD-41B2-9726-1EE703E12FF1}"/>
    <cellStyle name="PSSpacer" xfId="175" xr:uid="{9989B9C7-47DA-436D-9F09-42635AC5839E}"/>
    <cellStyle name="ReportTitlePrompt" xfId="176" xr:uid="{90D3B04E-03A4-4AB4-B7FA-2CCB066EB4C4}"/>
    <cellStyle name="ReportTitleValue" xfId="177" xr:uid="{7833FAD4-9C1D-4E9C-8B21-25B2FECE3CA7}"/>
    <cellStyle name="Reset  - Style4" xfId="178" xr:uid="{9F8A3E5B-1A44-43B1-900B-8E1A35431326}"/>
    <cellStyle name="Reset  - Style7" xfId="179" xr:uid="{BC6B86C1-ACBE-4486-9B2D-08F68F951215}"/>
    <cellStyle name="RowAcctAbovePrompt" xfId="180" xr:uid="{FFCAAC30-8B4C-4212-A2FA-66C372FF870B}"/>
    <cellStyle name="RowAcctSOBAbovePrompt" xfId="181" xr:uid="{C793F4A5-79B8-436B-B0C3-D220BF01DA1B}"/>
    <cellStyle name="RowAcctSOBValue" xfId="182" xr:uid="{BBA8BC93-9503-4A0F-90CF-08A553992D62}"/>
    <cellStyle name="RowAcctValue" xfId="183" xr:uid="{43FE2E6E-6B69-43AA-A906-7FBD2DB775BD}"/>
    <cellStyle name="RowAttrAbovePrompt" xfId="184" xr:uid="{6F964ABF-56FE-4B53-AC93-C2AC9B2EB518}"/>
    <cellStyle name="RowAttrValue" xfId="185" xr:uid="{3CDDC1A3-1205-4B40-96D2-1750E57D1938}"/>
    <cellStyle name="RowColSetAbovePrompt" xfId="186" xr:uid="{497FE50E-6A4A-4EC4-B681-55ACF8347CBE}"/>
    <cellStyle name="RowColSetLeftPrompt" xfId="187" xr:uid="{B7C81441-0BDF-4FE7-9D40-55B1AD534E8C}"/>
    <cellStyle name="RowColSetValue" xfId="188" xr:uid="{9DD93221-B678-4C06-9184-6CB054B0599C}"/>
    <cellStyle name="RowLeftPrompt" xfId="189" xr:uid="{E4FC10DE-45B7-44BB-8324-676E84F2CC77}"/>
    <cellStyle name="SampleUsingFormatMask" xfId="190" xr:uid="{F0FFA910-A2E4-4990-BA5A-56865A8FFCAD}"/>
    <cellStyle name="SampleWithNoFormatMask" xfId="191" xr:uid="{95EA6A88-098B-45AA-9EA8-01C573D90547}"/>
    <cellStyle name="SAPBorder" xfId="47" xr:uid="{00000000-0005-0000-0000-00003B000000}"/>
    <cellStyle name="SAPDataCell" xfId="48" xr:uid="{00000000-0005-0000-0000-00003C000000}"/>
    <cellStyle name="SAPDataRemoved" xfId="192" xr:uid="{F9097EB0-9350-4930-B7B4-1F8A75BD76BC}"/>
    <cellStyle name="SAPDataTotalCell" xfId="49" xr:uid="{00000000-0005-0000-0000-00003D000000}"/>
    <cellStyle name="SAPDimensionCell" xfId="50" xr:uid="{00000000-0005-0000-0000-00003E000000}"/>
    <cellStyle name="SAPEditableDataCell" xfId="51" xr:uid="{00000000-0005-0000-0000-00003F000000}"/>
    <cellStyle name="SAPEditableDataTotalCell" xfId="52" xr:uid="{00000000-0005-0000-0000-000040000000}"/>
    <cellStyle name="SAPEmphasized" xfId="53" xr:uid="{00000000-0005-0000-0000-000041000000}"/>
    <cellStyle name="SAPError" xfId="193" xr:uid="{F5ABC1CC-4B34-4067-8C9D-EF83CD022778}"/>
    <cellStyle name="SAPExceptionLevel1" xfId="54" xr:uid="{00000000-0005-0000-0000-000042000000}"/>
    <cellStyle name="SAPExceptionLevel2" xfId="55" xr:uid="{00000000-0005-0000-0000-000043000000}"/>
    <cellStyle name="SAPExceptionLevel3" xfId="56" xr:uid="{00000000-0005-0000-0000-000044000000}"/>
    <cellStyle name="SAPExceptionLevel4" xfId="57" xr:uid="{00000000-0005-0000-0000-000045000000}"/>
    <cellStyle name="SAPExceptionLevel5" xfId="58" xr:uid="{00000000-0005-0000-0000-000046000000}"/>
    <cellStyle name="SAPExceptionLevel6" xfId="59" xr:uid="{00000000-0005-0000-0000-000047000000}"/>
    <cellStyle name="SAPExceptionLevel7" xfId="60" xr:uid="{00000000-0005-0000-0000-000048000000}"/>
    <cellStyle name="SAPExceptionLevel8" xfId="61" xr:uid="{00000000-0005-0000-0000-000049000000}"/>
    <cellStyle name="SAPExceptionLevel9" xfId="62" xr:uid="{00000000-0005-0000-0000-00004A000000}"/>
    <cellStyle name="SAPGroupingFillCell" xfId="194" xr:uid="{901F1FD4-53A6-4EF9-B942-AD6A22154317}"/>
    <cellStyle name="SAPHierarchyCell" xfId="195" xr:uid="{0E082178-A10C-493B-BEB8-810402F8AC25}"/>
    <cellStyle name="SAPHierarchyCell0" xfId="63" xr:uid="{00000000-0005-0000-0000-00004B000000}"/>
    <cellStyle name="SAPHierarchyCell1" xfId="64" xr:uid="{00000000-0005-0000-0000-00004C000000}"/>
    <cellStyle name="SAPHierarchyCell2" xfId="65" xr:uid="{00000000-0005-0000-0000-00004D000000}"/>
    <cellStyle name="SAPHierarchyCell3" xfId="66" xr:uid="{00000000-0005-0000-0000-00004E000000}"/>
    <cellStyle name="SAPHierarchyCell4" xfId="67" xr:uid="{00000000-0005-0000-0000-00004F000000}"/>
    <cellStyle name="SAPHierarchyOddCell" xfId="196" xr:uid="{9F570FF4-0E1A-4489-BEA3-818C01A4D9E1}"/>
    <cellStyle name="SAPLockedDataCell" xfId="68" xr:uid="{00000000-0005-0000-0000-000050000000}"/>
    <cellStyle name="SAPLockedDataTotalCell" xfId="69" xr:uid="{00000000-0005-0000-0000-000051000000}"/>
    <cellStyle name="SAPMemberCell" xfId="70" xr:uid="{00000000-0005-0000-0000-000052000000}"/>
    <cellStyle name="SAPMemberTotalCell" xfId="71" xr:uid="{00000000-0005-0000-0000-000053000000}"/>
    <cellStyle name="SAPMessageText" xfId="197" xr:uid="{5611518D-E514-424E-8460-25DAF7297F5A}"/>
    <cellStyle name="SAPReadonlyDataCell" xfId="72" xr:uid="{00000000-0005-0000-0000-000054000000}"/>
    <cellStyle name="SAPReadonlyDataTotalCell" xfId="73" xr:uid="{00000000-0005-0000-0000-000055000000}"/>
    <cellStyle name="Table  - Style5" xfId="198" xr:uid="{C33E41D5-74EE-4F59-853D-9A2FCADF27BD}"/>
    <cellStyle name="Table  - Style6" xfId="199" xr:uid="{113E51D0-A335-461B-B6A0-8224FDFB6058}"/>
    <cellStyle name="Title  - Style1" xfId="200" xr:uid="{AB834763-C615-415D-945D-ED189B135CA0}"/>
    <cellStyle name="Title  - Style6" xfId="201" xr:uid="{DECE7536-D0C5-4606-B014-3297EC487B00}"/>
    <cellStyle name="Title 2" xfId="202" xr:uid="{00137E02-3E6E-4F5E-8774-E2628E652EC9}"/>
    <cellStyle name="Total 2" xfId="203" xr:uid="{71EDC08C-3FEB-419F-802D-B452ED50FC92}"/>
    <cellStyle name="TotCol - Style5" xfId="204" xr:uid="{69FD417D-3696-4CD3-8E7F-F6712EB658E5}"/>
    <cellStyle name="TotCol - Style7" xfId="205" xr:uid="{86495425-B492-4187-ABDF-34CCE7787F31}"/>
    <cellStyle name="TotRow - Style4" xfId="206" xr:uid="{EE69FB20-96E7-471C-BE0C-F91FF9FB7D20}"/>
    <cellStyle name="TotRow - Style8" xfId="207" xr:uid="{79D91519-2A8B-4CBE-AAC2-34EF110FFE98}"/>
    <cellStyle name="UploadThisRowValue" xfId="208" xr:uid="{48399CFE-700F-40BC-8788-81B12AD9A40A}"/>
    <cellStyle name="Warning Text 2" xfId="209" xr:uid="{DA6C4A31-B0FE-477C-BA35-69CE94728325}"/>
    <cellStyle name="一般_dept code" xfId="210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/Exhibit%20C%20(Rates%20used%20in%20the%20Expected%20Gas%20Cost%20EGC%20Calcul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/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P63"/>
  <sheetViews>
    <sheetView tabSelected="1" view="pageBreakPreview" zoomScale="85" zoomScaleNormal="80" zoomScaleSheetLayoutView="85" workbookViewId="0"/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2" width="7.7109375" style="1" bestFit="1" customWidth="1"/>
    <col min="13" max="13" width="9.140625" style="2"/>
    <col min="14" max="16384" width="9.140625" style="1"/>
  </cols>
  <sheetData>
    <row r="1" spans="1:11">
      <c r="A1" s="28" t="s">
        <v>31</v>
      </c>
      <c r="K1" s="30" t="s">
        <v>30</v>
      </c>
    </row>
    <row r="2" spans="1:11">
      <c r="A2" s="1" t="s">
        <v>29</v>
      </c>
      <c r="K2" s="30" t="s">
        <v>28</v>
      </c>
    </row>
    <row r="3" spans="1:11">
      <c r="A3" s="1" t="s">
        <v>27</v>
      </c>
    </row>
    <row r="5" spans="1:11">
      <c r="G5" s="4" t="s">
        <v>26</v>
      </c>
      <c r="I5" s="4" t="s">
        <v>25</v>
      </c>
      <c r="K5" s="4" t="s">
        <v>24</v>
      </c>
    </row>
    <row r="6" spans="1:11">
      <c r="A6" s="29" t="s">
        <v>23</v>
      </c>
      <c r="B6" s="28"/>
      <c r="C6" s="28"/>
      <c r="D6" s="28"/>
      <c r="E6" s="28"/>
      <c r="F6" s="28"/>
      <c r="G6" s="493" t="s">
        <v>2</v>
      </c>
      <c r="H6" s="493"/>
      <c r="I6" s="493"/>
      <c r="J6" s="28"/>
      <c r="K6" s="28"/>
    </row>
    <row r="7" spans="1:11">
      <c r="A7" s="27" t="s">
        <v>22</v>
      </c>
      <c r="B7" s="25" t="s">
        <v>21</v>
      </c>
      <c r="C7" s="25"/>
      <c r="D7" s="25"/>
      <c r="E7" s="25"/>
      <c r="F7" s="25"/>
      <c r="G7" s="26" t="s">
        <v>394</v>
      </c>
      <c r="H7" s="32"/>
      <c r="I7" s="26" t="s">
        <v>398</v>
      </c>
      <c r="J7" s="25"/>
      <c r="K7" s="25" t="s">
        <v>20</v>
      </c>
    </row>
    <row r="8" spans="1:11">
      <c r="G8" s="24" t="s">
        <v>19</v>
      </c>
      <c r="I8" s="4" t="s">
        <v>19</v>
      </c>
      <c r="K8" s="4" t="s">
        <v>19</v>
      </c>
    </row>
    <row r="9" spans="1:11">
      <c r="A9" s="5">
        <v>1</v>
      </c>
      <c r="B9" s="23" t="s">
        <v>18</v>
      </c>
      <c r="G9" s="2"/>
    </row>
    <row r="10" spans="1:11">
      <c r="A10" s="5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5">
        <v>3</v>
      </c>
      <c r="B11" s="476" t="s">
        <v>397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5">
        <v>4</v>
      </c>
      <c r="B12" s="477" t="s">
        <v>5</v>
      </c>
      <c r="C12" s="478">
        <v>300</v>
      </c>
      <c r="D12" s="2" t="s">
        <v>3</v>
      </c>
      <c r="E12" s="2"/>
      <c r="F12" s="2"/>
      <c r="G12" s="383">
        <f>A.2!G12</f>
        <v>1.3855</v>
      </c>
      <c r="H12" s="479"/>
      <c r="I12" s="379">
        <v>1.3855</v>
      </c>
      <c r="J12" s="2"/>
      <c r="K12" s="20">
        <f>I12-G12</f>
        <v>0</v>
      </c>
    </row>
    <row r="13" spans="1:11">
      <c r="A13" s="5">
        <v>5</v>
      </c>
      <c r="B13" s="477" t="s">
        <v>17</v>
      </c>
      <c r="C13" s="478">
        <v>14700</v>
      </c>
      <c r="D13" s="2" t="s">
        <v>3</v>
      </c>
      <c r="E13" s="2"/>
      <c r="F13" s="2"/>
      <c r="G13" s="383">
        <f>A.2!G13</f>
        <v>0.95779999999999998</v>
      </c>
      <c r="H13" s="479"/>
      <c r="I13" s="379">
        <v>0.95779999999999998</v>
      </c>
      <c r="J13" s="2"/>
      <c r="K13" s="20">
        <f>I13-G13</f>
        <v>0</v>
      </c>
    </row>
    <row r="14" spans="1:11">
      <c r="A14" s="5">
        <v>6</v>
      </c>
      <c r="B14" s="477" t="s">
        <v>4</v>
      </c>
      <c r="C14" s="478">
        <v>15000</v>
      </c>
      <c r="D14" s="2" t="s">
        <v>3</v>
      </c>
      <c r="E14" s="2"/>
      <c r="F14" s="2"/>
      <c r="G14" s="383">
        <f>A.2!G14</f>
        <v>0.7651</v>
      </c>
      <c r="H14" s="479"/>
      <c r="I14" s="379">
        <v>0.7651</v>
      </c>
      <c r="J14" s="2"/>
      <c r="K14" s="20">
        <f>I14-G14</f>
        <v>0</v>
      </c>
    </row>
    <row r="15" spans="1:11">
      <c r="A15" s="5">
        <v>7</v>
      </c>
      <c r="B15" s="2"/>
      <c r="C15" s="2"/>
      <c r="D15" s="2"/>
      <c r="E15" s="2"/>
      <c r="F15" s="2"/>
      <c r="G15" s="178"/>
      <c r="H15" s="2"/>
      <c r="I15" s="2"/>
      <c r="J15" s="2"/>
      <c r="K15" s="2"/>
    </row>
    <row r="16" spans="1:11">
      <c r="A16" s="5">
        <v>8</v>
      </c>
      <c r="B16" s="480" t="s">
        <v>15</v>
      </c>
      <c r="C16" s="2"/>
      <c r="D16" s="2"/>
      <c r="E16" s="2"/>
      <c r="F16" s="2"/>
      <c r="G16" s="178"/>
      <c r="H16" s="2"/>
      <c r="I16" s="2"/>
      <c r="J16" s="2"/>
      <c r="K16" s="2"/>
    </row>
    <row r="17" spans="1:16">
      <c r="A17" s="5">
        <v>9</v>
      </c>
      <c r="B17" s="481" t="s">
        <v>14</v>
      </c>
      <c r="C17" s="2"/>
      <c r="D17" s="2"/>
      <c r="E17" s="2"/>
      <c r="F17" s="2"/>
      <c r="G17" s="178"/>
      <c r="H17" s="2"/>
      <c r="I17" s="2"/>
      <c r="J17" s="2"/>
      <c r="K17" s="2"/>
    </row>
    <row r="18" spans="1:16">
      <c r="A18" s="5">
        <v>10</v>
      </c>
      <c r="B18" s="482" t="s">
        <v>13</v>
      </c>
      <c r="C18" s="2"/>
      <c r="D18" s="2"/>
      <c r="E18" s="2"/>
      <c r="F18" s="2"/>
      <c r="G18" s="365">
        <v>2.4849000000000001</v>
      </c>
      <c r="H18" s="20"/>
      <c r="I18" s="20">
        <f>ROUND(B.7!$G$45,4)</f>
        <v>2.9485000000000001</v>
      </c>
      <c r="J18" s="20"/>
      <c r="K18" s="20">
        <f t="shared" ref="K18:K24" si="0">I18-G18</f>
        <v>0.46360000000000001</v>
      </c>
      <c r="L18" s="341"/>
      <c r="P18" s="14"/>
    </row>
    <row r="19" spans="1:16">
      <c r="A19" s="5">
        <v>11</v>
      </c>
      <c r="B19" s="482" t="s">
        <v>12</v>
      </c>
      <c r="C19" s="2"/>
      <c r="D19" s="2"/>
      <c r="E19" s="2"/>
      <c r="F19" s="2"/>
      <c r="G19" s="367">
        <v>1.5394000000000001</v>
      </c>
      <c r="H19" s="483"/>
      <c r="I19" s="483">
        <f>ROUND(B.6!$H$19,4)</f>
        <v>1.5326</v>
      </c>
      <c r="J19" s="483"/>
      <c r="K19" s="483">
        <f t="shared" si="0"/>
        <v>-6.8000000000001393E-3</v>
      </c>
      <c r="L19" s="341"/>
      <c r="P19" s="14"/>
    </row>
    <row r="20" spans="1:16">
      <c r="A20" s="5">
        <v>12</v>
      </c>
      <c r="B20" s="481" t="s">
        <v>11</v>
      </c>
      <c r="C20" s="2"/>
      <c r="D20" s="2"/>
      <c r="E20" s="2"/>
      <c r="F20" s="2"/>
      <c r="G20" s="383">
        <f>G18+G19</f>
        <v>4.0243000000000002</v>
      </c>
      <c r="H20" s="20"/>
      <c r="I20" s="20">
        <f>ROUND(SUM(I18:I19),4)</f>
        <v>4.4810999999999996</v>
      </c>
      <c r="J20" s="20"/>
      <c r="K20" s="20">
        <f t="shared" si="0"/>
        <v>0.45679999999999943</v>
      </c>
      <c r="L20" s="341"/>
      <c r="P20" s="14"/>
    </row>
    <row r="21" spans="1:16">
      <c r="A21" s="5">
        <v>13</v>
      </c>
      <c r="B21" s="481" t="s">
        <v>10</v>
      </c>
      <c r="C21" s="2"/>
      <c r="D21" s="2"/>
      <c r="E21" s="2"/>
      <c r="F21" s="2"/>
      <c r="G21" s="365">
        <v>-0.26200000000000001</v>
      </c>
      <c r="H21" s="20"/>
      <c r="I21" s="20">
        <f>ROUND(D.1!$G$44,4)</f>
        <v>-0.1201</v>
      </c>
      <c r="J21" s="20"/>
      <c r="K21" s="20">
        <f t="shared" si="0"/>
        <v>0.14190000000000003</v>
      </c>
      <c r="L21" s="341"/>
      <c r="P21" s="14"/>
    </row>
    <row r="22" spans="1:16">
      <c r="A22" s="5">
        <v>14</v>
      </c>
      <c r="B22" s="481" t="s">
        <v>9</v>
      </c>
      <c r="C22" s="2"/>
      <c r="D22" s="2"/>
      <c r="E22" s="2"/>
      <c r="F22" s="2"/>
      <c r="G22" s="365">
        <v>0</v>
      </c>
      <c r="H22" s="20"/>
      <c r="I22" s="20">
        <f>ROUND(G62,4)</f>
        <v>0</v>
      </c>
      <c r="J22" s="20"/>
      <c r="K22" s="20">
        <f t="shared" si="0"/>
        <v>0</v>
      </c>
      <c r="L22" s="341"/>
      <c r="P22" s="14"/>
    </row>
    <row r="23" spans="1:16">
      <c r="A23" s="5">
        <v>15</v>
      </c>
      <c r="B23" s="481" t="s">
        <v>8</v>
      </c>
      <c r="C23" s="2"/>
      <c r="D23" s="2"/>
      <c r="E23" s="2"/>
      <c r="F23" s="2"/>
      <c r="G23" s="367">
        <v>0.1807</v>
      </c>
      <c r="H23" s="20"/>
      <c r="I23" s="18">
        <v>0.1807</v>
      </c>
      <c r="J23" s="20"/>
      <c r="K23" s="8">
        <f t="shared" si="0"/>
        <v>0</v>
      </c>
      <c r="L23" s="341"/>
      <c r="P23" s="14"/>
    </row>
    <row r="24" spans="1:16">
      <c r="A24" s="5">
        <v>16</v>
      </c>
      <c r="B24" s="477" t="s">
        <v>7</v>
      </c>
      <c r="C24" s="2"/>
      <c r="D24" s="2"/>
      <c r="E24" s="2"/>
      <c r="F24" s="2"/>
      <c r="G24" s="383">
        <f>G20+G21+G22+G23</f>
        <v>3.9430000000000001</v>
      </c>
      <c r="H24" s="20"/>
      <c r="I24" s="20">
        <f>ROUND(SUM(I20:I23),4)</f>
        <v>4.5416999999999996</v>
      </c>
      <c r="J24" s="20"/>
      <c r="K24" s="20">
        <f t="shared" si="0"/>
        <v>0.59869999999999957</v>
      </c>
      <c r="L24" s="341"/>
      <c r="P24" s="14"/>
    </row>
    <row r="25" spans="1:16">
      <c r="A25" s="5">
        <v>17</v>
      </c>
      <c r="B25" s="2"/>
      <c r="C25" s="2"/>
      <c r="D25" s="2"/>
      <c r="E25" s="2"/>
      <c r="F25" s="2"/>
      <c r="G25" s="365"/>
      <c r="H25" s="20"/>
      <c r="I25" s="20"/>
      <c r="J25" s="20"/>
      <c r="K25" s="20"/>
      <c r="P25" s="14"/>
    </row>
    <row r="26" spans="1:16">
      <c r="A26" s="5">
        <v>18</v>
      </c>
      <c r="B26" s="480" t="s">
        <v>6</v>
      </c>
      <c r="C26" s="2"/>
      <c r="D26" s="2"/>
      <c r="E26" s="2"/>
      <c r="F26" s="2"/>
      <c r="G26" s="365"/>
      <c r="H26" s="20"/>
      <c r="I26" s="20"/>
      <c r="J26" s="20"/>
      <c r="K26" s="20"/>
      <c r="P26" s="14"/>
    </row>
    <row r="27" spans="1:16">
      <c r="A27" s="5">
        <v>19</v>
      </c>
      <c r="B27" s="477" t="s">
        <v>5</v>
      </c>
      <c r="C27" s="478">
        <v>300</v>
      </c>
      <c r="D27" s="2" t="s">
        <v>3</v>
      </c>
      <c r="E27" s="2"/>
      <c r="F27" s="2"/>
      <c r="G27" s="383">
        <f>G12+$G$24</f>
        <v>5.3285</v>
      </c>
      <c r="H27" s="20"/>
      <c r="I27" s="20">
        <f>I12+I24</f>
        <v>5.9271999999999991</v>
      </c>
      <c r="J27" s="20"/>
      <c r="K27" s="20">
        <f>I27-G27</f>
        <v>0.59869999999999912</v>
      </c>
      <c r="P27" s="14"/>
    </row>
    <row r="28" spans="1:16">
      <c r="A28" s="5">
        <v>20</v>
      </c>
      <c r="B28" s="477" t="s">
        <v>17</v>
      </c>
      <c r="C28" s="478">
        <v>14700</v>
      </c>
      <c r="D28" s="2" t="s">
        <v>3</v>
      </c>
      <c r="E28" s="2"/>
      <c r="F28" s="2"/>
      <c r="G28" s="383">
        <f t="shared" ref="G28:G29" si="1">G13+$G$24</f>
        <v>4.9008000000000003</v>
      </c>
      <c r="H28" s="20"/>
      <c r="I28" s="20">
        <f>+I13+I24</f>
        <v>5.4994999999999994</v>
      </c>
      <c r="J28" s="20"/>
      <c r="K28" s="20">
        <f>I28-G28</f>
        <v>0.59869999999999912</v>
      </c>
      <c r="P28" s="14"/>
    </row>
    <row r="29" spans="1:16">
      <c r="A29" s="5">
        <v>21</v>
      </c>
      <c r="B29" s="477" t="s">
        <v>4</v>
      </c>
      <c r="C29" s="478">
        <v>15000</v>
      </c>
      <c r="D29" s="2" t="s">
        <v>3</v>
      </c>
      <c r="E29" s="2"/>
      <c r="F29" s="2"/>
      <c r="G29" s="383">
        <f t="shared" si="1"/>
        <v>4.7081</v>
      </c>
      <c r="H29" s="20"/>
      <c r="I29" s="20">
        <f>+I14+I24</f>
        <v>5.3068</v>
      </c>
      <c r="J29" s="20"/>
      <c r="K29" s="20">
        <f>I29-G29</f>
        <v>0.59870000000000001</v>
      </c>
      <c r="P29" s="14"/>
    </row>
    <row r="30" spans="1:16">
      <c r="A30" s="5">
        <v>22</v>
      </c>
      <c r="B30" s="2"/>
      <c r="C30" s="2"/>
      <c r="D30" s="2"/>
      <c r="E30" s="2"/>
      <c r="F30" s="2"/>
      <c r="G30" s="452"/>
      <c r="H30" s="2"/>
      <c r="I30" s="2"/>
      <c r="J30" s="2"/>
      <c r="K30" s="2"/>
      <c r="P30" s="14"/>
    </row>
    <row r="31" spans="1:16">
      <c r="A31" s="5">
        <v>23</v>
      </c>
      <c r="B31" s="2"/>
      <c r="C31" s="2"/>
      <c r="D31" s="2"/>
      <c r="E31" s="2"/>
      <c r="F31" s="2"/>
      <c r="G31" s="452"/>
      <c r="H31" s="2"/>
      <c r="I31" s="2"/>
      <c r="J31" s="2"/>
      <c r="K31" s="2"/>
      <c r="P31" s="14"/>
    </row>
    <row r="32" spans="1:16">
      <c r="A32" s="5">
        <v>24</v>
      </c>
      <c r="B32" s="484" t="s">
        <v>16</v>
      </c>
      <c r="C32" s="2"/>
      <c r="D32" s="2"/>
      <c r="E32" s="2"/>
      <c r="F32" s="2"/>
      <c r="G32" s="452"/>
      <c r="H32" s="2"/>
      <c r="I32" s="2"/>
      <c r="J32" s="2"/>
      <c r="K32" s="2"/>
      <c r="P32" s="14"/>
    </row>
    <row r="33" spans="1:16">
      <c r="A33" s="5">
        <v>25</v>
      </c>
      <c r="B33" s="2"/>
      <c r="C33" s="2"/>
      <c r="D33" s="2"/>
      <c r="E33" s="2"/>
      <c r="F33" s="2"/>
      <c r="G33" s="452"/>
      <c r="H33" s="2"/>
      <c r="I33" s="2"/>
      <c r="J33" s="2"/>
      <c r="K33" s="2"/>
      <c r="P33" s="14"/>
    </row>
    <row r="34" spans="1:16">
      <c r="A34" s="5">
        <v>26</v>
      </c>
      <c r="B34" s="476" t="str">
        <f>+B11</f>
        <v>Distribution Charge (per Case No. 2018-00281)</v>
      </c>
      <c r="C34" s="2"/>
      <c r="D34" s="2"/>
      <c r="E34" s="2"/>
      <c r="F34" s="2"/>
      <c r="G34" s="452"/>
      <c r="H34" s="2"/>
      <c r="I34" s="2"/>
      <c r="J34" s="2"/>
      <c r="K34" s="2"/>
      <c r="P34" s="14"/>
    </row>
    <row r="35" spans="1:16">
      <c r="A35" s="5">
        <v>27</v>
      </c>
      <c r="B35" s="477" t="s">
        <v>5</v>
      </c>
      <c r="C35" s="478">
        <v>15000</v>
      </c>
      <c r="D35" s="2" t="s">
        <v>3</v>
      </c>
      <c r="E35" s="2"/>
      <c r="F35" s="2"/>
      <c r="G35" s="383">
        <f>A.2!G20</f>
        <v>0.8327</v>
      </c>
      <c r="H35" s="2"/>
      <c r="I35" s="379">
        <f>0.8327</f>
        <v>0.8327</v>
      </c>
      <c r="J35" s="2"/>
      <c r="K35" s="20">
        <f>I35-G35</f>
        <v>0</v>
      </c>
      <c r="P35" s="14"/>
    </row>
    <row r="36" spans="1:16">
      <c r="A36" s="5">
        <v>28</v>
      </c>
      <c r="B36" s="477" t="s">
        <v>4</v>
      </c>
      <c r="C36" s="478">
        <v>15000</v>
      </c>
      <c r="D36" s="2" t="s">
        <v>3</v>
      </c>
      <c r="E36" s="2"/>
      <c r="F36" s="2"/>
      <c r="G36" s="383">
        <f>A.2!G21</f>
        <v>0.63870000000000005</v>
      </c>
      <c r="H36" s="2"/>
      <c r="I36" s="379">
        <f>0.6387</f>
        <v>0.63870000000000005</v>
      </c>
      <c r="J36" s="2"/>
      <c r="K36" s="20">
        <f>I36-G36</f>
        <v>0</v>
      </c>
      <c r="P36" s="14"/>
    </row>
    <row r="37" spans="1:16">
      <c r="A37" s="5">
        <v>29</v>
      </c>
      <c r="G37" s="368"/>
      <c r="P37" s="14"/>
    </row>
    <row r="38" spans="1:16">
      <c r="A38" s="5">
        <v>30</v>
      </c>
      <c r="B38" s="16" t="s">
        <v>15</v>
      </c>
      <c r="G38" s="452"/>
      <c r="P38" s="14"/>
    </row>
    <row r="39" spans="1:16">
      <c r="A39" s="5">
        <v>31</v>
      </c>
      <c r="B39" s="19" t="s">
        <v>14</v>
      </c>
      <c r="G39" s="452"/>
      <c r="P39" s="14"/>
    </row>
    <row r="40" spans="1:16">
      <c r="A40" s="5">
        <v>32</v>
      </c>
      <c r="B40" s="21" t="s">
        <v>13</v>
      </c>
      <c r="G40" s="365">
        <v>2.4849000000000001</v>
      </c>
      <c r="H40" s="14"/>
      <c r="I40" s="14">
        <f>I18</f>
        <v>2.9485000000000001</v>
      </c>
      <c r="J40" s="14"/>
      <c r="K40" s="14">
        <f t="shared" ref="K40:K46" si="2">I40-G40</f>
        <v>0.46360000000000001</v>
      </c>
      <c r="P40" s="14"/>
    </row>
    <row r="41" spans="1:16">
      <c r="A41" s="5">
        <v>33</v>
      </c>
      <c r="B41" s="21" t="s">
        <v>12</v>
      </c>
      <c r="G41" s="367">
        <v>0.21759999999999999</v>
      </c>
      <c r="H41" s="17"/>
      <c r="I41" s="17">
        <f>ROUND(B.6!$I$19,4)</f>
        <v>0.21659999999999999</v>
      </c>
      <c r="J41" s="17"/>
      <c r="K41" s="17">
        <f t="shared" si="2"/>
        <v>-1.0000000000000009E-3</v>
      </c>
      <c r="P41" s="14"/>
    </row>
    <row r="42" spans="1:16">
      <c r="A42" s="5">
        <v>34</v>
      </c>
      <c r="B42" s="19" t="s">
        <v>11</v>
      </c>
      <c r="G42" s="383">
        <f>G40+G41</f>
        <v>2.7025000000000001</v>
      </c>
      <c r="H42" s="14"/>
      <c r="I42" s="14">
        <f>ROUND(SUM(I40:I41),4)</f>
        <v>3.1650999999999998</v>
      </c>
      <c r="J42" s="14"/>
      <c r="K42" s="14">
        <f t="shared" si="2"/>
        <v>0.46259999999999968</v>
      </c>
      <c r="P42" s="14"/>
    </row>
    <row r="43" spans="1:16">
      <c r="A43" s="5">
        <v>35</v>
      </c>
      <c r="B43" s="19" t="s">
        <v>10</v>
      </c>
      <c r="G43" s="365">
        <v>-0.26200000000000001</v>
      </c>
      <c r="H43" s="14"/>
      <c r="I43" s="20">
        <f>ROUND(D.1!$G$44,4)</f>
        <v>-0.1201</v>
      </c>
      <c r="J43" s="14"/>
      <c r="K43" s="14">
        <f t="shared" si="2"/>
        <v>0.14190000000000003</v>
      </c>
      <c r="P43" s="14"/>
    </row>
    <row r="44" spans="1:16">
      <c r="A44" s="5">
        <v>36</v>
      </c>
      <c r="B44" s="19" t="s">
        <v>9</v>
      </c>
      <c r="G44" s="365">
        <v>0</v>
      </c>
      <c r="H44" s="14"/>
      <c r="I44" s="14">
        <f>G62</f>
        <v>0</v>
      </c>
      <c r="J44" s="14"/>
      <c r="K44" s="14">
        <f t="shared" si="2"/>
        <v>0</v>
      </c>
      <c r="P44" s="14"/>
    </row>
    <row r="45" spans="1:16">
      <c r="A45" s="5">
        <v>37</v>
      </c>
      <c r="B45" s="19" t="s">
        <v>8</v>
      </c>
      <c r="G45" s="367">
        <v>0.1807</v>
      </c>
      <c r="H45" s="14"/>
      <c r="I45" s="18">
        <f>+I23</f>
        <v>0.1807</v>
      </c>
      <c r="J45" s="14"/>
      <c r="K45" s="17">
        <f t="shared" si="2"/>
        <v>0</v>
      </c>
      <c r="P45" s="14"/>
    </row>
    <row r="46" spans="1:16">
      <c r="A46" s="5">
        <v>38</v>
      </c>
      <c r="B46" s="15" t="s">
        <v>7</v>
      </c>
      <c r="G46" s="383">
        <f>+G42+G43+G44+G45</f>
        <v>2.6212</v>
      </c>
      <c r="H46" s="14"/>
      <c r="I46" s="14">
        <f>ROUND(SUM(I42:I45),4)</f>
        <v>3.2256999999999998</v>
      </c>
      <c r="J46" s="14"/>
      <c r="K46" s="14">
        <f t="shared" si="2"/>
        <v>0.60449999999999982</v>
      </c>
      <c r="L46" s="334"/>
      <c r="P46" s="14"/>
    </row>
    <row r="47" spans="1:16">
      <c r="A47" s="5">
        <v>39</v>
      </c>
      <c r="G47" s="366"/>
      <c r="H47" s="14"/>
      <c r="I47" s="14"/>
      <c r="J47" s="14"/>
      <c r="K47" s="14"/>
      <c r="P47" s="14"/>
    </row>
    <row r="48" spans="1:16">
      <c r="A48" s="5">
        <v>40</v>
      </c>
      <c r="B48" s="16" t="s">
        <v>6</v>
      </c>
      <c r="G48" s="366"/>
      <c r="H48" s="14"/>
      <c r="I48" s="14"/>
      <c r="J48" s="14"/>
      <c r="K48" s="14"/>
      <c r="P48" s="14"/>
    </row>
    <row r="49" spans="1:16">
      <c r="A49" s="5">
        <v>41</v>
      </c>
      <c r="B49" s="15" t="s">
        <v>5</v>
      </c>
      <c r="C49" s="5">
        <v>300</v>
      </c>
      <c r="D49" s="1" t="s">
        <v>3</v>
      </c>
      <c r="G49" s="378">
        <f>+G35+$G$46</f>
        <v>3.4539</v>
      </c>
      <c r="H49" s="14"/>
      <c r="I49" s="14">
        <f>I35+I46</f>
        <v>4.0583999999999998</v>
      </c>
      <c r="J49" s="14"/>
      <c r="K49" s="14">
        <f>I49-G49</f>
        <v>0.60449999999999982</v>
      </c>
      <c r="P49" s="14"/>
    </row>
    <row r="50" spans="1:16">
      <c r="A50" s="5">
        <v>42</v>
      </c>
      <c r="B50" s="15" t="s">
        <v>4</v>
      </c>
      <c r="C50" s="5">
        <v>14700</v>
      </c>
      <c r="D50" s="1" t="s">
        <v>3</v>
      </c>
      <c r="G50" s="378">
        <f>+G36+$G$46</f>
        <v>3.2599</v>
      </c>
      <c r="H50" s="14"/>
      <c r="I50" s="14">
        <f>+I36+I46</f>
        <v>3.8643999999999998</v>
      </c>
      <c r="J50" s="14"/>
      <c r="K50" s="14">
        <f>I50-G50</f>
        <v>0.60449999999999982</v>
      </c>
      <c r="P50" s="14"/>
    </row>
    <row r="51" spans="1:16">
      <c r="A51" s="5"/>
      <c r="G51" s="364"/>
    </row>
    <row r="52" spans="1:16">
      <c r="A52" s="5"/>
    </row>
    <row r="53" spans="1:16">
      <c r="A53" s="5"/>
      <c r="B53" s="13"/>
    </row>
    <row r="54" spans="1:16">
      <c r="A54" s="5"/>
      <c r="E54" s="3"/>
      <c r="H54" s="12"/>
      <c r="I54" s="12"/>
      <c r="J54" s="12"/>
      <c r="K54" s="12"/>
    </row>
    <row r="55" spans="1:16">
      <c r="A55" s="5"/>
      <c r="D55" s="2"/>
      <c r="E55" s="11"/>
      <c r="F55" s="2"/>
      <c r="G55" s="11"/>
    </row>
    <row r="56" spans="1:16">
      <c r="A56" s="5"/>
      <c r="D56" s="2"/>
      <c r="E56" s="2"/>
      <c r="F56" s="2"/>
      <c r="G56" s="2"/>
      <c r="H56" s="10"/>
    </row>
    <row r="57" spans="1:16">
      <c r="A57" s="5"/>
      <c r="D57" s="396"/>
      <c r="E57" s="369"/>
      <c r="F57" s="2"/>
      <c r="G57" s="344"/>
      <c r="H57" s="6"/>
      <c r="K57" s="1" t="s">
        <v>379</v>
      </c>
    </row>
    <row r="58" spans="1:16">
      <c r="A58" s="5"/>
      <c r="D58" s="396"/>
      <c r="E58" s="369"/>
      <c r="F58" s="2"/>
      <c r="G58" s="344"/>
      <c r="H58" s="6"/>
      <c r="L58" s="1" t="s">
        <v>379</v>
      </c>
    </row>
    <row r="59" spans="1:16">
      <c r="A59" s="5"/>
      <c r="D59" s="396"/>
      <c r="E59" s="369"/>
      <c r="F59" s="2"/>
      <c r="G59" s="344"/>
      <c r="H59" s="6"/>
    </row>
    <row r="60" spans="1:16">
      <c r="A60" s="5"/>
      <c r="D60" s="339"/>
      <c r="E60" s="9"/>
      <c r="G60" s="345"/>
      <c r="H60" s="6"/>
    </row>
    <row r="61" spans="1:16">
      <c r="A61" s="5"/>
      <c r="F61" s="2"/>
      <c r="G61" s="397"/>
      <c r="H61" s="6"/>
    </row>
    <row r="62" spans="1:16">
      <c r="A62" s="5"/>
      <c r="G62" s="7"/>
      <c r="H62" s="6"/>
    </row>
    <row r="63" spans="1:16">
      <c r="A63" s="5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  <cellWatches>
    <cellWatch r="L24"/>
    <cellWatch r="L4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H50"/>
  <sheetViews>
    <sheetView view="pageBreakPreview" zoomScale="115" zoomScaleNormal="80" zoomScaleSheetLayoutView="115" workbookViewId="0"/>
  </sheetViews>
  <sheetFormatPr defaultColWidth="9.85546875" defaultRowHeight="14.25"/>
  <cols>
    <col min="1" max="1" width="5.85546875" style="34" customWidth="1"/>
    <col min="2" max="2" width="30" style="34" customWidth="1"/>
    <col min="3" max="3" width="15.28515625" style="34" customWidth="1"/>
    <col min="4" max="4" width="18" style="34" customWidth="1"/>
    <col min="5" max="5" width="9.85546875" style="34"/>
    <col min="6" max="6" width="13" style="34" bestFit="1" customWidth="1"/>
    <col min="7" max="7" width="14.140625" style="34" customWidth="1"/>
    <col min="8" max="16384" width="9.85546875" style="34"/>
  </cols>
  <sheetData>
    <row r="1" spans="1:7" ht="15">
      <c r="A1" s="68" t="s">
        <v>31</v>
      </c>
      <c r="B1" s="51"/>
      <c r="C1" s="51"/>
      <c r="D1" s="51"/>
      <c r="E1" s="51"/>
      <c r="F1" s="36" t="s">
        <v>72</v>
      </c>
    </row>
    <row r="2" spans="1:7">
      <c r="A2" s="34" t="str">
        <f>B.1!A2</f>
        <v>Expected Gas Cost (EGC) Calculation</v>
      </c>
      <c r="D2" s="51"/>
      <c r="E2" s="51"/>
      <c r="F2" s="36" t="s">
        <v>231</v>
      </c>
    </row>
    <row r="3" spans="1:7">
      <c r="A3" s="51" t="s">
        <v>230</v>
      </c>
      <c r="B3" s="51"/>
      <c r="C3" s="51"/>
      <c r="D3" s="36"/>
      <c r="E3" s="36"/>
      <c r="F3" s="36"/>
    </row>
    <row r="6" spans="1:7" ht="15">
      <c r="A6" s="64" t="s">
        <v>23</v>
      </c>
      <c r="B6" s="61"/>
      <c r="C6" s="61"/>
      <c r="D6" s="61"/>
      <c r="E6" s="61"/>
      <c r="F6" s="61"/>
    </row>
    <row r="7" spans="1:7" ht="15">
      <c r="A7" s="63" t="s">
        <v>22</v>
      </c>
      <c r="B7" s="63" t="s">
        <v>21</v>
      </c>
      <c r="C7" s="62"/>
      <c r="D7" s="62"/>
      <c r="E7" s="62"/>
      <c r="F7" s="63" t="s">
        <v>229</v>
      </c>
    </row>
    <row r="9" spans="1:7">
      <c r="A9" s="36"/>
      <c r="B9" s="156"/>
      <c r="C9" s="36"/>
      <c r="D9" s="36"/>
      <c r="E9" s="36"/>
      <c r="F9" s="36"/>
    </row>
    <row r="10" spans="1:7">
      <c r="A10" s="36"/>
      <c r="B10" s="123" t="s">
        <v>228</v>
      </c>
      <c r="C10" s="36"/>
      <c r="D10" s="36"/>
      <c r="E10" s="36"/>
      <c r="F10" s="36"/>
    </row>
    <row r="11" spans="1:7">
      <c r="A11" s="60" t="s">
        <v>149</v>
      </c>
      <c r="B11" s="36" t="s">
        <v>227</v>
      </c>
      <c r="C11" s="36"/>
      <c r="D11" s="36"/>
      <c r="E11" s="42"/>
      <c r="F11" s="42">
        <f>B.6!E26+B.6!E30</f>
        <v>16167382.638659999</v>
      </c>
    </row>
    <row r="12" spans="1:7">
      <c r="A12" s="60">
        <v>2</v>
      </c>
      <c r="B12" s="36" t="s">
        <v>226</v>
      </c>
      <c r="C12" s="36"/>
      <c r="D12" s="36"/>
      <c r="E12" s="36"/>
      <c r="F12" s="79">
        <v>0</v>
      </c>
    </row>
    <row r="13" spans="1:7">
      <c r="A13" s="60">
        <v>3</v>
      </c>
      <c r="B13" s="36" t="s">
        <v>225</v>
      </c>
      <c r="C13" s="36"/>
      <c r="D13" s="36"/>
      <c r="E13" s="36"/>
      <c r="F13" s="42">
        <f>SUM(F11:F12)</f>
        <v>16167382.638659999</v>
      </c>
    </row>
    <row r="14" spans="1:7">
      <c r="A14" s="60">
        <v>4</v>
      </c>
      <c r="B14" s="36" t="s">
        <v>224</v>
      </c>
      <c r="C14" s="36"/>
      <c r="D14" s="36"/>
      <c r="E14" s="36"/>
      <c r="F14" s="79">
        <v>365</v>
      </c>
    </row>
    <row r="15" spans="1:7" ht="15" thickBot="1">
      <c r="A15" s="60">
        <v>5</v>
      </c>
      <c r="B15" s="36" t="s">
        <v>223</v>
      </c>
      <c r="C15" s="36"/>
      <c r="D15" s="36"/>
      <c r="E15" s="36"/>
      <c r="F15" s="155">
        <f>ROUND(F13/365,0)</f>
        <v>44294</v>
      </c>
    </row>
    <row r="16" spans="1:7" ht="15" thickTop="1">
      <c r="A16" s="60">
        <v>6</v>
      </c>
      <c r="B16" s="36"/>
      <c r="C16" s="36"/>
      <c r="D16" s="36"/>
      <c r="E16" s="36"/>
      <c r="F16" s="42"/>
      <c r="G16" s="36"/>
    </row>
    <row r="17" spans="1:7">
      <c r="A17" s="60">
        <v>7</v>
      </c>
      <c r="B17" s="123" t="s">
        <v>222</v>
      </c>
      <c r="C17" s="36"/>
      <c r="D17" s="36"/>
      <c r="E17" s="36"/>
      <c r="F17" s="36"/>
      <c r="G17" s="36"/>
    </row>
    <row r="18" spans="1:7">
      <c r="A18" s="60">
        <v>8</v>
      </c>
      <c r="B18" s="36" t="s">
        <v>221</v>
      </c>
      <c r="C18" s="36"/>
      <c r="D18" s="36"/>
      <c r="E18" s="36"/>
      <c r="F18" s="36"/>
      <c r="G18" s="36"/>
    </row>
    <row r="19" spans="1:7" ht="15" thickBot="1">
      <c r="A19" s="60">
        <v>9</v>
      </c>
      <c r="B19" s="36" t="s">
        <v>220</v>
      </c>
      <c r="C19" s="36"/>
      <c r="D19" s="36"/>
      <c r="E19" s="36"/>
      <c r="F19" s="436">
        <v>310985</v>
      </c>
      <c r="G19" s="36" t="s">
        <v>219</v>
      </c>
    </row>
    <row r="20" spans="1:7" ht="15" thickTop="1">
      <c r="A20" s="60">
        <v>10</v>
      </c>
      <c r="B20" s="36"/>
      <c r="C20" s="36"/>
      <c r="D20" s="36"/>
      <c r="E20" s="36"/>
      <c r="F20" s="42"/>
      <c r="G20" s="36"/>
    </row>
    <row r="21" spans="1:7">
      <c r="A21" s="60">
        <v>11</v>
      </c>
      <c r="B21" s="36"/>
      <c r="C21" s="36"/>
      <c r="D21" s="36"/>
      <c r="E21" s="36"/>
      <c r="F21" s="36"/>
      <c r="G21" s="36"/>
    </row>
    <row r="22" spans="1:7" ht="15">
      <c r="A22" s="60">
        <v>12</v>
      </c>
      <c r="B22" s="36" t="s">
        <v>218</v>
      </c>
      <c r="C22" s="36"/>
      <c r="D22" s="36"/>
      <c r="E22" s="36"/>
      <c r="F22" s="154">
        <f>ROUND(F15/F19,4)</f>
        <v>0.1424</v>
      </c>
      <c r="G22" s="36"/>
    </row>
    <row r="23" spans="1:7">
      <c r="A23" s="60">
        <v>13</v>
      </c>
      <c r="B23" s="36"/>
      <c r="C23" s="36"/>
      <c r="D23" s="36"/>
      <c r="E23" s="36"/>
      <c r="F23" s="42"/>
      <c r="G23" s="36"/>
    </row>
    <row r="47" spans="7:7">
      <c r="G47" s="54"/>
    </row>
    <row r="50" spans="6:8">
      <c r="F50" s="54"/>
      <c r="G50" s="54"/>
      <c r="H50" s="54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pageSetUpPr fitToPage="1"/>
  </sheetPr>
  <dimension ref="A1:I46"/>
  <sheetViews>
    <sheetView view="pageBreakPreview" zoomScale="85" zoomScaleNormal="80" zoomScaleSheetLayoutView="85" workbookViewId="0">
      <selection sqref="A1:I1"/>
    </sheetView>
  </sheetViews>
  <sheetFormatPr defaultColWidth="9.85546875" defaultRowHeight="12.75"/>
  <cols>
    <col min="1" max="1" width="7.7109375" style="179" customWidth="1"/>
    <col min="2" max="2" width="19" style="179" customWidth="1"/>
    <col min="3" max="3" width="13.5703125" style="180" customWidth="1"/>
    <col min="4" max="4" width="9.7109375" style="179" customWidth="1"/>
    <col min="5" max="5" width="14.7109375" style="179" customWidth="1"/>
    <col min="6" max="6" width="2.7109375" style="179" customWidth="1"/>
    <col min="7" max="7" width="14.7109375" style="179" customWidth="1"/>
    <col min="8" max="8" width="2.7109375" style="179" customWidth="1"/>
    <col min="9" max="9" width="13.140625" style="179" bestFit="1" customWidth="1"/>
    <col min="10" max="16384" width="9.85546875" style="179"/>
  </cols>
  <sheetData>
    <row r="1" spans="1:9" ht="15.75">
      <c r="A1" s="498" t="s">
        <v>31</v>
      </c>
      <c r="B1" s="498"/>
      <c r="C1" s="498"/>
      <c r="D1" s="498"/>
      <c r="E1" s="498"/>
      <c r="F1" s="498"/>
      <c r="G1" s="498"/>
      <c r="H1" s="498"/>
      <c r="I1" s="498"/>
    </row>
    <row r="2" spans="1:9" ht="15.75">
      <c r="A2" s="499" t="s">
        <v>248</v>
      </c>
      <c r="B2" s="499"/>
      <c r="C2" s="499"/>
      <c r="D2" s="499"/>
      <c r="E2" s="499"/>
      <c r="F2" s="499"/>
      <c r="G2" s="499"/>
      <c r="H2" s="499"/>
      <c r="I2" s="499"/>
    </row>
    <row r="3" spans="1:9" ht="15.75">
      <c r="A3" s="500" t="s">
        <v>399</v>
      </c>
      <c r="B3" s="500"/>
      <c r="C3" s="500"/>
      <c r="D3" s="500"/>
      <c r="E3" s="500"/>
      <c r="F3" s="500"/>
      <c r="G3" s="500"/>
      <c r="H3" s="500"/>
      <c r="I3" s="500"/>
    </row>
    <row r="4" spans="1:9" ht="15.75">
      <c r="A4" s="186"/>
      <c r="B4" s="186"/>
      <c r="C4" s="201"/>
      <c r="D4" s="186"/>
      <c r="E4" s="186"/>
      <c r="F4" s="186"/>
      <c r="G4" s="186"/>
      <c r="H4" s="186"/>
      <c r="I4" s="186"/>
    </row>
    <row r="5" spans="1:9">
      <c r="A5" s="497" t="s">
        <v>247</v>
      </c>
      <c r="B5" s="497"/>
      <c r="C5" s="497"/>
      <c r="D5" s="497"/>
      <c r="E5" s="497"/>
      <c r="F5" s="497"/>
      <c r="G5" s="497"/>
      <c r="H5" s="497"/>
      <c r="I5" s="497"/>
    </row>
    <row r="6" spans="1:9">
      <c r="A6" s="497"/>
      <c r="B6" s="497"/>
      <c r="C6" s="497"/>
      <c r="D6" s="497"/>
      <c r="E6" s="497"/>
      <c r="F6" s="497"/>
      <c r="G6" s="497"/>
      <c r="H6" s="497"/>
      <c r="I6" s="497"/>
    </row>
    <row r="7" spans="1:9" ht="15.75">
      <c r="A7" s="186"/>
      <c r="B7" s="186"/>
      <c r="C7" s="201"/>
      <c r="D7" s="186"/>
      <c r="E7" s="186"/>
      <c r="F7" s="186"/>
      <c r="G7" s="186"/>
      <c r="H7" s="186"/>
      <c r="I7" s="186"/>
    </row>
    <row r="8" spans="1:9" ht="15.75" customHeight="1">
      <c r="A8" s="186" t="s">
        <v>246</v>
      </c>
      <c r="B8" s="496" t="s">
        <v>400</v>
      </c>
      <c r="C8" s="496"/>
      <c r="D8" s="496"/>
      <c r="E8" s="496"/>
      <c r="F8" s="496"/>
      <c r="G8" s="496"/>
      <c r="H8" s="496"/>
      <c r="I8" s="496"/>
    </row>
    <row r="9" spans="1:9" ht="15.75">
      <c r="A9" s="186"/>
      <c r="B9" s="496"/>
      <c r="C9" s="496"/>
      <c r="D9" s="496"/>
      <c r="E9" s="496"/>
      <c r="F9" s="496"/>
      <c r="G9" s="496"/>
      <c r="H9" s="496"/>
      <c r="I9" s="496"/>
    </row>
    <row r="10" spans="1:9" ht="15.75">
      <c r="A10" s="186"/>
      <c r="B10" s="496"/>
      <c r="C10" s="496"/>
      <c r="D10" s="496"/>
      <c r="E10" s="496"/>
      <c r="F10" s="496"/>
      <c r="G10" s="496"/>
      <c r="H10" s="496"/>
      <c r="I10" s="496"/>
    </row>
    <row r="11" spans="1:9" ht="15.75">
      <c r="A11" s="186"/>
      <c r="B11" s="184"/>
      <c r="C11" s="201"/>
      <c r="D11" s="186"/>
      <c r="E11" s="186"/>
      <c r="F11" s="186"/>
      <c r="G11" s="186"/>
      <c r="H11" s="186"/>
      <c r="I11" s="186"/>
    </row>
    <row r="12" spans="1:9" ht="15.75">
      <c r="A12" s="186"/>
      <c r="B12" s="186"/>
      <c r="C12" s="201"/>
      <c r="D12" s="184"/>
      <c r="E12" s="202">
        <v>44317</v>
      </c>
      <c r="F12" s="204"/>
      <c r="G12" s="202">
        <v>44348</v>
      </c>
      <c r="H12" s="203"/>
      <c r="I12" s="202">
        <v>44378</v>
      </c>
    </row>
    <row r="13" spans="1:9" ht="15.75">
      <c r="A13" s="186"/>
      <c r="B13" s="184"/>
      <c r="C13" s="201"/>
      <c r="D13" s="184"/>
      <c r="E13" s="199" t="s">
        <v>245</v>
      </c>
      <c r="F13" s="200"/>
      <c r="G13" s="199" t="s">
        <v>245</v>
      </c>
      <c r="H13" s="200"/>
      <c r="I13" s="199" t="s">
        <v>245</v>
      </c>
    </row>
    <row r="14" spans="1:9" ht="15.75">
      <c r="B14" s="194" t="s">
        <v>401</v>
      </c>
      <c r="C14" s="198">
        <v>44265</v>
      </c>
      <c r="D14" s="186"/>
      <c r="E14" s="425">
        <v>2.7280000000000002</v>
      </c>
      <c r="F14" s="425"/>
      <c r="G14" s="425">
        <v>2.7850000000000001</v>
      </c>
      <c r="H14" s="425"/>
      <c r="I14" s="425">
        <v>2.8420000000000001</v>
      </c>
    </row>
    <row r="15" spans="1:9" ht="15.75">
      <c r="A15" s="186"/>
      <c r="B15" s="194" t="s">
        <v>402</v>
      </c>
      <c r="C15" s="198">
        <v>44266</v>
      </c>
      <c r="D15" s="186"/>
      <c r="E15" s="425">
        <v>2.7029999999999998</v>
      </c>
      <c r="F15" s="425"/>
      <c r="G15" s="425">
        <v>2.76</v>
      </c>
      <c r="H15" s="425"/>
      <c r="I15" s="425">
        <v>2.8170000000000002</v>
      </c>
    </row>
    <row r="16" spans="1:9" ht="15.75">
      <c r="A16" s="186"/>
      <c r="B16" s="194" t="s">
        <v>403</v>
      </c>
      <c r="C16" s="198">
        <v>44267</v>
      </c>
      <c r="D16" s="186"/>
      <c r="E16" s="425">
        <v>2.6360000000000001</v>
      </c>
      <c r="F16" s="425"/>
      <c r="G16" s="425">
        <v>2.6949999999999998</v>
      </c>
      <c r="H16" s="425"/>
      <c r="I16" s="425">
        <v>2.7519999999999998</v>
      </c>
    </row>
    <row r="17" spans="1:9" ht="15.75">
      <c r="A17" s="186"/>
      <c r="B17" s="194" t="s">
        <v>404</v>
      </c>
      <c r="C17" s="198">
        <v>44270</v>
      </c>
      <c r="D17" s="186"/>
      <c r="E17" s="425">
        <v>2.5230000000000001</v>
      </c>
      <c r="F17" s="425"/>
      <c r="G17" s="425">
        <v>2.5859999999999999</v>
      </c>
      <c r="H17" s="425"/>
      <c r="I17" s="425">
        <v>2.6459999999999999</v>
      </c>
    </row>
    <row r="18" spans="1:9" ht="15.75">
      <c r="A18" s="186"/>
      <c r="B18" s="194" t="s">
        <v>405</v>
      </c>
      <c r="C18" s="198">
        <v>44271</v>
      </c>
      <c r="D18" s="186"/>
      <c r="E18" s="425">
        <v>2.597</v>
      </c>
      <c r="F18" s="425"/>
      <c r="G18" s="425">
        <v>2.6539999999999999</v>
      </c>
      <c r="H18" s="425"/>
      <c r="I18" s="425">
        <v>2.7130000000000001</v>
      </c>
    </row>
    <row r="19" spans="1:9" ht="15.75">
      <c r="A19" s="186"/>
      <c r="B19" s="194" t="s">
        <v>401</v>
      </c>
      <c r="C19" s="198">
        <v>44272</v>
      </c>
      <c r="D19" s="186"/>
      <c r="E19" s="425">
        <v>2.5550000000000002</v>
      </c>
      <c r="F19" s="425"/>
      <c r="G19" s="425">
        <v>2.613</v>
      </c>
      <c r="H19" s="425"/>
      <c r="I19" s="425">
        <v>2.6749999999999998</v>
      </c>
    </row>
    <row r="20" spans="1:9" ht="15.75">
      <c r="A20" s="186"/>
      <c r="B20" s="194" t="s">
        <v>402</v>
      </c>
      <c r="C20" s="198">
        <v>44273</v>
      </c>
      <c r="D20" s="186"/>
      <c r="E20" s="425">
        <v>2.5110000000000001</v>
      </c>
      <c r="F20" s="425"/>
      <c r="G20" s="425">
        <v>2.57</v>
      </c>
      <c r="H20" s="425"/>
      <c r="I20" s="425">
        <v>2.633</v>
      </c>
    </row>
    <row r="21" spans="1:9" ht="15.75">
      <c r="A21" s="186"/>
      <c r="B21" s="194" t="s">
        <v>403</v>
      </c>
      <c r="C21" s="198">
        <v>44274</v>
      </c>
      <c r="D21" s="186"/>
      <c r="E21" s="425">
        <v>2.5659999999999998</v>
      </c>
      <c r="F21" s="425"/>
      <c r="G21" s="425">
        <v>2.6240000000000001</v>
      </c>
      <c r="H21" s="425"/>
      <c r="I21" s="425">
        <v>2.6819999999999999</v>
      </c>
    </row>
    <row r="22" spans="1:9" ht="15.75">
      <c r="A22" s="186"/>
      <c r="B22" s="194" t="s">
        <v>404</v>
      </c>
      <c r="C22" s="198">
        <v>44277</v>
      </c>
      <c r="D22" s="186"/>
      <c r="E22" s="425">
        <v>2.6190000000000002</v>
      </c>
      <c r="F22" s="425"/>
      <c r="G22" s="425">
        <v>2.6739999999999999</v>
      </c>
      <c r="H22" s="425"/>
      <c r="I22" s="425">
        <v>2.7309999999999999</v>
      </c>
    </row>
    <row r="23" spans="1:9" ht="15.75">
      <c r="A23" s="186"/>
      <c r="B23" s="194" t="s">
        <v>405</v>
      </c>
      <c r="C23" s="198">
        <v>44278</v>
      </c>
      <c r="D23" s="186"/>
      <c r="E23" s="425">
        <v>2.5539999999999998</v>
      </c>
      <c r="F23" s="425"/>
      <c r="G23" s="425">
        <v>2.6150000000000002</v>
      </c>
      <c r="H23" s="425"/>
      <c r="I23" s="425">
        <v>2.6739999999999999</v>
      </c>
    </row>
    <row r="24" spans="1:9" ht="15.75">
      <c r="A24" s="186"/>
      <c r="B24" s="194"/>
      <c r="C24" s="197"/>
      <c r="D24" s="186"/>
      <c r="E24" s="195"/>
      <c r="F24" s="196"/>
      <c r="G24" s="195"/>
      <c r="H24" s="196"/>
      <c r="I24" s="195"/>
    </row>
    <row r="25" spans="1:9" ht="16.5" thickBot="1">
      <c r="A25" s="186"/>
      <c r="B25" s="194" t="s">
        <v>101</v>
      </c>
      <c r="C25" s="193"/>
      <c r="D25" s="192"/>
      <c r="E25" s="190">
        <f>AVERAGEA(E14:E23)</f>
        <v>2.5991999999999997</v>
      </c>
      <c r="F25" s="191"/>
      <c r="G25" s="190">
        <f>AVERAGEA(G14:G23)</f>
        <v>2.6576</v>
      </c>
      <c r="H25" s="191"/>
      <c r="I25" s="190">
        <f>AVERAGEA(I14:I23)</f>
        <v>2.7164999999999999</v>
      </c>
    </row>
    <row r="26" spans="1:9" ht="16.5" thickTop="1">
      <c r="A26" s="186"/>
      <c r="B26" s="189"/>
      <c r="D26" s="188"/>
      <c r="E26" s="187"/>
      <c r="F26" s="187"/>
      <c r="G26" s="187"/>
      <c r="H26" s="187"/>
      <c r="I26" s="187"/>
    </row>
    <row r="27" spans="1:9" ht="15.75" customHeight="1"/>
    <row r="28" spans="1:9" ht="15.75">
      <c r="A28" s="186" t="s">
        <v>244</v>
      </c>
      <c r="B28" s="495" t="s">
        <v>406</v>
      </c>
      <c r="C28" s="495"/>
      <c r="D28" s="495"/>
      <c r="E28" s="495"/>
      <c r="F28" s="495"/>
      <c r="G28" s="495"/>
      <c r="H28" s="495"/>
      <c r="I28" s="495"/>
    </row>
    <row r="29" spans="1:9" ht="15.75">
      <c r="A29" s="186"/>
      <c r="B29" s="495"/>
      <c r="C29" s="495"/>
      <c r="D29" s="495"/>
      <c r="E29" s="495"/>
      <c r="F29" s="495"/>
      <c r="G29" s="495"/>
      <c r="H29" s="495"/>
      <c r="I29" s="495"/>
    </row>
    <row r="30" spans="1:9" ht="18.75" customHeight="1">
      <c r="A30" s="184"/>
      <c r="B30" s="495"/>
      <c r="C30" s="495"/>
      <c r="D30" s="495"/>
      <c r="E30" s="495"/>
      <c r="F30" s="495"/>
      <c r="G30" s="495"/>
      <c r="H30" s="495"/>
      <c r="I30" s="495"/>
    </row>
    <row r="31" spans="1:9" ht="10.5" customHeight="1">
      <c r="A31" s="184"/>
      <c r="B31" s="185"/>
      <c r="C31" s="183"/>
      <c r="D31" s="182"/>
      <c r="E31" s="182"/>
      <c r="F31" s="182"/>
      <c r="G31" s="182"/>
      <c r="H31" s="182"/>
      <c r="I31" s="182"/>
    </row>
    <row r="32" spans="1:9" ht="20.25" customHeight="1">
      <c r="A32" s="184"/>
      <c r="B32" s="494" t="s">
        <v>243</v>
      </c>
      <c r="C32" s="494"/>
      <c r="D32" s="494"/>
      <c r="E32" s="494"/>
      <c r="F32" s="494"/>
      <c r="G32" s="494"/>
      <c r="H32" s="494"/>
      <c r="I32" s="494"/>
    </row>
    <row r="33" spans="1:9">
      <c r="A33" s="184"/>
      <c r="B33" s="494"/>
      <c r="C33" s="494"/>
      <c r="D33" s="494"/>
      <c r="E33" s="494"/>
      <c r="F33" s="494"/>
      <c r="G33" s="494"/>
      <c r="H33" s="494"/>
      <c r="I33" s="494"/>
    </row>
    <row r="44" spans="1:9" ht="15.75">
      <c r="B44" s="181"/>
    </row>
    <row r="45" spans="1:9" ht="15.75">
      <c r="B45" s="181"/>
    </row>
    <row r="46" spans="1:9" ht="15.75">
      <c r="B46" s="181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orientation="landscape" r:id="rId1"/>
  <headerFooter alignWithMargins="0">
    <oddHeader>&amp;RExhibit C
Page  1 of 2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P24"/>
  <sheetViews>
    <sheetView view="pageBreakPreview" zoomScale="80" zoomScaleNormal="85" zoomScaleSheetLayoutView="80" workbookViewId="0"/>
  </sheetViews>
  <sheetFormatPr defaultColWidth="9.140625" defaultRowHeight="12.75"/>
  <cols>
    <col min="1" max="1" width="18.7109375" style="22" bestFit="1" customWidth="1"/>
    <col min="2" max="2" width="12" style="22" bestFit="1" customWidth="1"/>
    <col min="3" max="3" width="15" style="22" customWidth="1"/>
    <col min="4" max="4" width="13.85546875" style="22" customWidth="1"/>
    <col min="5" max="5" width="2.7109375" style="22" customWidth="1"/>
    <col min="6" max="6" width="12" style="22" bestFit="1" customWidth="1"/>
    <col min="7" max="7" width="8.7109375" style="22" customWidth="1"/>
    <col min="8" max="8" width="13.42578125" style="22" customWidth="1"/>
    <col min="9" max="9" width="2.7109375" style="22" customWidth="1"/>
    <col min="10" max="10" width="12" style="22" bestFit="1" customWidth="1"/>
    <col min="11" max="11" width="12.28515625" style="22" bestFit="1" customWidth="1"/>
    <col min="12" max="12" width="13.42578125" style="22" bestFit="1" customWidth="1"/>
    <col min="13" max="13" width="2.7109375" style="22" customWidth="1"/>
    <col min="14" max="14" width="12.85546875" style="22" bestFit="1" customWidth="1"/>
    <col min="15" max="15" width="9.140625" style="22"/>
    <col min="16" max="16" width="14.85546875" style="22" customWidth="1"/>
    <col min="17" max="16384" width="9.140625" style="22"/>
  </cols>
  <sheetData>
    <row r="1" spans="1:16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22" t="s">
        <v>242</v>
      </c>
    </row>
    <row r="2" spans="1:16">
      <c r="P2" s="22" t="s">
        <v>35</v>
      </c>
    </row>
    <row r="3" spans="1:16">
      <c r="A3" s="501" t="s">
        <v>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>
      <c r="A4" s="501" t="s">
        <v>241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6">
      <c r="A5" s="501" t="s">
        <v>399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</row>
    <row r="6" spans="1:16">
      <c r="A6" s="176"/>
    </row>
    <row r="8" spans="1:16">
      <c r="B8" s="503">
        <v>44317</v>
      </c>
      <c r="C8" s="503"/>
      <c r="D8" s="503"/>
      <c r="E8" s="175"/>
      <c r="F8" s="503">
        <v>44348</v>
      </c>
      <c r="G8" s="503"/>
      <c r="H8" s="503"/>
      <c r="I8" s="175"/>
      <c r="J8" s="503">
        <v>44378</v>
      </c>
      <c r="K8" s="503"/>
      <c r="L8" s="503"/>
      <c r="N8" s="504" t="s">
        <v>61</v>
      </c>
      <c r="O8" s="504"/>
      <c r="P8" s="504"/>
    </row>
    <row r="9" spans="1:16">
      <c r="B9" s="174" t="s">
        <v>187</v>
      </c>
      <c r="C9" s="174" t="s">
        <v>62</v>
      </c>
      <c r="D9" s="174" t="s">
        <v>240</v>
      </c>
      <c r="F9" s="174" t="s">
        <v>187</v>
      </c>
      <c r="G9" s="174" t="s">
        <v>62</v>
      </c>
      <c r="H9" s="174" t="s">
        <v>240</v>
      </c>
      <c r="J9" s="174" t="s">
        <v>187</v>
      </c>
      <c r="K9" s="174" t="s">
        <v>62</v>
      </c>
      <c r="L9" s="174" t="s">
        <v>240</v>
      </c>
      <c r="N9" s="174" t="s">
        <v>187</v>
      </c>
      <c r="O9" s="174" t="s">
        <v>62</v>
      </c>
      <c r="P9" s="174" t="s">
        <v>240</v>
      </c>
    </row>
    <row r="10" spans="1:16" ht="15">
      <c r="A10" s="22" t="s">
        <v>104</v>
      </c>
      <c r="B10" s="167"/>
      <c r="C10" s="168"/>
      <c r="D10" s="168"/>
      <c r="E10" s="168"/>
      <c r="F10" s="167"/>
      <c r="G10" s="168"/>
      <c r="H10" s="168"/>
      <c r="I10" s="168"/>
      <c r="J10" s="167"/>
      <c r="K10" s="168"/>
      <c r="L10" s="168"/>
      <c r="N10" s="170"/>
      <c r="O10" s="168"/>
      <c r="P10" s="168"/>
    </row>
    <row r="11" spans="1:16" ht="15">
      <c r="A11" s="22" t="s">
        <v>239</v>
      </c>
      <c r="B11" s="167"/>
      <c r="C11" s="168"/>
      <c r="D11" s="168"/>
      <c r="E11" s="168"/>
      <c r="F11" s="167"/>
      <c r="G11" s="168"/>
      <c r="H11" s="168"/>
      <c r="I11" s="168"/>
      <c r="J11" s="167" t="s">
        <v>396</v>
      </c>
      <c r="K11" s="168"/>
      <c r="L11" s="168"/>
      <c r="N11" s="170"/>
      <c r="O11" s="168"/>
      <c r="P11" s="168"/>
    </row>
    <row r="12" spans="1:16" ht="15">
      <c r="A12" s="22" t="s">
        <v>92</v>
      </c>
      <c r="B12" s="167"/>
      <c r="C12" s="168"/>
      <c r="D12" s="168"/>
      <c r="E12" s="168"/>
      <c r="F12" s="167"/>
      <c r="G12" s="168"/>
      <c r="H12" s="168"/>
      <c r="I12" s="168"/>
      <c r="J12" s="167"/>
      <c r="K12" s="168"/>
      <c r="L12" s="168"/>
      <c r="N12" s="170"/>
      <c r="O12" s="168"/>
      <c r="P12" s="168"/>
    </row>
    <row r="13" spans="1:16" ht="15">
      <c r="A13" s="22" t="s">
        <v>238</v>
      </c>
      <c r="B13" s="167"/>
      <c r="C13" s="168"/>
      <c r="D13" s="168"/>
      <c r="E13" s="168"/>
      <c r="F13" s="167"/>
      <c r="G13" s="168"/>
      <c r="H13" s="168"/>
      <c r="I13" s="168"/>
      <c r="J13" s="167"/>
      <c r="K13" s="168"/>
      <c r="L13" s="168"/>
      <c r="N13" s="170"/>
      <c r="O13" s="168"/>
      <c r="P13" s="168"/>
    </row>
    <row r="14" spans="1:16" ht="15">
      <c r="A14" s="22" t="s">
        <v>237</v>
      </c>
      <c r="B14" s="167"/>
      <c r="C14" s="168"/>
      <c r="D14" s="168"/>
      <c r="E14" s="168"/>
      <c r="F14" s="167"/>
      <c r="G14" s="168"/>
      <c r="H14" s="168"/>
      <c r="I14" s="168"/>
      <c r="J14" s="167"/>
      <c r="K14" s="168"/>
      <c r="L14" s="168"/>
      <c r="N14" s="170"/>
      <c r="O14" s="168"/>
      <c r="P14" s="168"/>
    </row>
    <row r="15" spans="1:16" ht="15">
      <c r="A15" s="22" t="s">
        <v>236</v>
      </c>
      <c r="B15" s="167"/>
      <c r="C15" s="168"/>
      <c r="D15" s="168"/>
      <c r="E15" s="168"/>
      <c r="F15" s="167"/>
      <c r="G15" s="168"/>
      <c r="H15" s="168"/>
      <c r="I15" s="168"/>
      <c r="J15" s="167"/>
      <c r="K15" s="168"/>
      <c r="L15" s="168"/>
      <c r="N15" s="170"/>
      <c r="O15" s="168"/>
      <c r="P15" s="168"/>
    </row>
    <row r="16" spans="1:16" ht="16.5">
      <c r="A16" s="22" t="s">
        <v>194</v>
      </c>
      <c r="B16" s="173"/>
      <c r="C16" s="168"/>
      <c r="D16" s="168"/>
      <c r="E16" s="168"/>
      <c r="F16" s="173"/>
      <c r="G16" s="168"/>
      <c r="H16" s="168"/>
      <c r="I16" s="168"/>
      <c r="J16" s="173"/>
      <c r="K16" s="168"/>
      <c r="L16" s="168"/>
      <c r="N16" s="172"/>
      <c r="O16" s="168"/>
      <c r="P16" s="168"/>
    </row>
    <row r="17" spans="1:16" ht="15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N17" s="168"/>
      <c r="O17" s="168"/>
      <c r="P17" s="168"/>
    </row>
    <row r="18" spans="1:16" ht="1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N18" s="168"/>
      <c r="O18" s="168"/>
      <c r="P18" s="168"/>
    </row>
    <row r="19" spans="1:16" ht="15">
      <c r="B19" s="167"/>
      <c r="C19" s="161"/>
      <c r="D19" s="171"/>
      <c r="E19" s="168"/>
      <c r="F19" s="167"/>
      <c r="G19" s="161"/>
      <c r="H19" s="171"/>
      <c r="I19" s="168"/>
      <c r="J19" s="167"/>
      <c r="K19" s="161"/>
      <c r="L19" s="171"/>
      <c r="N19" s="170"/>
      <c r="O19" s="161"/>
      <c r="P19" s="166"/>
    </row>
    <row r="20" spans="1:16" ht="15.75">
      <c r="B20" s="167"/>
      <c r="C20" s="163"/>
      <c r="D20" s="169" t="s">
        <v>235</v>
      </c>
      <c r="E20" s="168"/>
      <c r="F20" s="167"/>
      <c r="G20" s="163"/>
      <c r="H20" s="165"/>
      <c r="I20" s="168"/>
      <c r="J20" s="167"/>
      <c r="K20" s="163"/>
      <c r="L20" s="165"/>
      <c r="N20" s="167"/>
      <c r="O20" s="163"/>
      <c r="P20" s="166"/>
    </row>
    <row r="21" spans="1:16" ht="15" hidden="1">
      <c r="A21" s="22" t="s">
        <v>234</v>
      </c>
      <c r="B21" s="159"/>
      <c r="C21" s="163"/>
      <c r="D21" s="165"/>
      <c r="F21" s="159"/>
      <c r="G21" s="163"/>
      <c r="H21" s="165"/>
      <c r="J21" s="159"/>
      <c r="K21" s="163"/>
      <c r="L21" s="165"/>
      <c r="N21" s="159"/>
      <c r="O21" s="161"/>
      <c r="P21" s="164"/>
    </row>
    <row r="22" spans="1:16" ht="15" hidden="1">
      <c r="A22" s="22" t="s">
        <v>233</v>
      </c>
      <c r="B22" s="162"/>
      <c r="C22" s="163"/>
      <c r="D22" s="160"/>
      <c r="F22" s="162"/>
      <c r="G22" s="163"/>
      <c r="H22" s="160"/>
      <c r="J22" s="162"/>
      <c r="K22" s="163"/>
      <c r="L22" s="160"/>
      <c r="N22" s="162"/>
      <c r="O22" s="161"/>
      <c r="P22" s="160"/>
    </row>
    <row r="23" spans="1:16">
      <c r="B23" s="159"/>
      <c r="D23" s="158"/>
      <c r="F23" s="159"/>
      <c r="H23" s="158"/>
      <c r="J23" s="159"/>
      <c r="L23" s="158"/>
      <c r="N23" s="159"/>
      <c r="P23" s="158"/>
    </row>
    <row r="24" spans="1:16" ht="15">
      <c r="A24" s="22" t="s">
        <v>232</v>
      </c>
      <c r="C24" s="157"/>
      <c r="G24" s="157"/>
      <c r="K24" s="157"/>
      <c r="O24" s="157"/>
    </row>
  </sheetData>
  <mergeCells count="7">
    <mergeCell ref="A5:P5"/>
    <mergeCell ref="B8:D8"/>
    <mergeCell ref="F8:H8"/>
    <mergeCell ref="N8:P8"/>
    <mergeCell ref="J8:L8"/>
    <mergeCell ref="A3:P3"/>
    <mergeCell ref="A4:P4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M121"/>
  <sheetViews>
    <sheetView showGridLines="0" view="pageBreakPreview" zoomScale="85" zoomScaleNormal="80" zoomScaleSheetLayoutView="85" workbookViewId="0"/>
  </sheetViews>
  <sheetFormatPr defaultColWidth="9.140625" defaultRowHeight="14.25"/>
  <cols>
    <col min="1" max="1" width="11.140625" style="205" customWidth="1"/>
    <col min="2" max="2" width="16.5703125" style="205" customWidth="1"/>
    <col min="3" max="3" width="17.5703125" style="205" bestFit="1" customWidth="1"/>
    <col min="4" max="4" width="17.5703125" style="205" customWidth="1"/>
    <col min="5" max="5" width="17.42578125" style="205" bestFit="1" customWidth="1"/>
    <col min="6" max="6" width="21.5703125" style="205" customWidth="1"/>
    <col min="7" max="7" width="17.7109375" style="205" customWidth="1"/>
    <col min="8" max="8" width="4.85546875" style="205" customWidth="1"/>
    <col min="9" max="9" width="18.28515625" style="205" bestFit="1" customWidth="1"/>
    <col min="10" max="10" width="23.28515625" style="205" bestFit="1" customWidth="1"/>
    <col min="11" max="11" width="21.140625" style="205" customWidth="1"/>
    <col min="12" max="12" width="17" style="205" customWidth="1"/>
    <col min="13" max="13" width="16.140625" style="205" bestFit="1" customWidth="1"/>
    <col min="14" max="16384" width="9.140625" style="205"/>
  </cols>
  <sheetData>
    <row r="1" spans="1:13" ht="15">
      <c r="A1" s="245" t="s">
        <v>31</v>
      </c>
      <c r="B1" s="242"/>
      <c r="C1" s="242"/>
      <c r="D1" s="242"/>
      <c r="E1" s="242"/>
      <c r="F1" s="242"/>
      <c r="G1" s="242"/>
      <c r="H1" s="242"/>
      <c r="I1" s="210" t="s">
        <v>274</v>
      </c>
      <c r="J1" s="210"/>
      <c r="K1" s="210"/>
    </row>
    <row r="2" spans="1:13">
      <c r="A2" s="506" t="s">
        <v>273</v>
      </c>
      <c r="B2" s="506"/>
      <c r="C2" s="506"/>
      <c r="D2" s="506"/>
      <c r="E2" s="242"/>
      <c r="F2" s="242"/>
      <c r="G2" s="242"/>
      <c r="H2" s="242"/>
      <c r="I2" s="210" t="s">
        <v>272</v>
      </c>
      <c r="J2" s="210"/>
      <c r="K2" s="210"/>
    </row>
    <row r="3" spans="1:13">
      <c r="A3" s="505">
        <v>44197</v>
      </c>
      <c r="B3" s="505"/>
      <c r="C3" s="505"/>
      <c r="D3" s="505"/>
      <c r="E3" s="451"/>
      <c r="F3" s="244"/>
      <c r="G3" s="242"/>
      <c r="H3" s="242"/>
      <c r="I3" s="210"/>
      <c r="J3" s="210"/>
      <c r="K3" s="210"/>
    </row>
    <row r="4" spans="1:13">
      <c r="A4" s="507" t="s">
        <v>398</v>
      </c>
      <c r="B4" s="507"/>
      <c r="C4" s="507"/>
      <c r="D4" s="507"/>
      <c r="E4" s="242"/>
      <c r="F4" s="242"/>
      <c r="G4" s="242"/>
      <c r="H4" s="242"/>
      <c r="I4" s="210"/>
      <c r="J4" s="210"/>
      <c r="K4" s="210"/>
    </row>
    <row r="5" spans="1:13">
      <c r="A5" s="242"/>
      <c r="B5" s="242"/>
      <c r="C5" s="242"/>
      <c r="D5" s="243"/>
      <c r="E5" s="242"/>
      <c r="F5" s="242"/>
      <c r="G5" s="242"/>
      <c r="H5" s="242"/>
      <c r="I5" s="210"/>
      <c r="J5" s="210"/>
      <c r="K5" s="210"/>
    </row>
    <row r="6" spans="1:13">
      <c r="D6" s="223"/>
    </row>
    <row r="7" spans="1:13" ht="14.25" customHeight="1">
      <c r="A7" s="210"/>
      <c r="B7" s="206" t="s">
        <v>26</v>
      </c>
      <c r="C7" s="206" t="s">
        <v>25</v>
      </c>
      <c r="D7" s="206" t="s">
        <v>24</v>
      </c>
      <c r="E7" s="206" t="s">
        <v>68</v>
      </c>
      <c r="F7" s="206" t="s">
        <v>67</v>
      </c>
      <c r="G7" s="206" t="s">
        <v>151</v>
      </c>
      <c r="H7" s="206"/>
      <c r="I7" s="206" t="s">
        <v>271</v>
      </c>
      <c r="J7" s="210"/>
      <c r="K7" s="210"/>
    </row>
    <row r="8" spans="1:13" ht="14.25" customHeight="1">
      <c r="A8" s="210"/>
      <c r="B8" s="210"/>
      <c r="C8" s="210"/>
      <c r="D8" s="210"/>
      <c r="E8" s="206" t="s">
        <v>270</v>
      </c>
      <c r="F8" s="206" t="s">
        <v>269</v>
      </c>
      <c r="G8" s="210"/>
      <c r="H8" s="210"/>
      <c r="I8" s="210"/>
      <c r="J8" s="210"/>
      <c r="K8" s="210"/>
    </row>
    <row r="9" spans="1:13" ht="14.25" customHeight="1">
      <c r="A9" s="206" t="s">
        <v>23</v>
      </c>
      <c r="B9" s="210"/>
      <c r="C9" s="206" t="s">
        <v>268</v>
      </c>
      <c r="D9" s="206" t="s">
        <v>267</v>
      </c>
      <c r="E9" s="206" t="s">
        <v>266</v>
      </c>
      <c r="F9" s="206" t="s">
        <v>265</v>
      </c>
      <c r="G9" s="210"/>
      <c r="H9" s="210"/>
      <c r="I9" s="210"/>
      <c r="J9" s="210"/>
      <c r="K9" s="210"/>
    </row>
    <row r="10" spans="1:13" ht="14.25" customHeight="1">
      <c r="A10" s="206" t="s">
        <v>22</v>
      </c>
      <c r="B10" s="206" t="s">
        <v>39</v>
      </c>
      <c r="C10" s="206" t="s">
        <v>264</v>
      </c>
      <c r="D10" s="206" t="s">
        <v>263</v>
      </c>
      <c r="E10" s="206" t="s">
        <v>263</v>
      </c>
      <c r="F10" s="206" t="s">
        <v>262</v>
      </c>
      <c r="G10" s="231" t="s">
        <v>261</v>
      </c>
      <c r="H10" s="206"/>
      <c r="I10" s="206" t="s">
        <v>61</v>
      </c>
      <c r="J10" s="210"/>
      <c r="K10" s="228"/>
    </row>
    <row r="11" spans="1:13" ht="14.2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23"/>
    </row>
    <row r="12" spans="1:13" ht="14.25" customHeight="1">
      <c r="A12" s="206" t="s">
        <v>149</v>
      </c>
      <c r="B12" s="239">
        <v>44136</v>
      </c>
      <c r="C12" s="217">
        <f>D.2!D33</f>
        <v>1522512.27</v>
      </c>
      <c r="D12" s="230">
        <f>D.3!D36</f>
        <v>5744194.96</v>
      </c>
      <c r="E12" s="230">
        <f>D.4!L13</f>
        <v>4344302.22</v>
      </c>
      <c r="F12" s="230">
        <f>D12-E12</f>
        <v>1399892.7400000002</v>
      </c>
      <c r="G12" s="405">
        <v>0</v>
      </c>
      <c r="H12" s="238"/>
      <c r="I12" s="230">
        <f>F12+G12</f>
        <v>1399892.7400000002</v>
      </c>
      <c r="J12" s="210"/>
      <c r="K12" s="235"/>
      <c r="L12" s="237"/>
      <c r="M12" s="228"/>
    </row>
    <row r="13" spans="1:13" ht="14.25" customHeight="1">
      <c r="A13" s="206" t="s">
        <v>36</v>
      </c>
      <c r="B13" s="210"/>
      <c r="C13" s="217"/>
      <c r="D13" s="230"/>
      <c r="E13" s="230"/>
      <c r="F13" s="230"/>
      <c r="G13" s="405"/>
      <c r="H13" s="241"/>
      <c r="I13" s="230"/>
      <c r="J13" s="210"/>
      <c r="K13" s="210"/>
    </row>
    <row r="14" spans="1:13" ht="14.25" customHeight="1">
      <c r="A14" s="206" t="s">
        <v>147</v>
      </c>
      <c r="B14" s="239">
        <v>44166</v>
      </c>
      <c r="C14" s="217">
        <f>D.2!F$33</f>
        <v>3058124.42</v>
      </c>
      <c r="D14" s="230">
        <f>D.3!F36</f>
        <v>9808920.6999999993</v>
      </c>
      <c r="E14" s="230">
        <f>D.4!L20</f>
        <v>9178986.6199999973</v>
      </c>
      <c r="F14" s="230">
        <f>D14-E14</f>
        <v>629934.08000000194</v>
      </c>
      <c r="G14" s="405">
        <v>0</v>
      </c>
      <c r="H14" s="238"/>
      <c r="I14" s="230">
        <f>F14+G14</f>
        <v>629934.08000000194</v>
      </c>
      <c r="J14" s="210"/>
      <c r="K14" s="235"/>
      <c r="L14" s="237"/>
    </row>
    <row r="15" spans="1:13" ht="14.25" customHeight="1">
      <c r="A15" s="206" t="s">
        <v>146</v>
      </c>
      <c r="B15" s="210"/>
      <c r="C15" s="217"/>
      <c r="D15" s="230"/>
      <c r="E15" s="230"/>
      <c r="F15" s="230"/>
      <c r="G15" s="405"/>
      <c r="H15" s="240"/>
      <c r="I15" s="230"/>
      <c r="J15" s="210"/>
      <c r="K15" s="228"/>
    </row>
    <row r="16" spans="1:13" ht="14.25" customHeight="1">
      <c r="A16" s="206" t="s">
        <v>145</v>
      </c>
      <c r="B16" s="239">
        <v>44197</v>
      </c>
      <c r="C16" s="217">
        <f>D.2!H33</f>
        <v>3417054.1500000004</v>
      </c>
      <c r="D16" s="470">
        <f>+D.3!H36</f>
        <v>10496514.860000001</v>
      </c>
      <c r="E16" s="469">
        <f>D.4!L27</f>
        <v>13873016.139999999</v>
      </c>
      <c r="F16" s="470">
        <f>D16-E16</f>
        <v>-3376501.2799999975</v>
      </c>
      <c r="G16" s="471">
        <v>0</v>
      </c>
      <c r="H16" s="238"/>
      <c r="I16" s="470">
        <f>F16+G16</f>
        <v>-3376501.2799999975</v>
      </c>
      <c r="J16" s="210"/>
      <c r="K16" s="235"/>
      <c r="L16" s="237"/>
      <c r="M16" s="223"/>
    </row>
    <row r="17" spans="1:13" ht="14.25" customHeight="1">
      <c r="A17" s="206" t="s">
        <v>144</v>
      </c>
      <c r="B17" s="236"/>
      <c r="C17" s="217"/>
      <c r="D17" s="295" t="s">
        <v>260</v>
      </c>
      <c r="E17" s="295" t="s">
        <v>260</v>
      </c>
      <c r="F17" s="295" t="s">
        <v>260</v>
      </c>
      <c r="G17" s="472"/>
      <c r="H17" s="472"/>
      <c r="I17" s="295" t="s">
        <v>259</v>
      </c>
      <c r="J17" s="210"/>
      <c r="K17" s="235"/>
    </row>
    <row r="18" spans="1:13" ht="14.25" customHeight="1">
      <c r="A18" s="206" t="s">
        <v>143</v>
      </c>
      <c r="B18" s="210"/>
      <c r="C18" s="210"/>
      <c r="D18" s="228"/>
      <c r="E18" s="228"/>
      <c r="F18" s="228"/>
      <c r="G18" s="295"/>
      <c r="H18" s="228"/>
      <c r="I18" s="228"/>
      <c r="J18" s="210"/>
      <c r="K18" s="210"/>
    </row>
    <row r="19" spans="1:13" ht="14.25" customHeight="1">
      <c r="A19" s="206" t="s">
        <v>141</v>
      </c>
      <c r="B19" s="210" t="s">
        <v>258</v>
      </c>
      <c r="C19" s="210"/>
      <c r="D19" s="234">
        <f>SUM(D12:D17)</f>
        <v>26049630.520000003</v>
      </c>
      <c r="E19" s="234">
        <f>SUM(E12:E17)</f>
        <v>27396304.979999997</v>
      </c>
      <c r="F19" s="234">
        <f>SUM(F12:F17)</f>
        <v>-1346674.4599999953</v>
      </c>
      <c r="G19" s="234">
        <f>SUM(G12:G17)</f>
        <v>0</v>
      </c>
      <c r="H19" s="234"/>
      <c r="I19" s="234">
        <f>SUM(I12:I17)</f>
        <v>-1346674.4599999953</v>
      </c>
      <c r="J19" s="210"/>
      <c r="K19" s="210"/>
      <c r="M19" s="223"/>
    </row>
    <row r="20" spans="1:13" ht="14.25" customHeight="1">
      <c r="A20" s="206" t="s">
        <v>139</v>
      </c>
    </row>
    <row r="21" spans="1:13" ht="14.25" customHeight="1">
      <c r="A21" s="206" t="s">
        <v>137</v>
      </c>
      <c r="B21" s="205" t="s">
        <v>257</v>
      </c>
      <c r="D21" s="233">
        <v>1005953.7898792</v>
      </c>
      <c r="K21" s="210"/>
    </row>
    <row r="22" spans="1:13" ht="14.25" customHeight="1">
      <c r="A22" s="206" t="s">
        <v>135</v>
      </c>
      <c r="B22" s="210"/>
      <c r="C22" s="210"/>
      <c r="D22" s="210"/>
      <c r="E22" s="217"/>
      <c r="F22" s="217"/>
      <c r="G22" s="217"/>
      <c r="H22" s="217"/>
      <c r="I22" s="217"/>
      <c r="J22" s="210"/>
      <c r="K22" s="210"/>
    </row>
    <row r="23" spans="1:13" ht="14.25" customHeight="1">
      <c r="A23" s="206" t="s">
        <v>134</v>
      </c>
      <c r="B23" s="225" t="s">
        <v>254</v>
      </c>
      <c r="C23" s="210"/>
      <c r="D23" s="210"/>
      <c r="E23" s="217"/>
      <c r="F23" s="217"/>
      <c r="G23" s="217"/>
      <c r="H23" s="217"/>
      <c r="I23" s="217"/>
      <c r="J23" s="232"/>
    </row>
    <row r="24" spans="1:13" ht="14.25" customHeight="1">
      <c r="A24" s="206" t="s">
        <v>133</v>
      </c>
      <c r="B24" s="275" t="s">
        <v>410</v>
      </c>
      <c r="C24" s="210"/>
      <c r="D24" s="210"/>
      <c r="E24" s="210"/>
      <c r="F24" s="210"/>
      <c r="G24" s="406">
        <v>-4923469.96</v>
      </c>
      <c r="H24" s="210"/>
      <c r="J24" s="223"/>
      <c r="K24" s="231"/>
    </row>
    <row r="25" spans="1:13" ht="14.25" customHeight="1">
      <c r="A25" s="206" t="s">
        <v>131</v>
      </c>
      <c r="B25" s="210" t="s">
        <v>411</v>
      </c>
      <c r="C25" s="210"/>
      <c r="D25" s="210"/>
      <c r="E25" s="210"/>
      <c r="F25" s="210"/>
      <c r="G25" s="285">
        <f>+I19</f>
        <v>-1346674.4599999953</v>
      </c>
      <c r="H25" s="210"/>
      <c r="J25" s="210"/>
      <c r="K25" s="228"/>
    </row>
    <row r="26" spans="1:13" ht="14.25" customHeight="1">
      <c r="A26" s="206" t="s">
        <v>129</v>
      </c>
      <c r="B26" s="210" t="s">
        <v>256</v>
      </c>
      <c r="C26" s="210"/>
      <c r="D26" s="210"/>
      <c r="E26" s="217"/>
      <c r="F26" s="217"/>
      <c r="G26" s="372">
        <f>-D.4!F30</f>
        <v>3641491.41</v>
      </c>
      <c r="H26" s="217"/>
      <c r="I26" s="219"/>
      <c r="J26" s="230"/>
    </row>
    <row r="27" spans="1:13" ht="14.25" customHeight="1">
      <c r="A27" s="206" t="s">
        <v>127</v>
      </c>
      <c r="B27" s="210" t="s">
        <v>393</v>
      </c>
      <c r="C27" s="210"/>
      <c r="D27" s="210"/>
      <c r="E27" s="217"/>
      <c r="F27" s="217"/>
      <c r="G27" s="406"/>
      <c r="H27" s="217"/>
      <c r="I27" s="219"/>
      <c r="J27" s="230"/>
    </row>
    <row r="28" spans="1:13" ht="14.25" customHeight="1">
      <c r="A28" s="206" t="s">
        <v>125</v>
      </c>
      <c r="B28" s="417" t="s">
        <v>412</v>
      </c>
      <c r="C28" s="254"/>
      <c r="D28" s="254"/>
      <c r="E28" s="284"/>
      <c r="F28" s="284"/>
      <c r="G28" s="418">
        <v>0</v>
      </c>
      <c r="H28" s="284"/>
      <c r="J28" s="230"/>
    </row>
    <row r="29" spans="1:13" ht="14.25" customHeight="1">
      <c r="A29" s="206" t="s">
        <v>123</v>
      </c>
      <c r="B29" s="210" t="s">
        <v>413</v>
      </c>
      <c r="C29" s="210"/>
      <c r="D29" s="210"/>
      <c r="E29" s="217"/>
      <c r="F29" s="217"/>
      <c r="G29" s="218">
        <f>SUM(G24:G28)</f>
        <v>-2628653.0099999951</v>
      </c>
      <c r="H29" s="217"/>
      <c r="I29" s="213"/>
      <c r="J29" s="223"/>
    </row>
    <row r="30" spans="1:13" ht="14.25" customHeight="1">
      <c r="A30" s="206" t="s">
        <v>120</v>
      </c>
      <c r="B30" s="210" t="s">
        <v>252</v>
      </c>
      <c r="C30" s="210"/>
      <c r="D30" s="217"/>
      <c r="E30" s="210"/>
      <c r="F30" s="210"/>
      <c r="G30" s="284">
        <f>B.6!$E$26+B.6!$E$30</f>
        <v>16167382.638659999</v>
      </c>
      <c r="H30" s="217" t="s">
        <v>255</v>
      </c>
      <c r="J30" s="228"/>
      <c r="K30" s="226"/>
    </row>
    <row r="31" spans="1:13" ht="14.25" customHeight="1">
      <c r="A31" s="206" t="s">
        <v>119</v>
      </c>
      <c r="B31" s="210"/>
      <c r="C31" s="210"/>
      <c r="D31" s="217"/>
      <c r="E31" s="210"/>
      <c r="F31" s="210"/>
      <c r="G31" s="284"/>
      <c r="K31" s="226"/>
      <c r="M31" s="223"/>
    </row>
    <row r="32" spans="1:13" ht="14.25" customHeight="1">
      <c r="A32" s="206" t="s">
        <v>118</v>
      </c>
      <c r="B32" s="205" t="s">
        <v>254</v>
      </c>
      <c r="G32" s="373">
        <f>ROUND(G29/G30,4)</f>
        <v>-0.16259999999999999</v>
      </c>
      <c r="H32" s="205" t="s">
        <v>250</v>
      </c>
      <c r="K32" s="213"/>
    </row>
    <row r="33" spans="1:11" ht="14.25" customHeight="1">
      <c r="A33" s="206" t="s">
        <v>117</v>
      </c>
      <c r="B33" s="227"/>
      <c r="G33" s="374"/>
      <c r="K33" s="226"/>
    </row>
    <row r="34" spans="1:11" ht="14.25" customHeight="1">
      <c r="A34" s="206" t="s">
        <v>82</v>
      </c>
      <c r="B34" s="225" t="s">
        <v>253</v>
      </c>
      <c r="G34" s="374"/>
      <c r="J34" s="222"/>
    </row>
    <row r="35" spans="1:11" ht="14.25" customHeight="1">
      <c r="A35" s="206" t="s">
        <v>115</v>
      </c>
      <c r="B35" s="210" t="s">
        <v>414</v>
      </c>
      <c r="C35" s="210"/>
      <c r="D35" s="210"/>
      <c r="E35" s="210"/>
      <c r="F35" s="210"/>
      <c r="G35" s="224">
        <f>D.6!J19</f>
        <v>686424.41999999993</v>
      </c>
      <c r="H35" s="210"/>
      <c r="J35" s="223"/>
    </row>
    <row r="36" spans="1:11" ht="14.25" customHeight="1">
      <c r="A36" s="206" t="s">
        <v>114</v>
      </c>
      <c r="B36" s="210" t="s">
        <v>252</v>
      </c>
      <c r="G36" s="284">
        <f>G30</f>
        <v>16167382.638659999</v>
      </c>
      <c r="H36" s="210"/>
    </row>
    <row r="37" spans="1:11" ht="14.25" customHeight="1">
      <c r="A37" s="206" t="s">
        <v>112</v>
      </c>
      <c r="B37" s="210"/>
      <c r="C37" s="210"/>
      <c r="D37" s="210"/>
      <c r="E37" s="210"/>
      <c r="F37" s="210"/>
      <c r="G37" s="254"/>
      <c r="H37" s="210"/>
      <c r="J37" s="219"/>
      <c r="K37" s="222"/>
    </row>
    <row r="38" spans="1:11" ht="14.25" customHeight="1">
      <c r="A38" s="206" t="s">
        <v>111</v>
      </c>
      <c r="B38" s="205" t="s">
        <v>253</v>
      </c>
      <c r="G38" s="375">
        <f>ROUND(G35/G36,4)</f>
        <v>4.2500000000000003E-2</v>
      </c>
      <c r="H38" s="205" t="s">
        <v>250</v>
      </c>
      <c r="K38" s="221"/>
    </row>
    <row r="39" spans="1:11" ht="14.25" customHeight="1">
      <c r="A39" s="206" t="s">
        <v>109</v>
      </c>
      <c r="G39" s="373"/>
    </row>
    <row r="40" spans="1:11" ht="14.25" customHeight="1">
      <c r="A40" s="206" t="s">
        <v>105</v>
      </c>
      <c r="B40" s="220" t="s">
        <v>251</v>
      </c>
      <c r="G40" s="373"/>
      <c r="J40" s="223"/>
      <c r="K40" s="219"/>
    </row>
    <row r="41" spans="1:11" ht="14.25" customHeight="1">
      <c r="A41" s="206" t="s">
        <v>100</v>
      </c>
      <c r="B41" s="205" t="s">
        <v>415</v>
      </c>
      <c r="G41" s="218">
        <f>G29+G35</f>
        <v>-1942228.5899999952</v>
      </c>
      <c r="I41" s="213"/>
      <c r="J41" s="223"/>
    </row>
    <row r="42" spans="1:11" ht="14.25" customHeight="1">
      <c r="A42" s="206" t="s">
        <v>99</v>
      </c>
      <c r="B42" s="210" t="s">
        <v>252</v>
      </c>
      <c r="G42" s="284">
        <f>G30</f>
        <v>16167382.638659999</v>
      </c>
      <c r="J42" s="223"/>
    </row>
    <row r="43" spans="1:11" ht="14.25" customHeight="1">
      <c r="A43" s="206" t="s">
        <v>98</v>
      </c>
      <c r="B43" s="215"/>
      <c r="C43" s="215"/>
      <c r="D43" s="215"/>
      <c r="E43" s="215"/>
      <c r="F43" s="216"/>
      <c r="G43" s="376"/>
      <c r="H43" s="212"/>
    </row>
    <row r="44" spans="1:11" ht="14.25" customHeight="1" thickBot="1">
      <c r="A44" s="206" t="s">
        <v>96</v>
      </c>
      <c r="B44" s="208" t="s">
        <v>251</v>
      </c>
      <c r="C44" s="208"/>
      <c r="D44" s="208"/>
      <c r="E44" s="208"/>
      <c r="F44" s="208"/>
      <c r="G44" s="377">
        <f>G32+G38</f>
        <v>-0.12009999999999998</v>
      </c>
      <c r="H44" s="205" t="s">
        <v>250</v>
      </c>
      <c r="J44" s="214"/>
    </row>
    <row r="45" spans="1:11" ht="14.25" customHeight="1" thickTop="1">
      <c r="A45" s="206" t="s">
        <v>95</v>
      </c>
    </row>
    <row r="46" spans="1:11" ht="14.25" customHeight="1">
      <c r="A46" s="206"/>
      <c r="G46" s="213"/>
      <c r="I46" s="208"/>
    </row>
    <row r="47" spans="1:11">
      <c r="A47" s="206"/>
    </row>
    <row r="48" spans="1:11">
      <c r="A48" s="206"/>
      <c r="B48" s="211"/>
      <c r="C48" s="211"/>
      <c r="D48" s="211"/>
      <c r="E48" s="211"/>
      <c r="F48" s="211"/>
      <c r="G48" s="212"/>
      <c r="H48" s="211"/>
    </row>
    <row r="49" spans="1:9">
      <c r="A49" s="206"/>
      <c r="I49" s="210"/>
    </row>
    <row r="50" spans="1:9">
      <c r="A50" s="206"/>
    </row>
    <row r="51" spans="1:9">
      <c r="A51" s="206"/>
    </row>
    <row r="52" spans="1:9">
      <c r="A52" s="206"/>
    </row>
    <row r="53" spans="1:9" ht="15">
      <c r="A53" s="206"/>
      <c r="H53" s="209"/>
      <c r="I53" s="208"/>
    </row>
    <row r="54" spans="1:9">
      <c r="A54" s="206"/>
      <c r="D54" s="207"/>
    </row>
    <row r="55" spans="1:9">
      <c r="A55" s="206"/>
    </row>
    <row r="56" spans="1:9">
      <c r="A56" s="206"/>
    </row>
    <row r="57" spans="1:9">
      <c r="A57" s="206"/>
    </row>
    <row r="58" spans="1:9">
      <c r="A58" s="206"/>
    </row>
    <row r="59" spans="1:9">
      <c r="A59" s="206"/>
    </row>
    <row r="60" spans="1:9">
      <c r="A60" s="206"/>
    </row>
    <row r="61" spans="1:9">
      <c r="A61" s="206"/>
    </row>
    <row r="62" spans="1:9">
      <c r="A62" s="206"/>
    </row>
    <row r="63" spans="1:9">
      <c r="A63" s="206"/>
    </row>
    <row r="64" spans="1:9">
      <c r="A64" s="206" t="str">
        <f>A1</f>
        <v>Atmos Energy Corporation</v>
      </c>
    </row>
    <row r="65" spans="1:1">
      <c r="A65" s="206"/>
    </row>
    <row r="66" spans="1:1">
      <c r="A66" s="206"/>
    </row>
    <row r="67" spans="1:1">
      <c r="A67" s="206"/>
    </row>
    <row r="68" spans="1:1">
      <c r="A68" s="206"/>
    </row>
    <row r="69" spans="1:1">
      <c r="A69" s="206"/>
    </row>
    <row r="70" spans="1:1">
      <c r="A70" s="206"/>
    </row>
    <row r="71" spans="1:1">
      <c r="A71" s="206"/>
    </row>
    <row r="72" spans="1:1">
      <c r="A72" s="206"/>
    </row>
    <row r="73" spans="1:1">
      <c r="A73" s="206"/>
    </row>
    <row r="74" spans="1:1">
      <c r="A74" s="206"/>
    </row>
    <row r="75" spans="1:1">
      <c r="A75" s="206"/>
    </row>
    <row r="76" spans="1:1">
      <c r="A76" s="206"/>
    </row>
    <row r="77" spans="1:1">
      <c r="A77" s="206"/>
    </row>
    <row r="78" spans="1:1">
      <c r="A78" s="206"/>
    </row>
    <row r="79" spans="1:1">
      <c r="A79" s="206"/>
    </row>
    <row r="80" spans="1:1">
      <c r="A80" s="206"/>
    </row>
    <row r="81" spans="1:1">
      <c r="A81" s="206"/>
    </row>
    <row r="82" spans="1:1">
      <c r="A82" s="206"/>
    </row>
    <row r="83" spans="1:1">
      <c r="A83" s="206"/>
    </row>
    <row r="84" spans="1:1">
      <c r="A84" s="206"/>
    </row>
    <row r="85" spans="1:1">
      <c r="A85" s="206"/>
    </row>
    <row r="86" spans="1:1">
      <c r="A86" s="206"/>
    </row>
    <row r="87" spans="1:1">
      <c r="A87" s="206"/>
    </row>
    <row r="88" spans="1:1">
      <c r="A88" s="206"/>
    </row>
    <row r="89" spans="1:1">
      <c r="A89" s="206"/>
    </row>
    <row r="90" spans="1:1">
      <c r="A90" s="206"/>
    </row>
    <row r="91" spans="1:1">
      <c r="A91" s="206"/>
    </row>
    <row r="92" spans="1:1">
      <c r="A92" s="206"/>
    </row>
    <row r="93" spans="1:1">
      <c r="A93" s="206"/>
    </row>
    <row r="94" spans="1:1">
      <c r="A94" s="206"/>
    </row>
    <row r="95" spans="1:1">
      <c r="A95" s="206"/>
    </row>
    <row r="96" spans="1:1">
      <c r="A96" s="206"/>
    </row>
    <row r="97" spans="1:1">
      <c r="A97" s="206"/>
    </row>
    <row r="98" spans="1:1">
      <c r="A98" s="206"/>
    </row>
    <row r="99" spans="1:1">
      <c r="A99" s="206"/>
    </row>
    <row r="100" spans="1:1">
      <c r="A100" s="206"/>
    </row>
    <row r="101" spans="1:1">
      <c r="A101" s="206"/>
    </row>
    <row r="102" spans="1:1">
      <c r="A102" s="206"/>
    </row>
    <row r="103" spans="1:1">
      <c r="A103" s="206"/>
    </row>
    <row r="104" spans="1:1">
      <c r="A104" s="206"/>
    </row>
    <row r="105" spans="1:1">
      <c r="A105" s="206"/>
    </row>
    <row r="106" spans="1:1">
      <c r="A106" s="206"/>
    </row>
    <row r="107" spans="1:1">
      <c r="A107" s="206"/>
    </row>
    <row r="108" spans="1:1">
      <c r="A108" s="206"/>
    </row>
    <row r="109" spans="1:1">
      <c r="A109" s="206"/>
    </row>
    <row r="110" spans="1:1">
      <c r="A110" s="206"/>
    </row>
    <row r="111" spans="1:1">
      <c r="A111" s="206"/>
    </row>
    <row r="112" spans="1:1">
      <c r="A112" s="206"/>
    </row>
    <row r="113" spans="1:1">
      <c r="A113" s="206"/>
    </row>
    <row r="114" spans="1:1">
      <c r="A114" s="206"/>
    </row>
    <row r="115" spans="1:1">
      <c r="A115" s="206"/>
    </row>
    <row r="116" spans="1:1">
      <c r="A116" s="206"/>
    </row>
    <row r="117" spans="1:1">
      <c r="A117" s="206"/>
    </row>
    <row r="118" spans="1:1">
      <c r="A118" s="206"/>
    </row>
    <row r="119" spans="1:1">
      <c r="A119" s="206"/>
    </row>
    <row r="120" spans="1:1">
      <c r="A120" s="206"/>
    </row>
    <row r="121" spans="1:1">
      <c r="A121" s="206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9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AO90"/>
  <sheetViews>
    <sheetView showGridLines="0" view="pageBreakPreview" zoomScaleNormal="80" zoomScaleSheetLayoutView="100" workbookViewId="0"/>
  </sheetViews>
  <sheetFormatPr defaultColWidth="12.5703125" defaultRowHeight="14.25"/>
  <cols>
    <col min="1" max="1" width="6.140625" style="205" customWidth="1"/>
    <col min="2" max="2" width="35.7109375" style="205" customWidth="1"/>
    <col min="3" max="3" width="6.140625" style="205" customWidth="1"/>
    <col min="4" max="4" width="17" style="205" customWidth="1"/>
    <col min="5" max="5" width="2.28515625" style="205" customWidth="1"/>
    <col min="6" max="6" width="16.42578125" style="205" customWidth="1"/>
    <col min="7" max="7" width="2.28515625" style="205" customWidth="1"/>
    <col min="8" max="8" width="16.42578125" style="205" customWidth="1"/>
    <col min="9" max="9" width="2.28515625" style="205" customWidth="1"/>
    <col min="10" max="10" width="16.42578125" style="205" customWidth="1"/>
    <col min="11" max="11" width="2.28515625" style="205" customWidth="1"/>
    <col min="12" max="15" width="13.85546875" style="205" customWidth="1"/>
    <col min="16" max="16384" width="12.5703125" style="205"/>
  </cols>
  <sheetData>
    <row r="1" spans="1:41" ht="15">
      <c r="A1" s="273" t="s">
        <v>31</v>
      </c>
      <c r="B1" s="210"/>
      <c r="C1" s="210"/>
      <c r="D1" s="210"/>
      <c r="E1" s="210"/>
      <c r="F1" s="210"/>
      <c r="G1" s="210"/>
      <c r="H1" s="210" t="s">
        <v>274</v>
      </c>
      <c r="I1" s="210"/>
      <c r="K1" s="210"/>
      <c r="M1" s="210"/>
      <c r="N1" s="210"/>
      <c r="O1" s="210"/>
      <c r="P1" s="210"/>
    </row>
    <row r="2" spans="1:41">
      <c r="A2" s="272" t="s">
        <v>302</v>
      </c>
      <c r="B2" s="210"/>
      <c r="C2" s="210"/>
      <c r="D2" s="210"/>
      <c r="E2" s="210"/>
      <c r="F2" s="210"/>
      <c r="G2" s="210"/>
      <c r="H2" s="210" t="s">
        <v>301</v>
      </c>
      <c r="I2" s="210"/>
      <c r="K2" s="210"/>
      <c r="M2" s="210"/>
      <c r="N2" s="210"/>
      <c r="O2" s="210"/>
      <c r="P2" s="210"/>
    </row>
    <row r="3" spans="1:41">
      <c r="A3" s="505">
        <v>44197</v>
      </c>
      <c r="B3" s="505"/>
      <c r="C3" s="505"/>
      <c r="D3" s="505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41">
      <c r="A4" s="506" t="s">
        <v>398</v>
      </c>
      <c r="B4" s="506"/>
      <c r="C4" s="506"/>
      <c r="D4" s="506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41" ht="15">
      <c r="A5" s="272"/>
      <c r="B5" s="210"/>
      <c r="C5" s="210" t="s">
        <v>300</v>
      </c>
      <c r="D5" s="271">
        <v>44166</v>
      </c>
      <c r="E5" s="215"/>
      <c r="F5" s="271">
        <v>44197</v>
      </c>
      <c r="G5" s="215"/>
      <c r="H5" s="271">
        <v>44228</v>
      </c>
      <c r="I5" s="210"/>
      <c r="J5" s="251"/>
      <c r="K5" s="210"/>
      <c r="L5" s="210"/>
      <c r="M5" s="210"/>
      <c r="N5" s="210"/>
      <c r="O5" s="210"/>
      <c r="P5" s="210"/>
    </row>
    <row r="6" spans="1:41" ht="15">
      <c r="A6" s="210"/>
      <c r="B6" s="210"/>
      <c r="C6" s="210"/>
      <c r="D6" s="210"/>
      <c r="E6" s="210"/>
      <c r="F6" s="210"/>
      <c r="G6" s="210"/>
      <c r="H6" s="210"/>
      <c r="I6" s="210"/>
      <c r="J6" s="251"/>
      <c r="K6" s="210"/>
      <c r="L6" s="210"/>
      <c r="M6" s="210"/>
      <c r="N6" s="210"/>
      <c r="O6" s="210"/>
      <c r="P6" s="210"/>
    </row>
    <row r="7" spans="1:41" ht="15">
      <c r="A7" s="210"/>
      <c r="B7" s="210"/>
      <c r="C7" s="210"/>
      <c r="D7" s="206" t="s">
        <v>26</v>
      </c>
      <c r="F7" s="206" t="s">
        <v>25</v>
      </c>
      <c r="G7" s="217"/>
      <c r="H7" s="206" t="s">
        <v>24</v>
      </c>
      <c r="I7" s="210"/>
      <c r="J7" s="251"/>
      <c r="K7" s="210"/>
      <c r="L7" s="210"/>
      <c r="M7" s="210"/>
      <c r="N7" s="210"/>
      <c r="O7" s="210"/>
      <c r="P7" s="210"/>
    </row>
    <row r="8" spans="1:41" ht="15">
      <c r="A8" s="206" t="s">
        <v>23</v>
      </c>
      <c r="B8" s="210"/>
      <c r="C8" s="210"/>
      <c r="D8" s="270" t="s">
        <v>39</v>
      </c>
      <c r="E8" s="270"/>
      <c r="F8" s="270"/>
      <c r="G8" s="270"/>
      <c r="H8" s="270"/>
      <c r="I8" s="302"/>
      <c r="J8" s="282"/>
      <c r="K8" s="210"/>
      <c r="M8" s="269"/>
      <c r="N8" s="269"/>
      <c r="O8" s="269"/>
      <c r="P8" s="210"/>
    </row>
    <row r="9" spans="1:41" ht="15">
      <c r="A9" s="206" t="s">
        <v>22</v>
      </c>
      <c r="B9" s="268" t="s">
        <v>21</v>
      </c>
      <c r="C9" s="210" t="s">
        <v>299</v>
      </c>
      <c r="D9" s="266">
        <v>44136</v>
      </c>
      <c r="E9" s="267"/>
      <c r="F9" s="266">
        <v>44166</v>
      </c>
      <c r="G9" s="267"/>
      <c r="H9" s="266">
        <v>44197</v>
      </c>
      <c r="I9" s="215"/>
      <c r="J9" s="282"/>
      <c r="K9" s="210"/>
      <c r="L9" s="261"/>
      <c r="M9" s="261"/>
      <c r="N9" s="265"/>
      <c r="O9" s="265"/>
      <c r="P9" s="210"/>
    </row>
    <row r="10" spans="1:41" ht="15.75">
      <c r="A10" s="206" t="s">
        <v>149</v>
      </c>
      <c r="B10" s="208" t="s">
        <v>298</v>
      </c>
      <c r="C10" s="210"/>
      <c r="D10" s="217"/>
      <c r="E10" s="210"/>
      <c r="F10" s="210"/>
      <c r="G10" s="210"/>
      <c r="H10" s="210"/>
      <c r="I10" s="210"/>
      <c r="J10" s="251"/>
      <c r="K10" s="210"/>
      <c r="L10" s="261"/>
      <c r="M10" s="261"/>
      <c r="N10" s="210"/>
      <c r="O10" s="210"/>
      <c r="P10" s="210"/>
    </row>
    <row r="11" spans="1:41" ht="15">
      <c r="A11" s="206" t="s">
        <v>36</v>
      </c>
      <c r="B11" s="210" t="s">
        <v>297</v>
      </c>
      <c r="C11" s="210"/>
      <c r="D11" s="217"/>
      <c r="E11" s="210"/>
      <c r="F11" s="210"/>
      <c r="G11" s="210"/>
      <c r="H11" s="210"/>
      <c r="I11" s="210"/>
      <c r="J11" s="251"/>
      <c r="K11" s="210"/>
      <c r="L11" s="261"/>
      <c r="M11" s="260"/>
      <c r="N11" s="210"/>
      <c r="O11" s="210"/>
      <c r="P11" s="210"/>
    </row>
    <row r="12" spans="1:41" ht="16.5">
      <c r="A12" s="206" t="s">
        <v>147</v>
      </c>
      <c r="B12" s="210" t="s">
        <v>296</v>
      </c>
      <c r="C12" s="206" t="s">
        <v>3</v>
      </c>
      <c r="D12" s="258">
        <v>0</v>
      </c>
      <c r="E12" s="257"/>
      <c r="F12" s="258">
        <v>0</v>
      </c>
      <c r="G12" s="257"/>
      <c r="H12" s="258">
        <v>0</v>
      </c>
      <c r="I12" s="262"/>
      <c r="J12" s="251"/>
      <c r="K12" s="210"/>
      <c r="L12" s="261"/>
      <c r="M12" s="260"/>
      <c r="N12" s="217"/>
      <c r="O12" s="217"/>
      <c r="P12" s="210"/>
    </row>
    <row r="13" spans="1:41" ht="16.5">
      <c r="A13" s="206" t="s">
        <v>146</v>
      </c>
      <c r="B13" s="210" t="s">
        <v>295</v>
      </c>
      <c r="C13" s="206" t="s">
        <v>3</v>
      </c>
      <c r="D13" s="262">
        <v>0</v>
      </c>
      <c r="E13" s="264"/>
      <c r="F13" s="262">
        <v>0</v>
      </c>
      <c r="G13" s="264"/>
      <c r="H13" s="262">
        <v>0</v>
      </c>
      <c r="I13" s="262"/>
      <c r="J13" s="251"/>
      <c r="K13" s="210"/>
      <c r="L13" s="261"/>
      <c r="M13" s="260"/>
      <c r="N13" s="217"/>
      <c r="O13" s="217"/>
      <c r="P13" s="210"/>
    </row>
    <row r="14" spans="1:41" ht="16.5">
      <c r="A14" s="206" t="s">
        <v>145</v>
      </c>
      <c r="B14" s="210" t="s">
        <v>294</v>
      </c>
      <c r="C14" s="206" t="s">
        <v>3</v>
      </c>
      <c r="D14" s="262">
        <v>0</v>
      </c>
      <c r="E14" s="257"/>
      <c r="F14" s="262">
        <v>0</v>
      </c>
      <c r="G14" s="264"/>
      <c r="H14" s="262">
        <v>0</v>
      </c>
      <c r="I14" s="262"/>
      <c r="J14" s="251"/>
      <c r="K14" s="215"/>
      <c r="L14" s="261"/>
      <c r="M14" s="260"/>
      <c r="N14" s="263"/>
      <c r="O14" s="263"/>
      <c r="P14" s="215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</row>
    <row r="15" spans="1:41" ht="16.5">
      <c r="A15" s="206" t="s">
        <v>144</v>
      </c>
      <c r="B15" s="210" t="s">
        <v>293</v>
      </c>
      <c r="C15" s="206" t="s">
        <v>3</v>
      </c>
      <c r="D15" s="256">
        <v>0</v>
      </c>
      <c r="E15" s="257"/>
      <c r="F15" s="256">
        <v>0</v>
      </c>
      <c r="G15" s="257"/>
      <c r="H15" s="256">
        <v>0</v>
      </c>
      <c r="I15" s="262"/>
      <c r="J15" s="251"/>
      <c r="K15" s="210"/>
      <c r="L15" s="261"/>
      <c r="M15" s="260"/>
      <c r="N15" s="217"/>
      <c r="O15" s="217"/>
      <c r="P15" s="210"/>
    </row>
    <row r="16" spans="1:41" ht="15.75">
      <c r="A16" s="206" t="s">
        <v>143</v>
      </c>
      <c r="B16" s="208" t="s">
        <v>292</v>
      </c>
      <c r="C16" s="206" t="s">
        <v>3</v>
      </c>
      <c r="D16" s="217">
        <f>SUM(D12:D15)</f>
        <v>0</v>
      </c>
      <c r="E16" s="210"/>
      <c r="F16" s="217">
        <f>SUM(F12:F15)</f>
        <v>0</v>
      </c>
      <c r="G16" s="210"/>
      <c r="H16" s="217">
        <f>SUM(H12:H15)</f>
        <v>0</v>
      </c>
      <c r="I16" s="210"/>
      <c r="J16" s="251"/>
      <c r="K16" s="210"/>
      <c r="L16" s="261"/>
      <c r="M16" s="260"/>
      <c r="N16" s="217"/>
      <c r="O16" s="217"/>
      <c r="P16" s="210"/>
    </row>
    <row r="17" spans="1:16" ht="15">
      <c r="A17" s="206" t="s">
        <v>141</v>
      </c>
      <c r="B17" s="210" t="s">
        <v>291</v>
      </c>
      <c r="C17" s="206" t="s">
        <v>3</v>
      </c>
      <c r="D17" s="217">
        <f>D.5!D69</f>
        <v>473344</v>
      </c>
      <c r="E17" s="210"/>
      <c r="F17" s="217">
        <f>D.5!H69</f>
        <v>1362169</v>
      </c>
      <c r="G17" s="217"/>
      <c r="H17" s="217">
        <f>D.5!L69</f>
        <v>1443391</v>
      </c>
      <c r="I17" s="210"/>
      <c r="J17" s="251"/>
      <c r="K17" s="210"/>
      <c r="L17" s="261"/>
      <c r="M17" s="260"/>
      <c r="N17" s="217"/>
      <c r="O17" s="217"/>
      <c r="P17" s="210"/>
    </row>
    <row r="18" spans="1:16" ht="15">
      <c r="A18" s="206" t="s">
        <v>139</v>
      </c>
      <c r="B18" s="210" t="s">
        <v>290</v>
      </c>
      <c r="C18" s="210"/>
      <c r="D18" s="217"/>
      <c r="E18" s="210"/>
      <c r="F18" s="258"/>
      <c r="G18" s="257"/>
      <c r="H18" s="258"/>
      <c r="I18" s="210"/>
      <c r="J18" s="251"/>
      <c r="K18" s="210"/>
      <c r="L18" s="210"/>
      <c r="M18" s="210"/>
      <c r="N18" s="210"/>
      <c r="O18" s="210"/>
      <c r="P18" s="210"/>
    </row>
    <row r="19" spans="1:16" ht="15">
      <c r="A19" s="206" t="s">
        <v>137</v>
      </c>
      <c r="B19" s="210" t="s">
        <v>289</v>
      </c>
      <c r="C19" s="206" t="s">
        <v>3</v>
      </c>
      <c r="D19" s="258">
        <v>0</v>
      </c>
      <c r="E19" s="210"/>
      <c r="F19" s="258">
        <v>0</v>
      </c>
      <c r="G19" s="257"/>
      <c r="H19" s="258">
        <v>0</v>
      </c>
      <c r="I19" s="210"/>
      <c r="J19" s="251"/>
      <c r="K19" s="210"/>
      <c r="L19" s="210"/>
      <c r="M19" s="210"/>
      <c r="N19" s="210"/>
      <c r="O19" s="210"/>
      <c r="P19" s="210"/>
    </row>
    <row r="20" spans="1:16" ht="15">
      <c r="A20" s="206" t="s">
        <v>135</v>
      </c>
      <c r="B20" s="210" t="s">
        <v>288</v>
      </c>
      <c r="C20" s="206" t="s">
        <v>3</v>
      </c>
      <c r="D20" s="258">
        <v>0</v>
      </c>
      <c r="E20" s="210"/>
      <c r="F20" s="258">
        <v>0</v>
      </c>
      <c r="G20" s="257"/>
      <c r="H20" s="258">
        <v>0</v>
      </c>
      <c r="I20" s="210"/>
      <c r="J20" s="251"/>
      <c r="K20" s="210"/>
      <c r="L20" s="210"/>
      <c r="M20" s="210"/>
      <c r="N20" s="210"/>
      <c r="O20" s="210"/>
      <c r="P20" s="210"/>
    </row>
    <row r="21" spans="1:16" ht="15">
      <c r="A21" s="206" t="s">
        <v>134</v>
      </c>
      <c r="B21" s="210" t="s">
        <v>287</v>
      </c>
      <c r="C21" s="210"/>
      <c r="D21" s="284"/>
      <c r="E21" s="254"/>
      <c r="F21" s="217"/>
      <c r="G21" s="314"/>
      <c r="H21" s="284"/>
      <c r="I21" s="210"/>
      <c r="J21" s="251"/>
      <c r="K21" s="210"/>
      <c r="L21" s="210"/>
      <c r="M21" s="210"/>
      <c r="N21" s="210"/>
      <c r="O21" s="210"/>
      <c r="P21" s="210"/>
    </row>
    <row r="22" spans="1:16" ht="15">
      <c r="A22" s="206" t="s">
        <v>133</v>
      </c>
      <c r="B22" s="210" t="s">
        <v>128</v>
      </c>
      <c r="C22" s="206" t="s">
        <v>3</v>
      </c>
      <c r="D22" s="350">
        <v>679192</v>
      </c>
      <c r="E22" s="283"/>
      <c r="F22" s="350">
        <v>943690</v>
      </c>
      <c r="G22" s="315"/>
      <c r="H22" s="350">
        <v>1125208</v>
      </c>
      <c r="I22" s="210"/>
      <c r="J22" s="251"/>
      <c r="K22" s="210"/>
      <c r="L22" s="210"/>
      <c r="M22" s="210"/>
      <c r="N22" s="210"/>
      <c r="O22" s="210"/>
      <c r="P22" s="210"/>
    </row>
    <row r="23" spans="1:16" ht="15">
      <c r="A23" s="206" t="s">
        <v>131</v>
      </c>
      <c r="B23" s="210" t="s">
        <v>170</v>
      </c>
      <c r="C23" s="206" t="s">
        <v>3</v>
      </c>
      <c r="D23" s="350">
        <v>-8036</v>
      </c>
      <c r="E23" s="283"/>
      <c r="F23" s="350">
        <v>-6873</v>
      </c>
      <c r="G23" s="259"/>
      <c r="H23" s="350">
        <v>-840</v>
      </c>
      <c r="I23" s="210"/>
      <c r="J23" s="251"/>
      <c r="K23" s="210"/>
      <c r="L23" s="210"/>
      <c r="M23" s="210"/>
      <c r="N23" s="210"/>
      <c r="O23" s="210"/>
      <c r="P23" s="210"/>
    </row>
    <row r="24" spans="1:16" ht="15">
      <c r="A24" s="206" t="s">
        <v>129</v>
      </c>
      <c r="B24" s="210" t="s">
        <v>286</v>
      </c>
      <c r="C24" s="206" t="s">
        <v>3</v>
      </c>
      <c r="D24" s="404">
        <v>2582</v>
      </c>
      <c r="E24" s="283"/>
      <c r="F24" s="404">
        <v>493</v>
      </c>
      <c r="G24" s="315"/>
      <c r="H24" s="404">
        <v>1157</v>
      </c>
      <c r="I24" s="210"/>
      <c r="J24" s="251"/>
      <c r="K24" s="210"/>
      <c r="L24" s="210"/>
      <c r="M24" s="210"/>
      <c r="N24" s="210"/>
      <c r="O24" s="210"/>
      <c r="P24" s="210"/>
    </row>
    <row r="25" spans="1:16" ht="15">
      <c r="A25" s="206" t="s">
        <v>127</v>
      </c>
      <c r="B25" s="210" t="s">
        <v>285</v>
      </c>
      <c r="C25" s="206" t="s">
        <v>3</v>
      </c>
      <c r="D25" s="404">
        <v>-88</v>
      </c>
      <c r="E25" s="283"/>
      <c r="F25" s="404">
        <v>-771.64</v>
      </c>
      <c r="G25" s="315"/>
      <c r="H25" s="404">
        <v>-247.4</v>
      </c>
      <c r="I25" s="210"/>
      <c r="J25" s="251"/>
      <c r="K25" s="210"/>
      <c r="M25" s="210"/>
      <c r="N25" s="210"/>
      <c r="O25" s="210"/>
      <c r="P25" s="210"/>
    </row>
    <row r="26" spans="1:16" ht="15">
      <c r="A26" s="206" t="s">
        <v>125</v>
      </c>
      <c r="B26" s="210" t="s">
        <v>284</v>
      </c>
      <c r="C26" s="206" t="s">
        <v>3</v>
      </c>
      <c r="D26" s="350"/>
      <c r="E26" s="283"/>
      <c r="F26" s="350"/>
      <c r="G26" s="315"/>
      <c r="H26" s="350"/>
      <c r="I26" s="210"/>
      <c r="J26" s="251"/>
      <c r="K26" s="210"/>
      <c r="L26" s="210"/>
      <c r="M26" s="210"/>
      <c r="N26" s="210"/>
      <c r="O26" s="210"/>
      <c r="P26" s="210"/>
    </row>
    <row r="27" spans="1:16" ht="16.5">
      <c r="A27" s="206" t="s">
        <v>123</v>
      </c>
      <c r="B27" s="210" t="s">
        <v>283</v>
      </c>
      <c r="C27" s="206" t="s">
        <v>3</v>
      </c>
      <c r="D27" s="351">
        <v>375518.27</v>
      </c>
      <c r="E27" s="283"/>
      <c r="F27" s="351">
        <v>759417.05999999994</v>
      </c>
      <c r="G27" s="315"/>
      <c r="H27" s="351">
        <v>848385.55</v>
      </c>
      <c r="I27" s="210"/>
      <c r="J27" s="251"/>
      <c r="K27" s="210"/>
      <c r="L27" s="210"/>
      <c r="M27" s="210"/>
      <c r="N27" s="210"/>
      <c r="O27" s="210"/>
      <c r="P27" s="210"/>
    </row>
    <row r="28" spans="1:16" ht="15.75">
      <c r="A28" s="206" t="s">
        <v>120</v>
      </c>
      <c r="B28" s="208" t="s">
        <v>282</v>
      </c>
      <c r="C28" s="206" t="s">
        <v>3</v>
      </c>
      <c r="D28" s="284">
        <f>SUM(D16:D27)</f>
        <v>1522512.27</v>
      </c>
      <c r="E28" s="254"/>
      <c r="F28" s="284">
        <f>SUM(F16:F27)</f>
        <v>3058124.42</v>
      </c>
      <c r="G28" s="210"/>
      <c r="H28" s="217">
        <f>SUM(H16:H27)</f>
        <v>3417054.1500000004</v>
      </c>
      <c r="I28" s="210"/>
      <c r="J28" s="251"/>
      <c r="K28" s="210"/>
      <c r="L28" s="210"/>
      <c r="M28" s="217"/>
      <c r="N28" s="210"/>
      <c r="O28" s="210"/>
      <c r="P28" s="210"/>
    </row>
    <row r="29" spans="1:16" ht="15">
      <c r="A29" s="206" t="s">
        <v>119</v>
      </c>
      <c r="B29" s="210"/>
      <c r="C29" s="210"/>
      <c r="D29" s="217"/>
      <c r="E29" s="210"/>
      <c r="F29" s="210"/>
      <c r="G29" s="210"/>
      <c r="H29" s="210"/>
      <c r="I29" s="210"/>
      <c r="J29" s="251"/>
      <c r="K29" s="210"/>
      <c r="L29" s="210"/>
      <c r="M29" s="217"/>
      <c r="N29" s="210"/>
      <c r="O29" s="210"/>
      <c r="P29" s="210"/>
    </row>
    <row r="30" spans="1:16" ht="15">
      <c r="A30" s="255">
        <v>21</v>
      </c>
      <c r="B30" s="210" t="s">
        <v>281</v>
      </c>
      <c r="C30" s="206" t="s">
        <v>3</v>
      </c>
      <c r="D30" s="258"/>
      <c r="E30" s="254"/>
      <c r="F30" s="258"/>
      <c r="G30" s="314"/>
      <c r="H30" s="258"/>
      <c r="I30" s="210"/>
      <c r="J30" s="251"/>
      <c r="K30" s="210"/>
      <c r="L30" s="210"/>
      <c r="M30" s="210"/>
      <c r="N30" s="210"/>
      <c r="O30" s="210"/>
      <c r="P30" s="210"/>
    </row>
    <row r="31" spans="1:16" ht="15">
      <c r="A31" s="255">
        <v>22</v>
      </c>
      <c r="B31" s="210" t="s">
        <v>280</v>
      </c>
      <c r="C31" s="206" t="s">
        <v>3</v>
      </c>
      <c r="D31" s="350">
        <v>0</v>
      </c>
      <c r="E31" s="402"/>
      <c r="F31" s="350">
        <v>0</v>
      </c>
      <c r="G31" s="403"/>
      <c r="H31" s="350">
        <v>0</v>
      </c>
      <c r="I31" s="210"/>
      <c r="J31" s="251"/>
      <c r="K31" s="210"/>
      <c r="L31" s="210"/>
      <c r="M31" s="210"/>
      <c r="N31" s="210"/>
      <c r="O31" s="210"/>
      <c r="P31" s="210"/>
    </row>
    <row r="32" spans="1:16" ht="15">
      <c r="A32" s="255">
        <v>23</v>
      </c>
      <c r="B32" s="210" t="s">
        <v>279</v>
      </c>
      <c r="C32" s="206" t="s">
        <v>3</v>
      </c>
      <c r="D32" s="351">
        <v>0</v>
      </c>
      <c r="E32" s="402"/>
      <c r="F32" s="351">
        <v>0</v>
      </c>
      <c r="G32" s="403"/>
      <c r="H32" s="351">
        <v>0</v>
      </c>
      <c r="I32" s="210"/>
      <c r="J32" s="251"/>
      <c r="K32" s="210"/>
      <c r="L32" s="210"/>
      <c r="M32" s="210"/>
      <c r="N32" s="210"/>
      <c r="O32" s="210"/>
      <c r="P32" s="210"/>
    </row>
    <row r="33" spans="1:16" ht="16.5" thickBot="1">
      <c r="A33" s="255">
        <v>24</v>
      </c>
      <c r="B33" s="208" t="s">
        <v>278</v>
      </c>
      <c r="C33" s="206" t="s">
        <v>3</v>
      </c>
      <c r="D33" s="253">
        <f>SUM(D17:D27)</f>
        <v>1522512.27</v>
      </c>
      <c r="E33" s="254"/>
      <c r="F33" s="253">
        <f>F28+SUM(F30:F32)</f>
        <v>3058124.42</v>
      </c>
      <c r="G33" s="435">
        <f>G28+SUM(G30:G32)</f>
        <v>0</v>
      </c>
      <c r="H33" s="252">
        <f>H28+SUM(H30:H32)</f>
        <v>3417054.1500000004</v>
      </c>
      <c r="I33" s="210"/>
      <c r="J33" s="251"/>
      <c r="L33" s="250"/>
      <c r="M33" s="210"/>
      <c r="N33" s="210"/>
      <c r="O33" s="210"/>
      <c r="P33" s="210"/>
    </row>
    <row r="34" spans="1:16" ht="15" thickTop="1">
      <c r="A34" s="210"/>
      <c r="B34" s="210"/>
      <c r="C34" s="210"/>
      <c r="D34" s="217"/>
      <c r="E34" s="217"/>
      <c r="F34" s="217"/>
      <c r="G34" s="254"/>
      <c r="H34" s="217"/>
      <c r="I34" s="210"/>
      <c r="J34" s="217"/>
      <c r="K34" s="210"/>
      <c r="L34" s="217"/>
      <c r="M34" s="217"/>
      <c r="N34" s="217"/>
      <c r="O34" s="217"/>
      <c r="P34" s="210"/>
    </row>
    <row r="35" spans="1:16" ht="16.5">
      <c r="A35" s="210"/>
      <c r="B35" s="248" t="s">
        <v>277</v>
      </c>
      <c r="C35" s="210"/>
      <c r="D35" s="210"/>
      <c r="E35" s="210"/>
      <c r="F35" s="217"/>
      <c r="G35" s="254"/>
      <c r="H35" s="249"/>
      <c r="I35" s="210"/>
      <c r="J35" s="210"/>
      <c r="K35" s="210"/>
      <c r="L35" s="210"/>
      <c r="M35" s="210"/>
      <c r="N35" s="210"/>
      <c r="O35" s="210"/>
      <c r="P35" s="210"/>
    </row>
    <row r="36" spans="1:16" ht="16.5">
      <c r="A36" s="210"/>
      <c r="B36" s="248" t="s">
        <v>276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1:16">
      <c r="B37" s="227" t="s">
        <v>275</v>
      </c>
    </row>
    <row r="38" spans="1:16">
      <c r="D38" s="223"/>
    </row>
    <row r="39" spans="1:16">
      <c r="D39" s="247"/>
    </row>
    <row r="67" spans="1:1">
      <c r="A67" s="205" t="str">
        <f>A1</f>
        <v>Atmos Energy Corporation</v>
      </c>
    </row>
    <row r="87" spans="4:10">
      <c r="D87" s="246"/>
      <c r="F87" s="246"/>
      <c r="H87" s="246"/>
      <c r="J87" s="246"/>
    </row>
    <row r="88" spans="4:10">
      <c r="D88" s="246"/>
      <c r="F88" s="246"/>
      <c r="H88" s="246"/>
      <c r="J88" s="246"/>
    </row>
    <row r="89" spans="4:10">
      <c r="D89" s="246"/>
      <c r="F89" s="246"/>
      <c r="H89" s="246"/>
      <c r="J89" s="246"/>
    </row>
    <row r="90" spans="4:10">
      <c r="D90" s="246"/>
      <c r="F90" s="246"/>
      <c r="H90" s="246"/>
      <c r="J90" s="246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J93"/>
  <sheetViews>
    <sheetView showGridLines="0" view="pageBreakPreview" zoomScale="85" zoomScaleNormal="80" zoomScaleSheetLayoutView="85" workbookViewId="0"/>
  </sheetViews>
  <sheetFormatPr defaultColWidth="12.5703125" defaultRowHeight="14.25"/>
  <cols>
    <col min="1" max="1" width="6.140625" style="205" customWidth="1"/>
    <col min="2" max="2" width="35.7109375" style="205" customWidth="1"/>
    <col min="3" max="3" width="6.140625" style="205" customWidth="1"/>
    <col min="4" max="4" width="17" style="205" customWidth="1"/>
    <col min="5" max="5" width="2.28515625" style="205" customWidth="1"/>
    <col min="6" max="6" width="16.42578125" style="205" customWidth="1"/>
    <col min="7" max="7" width="2.28515625" style="205" customWidth="1"/>
    <col min="8" max="8" width="16.42578125" style="205" customWidth="1"/>
    <col min="9" max="9" width="2.28515625" style="205" customWidth="1"/>
    <col min="10" max="10" width="16.42578125" style="205" customWidth="1"/>
    <col min="11" max="11" width="2.28515625" style="205" customWidth="1"/>
    <col min="12" max="12" width="20.7109375" style="205" customWidth="1"/>
    <col min="13" max="13" width="27.140625" style="205" customWidth="1"/>
    <col min="14" max="14" width="18" style="205" bestFit="1" customWidth="1"/>
    <col min="15" max="15" width="14.85546875" style="205" bestFit="1" customWidth="1"/>
    <col min="16" max="16384" width="12.5703125" style="205"/>
  </cols>
  <sheetData>
    <row r="1" spans="1:36" ht="15">
      <c r="A1" s="273" t="s">
        <v>31</v>
      </c>
      <c r="B1" s="210"/>
      <c r="C1" s="210"/>
      <c r="D1" s="210"/>
      <c r="E1" s="210"/>
      <c r="F1" s="210"/>
      <c r="G1" s="210"/>
      <c r="H1" s="210" t="s">
        <v>274</v>
      </c>
      <c r="I1" s="210"/>
      <c r="K1" s="210"/>
      <c r="M1" s="210"/>
    </row>
    <row r="2" spans="1:36">
      <c r="A2" s="272" t="s">
        <v>302</v>
      </c>
      <c r="B2" s="210"/>
      <c r="C2" s="210"/>
      <c r="D2" s="210"/>
      <c r="E2" s="210"/>
      <c r="F2" s="210"/>
      <c r="G2" s="210"/>
      <c r="H2" s="210" t="s">
        <v>314</v>
      </c>
      <c r="I2" s="210"/>
      <c r="K2" s="210"/>
      <c r="M2" s="210"/>
    </row>
    <row r="3" spans="1:36">
      <c r="A3" s="505">
        <v>44197</v>
      </c>
      <c r="B3" s="505"/>
      <c r="C3" s="505"/>
      <c r="D3" s="505"/>
      <c r="E3" s="210"/>
      <c r="F3" s="210"/>
      <c r="G3" s="210"/>
      <c r="H3" s="210"/>
      <c r="I3" s="210"/>
      <c r="J3" s="210"/>
      <c r="K3" s="210"/>
      <c r="L3" s="210"/>
      <c r="M3" s="210"/>
    </row>
    <row r="4" spans="1:36">
      <c r="A4" s="508" t="s">
        <v>398</v>
      </c>
      <c r="B4" s="508"/>
      <c r="C4" s="508"/>
      <c r="D4" s="508"/>
      <c r="E4" s="210"/>
      <c r="F4" s="210"/>
      <c r="G4" s="210"/>
      <c r="H4" s="210"/>
      <c r="I4" s="210"/>
      <c r="J4" s="210"/>
      <c r="K4" s="210"/>
      <c r="L4" s="210"/>
      <c r="M4" s="210"/>
    </row>
    <row r="5" spans="1:36" ht="15">
      <c r="A5" s="272"/>
      <c r="B5" s="210"/>
      <c r="C5" s="210" t="s">
        <v>300</v>
      </c>
      <c r="D5" s="271">
        <v>44166</v>
      </c>
      <c r="E5" s="215"/>
      <c r="F5" s="271">
        <v>44197</v>
      </c>
      <c r="G5" s="215"/>
      <c r="H5" s="271">
        <v>44228</v>
      </c>
      <c r="I5" s="210"/>
      <c r="J5" s="251"/>
      <c r="K5" s="210"/>
      <c r="L5" s="210"/>
      <c r="M5" s="210"/>
    </row>
    <row r="6" spans="1:36" ht="15">
      <c r="A6" s="210"/>
      <c r="B6" s="210"/>
      <c r="C6" s="210"/>
      <c r="D6" s="210"/>
      <c r="E6" s="210"/>
      <c r="F6" s="210"/>
      <c r="G6" s="210"/>
      <c r="H6" s="210"/>
      <c r="I6" s="210"/>
      <c r="J6" s="251"/>
      <c r="K6" s="210"/>
      <c r="L6" s="210"/>
      <c r="M6" s="210"/>
    </row>
    <row r="7" spans="1:36" ht="15">
      <c r="A7" s="210"/>
      <c r="B7" s="210"/>
      <c r="C7" s="210"/>
      <c r="D7" s="206" t="s">
        <v>26</v>
      </c>
      <c r="F7" s="206" t="s">
        <v>25</v>
      </c>
      <c r="G7" s="217"/>
      <c r="H7" s="206" t="s">
        <v>24</v>
      </c>
      <c r="I7" s="210"/>
      <c r="J7" s="251"/>
      <c r="K7" s="210"/>
      <c r="L7" s="210"/>
      <c r="M7" s="210"/>
    </row>
    <row r="8" spans="1:36" ht="15">
      <c r="A8" s="206" t="s">
        <v>23</v>
      </c>
      <c r="B8" s="210"/>
      <c r="C8" s="210"/>
      <c r="D8" s="270" t="s">
        <v>39</v>
      </c>
      <c r="E8" s="270"/>
      <c r="F8" s="270"/>
      <c r="G8" s="270"/>
      <c r="H8" s="270"/>
      <c r="I8" s="270"/>
      <c r="J8" s="251"/>
      <c r="K8" s="210"/>
      <c r="L8" s="269"/>
      <c r="M8" s="287"/>
      <c r="N8" s="287"/>
    </row>
    <row r="9" spans="1:36" ht="15">
      <c r="A9" s="206" t="s">
        <v>22</v>
      </c>
      <c r="B9" s="268" t="s">
        <v>21</v>
      </c>
      <c r="C9" s="210" t="s">
        <v>299</v>
      </c>
      <c r="D9" s="266">
        <v>44136</v>
      </c>
      <c r="E9" s="267"/>
      <c r="F9" s="266">
        <v>44166</v>
      </c>
      <c r="G9" s="267"/>
      <c r="H9" s="266">
        <v>44197</v>
      </c>
      <c r="I9" s="267"/>
      <c r="J9" s="251"/>
      <c r="K9" s="210"/>
      <c r="M9" s="287"/>
      <c r="N9" s="287"/>
    </row>
    <row r="10" spans="1:36" ht="15.75">
      <c r="A10" s="206" t="s">
        <v>149</v>
      </c>
      <c r="B10" s="208" t="s">
        <v>313</v>
      </c>
      <c r="C10" s="210"/>
      <c r="D10" s="217"/>
      <c r="E10" s="210"/>
      <c r="F10" s="210"/>
      <c r="G10" s="210"/>
      <c r="H10" s="210"/>
      <c r="I10" s="210"/>
      <c r="J10" s="251"/>
      <c r="K10" s="210"/>
      <c r="L10" s="210"/>
      <c r="M10" s="287"/>
      <c r="N10" s="286"/>
    </row>
    <row r="11" spans="1:36" ht="15">
      <c r="A11" s="206" t="s">
        <v>36</v>
      </c>
      <c r="B11" s="210" t="s">
        <v>297</v>
      </c>
      <c r="C11" s="210"/>
      <c r="D11" s="217"/>
      <c r="E11" s="210"/>
      <c r="F11" s="210"/>
      <c r="G11" s="210"/>
      <c r="H11" s="210"/>
      <c r="I11" s="210"/>
      <c r="J11" s="251"/>
      <c r="K11" s="210"/>
      <c r="L11" s="210"/>
      <c r="M11" s="287"/>
      <c r="N11" s="286"/>
    </row>
    <row r="12" spans="1:36" ht="16.5">
      <c r="A12" s="206" t="s">
        <v>147</v>
      </c>
      <c r="B12" s="210" t="s">
        <v>296</v>
      </c>
      <c r="C12" s="206" t="s">
        <v>58</v>
      </c>
      <c r="D12" s="350">
        <v>1742300.72</v>
      </c>
      <c r="E12" s="315"/>
      <c r="F12" s="350">
        <v>1859425.0599999998</v>
      </c>
      <c r="G12" s="315"/>
      <c r="H12" s="350">
        <v>1867521.84</v>
      </c>
      <c r="I12" s="257"/>
      <c r="J12" s="251"/>
      <c r="K12" s="210"/>
      <c r="L12" s="217"/>
      <c r="M12" s="287"/>
      <c r="N12" s="286"/>
    </row>
    <row r="13" spans="1:36" ht="16.5">
      <c r="A13" s="206" t="s">
        <v>146</v>
      </c>
      <c r="B13" s="210" t="s">
        <v>295</v>
      </c>
      <c r="C13" s="206" t="s">
        <v>58</v>
      </c>
      <c r="D13" s="488">
        <v>388187.61999999994</v>
      </c>
      <c r="E13" s="327"/>
      <c r="F13" s="488">
        <v>403905.61</v>
      </c>
      <c r="G13" s="327"/>
      <c r="H13" s="488">
        <v>406035.52999999997</v>
      </c>
      <c r="I13" s="264"/>
      <c r="J13" s="251"/>
      <c r="K13" s="215"/>
      <c r="L13" s="217"/>
      <c r="M13" s="282"/>
      <c r="N13" s="282"/>
    </row>
    <row r="14" spans="1:36" ht="16.5">
      <c r="A14" s="206" t="s">
        <v>145</v>
      </c>
      <c r="B14" s="210" t="s">
        <v>312</v>
      </c>
      <c r="C14" s="206" t="s">
        <v>58</v>
      </c>
      <c r="D14" s="488">
        <v>31941.3</v>
      </c>
      <c r="E14" s="312"/>
      <c r="F14" s="488">
        <v>32989.22</v>
      </c>
      <c r="G14" s="312"/>
      <c r="H14" s="488">
        <v>32974.379999999997</v>
      </c>
      <c r="I14" s="264"/>
      <c r="J14" s="251"/>
      <c r="K14" s="215"/>
      <c r="L14" s="263"/>
      <c r="M14" s="282"/>
      <c r="N14" s="282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</row>
    <row r="15" spans="1:36" ht="15">
      <c r="A15" s="206" t="s">
        <v>144</v>
      </c>
      <c r="B15" s="210" t="s">
        <v>311</v>
      </c>
      <c r="C15" s="206" t="s">
        <v>58</v>
      </c>
      <c r="D15" s="488">
        <v>0</v>
      </c>
      <c r="E15" s="312"/>
      <c r="F15" s="488">
        <v>0</v>
      </c>
      <c r="G15" s="312"/>
      <c r="H15" s="488">
        <v>0</v>
      </c>
      <c r="I15" s="264"/>
      <c r="J15" s="251"/>
      <c r="K15" s="215"/>
      <c r="L15" s="263"/>
      <c r="M15" s="282"/>
      <c r="N15" s="282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</row>
    <row r="16" spans="1:36" ht="16.5">
      <c r="A16" s="206" t="s">
        <v>143</v>
      </c>
      <c r="B16" s="210" t="s">
        <v>293</v>
      </c>
      <c r="C16" s="206" t="s">
        <v>58</v>
      </c>
      <c r="D16" s="489">
        <v>0</v>
      </c>
      <c r="E16" s="315"/>
      <c r="F16" s="489">
        <v>0</v>
      </c>
      <c r="G16" s="315"/>
      <c r="H16" s="489">
        <v>0</v>
      </c>
      <c r="I16" s="257"/>
      <c r="J16" s="251"/>
      <c r="K16" s="210"/>
      <c r="L16" s="217"/>
      <c r="M16" s="282"/>
      <c r="N16" s="281"/>
    </row>
    <row r="17" spans="1:15" ht="15.75">
      <c r="A17" s="206" t="s">
        <v>141</v>
      </c>
      <c r="B17" s="208" t="s">
        <v>292</v>
      </c>
      <c r="C17" s="206" t="s">
        <v>58</v>
      </c>
      <c r="D17" s="284">
        <f>SUM(D12:D16)</f>
        <v>2162429.6399999997</v>
      </c>
      <c r="E17" s="254"/>
      <c r="F17" s="284">
        <f>SUM(F12:F16)</f>
        <v>2296319.89</v>
      </c>
      <c r="G17" s="254"/>
      <c r="H17" s="284">
        <f>SUM(H12:H16)</f>
        <v>2306531.75</v>
      </c>
      <c r="I17" s="210"/>
      <c r="J17" s="277"/>
      <c r="K17" s="210"/>
      <c r="L17" s="217"/>
      <c r="M17" s="282"/>
      <c r="N17" s="281"/>
    </row>
    <row r="18" spans="1:15" ht="15">
      <c r="A18" s="206" t="s">
        <v>139</v>
      </c>
      <c r="B18" s="210" t="s">
        <v>291</v>
      </c>
      <c r="C18" s="206" t="s">
        <v>58</v>
      </c>
      <c r="D18" s="284">
        <f>D.5!F69</f>
        <v>1399534.7499999998</v>
      </c>
      <c r="E18" s="254"/>
      <c r="F18" s="284">
        <f>D.5!J69</f>
        <v>3781280.55</v>
      </c>
      <c r="G18" s="254"/>
      <c r="H18" s="284">
        <f>D.5!N69</f>
        <v>3483400.0300000007</v>
      </c>
      <c r="I18" s="210"/>
      <c r="J18" s="326"/>
      <c r="K18" s="210"/>
      <c r="L18" s="217"/>
      <c r="M18" s="282"/>
      <c r="N18" s="281"/>
    </row>
    <row r="19" spans="1:15" ht="15">
      <c r="A19" s="206" t="s">
        <v>137</v>
      </c>
      <c r="B19" s="210" t="s">
        <v>310</v>
      </c>
      <c r="C19" s="206" t="s">
        <v>58</v>
      </c>
      <c r="D19" s="229">
        <v>0</v>
      </c>
      <c r="E19" s="283"/>
      <c r="F19" s="229">
        <v>0</v>
      </c>
      <c r="G19" s="283"/>
      <c r="H19" s="229">
        <v>0</v>
      </c>
      <c r="I19" s="210"/>
      <c r="J19" s="251"/>
      <c r="K19" s="210"/>
      <c r="L19" s="217"/>
      <c r="M19" s="282"/>
      <c r="N19" s="281"/>
    </row>
    <row r="20" spans="1:15" ht="15">
      <c r="A20" s="206" t="s">
        <v>135</v>
      </c>
      <c r="B20" s="210" t="s">
        <v>290</v>
      </c>
      <c r="C20" s="210"/>
      <c r="D20" s="229"/>
      <c r="E20" s="283"/>
      <c r="F20" s="229"/>
      <c r="G20" s="315"/>
      <c r="H20" s="229"/>
      <c r="I20" s="210"/>
      <c r="J20" s="251"/>
      <c r="K20" s="210"/>
      <c r="L20" s="210"/>
      <c r="M20" s="282"/>
      <c r="N20" s="281"/>
    </row>
    <row r="21" spans="1:15" ht="15">
      <c r="A21" s="206" t="s">
        <v>134</v>
      </c>
      <c r="B21" s="210" t="s">
        <v>289</v>
      </c>
      <c r="C21" s="206" t="s">
        <v>58</v>
      </c>
      <c r="D21" s="259"/>
      <c r="E21" s="283"/>
      <c r="F21" s="259"/>
      <c r="G21" s="315"/>
      <c r="H21" s="259"/>
      <c r="I21" s="210"/>
      <c r="J21" s="251"/>
      <c r="K21" s="210"/>
      <c r="L21" s="210"/>
      <c r="M21" s="282"/>
      <c r="N21" s="281"/>
    </row>
    <row r="22" spans="1:15" ht="15">
      <c r="A22" s="206" t="s">
        <v>133</v>
      </c>
      <c r="B22" s="210" t="s">
        <v>288</v>
      </c>
      <c r="C22" s="206" t="s">
        <v>58</v>
      </c>
      <c r="D22" s="259"/>
      <c r="E22" s="283"/>
      <c r="F22" s="259"/>
      <c r="G22" s="315"/>
      <c r="H22" s="259"/>
      <c r="I22" s="210"/>
      <c r="J22" s="251"/>
      <c r="K22" s="210"/>
      <c r="L22" s="210"/>
      <c r="M22" s="282"/>
      <c r="N22" s="281"/>
    </row>
    <row r="23" spans="1:15" ht="15">
      <c r="A23" s="206" t="s">
        <v>131</v>
      </c>
      <c r="B23" s="210" t="s">
        <v>309</v>
      </c>
      <c r="C23" s="206" t="s">
        <v>58</v>
      </c>
      <c r="D23" s="350">
        <v>147954</v>
      </c>
      <c r="E23" s="283"/>
      <c r="F23" s="350">
        <v>147954</v>
      </c>
      <c r="G23" s="259"/>
      <c r="H23" s="350">
        <v>147954</v>
      </c>
      <c r="I23" s="210"/>
      <c r="J23" s="251"/>
      <c r="K23" s="210"/>
      <c r="L23" s="210"/>
      <c r="M23" s="282"/>
      <c r="N23" s="281"/>
    </row>
    <row r="24" spans="1:15" ht="15">
      <c r="A24" s="206" t="s">
        <v>129</v>
      </c>
      <c r="B24" s="210" t="s">
        <v>287</v>
      </c>
      <c r="C24" s="210"/>
      <c r="D24" s="356"/>
      <c r="E24" s="283"/>
      <c r="F24" s="356"/>
      <c r="G24" s="315"/>
      <c r="H24" s="356"/>
      <c r="I24" s="210"/>
      <c r="J24" s="251"/>
      <c r="K24" s="210"/>
      <c r="L24" s="210"/>
      <c r="M24" s="282"/>
      <c r="N24" s="281"/>
    </row>
    <row r="25" spans="1:15" ht="15">
      <c r="A25" s="206" t="s">
        <v>127</v>
      </c>
      <c r="B25" s="210" t="s">
        <v>128</v>
      </c>
      <c r="C25" s="206" t="s">
        <v>58</v>
      </c>
      <c r="D25" s="350">
        <v>1309074.5900000001</v>
      </c>
      <c r="E25" s="283"/>
      <c r="F25" s="350">
        <v>1834304.85</v>
      </c>
      <c r="G25" s="315"/>
      <c r="H25" s="350">
        <v>2196946.1</v>
      </c>
      <c r="I25" s="210"/>
      <c r="J25" s="251"/>
      <c r="K25" s="210"/>
      <c r="L25" s="210"/>
      <c r="M25" s="282"/>
      <c r="N25" s="281"/>
    </row>
    <row r="26" spans="1:15" ht="15">
      <c r="A26" s="206" t="s">
        <v>125</v>
      </c>
      <c r="B26" s="210" t="s">
        <v>170</v>
      </c>
      <c r="C26" s="206" t="s">
        <v>58</v>
      </c>
      <c r="D26" s="350">
        <v>-24583.759999999998</v>
      </c>
      <c r="E26" s="283"/>
      <c r="F26" s="350">
        <v>-20191.810000000001</v>
      </c>
      <c r="G26" s="315"/>
      <c r="H26" s="350">
        <v>-2133.9299999999998</v>
      </c>
      <c r="I26" s="210"/>
      <c r="J26" s="322"/>
      <c r="K26" s="210"/>
      <c r="L26" s="210"/>
      <c r="M26" s="282"/>
      <c r="N26" s="281"/>
    </row>
    <row r="27" spans="1:15" ht="15">
      <c r="A27" s="206" t="s">
        <v>123</v>
      </c>
      <c r="B27" s="210" t="s">
        <v>286</v>
      </c>
      <c r="C27" s="206" t="s">
        <v>58</v>
      </c>
      <c r="D27" s="404">
        <v>6871.59</v>
      </c>
      <c r="E27" s="283"/>
      <c r="F27" s="404">
        <v>1294.8900000000001</v>
      </c>
      <c r="G27" s="315"/>
      <c r="H27" s="404">
        <v>2851.03</v>
      </c>
      <c r="I27" s="210"/>
      <c r="J27" s="251"/>
      <c r="K27" s="210"/>
      <c r="L27" s="210"/>
      <c r="M27" s="282"/>
      <c r="N27" s="281"/>
    </row>
    <row r="28" spans="1:15" ht="15">
      <c r="A28" s="206" t="s">
        <v>120</v>
      </c>
      <c r="B28" s="210" t="s">
        <v>285</v>
      </c>
      <c r="C28" s="206" t="s">
        <v>58</v>
      </c>
      <c r="D28" s="350">
        <v>-327.06</v>
      </c>
      <c r="E28" s="283"/>
      <c r="F28" s="350">
        <v>-2980.99</v>
      </c>
      <c r="G28" s="315"/>
      <c r="H28" s="350">
        <v>-956.43</v>
      </c>
      <c r="I28" s="210"/>
      <c r="J28" s="323"/>
      <c r="K28" s="210"/>
      <c r="L28" s="210"/>
      <c r="M28" s="282"/>
      <c r="N28" s="281"/>
    </row>
    <row r="29" spans="1:15" ht="15">
      <c r="A29" s="206" t="s">
        <v>119</v>
      </c>
      <c r="B29" s="210" t="s">
        <v>284</v>
      </c>
      <c r="C29" s="206" t="s">
        <v>58</v>
      </c>
      <c r="D29" s="350">
        <v>0</v>
      </c>
      <c r="E29" s="283"/>
      <c r="F29" s="350">
        <v>0</v>
      </c>
      <c r="G29" s="315"/>
      <c r="H29" s="350">
        <v>0</v>
      </c>
      <c r="I29" s="210"/>
      <c r="J29" s="251"/>
      <c r="K29" s="210"/>
      <c r="L29" s="210"/>
      <c r="M29" s="282"/>
      <c r="N29" s="281"/>
    </row>
    <row r="30" spans="1:15" ht="16.5">
      <c r="A30" s="206" t="s">
        <v>118</v>
      </c>
      <c r="B30" s="210" t="s">
        <v>283</v>
      </c>
      <c r="C30" s="206" t="s">
        <v>58</v>
      </c>
      <c r="D30" s="351">
        <v>743241.2100000002</v>
      </c>
      <c r="E30" s="283"/>
      <c r="F30" s="351">
        <v>1770939.3200000003</v>
      </c>
      <c r="G30" s="315"/>
      <c r="H30" s="351">
        <v>2361922.31</v>
      </c>
      <c r="I30" s="210"/>
      <c r="J30" s="251"/>
      <c r="K30" s="210"/>
      <c r="L30" s="324"/>
      <c r="M30" s="325"/>
    </row>
    <row r="31" spans="1:15" ht="15.75">
      <c r="A31" s="206" t="s">
        <v>117</v>
      </c>
      <c r="B31" s="208" t="s">
        <v>308</v>
      </c>
      <c r="C31" s="206" t="s">
        <v>58</v>
      </c>
      <c r="D31" s="284">
        <v>5744194.96</v>
      </c>
      <c r="E31" s="254"/>
      <c r="F31" s="284">
        <v>9808920.6999999993</v>
      </c>
      <c r="G31" s="254"/>
      <c r="H31" s="284">
        <v>10496514.860000001</v>
      </c>
      <c r="I31" s="210"/>
      <c r="J31" s="277"/>
      <c r="K31" s="210"/>
      <c r="L31" s="210"/>
      <c r="M31" s="276"/>
      <c r="N31" s="207"/>
      <c r="O31" s="207"/>
    </row>
    <row r="32" spans="1:15" ht="15">
      <c r="A32" s="206" t="s">
        <v>82</v>
      </c>
      <c r="B32" s="210" t="s">
        <v>307</v>
      </c>
      <c r="C32" s="210"/>
      <c r="D32" s="217"/>
      <c r="F32" s="284"/>
      <c r="G32" s="210"/>
      <c r="H32" s="217"/>
      <c r="I32" s="210"/>
      <c r="J32" s="251"/>
      <c r="K32" s="210"/>
      <c r="L32" s="210"/>
      <c r="M32" s="228"/>
      <c r="N32" s="228"/>
      <c r="O32" s="228"/>
    </row>
    <row r="33" spans="1:13" ht="15">
      <c r="A33" s="206" t="s">
        <v>115</v>
      </c>
      <c r="B33" s="210" t="s">
        <v>281</v>
      </c>
      <c r="C33" s="206" t="s">
        <v>58</v>
      </c>
      <c r="D33" s="280"/>
      <c r="E33" s="210"/>
      <c r="F33" s="316"/>
      <c r="G33" s="257"/>
      <c r="H33" s="279"/>
      <c r="I33" s="210"/>
      <c r="J33" s="251"/>
      <c r="K33" s="210"/>
      <c r="L33" s="210"/>
      <c r="M33" s="210"/>
    </row>
    <row r="34" spans="1:13" ht="15">
      <c r="A34" s="206" t="s">
        <v>114</v>
      </c>
      <c r="B34" s="210" t="s">
        <v>280</v>
      </c>
      <c r="C34" s="206" t="s">
        <v>58</v>
      </c>
      <c r="D34" s="352"/>
      <c r="E34" s="353"/>
      <c r="F34" s="350"/>
      <c r="G34" s="354"/>
      <c r="H34" s="352"/>
      <c r="I34" s="210"/>
      <c r="J34" s="251"/>
      <c r="K34" s="210"/>
      <c r="L34" s="210"/>
      <c r="M34" s="210"/>
    </row>
    <row r="35" spans="1:13" ht="15">
      <c r="A35" s="206" t="s">
        <v>112</v>
      </c>
      <c r="B35" s="210" t="s">
        <v>306</v>
      </c>
      <c r="C35" s="206" t="s">
        <v>58</v>
      </c>
      <c r="D35" s="355"/>
      <c r="E35" s="353"/>
      <c r="F35" s="351"/>
      <c r="G35" s="354"/>
      <c r="H35" s="355"/>
      <c r="I35" s="210"/>
      <c r="J35" s="251"/>
      <c r="K35" s="210"/>
      <c r="L35" s="210"/>
      <c r="M35" s="276"/>
    </row>
    <row r="36" spans="1:13" ht="15.75" thickBot="1">
      <c r="A36" s="206" t="s">
        <v>111</v>
      </c>
      <c r="B36" s="208" t="s">
        <v>305</v>
      </c>
      <c r="C36" s="206" t="s">
        <v>58</v>
      </c>
      <c r="D36" s="278">
        <f>D31+D33+D34+D35</f>
        <v>5744194.96</v>
      </c>
      <c r="E36" s="254"/>
      <c r="F36" s="278">
        <f>F31+F33+F34+F35</f>
        <v>9808920.6999999993</v>
      </c>
      <c r="G36" s="210"/>
      <c r="H36" s="278">
        <f>H31+H33+H34+H35</f>
        <v>10496514.860000001</v>
      </c>
      <c r="I36" s="210"/>
      <c r="J36" s="313"/>
      <c r="K36" s="210"/>
      <c r="L36" s="228"/>
      <c r="M36" s="276"/>
    </row>
    <row r="37" spans="1:13" ht="15.75" thickTop="1">
      <c r="A37" s="210"/>
      <c r="B37" s="210"/>
      <c r="C37" s="210"/>
      <c r="D37" s="217"/>
      <c r="E37" s="217"/>
      <c r="F37" s="217"/>
      <c r="G37" s="210"/>
      <c r="H37" s="217"/>
      <c r="I37" s="210"/>
      <c r="J37" s="251"/>
      <c r="K37" s="210"/>
      <c r="L37" s="217"/>
      <c r="M37" s="276"/>
    </row>
    <row r="38" spans="1:13" ht="16.5">
      <c r="A38" s="210"/>
      <c r="B38" s="248" t="s">
        <v>304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23"/>
    </row>
    <row r="39" spans="1:13" ht="16.5">
      <c r="A39" s="210"/>
      <c r="B39" s="248" t="s">
        <v>303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76"/>
    </row>
    <row r="40" spans="1:13">
      <c r="A40" s="210"/>
      <c r="B40" s="275" t="s">
        <v>275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>
      <c r="A41" s="206"/>
      <c r="B41" s="210"/>
      <c r="C41" s="210"/>
      <c r="D41" s="210"/>
      <c r="E41" s="210"/>
      <c r="F41" s="217"/>
      <c r="G41" s="210"/>
      <c r="H41" s="320"/>
      <c r="I41" s="210"/>
      <c r="J41" s="210"/>
      <c r="K41" s="210"/>
      <c r="L41" s="210"/>
      <c r="M41" s="319"/>
    </row>
    <row r="42" spans="1:13">
      <c r="A42" s="206"/>
      <c r="B42" s="210"/>
      <c r="C42" s="210"/>
      <c r="D42" s="434"/>
      <c r="E42" s="434"/>
      <c r="F42" s="434"/>
      <c r="G42" s="210"/>
      <c r="H42" s="250"/>
      <c r="I42" s="210"/>
      <c r="J42" s="210"/>
      <c r="K42" s="210"/>
      <c r="L42" s="210"/>
      <c r="M42" s="210"/>
    </row>
    <row r="43" spans="1:13">
      <c r="A43" s="206"/>
      <c r="B43" s="257"/>
      <c r="C43" s="210"/>
      <c r="D43" s="223"/>
      <c r="F43" s="223"/>
      <c r="H43" s="223"/>
      <c r="M43" s="210"/>
    </row>
    <row r="44" spans="1:13">
      <c r="A44" s="206"/>
      <c r="B44" s="210"/>
      <c r="C44" s="210"/>
      <c r="M44" s="210"/>
    </row>
    <row r="45" spans="1:13">
      <c r="A45" s="206"/>
      <c r="B45" s="210"/>
      <c r="C45" s="210"/>
      <c r="M45" s="210"/>
    </row>
    <row r="46" spans="1:13">
      <c r="A46" s="210"/>
      <c r="B46" s="210"/>
      <c r="C46" s="210"/>
      <c r="M46" s="210"/>
    </row>
    <row r="47" spans="1:13">
      <c r="A47" s="210"/>
      <c r="B47" s="210"/>
      <c r="C47" s="210"/>
      <c r="M47" s="210"/>
    </row>
    <row r="48" spans="1:13">
      <c r="A48" s="210"/>
      <c r="B48" s="210"/>
      <c r="C48" s="210"/>
      <c r="D48" s="206"/>
      <c r="E48" s="210"/>
      <c r="F48" s="210"/>
      <c r="G48" s="210"/>
      <c r="H48" s="210"/>
      <c r="I48" s="210"/>
      <c r="J48" s="210"/>
      <c r="K48" s="210"/>
      <c r="L48" s="269"/>
      <c r="M48" s="210"/>
    </row>
    <row r="49" spans="1:13">
      <c r="A49" s="206"/>
      <c r="B49" s="206"/>
      <c r="C49" s="210"/>
      <c r="D49" s="206"/>
      <c r="E49" s="210"/>
      <c r="F49" s="206"/>
      <c r="G49" s="210"/>
      <c r="H49" s="206"/>
      <c r="I49" s="210"/>
      <c r="J49" s="206"/>
      <c r="K49" s="210"/>
      <c r="L49" s="269"/>
      <c r="M49" s="210"/>
    </row>
    <row r="50" spans="1:13">
      <c r="A50" s="206"/>
      <c r="B50" s="210"/>
      <c r="C50" s="210"/>
      <c r="D50" s="228"/>
      <c r="E50" s="210"/>
      <c r="F50" s="228"/>
      <c r="G50" s="228"/>
      <c r="H50" s="228"/>
      <c r="I50" s="228"/>
      <c r="J50" s="228"/>
      <c r="K50" s="210"/>
      <c r="L50" s="210"/>
      <c r="M50" s="210"/>
    </row>
    <row r="51" spans="1:13">
      <c r="A51" s="206"/>
      <c r="B51" s="210"/>
      <c r="C51" s="210"/>
      <c r="D51" s="228"/>
      <c r="E51" s="210"/>
      <c r="F51" s="228"/>
      <c r="G51" s="228"/>
      <c r="H51" s="228"/>
      <c r="I51" s="228"/>
      <c r="J51" s="228"/>
      <c r="K51" s="210"/>
      <c r="L51" s="210"/>
      <c r="M51" s="210"/>
    </row>
    <row r="52" spans="1:13">
      <c r="A52" s="206"/>
      <c r="B52" s="210"/>
      <c r="C52" s="206"/>
      <c r="D52" s="274"/>
      <c r="E52" s="257"/>
      <c r="F52" s="274"/>
      <c r="G52" s="274"/>
      <c r="H52" s="274"/>
      <c r="I52" s="257"/>
      <c r="J52" s="274"/>
      <c r="K52" s="210"/>
      <c r="L52" s="210"/>
      <c r="M52" s="210"/>
    </row>
    <row r="53" spans="1:13">
      <c r="A53" s="206"/>
      <c r="B53" s="210"/>
      <c r="C53" s="206"/>
      <c r="D53" s="274"/>
      <c r="E53" s="257"/>
      <c r="F53" s="274"/>
      <c r="G53" s="274"/>
      <c r="H53" s="274"/>
      <c r="I53" s="257"/>
      <c r="J53" s="274"/>
      <c r="K53" s="210"/>
      <c r="L53" s="210"/>
      <c r="M53" s="210"/>
    </row>
    <row r="54" spans="1:13">
      <c r="A54" s="206"/>
      <c r="B54" s="210"/>
      <c r="C54" s="206"/>
      <c r="D54" s="228"/>
      <c r="E54" s="210"/>
      <c r="F54" s="228"/>
      <c r="G54" s="228"/>
      <c r="H54" s="228"/>
      <c r="I54" s="210"/>
      <c r="J54" s="228"/>
      <c r="K54" s="210"/>
      <c r="L54" s="217"/>
      <c r="M54" s="210"/>
    </row>
    <row r="55" spans="1:13">
      <c r="A55" s="206"/>
      <c r="B55" s="210"/>
      <c r="C55" s="206"/>
      <c r="D55" s="228"/>
      <c r="E55" s="210"/>
      <c r="F55" s="228"/>
      <c r="G55" s="228"/>
      <c r="H55" s="228"/>
      <c r="I55" s="210"/>
      <c r="J55" s="228"/>
      <c r="K55" s="210"/>
      <c r="L55" s="217"/>
      <c r="M55" s="210"/>
    </row>
    <row r="56" spans="1:13">
      <c r="A56" s="206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>
      <c r="A57" s="206"/>
      <c r="B57" s="210"/>
      <c r="C57" s="206"/>
      <c r="D57" s="274"/>
      <c r="E57" s="210"/>
      <c r="F57" s="274"/>
      <c r="G57" s="257"/>
      <c r="H57" s="274"/>
      <c r="I57" s="210"/>
      <c r="J57" s="274"/>
      <c r="K57" s="210"/>
      <c r="L57" s="210"/>
      <c r="M57" s="210"/>
    </row>
    <row r="58" spans="1:13">
      <c r="A58" s="206"/>
      <c r="B58" s="210"/>
      <c r="C58" s="206"/>
      <c r="D58" s="274"/>
      <c r="E58" s="210"/>
      <c r="F58" s="274"/>
      <c r="G58" s="257"/>
      <c r="H58" s="274"/>
      <c r="I58" s="210"/>
      <c r="J58" s="274"/>
      <c r="K58" s="210"/>
      <c r="L58" s="210"/>
      <c r="M58" s="210"/>
    </row>
    <row r="59" spans="1:13">
      <c r="A59" s="206"/>
      <c r="B59" s="210"/>
      <c r="C59" s="210"/>
      <c r="D59" s="228"/>
      <c r="E59" s="210"/>
      <c r="F59" s="258"/>
      <c r="G59" s="257"/>
      <c r="H59" s="274"/>
      <c r="I59" s="210"/>
      <c r="J59" s="274"/>
      <c r="K59" s="210"/>
      <c r="L59" s="210"/>
      <c r="M59" s="210"/>
    </row>
    <row r="60" spans="1:13">
      <c r="A60" s="206"/>
      <c r="B60" s="210"/>
      <c r="C60" s="206"/>
      <c r="D60" s="274"/>
      <c r="E60" s="210"/>
      <c r="F60" s="274"/>
      <c r="G60" s="257"/>
      <c r="H60" s="274"/>
      <c r="I60" s="210"/>
      <c r="J60" s="274"/>
      <c r="K60" s="210"/>
      <c r="L60" s="210"/>
      <c r="M60" s="210"/>
    </row>
    <row r="61" spans="1:13">
      <c r="A61" s="206"/>
      <c r="B61" s="210"/>
      <c r="C61" s="206"/>
      <c r="D61" s="274"/>
      <c r="E61" s="210"/>
      <c r="F61" s="274"/>
      <c r="G61" s="257"/>
      <c r="H61" s="274"/>
      <c r="I61" s="210"/>
      <c r="J61" s="274"/>
      <c r="K61" s="210"/>
      <c r="L61" s="210"/>
      <c r="M61" s="210"/>
    </row>
    <row r="62" spans="1:13">
      <c r="A62" s="206"/>
      <c r="B62" s="210"/>
      <c r="C62" s="206"/>
      <c r="D62" s="274"/>
      <c r="E62" s="210"/>
      <c r="F62" s="274"/>
      <c r="G62" s="257"/>
      <c r="H62" s="274"/>
      <c r="I62" s="210"/>
      <c r="J62" s="274"/>
      <c r="K62" s="210"/>
      <c r="L62" s="210"/>
      <c r="M62" s="210"/>
    </row>
    <row r="63" spans="1:13">
      <c r="A63" s="206"/>
      <c r="B63" s="210"/>
      <c r="C63" s="206"/>
      <c r="D63" s="228"/>
      <c r="E63" s="210"/>
      <c r="F63" s="228"/>
      <c r="G63" s="210"/>
      <c r="H63" s="228"/>
      <c r="I63" s="210"/>
      <c r="J63" s="228"/>
      <c r="K63" s="210"/>
      <c r="L63" s="210"/>
      <c r="M63" s="210"/>
    </row>
    <row r="64" spans="1:13">
      <c r="A64" s="206"/>
      <c r="B64" s="210"/>
      <c r="C64" s="206"/>
      <c r="D64" s="274"/>
      <c r="E64" s="210"/>
      <c r="F64" s="274"/>
      <c r="G64" s="257"/>
      <c r="H64" s="274"/>
      <c r="I64" s="210"/>
      <c r="J64" s="274"/>
      <c r="K64" s="210"/>
      <c r="L64" s="210"/>
      <c r="M64" s="210"/>
    </row>
    <row r="65" spans="1:13">
      <c r="A65" s="206"/>
      <c r="B65" s="210"/>
      <c r="C65" s="206"/>
      <c r="D65" s="228"/>
      <c r="E65" s="210"/>
      <c r="F65" s="228"/>
      <c r="G65" s="210"/>
      <c r="H65" s="228"/>
      <c r="I65" s="210"/>
      <c r="J65" s="228"/>
      <c r="K65" s="210"/>
      <c r="L65" s="210"/>
      <c r="M65" s="210"/>
    </row>
    <row r="66" spans="1:13">
      <c r="A66" s="210"/>
      <c r="B66" s="210"/>
      <c r="C66" s="210"/>
      <c r="D66" s="210"/>
      <c r="E66" s="210"/>
      <c r="F66" s="228"/>
      <c r="G66" s="210"/>
      <c r="H66" s="210"/>
      <c r="I66" s="210"/>
      <c r="J66" s="210"/>
      <c r="K66" s="210"/>
      <c r="L66" s="210"/>
      <c r="M66" s="210"/>
    </row>
    <row r="67" spans="1:13">
      <c r="A67" s="206"/>
      <c r="B67" s="210"/>
      <c r="C67" s="206"/>
      <c r="D67" s="274"/>
      <c r="E67" s="210"/>
      <c r="F67" s="274"/>
      <c r="G67" s="257"/>
      <c r="H67" s="274"/>
      <c r="I67" s="210"/>
      <c r="J67" s="274"/>
      <c r="K67" s="210"/>
      <c r="L67" s="210"/>
      <c r="M67" s="210"/>
    </row>
    <row r="68" spans="1:13">
      <c r="A68" s="206"/>
      <c r="B68" s="210"/>
      <c r="C68" s="206"/>
      <c r="D68" s="274"/>
      <c r="E68" s="210"/>
      <c r="F68" s="274"/>
      <c r="G68" s="257"/>
      <c r="H68" s="274"/>
      <c r="I68" s="210"/>
      <c r="J68" s="274"/>
      <c r="K68" s="210"/>
      <c r="L68" s="210"/>
      <c r="M68" s="210"/>
    </row>
    <row r="69" spans="1:13">
      <c r="A69" s="210"/>
      <c r="B69" s="210"/>
      <c r="C69" s="210"/>
      <c r="D69" s="274"/>
      <c r="E69" s="210"/>
      <c r="F69" s="274"/>
      <c r="G69" s="257"/>
      <c r="H69" s="274"/>
      <c r="I69" s="210"/>
      <c r="J69" s="274"/>
      <c r="K69" s="210"/>
      <c r="L69" s="210"/>
      <c r="M69" s="210"/>
    </row>
    <row r="70" spans="1:13">
      <c r="A70" s="272"/>
      <c r="B70" s="210"/>
      <c r="C70" s="206"/>
      <c r="D70" s="274"/>
      <c r="E70" s="210"/>
      <c r="F70" s="274"/>
      <c r="G70" s="257"/>
      <c r="H70" s="274"/>
      <c r="I70" s="210"/>
      <c r="J70" s="274"/>
      <c r="K70" s="210"/>
      <c r="L70" s="210"/>
      <c r="M70" s="210"/>
    </row>
    <row r="71" spans="1:13">
      <c r="A71" s="210"/>
      <c r="B71" s="210"/>
      <c r="C71" s="210"/>
      <c r="D71" s="228"/>
      <c r="E71" s="210"/>
      <c r="F71" s="217"/>
      <c r="G71" s="217"/>
      <c r="H71" s="217"/>
      <c r="I71" s="210"/>
      <c r="J71" s="217"/>
      <c r="K71" s="210"/>
      <c r="L71" s="210"/>
      <c r="M71" s="210"/>
    </row>
    <row r="72" spans="1:13">
      <c r="A72" s="206"/>
      <c r="B72" s="210"/>
      <c r="C72" s="206"/>
      <c r="D72" s="228"/>
      <c r="E72" s="210"/>
      <c r="F72" s="228"/>
      <c r="G72" s="217"/>
      <c r="H72" s="228"/>
      <c r="I72" s="210"/>
      <c r="J72" s="228"/>
      <c r="K72" s="210"/>
      <c r="L72" s="210"/>
      <c r="M72" s="210"/>
    </row>
    <row r="73" spans="1:13">
      <c r="A73" s="210"/>
      <c r="B73" s="210"/>
      <c r="C73" s="210"/>
      <c r="D73" s="230"/>
      <c r="E73" s="210"/>
      <c r="F73" s="228"/>
      <c r="G73" s="210"/>
      <c r="H73" s="228"/>
      <c r="I73" s="210"/>
      <c r="J73" s="228"/>
      <c r="K73" s="210"/>
      <c r="L73" s="210"/>
      <c r="M73" s="210"/>
    </row>
    <row r="74" spans="1:13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</row>
    <row r="75" spans="1:13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</row>
    <row r="93" spans="6:6">
      <c r="F93" s="274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7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Normal="70" zoomScaleSheetLayoutView="100" zoomScalePageLayoutView="55" workbookViewId="0"/>
  </sheetViews>
  <sheetFormatPr defaultColWidth="12.5703125" defaultRowHeight="15"/>
  <cols>
    <col min="1" max="1" width="7" style="205" customWidth="1"/>
    <col min="2" max="2" width="19.140625" style="205" customWidth="1"/>
    <col min="3" max="3" width="28.140625" style="205" customWidth="1"/>
    <col min="4" max="4" width="17" style="205" customWidth="1"/>
    <col min="5" max="5" width="12.7109375" style="205" bestFit="1" customWidth="1"/>
    <col min="6" max="6" width="17" style="205" bestFit="1" customWidth="1"/>
    <col min="7" max="7" width="12.140625" style="205" bestFit="1" customWidth="1"/>
    <col min="8" max="8" width="18.140625" style="205" customWidth="1"/>
    <col min="9" max="9" width="12" style="205" bestFit="1" customWidth="1"/>
    <col min="10" max="10" width="18.7109375" style="288" customWidth="1"/>
    <col min="11" max="11" width="13.140625" style="205" bestFit="1" customWidth="1"/>
    <col min="12" max="12" width="19.42578125" style="205" customWidth="1"/>
    <col min="13" max="13" width="2.5703125" style="251" customWidth="1"/>
    <col min="14" max="14" width="19" style="205" customWidth="1"/>
    <col min="15" max="15" width="18.42578125" style="205" customWidth="1"/>
    <col min="16" max="16" width="30.28515625" style="205" bestFit="1" customWidth="1"/>
    <col min="17" max="17" width="7.42578125" style="205" bestFit="1" customWidth="1"/>
    <col min="18" max="18" width="18.140625" style="205" bestFit="1" customWidth="1"/>
    <col min="19" max="16384" width="12.5703125" style="205"/>
  </cols>
  <sheetData>
    <row r="1" spans="1:18" ht="15.75">
      <c r="A1" s="245" t="s">
        <v>31</v>
      </c>
      <c r="B1" s="272"/>
      <c r="C1" s="210"/>
      <c r="D1" s="210"/>
      <c r="E1" s="210"/>
      <c r="I1" s="210"/>
      <c r="J1" s="299"/>
      <c r="K1" s="210"/>
      <c r="N1" s="210" t="s">
        <v>274</v>
      </c>
    </row>
    <row r="2" spans="1:18">
      <c r="A2" s="242" t="s">
        <v>337</v>
      </c>
      <c r="B2" s="272"/>
      <c r="C2" s="210"/>
      <c r="D2" s="210"/>
      <c r="E2" s="210"/>
      <c r="I2" s="210"/>
      <c r="J2" s="299"/>
      <c r="K2" s="210"/>
      <c r="N2" s="210" t="s">
        <v>336</v>
      </c>
    </row>
    <row r="3" spans="1:18">
      <c r="A3" s="505">
        <v>44197</v>
      </c>
      <c r="B3" s="505"/>
      <c r="C3" s="505"/>
      <c r="D3" s="505"/>
      <c r="E3" s="210"/>
      <c r="F3" s="210"/>
      <c r="G3" s="210"/>
      <c r="H3" s="210"/>
      <c r="I3" s="210"/>
      <c r="J3" s="299"/>
      <c r="K3" s="210"/>
    </row>
    <row r="4" spans="1:18">
      <c r="A4" s="506" t="s">
        <v>398</v>
      </c>
      <c r="B4" s="506"/>
      <c r="C4" s="506"/>
      <c r="D4" s="506"/>
      <c r="E4" s="210"/>
      <c r="F4" s="210"/>
      <c r="G4" s="210"/>
      <c r="H4" s="210"/>
      <c r="I4" s="210"/>
      <c r="J4" s="299"/>
      <c r="K4" s="210"/>
    </row>
    <row r="5" spans="1:18" ht="17.25" customHeight="1">
      <c r="A5" s="242"/>
      <c r="B5" s="210"/>
      <c r="C5" s="210"/>
      <c r="D5" s="206" t="s">
        <v>26</v>
      </c>
      <c r="E5" s="206" t="s">
        <v>25</v>
      </c>
      <c r="F5" s="206" t="s">
        <v>24</v>
      </c>
      <c r="G5" s="206" t="s">
        <v>68</v>
      </c>
      <c r="H5" s="206" t="s">
        <v>67</v>
      </c>
      <c r="I5" s="269" t="s">
        <v>151</v>
      </c>
      <c r="J5" s="255" t="s">
        <v>271</v>
      </c>
      <c r="K5" s="255" t="s">
        <v>335</v>
      </c>
      <c r="L5" s="255" t="s">
        <v>334</v>
      </c>
      <c r="N5" s="255" t="s">
        <v>333</v>
      </c>
      <c r="O5" s="217"/>
      <c r="P5" s="206"/>
    </row>
    <row r="6" spans="1:18" ht="15" customHeight="1">
      <c r="A6" s="206" t="s">
        <v>23</v>
      </c>
      <c r="B6" s="210"/>
      <c r="C6" s="210"/>
      <c r="D6" s="210"/>
      <c r="E6" s="206" t="s">
        <v>332</v>
      </c>
      <c r="F6" s="206" t="s">
        <v>332</v>
      </c>
      <c r="G6" s="206" t="s">
        <v>1</v>
      </c>
      <c r="H6" s="206" t="s">
        <v>1</v>
      </c>
      <c r="I6" s="255" t="s">
        <v>331</v>
      </c>
      <c r="J6" s="300" t="s">
        <v>330</v>
      </c>
      <c r="K6" s="310" t="s">
        <v>381</v>
      </c>
      <c r="L6" s="386" t="s">
        <v>382</v>
      </c>
      <c r="N6" s="255" t="s">
        <v>61</v>
      </c>
    </row>
    <row r="7" spans="1:18" ht="15" customHeight="1">
      <c r="A7" s="206" t="s">
        <v>22</v>
      </c>
      <c r="B7" s="272" t="s">
        <v>39</v>
      </c>
      <c r="C7" s="206" t="s">
        <v>329</v>
      </c>
      <c r="D7" s="310" t="s">
        <v>328</v>
      </c>
      <c r="E7" s="310" t="s">
        <v>62</v>
      </c>
      <c r="F7" s="310" t="s">
        <v>327</v>
      </c>
      <c r="G7" s="310" t="s">
        <v>62</v>
      </c>
      <c r="H7" s="310" t="s">
        <v>327</v>
      </c>
      <c r="I7" s="386" t="s">
        <v>62</v>
      </c>
      <c r="J7" s="460" t="s">
        <v>327</v>
      </c>
      <c r="K7" s="310" t="s">
        <v>62</v>
      </c>
      <c r="L7" s="386" t="s">
        <v>327</v>
      </c>
      <c r="M7" s="317"/>
      <c r="N7" s="386" t="s">
        <v>326</v>
      </c>
      <c r="O7" s="297"/>
      <c r="P7" s="297"/>
    </row>
    <row r="8" spans="1:18" ht="15" customHeight="1">
      <c r="A8" s="206"/>
      <c r="B8" s="272"/>
      <c r="C8" s="206"/>
      <c r="D8" s="310"/>
      <c r="E8" s="310"/>
      <c r="F8" s="310"/>
      <c r="G8" s="310"/>
      <c r="H8" s="310"/>
      <c r="I8" s="254"/>
      <c r="J8" s="453"/>
      <c r="K8" s="254"/>
      <c r="L8" s="297"/>
      <c r="M8" s="317"/>
      <c r="N8" s="297"/>
      <c r="O8" s="297"/>
      <c r="P8" s="297"/>
    </row>
    <row r="9" spans="1:18" ht="15" customHeight="1">
      <c r="A9" s="206" t="s">
        <v>149</v>
      </c>
      <c r="B9" s="298">
        <v>44136</v>
      </c>
      <c r="C9" s="210" t="s">
        <v>325</v>
      </c>
      <c r="D9" s="444">
        <v>1010129.188</v>
      </c>
      <c r="E9" s="357">
        <v>-0.56659999999999999</v>
      </c>
      <c r="F9" s="305">
        <f>ROUND($D9*E9,2)</f>
        <v>-572339.19999999995</v>
      </c>
      <c r="G9" s="357">
        <v>0</v>
      </c>
      <c r="H9" s="305">
        <f>ROUND($D9*G9,2)</f>
        <v>0</v>
      </c>
      <c r="I9" s="361">
        <v>0.21690000000000001</v>
      </c>
      <c r="J9" s="305">
        <f>ROUND($D9*I9,2)</f>
        <v>219097.02</v>
      </c>
      <c r="K9" s="361">
        <v>4.2605000000000004</v>
      </c>
      <c r="L9" s="305">
        <f>ROUND($D9*K9,2)</f>
        <v>4303655.41</v>
      </c>
      <c r="M9" s="317"/>
      <c r="N9" s="335">
        <f>F9+H9+J9+L9</f>
        <v>3950413.2300000004</v>
      </c>
      <c r="O9" s="454"/>
      <c r="P9" s="297"/>
    </row>
    <row r="10" spans="1:18" ht="15" customHeight="1">
      <c r="A10" s="206" t="s">
        <v>36</v>
      </c>
      <c r="B10" s="210"/>
      <c r="C10" s="210" t="s">
        <v>324</v>
      </c>
      <c r="D10" s="445">
        <v>11578.084599999998</v>
      </c>
      <c r="E10" s="357">
        <f>E9</f>
        <v>-0.56659999999999999</v>
      </c>
      <c r="F10" s="224">
        <f>ROUND($D10*E10,2)</f>
        <v>-6560.14</v>
      </c>
      <c r="G10" s="357">
        <f>G9</f>
        <v>0</v>
      </c>
      <c r="H10" s="224">
        <f>ROUND($D10*G10,2)</f>
        <v>0</v>
      </c>
      <c r="I10" s="361">
        <v>0.21690000000000001</v>
      </c>
      <c r="J10" s="224">
        <f>ROUND($D10*I10,2)</f>
        <v>2511.29</v>
      </c>
      <c r="K10" s="361">
        <v>3.0068000000000001</v>
      </c>
      <c r="L10" s="224">
        <f>ROUND($D10*K10,2)</f>
        <v>34812.980000000003</v>
      </c>
      <c r="M10" s="317"/>
      <c r="N10" s="337">
        <f>F10+H10+J10+L10</f>
        <v>30764.130000000005</v>
      </c>
      <c r="O10" s="454"/>
      <c r="P10" s="297"/>
    </row>
    <row r="11" spans="1:18" ht="15" customHeight="1">
      <c r="A11" s="206" t="s">
        <v>144</v>
      </c>
      <c r="B11" s="210"/>
      <c r="C11" s="210" t="s">
        <v>323</v>
      </c>
      <c r="D11" s="380">
        <f>SUM(D9:D10)</f>
        <v>1021707.2725999999</v>
      </c>
      <c r="E11" s="357"/>
      <c r="F11" s="305">
        <f>SUM(F9:F10)</f>
        <v>-578899.34</v>
      </c>
      <c r="G11" s="358"/>
      <c r="H11" s="305">
        <f>H9+H10</f>
        <v>0</v>
      </c>
      <c r="I11" s="361"/>
      <c r="J11" s="305">
        <f>SUM(J9:J10)</f>
        <v>221608.31</v>
      </c>
      <c r="K11" s="362"/>
      <c r="L11" s="305">
        <f>SUM(L9:L10)</f>
        <v>4338468.3900000006</v>
      </c>
      <c r="M11" s="305"/>
      <c r="N11" s="305">
        <f>SUM(N9:N10)</f>
        <v>3981177.3600000003</v>
      </c>
      <c r="O11" s="374"/>
      <c r="P11" s="455"/>
      <c r="Q11" s="219"/>
      <c r="R11" s="219"/>
    </row>
    <row r="12" spans="1:18" ht="15" customHeight="1">
      <c r="A12" s="206" t="s">
        <v>143</v>
      </c>
      <c r="B12" s="210"/>
      <c r="C12" s="210" t="s">
        <v>322</v>
      </c>
      <c r="D12" s="445">
        <v>0</v>
      </c>
      <c r="E12" s="357"/>
      <c r="F12" s="446">
        <v>-1549.0499999999302</v>
      </c>
      <c r="G12" s="358"/>
      <c r="H12" s="446">
        <v>0</v>
      </c>
      <c r="I12" s="362"/>
      <c r="J12" s="446">
        <v>2710.4699999999921</v>
      </c>
      <c r="K12" s="362"/>
      <c r="L12" s="447">
        <v>5833.8299999991359</v>
      </c>
      <c r="M12" s="317"/>
      <c r="N12" s="337">
        <f>F12+H12+J12+L12</f>
        <v>6995.2499999991978</v>
      </c>
      <c r="O12" s="456"/>
      <c r="P12" s="457"/>
    </row>
    <row r="13" spans="1:18" ht="15" customHeight="1">
      <c r="A13" s="206" t="s">
        <v>141</v>
      </c>
      <c r="B13" s="210"/>
      <c r="C13" s="205" t="s">
        <v>61</v>
      </c>
      <c r="D13" s="381">
        <f>SUM(D11:D12)</f>
        <v>1021707.2725999999</v>
      </c>
      <c r="E13" s="357"/>
      <c r="F13" s="305">
        <f>F11+F12</f>
        <v>-580448.3899999999</v>
      </c>
      <c r="G13" s="358"/>
      <c r="H13" s="305">
        <f>H11+H12</f>
        <v>0</v>
      </c>
      <c r="I13" s="361"/>
      <c r="J13" s="305">
        <f>J11+J12</f>
        <v>224318.78</v>
      </c>
      <c r="K13" s="362"/>
      <c r="L13" s="305">
        <f>L11+L12</f>
        <v>4344302.22</v>
      </c>
      <c r="M13" s="305"/>
      <c r="N13" s="305">
        <f>N11+N12</f>
        <v>3988172.6099999994</v>
      </c>
      <c r="O13" s="335">
        <f>F13+L13</f>
        <v>3763853.83</v>
      </c>
      <c r="P13" s="458"/>
      <c r="Q13" s="311"/>
      <c r="R13" s="387"/>
    </row>
    <row r="14" spans="1:18" ht="15" customHeight="1">
      <c r="A14" s="206" t="s">
        <v>139</v>
      </c>
      <c r="B14" s="210"/>
      <c r="D14" s="382"/>
      <c r="E14" s="357"/>
      <c r="F14" s="318"/>
      <c r="G14" s="359"/>
      <c r="H14" s="318"/>
      <c r="I14" s="362"/>
      <c r="J14" s="318"/>
      <c r="K14" s="362"/>
      <c r="L14" s="318"/>
      <c r="M14" s="317"/>
      <c r="N14" s="335"/>
      <c r="O14" s="335"/>
      <c r="P14" s="388"/>
    </row>
    <row r="15" spans="1:18" ht="15" customHeight="1">
      <c r="A15" s="206" t="s">
        <v>137</v>
      </c>
      <c r="D15" s="381"/>
      <c r="E15" s="357"/>
      <c r="F15" s="297"/>
      <c r="G15" s="360"/>
      <c r="H15" s="297"/>
      <c r="I15" s="361"/>
      <c r="J15" s="338"/>
      <c r="K15" s="362"/>
      <c r="L15" s="297"/>
      <c r="M15" s="317"/>
      <c r="N15" s="335"/>
      <c r="O15" s="335"/>
      <c r="P15" s="458"/>
    </row>
    <row r="16" spans="1:18" ht="15" customHeight="1">
      <c r="A16" s="206" t="s">
        <v>135</v>
      </c>
      <c r="B16" s="296">
        <v>44166</v>
      </c>
      <c r="C16" s="210" t="s">
        <v>325</v>
      </c>
      <c r="D16" s="444">
        <v>2141775.6356999995</v>
      </c>
      <c r="E16" s="392">
        <f>E9</f>
        <v>-0.56659999999999999</v>
      </c>
      <c r="F16" s="305">
        <f>ROUND($D16*E16,2)</f>
        <v>-1213530.08</v>
      </c>
      <c r="G16" s="392">
        <f>G9</f>
        <v>0</v>
      </c>
      <c r="H16" s="305">
        <f>ROUND($D16*G16,2)</f>
        <v>0</v>
      </c>
      <c r="I16" s="343">
        <f>+I9</f>
        <v>0.21690000000000001</v>
      </c>
      <c r="J16" s="305">
        <f>ROUND($D16*I16,2)</f>
        <v>464551.14</v>
      </c>
      <c r="K16" s="361">
        <f>K9</f>
        <v>4.2605000000000004</v>
      </c>
      <c r="L16" s="305">
        <f>ROUND($D16*K16,2)</f>
        <v>9125035.0999999996</v>
      </c>
      <c r="M16" s="317"/>
      <c r="N16" s="335">
        <f>F16+H16+J16+L16</f>
        <v>8376056.1599999992</v>
      </c>
      <c r="O16" s="335"/>
      <c r="P16" s="459"/>
      <c r="Q16" s="211"/>
      <c r="R16" s="211"/>
    </row>
    <row r="17" spans="1:18" ht="15" customHeight="1">
      <c r="A17" s="206" t="s">
        <v>134</v>
      </c>
      <c r="B17" s="210"/>
      <c r="C17" s="210" t="s">
        <v>324</v>
      </c>
      <c r="D17" s="445">
        <v>10229.7443</v>
      </c>
      <c r="E17" s="392">
        <f>E10</f>
        <v>-0.56659999999999999</v>
      </c>
      <c r="F17" s="224">
        <f>ROUND($D17*E17,2)</f>
        <v>-5796.17</v>
      </c>
      <c r="G17" s="392">
        <f>G10</f>
        <v>0</v>
      </c>
      <c r="H17" s="224">
        <f>ROUND($D17*G17,2)</f>
        <v>0</v>
      </c>
      <c r="I17" s="343">
        <f>I10</f>
        <v>0.21690000000000001</v>
      </c>
      <c r="J17" s="224">
        <f>ROUND($D17*I17,2)</f>
        <v>2218.83</v>
      </c>
      <c r="K17" s="361">
        <f>K10</f>
        <v>3.0068000000000001</v>
      </c>
      <c r="L17" s="224">
        <f>ROUND($D17*K17,2)</f>
        <v>30758.799999999999</v>
      </c>
      <c r="M17" s="317"/>
      <c r="N17" s="337">
        <f>F17+H17+J17+L17</f>
        <v>27181.46</v>
      </c>
      <c r="O17" s="335"/>
      <c r="P17" s="459"/>
      <c r="Q17" s="211"/>
      <c r="R17" s="211"/>
    </row>
    <row r="18" spans="1:18" ht="15" customHeight="1">
      <c r="A18" s="206" t="s">
        <v>127</v>
      </c>
      <c r="B18" s="210"/>
      <c r="C18" s="210" t="s">
        <v>323</v>
      </c>
      <c r="D18" s="380">
        <f>SUM(D16:D17)</f>
        <v>2152005.3799999994</v>
      </c>
      <c r="E18" s="357"/>
      <c r="F18" s="305">
        <f>SUM(F16:F17)</f>
        <v>-1219326.25</v>
      </c>
      <c r="G18" s="358"/>
      <c r="H18" s="305">
        <f>H16+H17</f>
        <v>0</v>
      </c>
      <c r="I18" s="361"/>
      <c r="J18" s="305">
        <f>SUM(J16:J17)</f>
        <v>466769.97000000003</v>
      </c>
      <c r="K18" s="362"/>
      <c r="L18" s="305">
        <f>SUM(L16:L17)</f>
        <v>9155793.9000000004</v>
      </c>
      <c r="M18" s="305"/>
      <c r="N18" s="305">
        <f>SUM(N16:N17)</f>
        <v>8403237.6199999992</v>
      </c>
      <c r="O18" s="335"/>
      <c r="P18" s="459"/>
      <c r="Q18" s="211"/>
      <c r="R18" s="211"/>
    </row>
    <row r="19" spans="1:18" ht="15" customHeight="1">
      <c r="A19" s="206" t="s">
        <v>125</v>
      </c>
      <c r="B19" s="210"/>
      <c r="C19" s="210" t="s">
        <v>322</v>
      </c>
      <c r="D19" s="445">
        <v>0</v>
      </c>
      <c r="E19" s="357"/>
      <c r="F19" s="446">
        <v>-520.46000000019558</v>
      </c>
      <c r="G19" s="358"/>
      <c r="H19" s="446">
        <v>0</v>
      </c>
      <c r="I19" s="362"/>
      <c r="J19" s="446">
        <v>2069.9799999998927</v>
      </c>
      <c r="K19" s="362"/>
      <c r="L19" s="447">
        <v>23192.719999997371</v>
      </c>
      <c r="M19" s="317"/>
      <c r="N19" s="337">
        <f>F19+H19+J19+L19</f>
        <v>24742.239999997069</v>
      </c>
      <c r="O19" s="335"/>
      <c r="P19" s="391"/>
      <c r="Q19" s="211"/>
      <c r="R19" s="211"/>
    </row>
    <row r="20" spans="1:18" ht="15" customHeight="1">
      <c r="A20" s="206" t="s">
        <v>123</v>
      </c>
      <c r="B20" s="210"/>
      <c r="C20" s="205" t="s">
        <v>61</v>
      </c>
      <c r="D20" s="380">
        <f>D18+D19</f>
        <v>2152005.3799999994</v>
      </c>
      <c r="E20" s="357"/>
      <c r="F20" s="305">
        <f>F18+F19</f>
        <v>-1219846.7100000002</v>
      </c>
      <c r="G20" s="358"/>
      <c r="H20" s="305">
        <f>H18+H19</f>
        <v>0</v>
      </c>
      <c r="I20" s="361"/>
      <c r="J20" s="305">
        <f>J18+J19</f>
        <v>468839.9499999999</v>
      </c>
      <c r="K20" s="362"/>
      <c r="L20" s="305">
        <f>L18+L19</f>
        <v>9178986.6199999973</v>
      </c>
      <c r="M20" s="305"/>
      <c r="N20" s="305">
        <f>N18+N19</f>
        <v>8427979.8599999957</v>
      </c>
      <c r="O20" s="335">
        <f>F20+L20</f>
        <v>7959139.9099999974</v>
      </c>
      <c r="P20" s="459"/>
      <c r="Q20" s="211"/>
      <c r="R20" s="211"/>
    </row>
    <row r="21" spans="1:18" ht="15" customHeight="1">
      <c r="A21" s="206" t="s">
        <v>120</v>
      </c>
      <c r="B21" s="210"/>
      <c r="D21" s="382"/>
      <c r="E21" s="357"/>
      <c r="F21" s="318"/>
      <c r="G21" s="359"/>
      <c r="H21" s="318"/>
      <c r="I21" s="362"/>
      <c r="J21" s="318"/>
      <c r="K21" s="362"/>
      <c r="L21" s="318"/>
      <c r="M21" s="317"/>
      <c r="N21" s="335"/>
      <c r="O21" s="335"/>
      <c r="P21" s="391"/>
      <c r="Q21" s="211"/>
      <c r="R21" s="211"/>
    </row>
    <row r="22" spans="1:18" ht="15" customHeight="1">
      <c r="A22" s="206" t="s">
        <v>119</v>
      </c>
      <c r="D22" s="381"/>
      <c r="E22" s="357"/>
      <c r="F22" s="297"/>
      <c r="G22" s="360"/>
      <c r="H22" s="297"/>
      <c r="I22" s="361"/>
      <c r="J22" s="338"/>
      <c r="K22" s="362"/>
      <c r="L22" s="297"/>
      <c r="M22" s="317"/>
      <c r="N22" s="335"/>
      <c r="O22" s="335"/>
      <c r="P22" s="459"/>
      <c r="Q22" s="211"/>
      <c r="R22" s="211"/>
    </row>
    <row r="23" spans="1:18" ht="15" customHeight="1">
      <c r="A23" s="206" t="s">
        <v>118</v>
      </c>
      <c r="B23" s="296">
        <v>44197</v>
      </c>
      <c r="C23" s="210" t="s">
        <v>325</v>
      </c>
      <c r="D23" s="444">
        <v>3239691.1388999997</v>
      </c>
      <c r="E23" s="392">
        <f>E9</f>
        <v>-0.56659999999999999</v>
      </c>
      <c r="F23" s="305">
        <f>ROUND($D23*E23,2)</f>
        <v>-1835609</v>
      </c>
      <c r="G23" s="392">
        <f>G9</f>
        <v>0</v>
      </c>
      <c r="H23" s="305">
        <f>ROUND($D23*G23,2)</f>
        <v>0</v>
      </c>
      <c r="I23" s="343">
        <f>+I9</f>
        <v>0.21690000000000001</v>
      </c>
      <c r="J23" s="305">
        <f>ROUND($D23*I23,2)</f>
        <v>702689.01</v>
      </c>
      <c r="K23" s="361">
        <f>K9</f>
        <v>4.2605000000000004</v>
      </c>
      <c r="L23" s="305">
        <f>ROUND($D23*K23,2)</f>
        <v>13802704.1</v>
      </c>
      <c r="M23" s="317"/>
      <c r="N23" s="335">
        <f>F23+H23+J23+L23</f>
        <v>12669784.109999999</v>
      </c>
      <c r="O23" s="335"/>
      <c r="P23" s="459"/>
      <c r="Q23" s="211"/>
      <c r="R23" s="211"/>
    </row>
    <row r="24" spans="1:18" ht="15" customHeight="1">
      <c r="A24" s="206" t="s">
        <v>117</v>
      </c>
      <c r="B24" s="210"/>
      <c r="C24" s="210" t="s">
        <v>324</v>
      </c>
      <c r="D24" s="445">
        <v>9528.7907000000014</v>
      </c>
      <c r="E24" s="392">
        <f>E10</f>
        <v>-0.56659999999999999</v>
      </c>
      <c r="F24" s="224">
        <f>ROUND($D24*E24,2)</f>
        <v>-5399.01</v>
      </c>
      <c r="G24" s="392">
        <f>G10</f>
        <v>0</v>
      </c>
      <c r="H24" s="224">
        <f>ROUND($D24*G24,2)</f>
        <v>0</v>
      </c>
      <c r="I24" s="343">
        <f>I10</f>
        <v>0.21690000000000001</v>
      </c>
      <c r="J24" s="224">
        <f>ROUND($D24*I24,2)</f>
        <v>2066.79</v>
      </c>
      <c r="K24" s="361">
        <f>K10</f>
        <v>3.0068000000000001</v>
      </c>
      <c r="L24" s="224">
        <f>ROUND($D24*K24,2)</f>
        <v>28651.17</v>
      </c>
      <c r="M24" s="317"/>
      <c r="N24" s="337">
        <f>F24+H24+J24+L24</f>
        <v>25318.949999999997</v>
      </c>
      <c r="O24" s="335"/>
      <c r="P24" s="459"/>
      <c r="Q24" s="211"/>
      <c r="R24" s="211"/>
    </row>
    <row r="25" spans="1:18" ht="15" customHeight="1">
      <c r="A25" s="206" t="s">
        <v>112</v>
      </c>
      <c r="B25" s="210"/>
      <c r="C25" s="210" t="s">
        <v>323</v>
      </c>
      <c r="D25" s="380">
        <f>SUM(D23:D24)</f>
        <v>3249219.9295999995</v>
      </c>
      <c r="E25" s="343"/>
      <c r="F25" s="305">
        <f>SUM(F23:F24)</f>
        <v>-1841008.01</v>
      </c>
      <c r="G25" s="358"/>
      <c r="H25" s="305">
        <f>H23+H24</f>
        <v>0</v>
      </c>
      <c r="I25" s="361"/>
      <c r="J25" s="305">
        <f>SUM(J23:J24)</f>
        <v>704755.8</v>
      </c>
      <c r="K25" s="362"/>
      <c r="L25" s="305">
        <f>SUM(L23:L24)</f>
        <v>13831355.27</v>
      </c>
      <c r="M25" s="305"/>
      <c r="N25" s="305">
        <f>SUM(N23:N24)</f>
        <v>12695103.059999999</v>
      </c>
      <c r="O25" s="335"/>
      <c r="P25" s="459"/>
      <c r="Q25" s="211"/>
      <c r="R25" s="211"/>
    </row>
    <row r="26" spans="1:18" ht="15" customHeight="1">
      <c r="A26" s="206" t="s">
        <v>111</v>
      </c>
      <c r="C26" s="210" t="s">
        <v>322</v>
      </c>
      <c r="D26" s="445">
        <v>0</v>
      </c>
      <c r="E26" s="361"/>
      <c r="F26" s="446">
        <v>-188.3000000002794</v>
      </c>
      <c r="G26" s="358"/>
      <c r="H26" s="446">
        <v>0</v>
      </c>
      <c r="I26" s="362"/>
      <c r="J26" s="446">
        <v>3721.5999999998276</v>
      </c>
      <c r="K26" s="362"/>
      <c r="L26" s="447">
        <v>41660.869999998336</v>
      </c>
      <c r="M26" s="317"/>
      <c r="N26" s="337">
        <f>F26+H26+J26+L26</f>
        <v>45194.169999997888</v>
      </c>
      <c r="O26" s="335"/>
      <c r="P26" s="459"/>
      <c r="Q26" s="211"/>
      <c r="R26" s="211"/>
    </row>
    <row r="27" spans="1:18" ht="15" customHeight="1">
      <c r="A27" s="206" t="s">
        <v>109</v>
      </c>
      <c r="B27" s="251"/>
      <c r="C27" s="205" t="s">
        <v>61</v>
      </c>
      <c r="D27" s="380">
        <f>D25+D26</f>
        <v>3249219.9295999995</v>
      </c>
      <c r="E27" s="343"/>
      <c r="F27" s="305">
        <f>F25+F26</f>
        <v>-1841196.3100000003</v>
      </c>
      <c r="G27" s="358"/>
      <c r="H27" s="305">
        <f>H25+H26</f>
        <v>0</v>
      </c>
      <c r="I27" s="254"/>
      <c r="J27" s="305">
        <f>J25+J26</f>
        <v>708477.39999999991</v>
      </c>
      <c r="K27" s="360"/>
      <c r="L27" s="305">
        <f>L25+L26</f>
        <v>13873016.139999999</v>
      </c>
      <c r="M27" s="305"/>
      <c r="N27" s="305">
        <f>N25+N26</f>
        <v>12740297.229999997</v>
      </c>
      <c r="O27" s="335">
        <f>F27+L27</f>
        <v>12031819.829999998</v>
      </c>
      <c r="P27" s="459"/>
      <c r="Q27" s="211"/>
      <c r="R27" s="390"/>
    </row>
    <row r="28" spans="1:18" ht="15" customHeight="1">
      <c r="A28" s="206" t="s">
        <v>105</v>
      </c>
      <c r="B28" s="251"/>
      <c r="C28" s="251"/>
      <c r="D28" s="317"/>
      <c r="E28" s="461"/>
      <c r="F28" s="318"/>
      <c r="G28" s="359"/>
      <c r="H28" s="318"/>
      <c r="I28" s="297"/>
      <c r="J28" s="318"/>
      <c r="K28" s="360"/>
      <c r="L28" s="318"/>
      <c r="M28" s="317"/>
      <c r="N28" s="335"/>
      <c r="O28" s="335"/>
      <c r="P28" s="429"/>
      <c r="Q28" s="211"/>
      <c r="R28" s="211"/>
    </row>
    <row r="29" spans="1:18" ht="15" customHeight="1">
      <c r="A29" s="206" t="s">
        <v>100</v>
      </c>
      <c r="B29" s="251"/>
      <c r="C29" s="251"/>
      <c r="D29" s="462"/>
      <c r="E29" s="461"/>
      <c r="F29" s="317"/>
      <c r="G29" s="359"/>
      <c r="H29" s="317"/>
      <c r="I29" s="297"/>
      <c r="J29" s="338"/>
      <c r="K29" s="360"/>
      <c r="L29" s="374"/>
      <c r="M29" s="317"/>
      <c r="N29" s="297"/>
      <c r="O29" s="335"/>
      <c r="P29" s="429"/>
      <c r="Q29" s="211"/>
      <c r="R29" s="211"/>
    </row>
    <row r="30" spans="1:18" ht="15" customHeight="1" thickBot="1">
      <c r="A30" s="206" t="s">
        <v>99</v>
      </c>
      <c r="B30" s="210" t="s">
        <v>321</v>
      </c>
      <c r="C30" s="210"/>
      <c r="D30" s="254"/>
      <c r="E30" s="343"/>
      <c r="F30" s="463">
        <f>F13+F20+F27</f>
        <v>-3641491.41</v>
      </c>
      <c r="G30" s="431"/>
      <c r="H30" s="431"/>
      <c r="I30" s="297"/>
      <c r="J30" s="338"/>
      <c r="K30" s="360"/>
      <c r="L30" s="374"/>
      <c r="M30" s="317"/>
      <c r="N30" s="335"/>
      <c r="O30" s="335"/>
      <c r="P30" s="429"/>
      <c r="Q30" s="211"/>
      <c r="R30" s="211"/>
    </row>
    <row r="31" spans="1:18" ht="15" customHeight="1" thickTop="1" thickBot="1">
      <c r="A31" s="206" t="s">
        <v>98</v>
      </c>
      <c r="B31" s="210" t="s">
        <v>320</v>
      </c>
      <c r="C31" s="210"/>
      <c r="D31" s="254"/>
      <c r="E31" s="254"/>
      <c r="F31" s="431"/>
      <c r="G31" s="431"/>
      <c r="H31" s="463">
        <f>H13+H20+H27</f>
        <v>0</v>
      </c>
      <c r="I31" s="297"/>
      <c r="J31" s="338"/>
      <c r="K31" s="297"/>
      <c r="L31" s="374"/>
      <c r="M31" s="317"/>
      <c r="N31" s="335"/>
      <c r="O31" s="335"/>
      <c r="P31" s="464"/>
      <c r="Q31" s="211"/>
      <c r="R31" s="211"/>
    </row>
    <row r="32" spans="1:18" ht="15" customHeight="1" thickTop="1" thickBot="1">
      <c r="A32" s="206" t="s">
        <v>96</v>
      </c>
      <c r="B32" s="210" t="s">
        <v>319</v>
      </c>
      <c r="C32" s="210"/>
      <c r="D32" s="254"/>
      <c r="E32" s="254"/>
      <c r="F32" s="254"/>
      <c r="G32" s="254"/>
      <c r="H32" s="254"/>
      <c r="I32" s="297"/>
      <c r="J32" s="465">
        <f>J13+J20+J27</f>
        <v>1401636.13</v>
      </c>
      <c r="K32" s="297"/>
      <c r="L32" s="297"/>
      <c r="M32" s="317"/>
      <c r="N32" s="297"/>
      <c r="O32" s="335"/>
      <c r="P32" s="464"/>
      <c r="Q32" s="211"/>
      <c r="R32" s="211"/>
    </row>
    <row r="33" spans="1:18" ht="15" customHeight="1" thickTop="1" thickBot="1">
      <c r="A33" s="206" t="s">
        <v>95</v>
      </c>
      <c r="B33" s="254" t="s">
        <v>318</v>
      </c>
      <c r="C33" s="254"/>
      <c r="D33" s="254"/>
      <c r="E33" s="254"/>
      <c r="F33" s="254"/>
      <c r="G33" s="254"/>
      <c r="H33" s="254"/>
      <c r="I33" s="297"/>
      <c r="J33" s="338"/>
      <c r="K33" s="297"/>
      <c r="L33" s="465">
        <f>L13+L20+L27</f>
        <v>27396304.979999997</v>
      </c>
      <c r="M33" s="317"/>
      <c r="N33" s="297"/>
      <c r="O33" s="335"/>
      <c r="P33" s="464"/>
      <c r="Q33" s="211"/>
      <c r="R33" s="211"/>
    </row>
    <row r="34" spans="1:18" ht="15" customHeight="1" thickTop="1" thickBot="1">
      <c r="A34" s="206" t="s">
        <v>94</v>
      </c>
      <c r="B34" s="297" t="s">
        <v>317</v>
      </c>
      <c r="C34" s="297"/>
      <c r="D34" s="297"/>
      <c r="E34" s="297"/>
      <c r="F34" s="297"/>
      <c r="G34" s="297"/>
      <c r="H34" s="297"/>
      <c r="I34" s="297"/>
      <c r="J34" s="338"/>
      <c r="K34" s="297"/>
      <c r="L34" s="297"/>
      <c r="M34" s="317"/>
      <c r="N34" s="465">
        <f>N13+N20+N27</f>
        <v>25156449.699999992</v>
      </c>
      <c r="O34" s="297"/>
      <c r="P34" s="466"/>
      <c r="Q34" s="389"/>
      <c r="R34" s="389"/>
    </row>
    <row r="35" spans="1:18" ht="15" customHeight="1" thickTop="1">
      <c r="A35" s="206" t="s">
        <v>93</v>
      </c>
      <c r="D35" s="297"/>
      <c r="E35" s="297"/>
      <c r="F35" s="297"/>
      <c r="G35" s="297"/>
      <c r="H35" s="297"/>
      <c r="I35" s="297"/>
      <c r="J35" s="338"/>
      <c r="K35" s="297"/>
      <c r="L35" s="297"/>
      <c r="M35" s="317"/>
      <c r="N35" s="297"/>
      <c r="O35" s="297"/>
      <c r="P35" s="429"/>
      <c r="Q35" s="211"/>
      <c r="R35" s="211"/>
    </row>
    <row r="36" spans="1:18" ht="15" customHeight="1" thickBot="1">
      <c r="A36" s="206" t="s">
        <v>91</v>
      </c>
      <c r="B36" s="210"/>
      <c r="C36" s="210"/>
      <c r="D36" s="254"/>
      <c r="E36" s="254"/>
      <c r="F36" s="254"/>
      <c r="G36" s="254"/>
      <c r="H36" s="254"/>
      <c r="I36" s="297"/>
      <c r="J36" s="338"/>
      <c r="K36" s="335"/>
      <c r="L36" s="297"/>
      <c r="M36" s="317"/>
      <c r="N36" s="297"/>
      <c r="O36" s="467">
        <f>+SUM(O13:O33)</f>
        <v>23754813.569999997</v>
      </c>
      <c r="P36" s="468"/>
      <c r="Q36" s="390"/>
      <c r="R36" s="390"/>
    </row>
    <row r="37" spans="1:18" ht="15" customHeight="1" thickTop="1">
      <c r="A37" s="206" t="s">
        <v>90</v>
      </c>
      <c r="B37" s="293" t="s">
        <v>316</v>
      </c>
      <c r="C37" s="293"/>
      <c r="D37" s="293"/>
      <c r="E37" s="293"/>
      <c r="F37" s="293"/>
      <c r="G37" s="293"/>
      <c r="H37" s="293"/>
    </row>
    <row r="38" spans="1:18" ht="15" customHeight="1">
      <c r="A38" s="206" t="s">
        <v>89</v>
      </c>
      <c r="B38" s="293" t="s">
        <v>315</v>
      </c>
      <c r="C38" s="293"/>
      <c r="D38" s="293"/>
      <c r="E38" s="293"/>
      <c r="F38" s="293"/>
      <c r="G38" s="293"/>
      <c r="H38" s="293"/>
    </row>
    <row r="39" spans="1:18" ht="15" customHeight="1">
      <c r="A39" s="206"/>
    </row>
    <row r="40" spans="1:18" ht="15" customHeight="1">
      <c r="A40" s="206"/>
      <c r="B40" s="293"/>
    </row>
    <row r="41" spans="1:18" ht="15" customHeight="1">
      <c r="A41" s="206"/>
      <c r="B41" s="210"/>
      <c r="C41" s="210"/>
      <c r="D41" s="291"/>
      <c r="E41" s="290"/>
      <c r="F41" s="228"/>
      <c r="G41" s="228"/>
      <c r="H41" s="228"/>
    </row>
    <row r="42" spans="1:18" ht="15" customHeight="1">
      <c r="A42" s="206"/>
      <c r="B42" s="210"/>
      <c r="C42" s="210"/>
      <c r="D42" s="291"/>
      <c r="E42" s="290"/>
      <c r="F42" s="228"/>
      <c r="G42" s="228"/>
      <c r="H42" s="228"/>
    </row>
    <row r="43" spans="1:18" ht="15" customHeight="1">
      <c r="A43" s="206"/>
      <c r="B43" s="210"/>
      <c r="C43" s="210"/>
      <c r="D43" s="289"/>
      <c r="E43" s="210"/>
      <c r="F43" s="228"/>
      <c r="G43" s="228"/>
      <c r="H43" s="228"/>
    </row>
    <row r="44" spans="1:18" ht="15" customHeight="1">
      <c r="A44" s="206"/>
    </row>
    <row r="45" spans="1:18" ht="15" customHeight="1">
      <c r="A45" s="206"/>
      <c r="B45" s="292"/>
      <c r="C45" s="210"/>
      <c r="D45" s="291"/>
      <c r="E45" s="232"/>
      <c r="F45" s="230"/>
      <c r="G45" s="230"/>
      <c r="H45" s="230"/>
    </row>
    <row r="46" spans="1:18" ht="15" customHeight="1">
      <c r="A46" s="206"/>
      <c r="C46" s="210"/>
      <c r="D46" s="291"/>
      <c r="E46" s="290"/>
      <c r="F46" s="228"/>
      <c r="G46" s="228"/>
      <c r="H46" s="228"/>
    </row>
    <row r="47" spans="1:18" ht="15" customHeight="1">
      <c r="A47" s="206"/>
      <c r="B47" s="210"/>
      <c r="C47" s="210"/>
      <c r="D47" s="291"/>
      <c r="E47" s="290"/>
      <c r="F47" s="228"/>
      <c r="G47" s="228"/>
      <c r="H47" s="228"/>
    </row>
    <row r="48" spans="1:18" ht="15" customHeight="1">
      <c r="A48" s="206"/>
      <c r="B48" s="210"/>
      <c r="C48" s="210"/>
      <c r="D48" s="291"/>
      <c r="E48" s="290"/>
      <c r="F48" s="228"/>
      <c r="G48" s="228"/>
      <c r="H48" s="228"/>
    </row>
    <row r="49" spans="1:8" ht="15" customHeight="1">
      <c r="A49" s="206"/>
      <c r="B49" s="210"/>
      <c r="C49" s="210"/>
      <c r="D49" s="291"/>
      <c r="E49" s="290"/>
      <c r="F49" s="228"/>
      <c r="G49" s="228"/>
      <c r="H49" s="228"/>
    </row>
    <row r="50" spans="1:8" ht="15" customHeight="1">
      <c r="A50" s="206"/>
      <c r="B50" s="210"/>
      <c r="C50" s="210"/>
      <c r="D50" s="291"/>
      <c r="E50" s="290"/>
      <c r="F50" s="228"/>
      <c r="G50" s="228"/>
      <c r="H50" s="228"/>
    </row>
    <row r="51" spans="1:8" ht="15" customHeight="1">
      <c r="A51" s="206"/>
      <c r="B51" s="210"/>
      <c r="C51" s="210"/>
      <c r="D51" s="291"/>
      <c r="E51" s="290"/>
      <c r="F51" s="228"/>
      <c r="G51" s="228"/>
      <c r="H51" s="228"/>
    </row>
    <row r="52" spans="1:8" ht="15" customHeight="1">
      <c r="A52" s="206"/>
      <c r="B52" s="210"/>
      <c r="C52" s="210"/>
      <c r="D52" s="291"/>
      <c r="E52" s="290"/>
      <c r="F52" s="228"/>
      <c r="G52" s="228"/>
      <c r="H52" s="228"/>
    </row>
    <row r="53" spans="1:8" ht="15" customHeight="1">
      <c r="A53" s="206"/>
      <c r="B53" s="210"/>
      <c r="C53" s="210"/>
      <c r="D53" s="289"/>
      <c r="E53" s="210"/>
      <c r="F53" s="228"/>
      <c r="G53" s="228"/>
      <c r="H53" s="228"/>
    </row>
    <row r="54" spans="1:8" ht="15" customHeight="1">
      <c r="A54" s="206"/>
    </row>
    <row r="55" spans="1:8" ht="15" customHeight="1">
      <c r="A55" s="206"/>
    </row>
    <row r="56" spans="1:8" ht="15" customHeight="1">
      <c r="A56" s="206"/>
    </row>
    <row r="57" spans="1:8" ht="15" customHeight="1">
      <c r="A57" s="206"/>
    </row>
    <row r="58" spans="1:8" ht="15" customHeight="1">
      <c r="A58" s="206"/>
    </row>
    <row r="59" spans="1:8" ht="15" customHeight="1">
      <c r="A59" s="206"/>
    </row>
    <row r="60" spans="1:8" ht="15" customHeight="1">
      <c r="A60" s="206"/>
    </row>
    <row r="61" spans="1:8" ht="15" customHeight="1">
      <c r="A61" s="206"/>
      <c r="B61" s="210"/>
      <c r="C61" s="210"/>
      <c r="D61" s="291"/>
      <c r="E61" s="290"/>
      <c r="F61" s="228"/>
      <c r="G61" s="228"/>
      <c r="H61" s="228"/>
    </row>
    <row r="62" spans="1:8" ht="15" customHeight="1">
      <c r="A62" s="206"/>
      <c r="B62" s="210"/>
      <c r="C62" s="210"/>
      <c r="D62" s="291"/>
      <c r="E62" s="290"/>
      <c r="F62" s="228"/>
      <c r="G62" s="228"/>
      <c r="H62" s="228"/>
    </row>
    <row r="63" spans="1:8" ht="15" customHeight="1">
      <c r="A63" s="206"/>
      <c r="B63" s="210"/>
      <c r="C63" s="210"/>
      <c r="D63" s="289"/>
      <c r="E63" s="210"/>
      <c r="F63" s="228"/>
      <c r="G63" s="228"/>
      <c r="H63" s="228"/>
    </row>
    <row r="64" spans="1:8" ht="15" customHeight="1">
      <c r="A64" s="206"/>
    </row>
    <row r="65" spans="1:8" ht="15" customHeight="1">
      <c r="A65" s="206"/>
    </row>
    <row r="66" spans="1:8" ht="15" customHeight="1">
      <c r="A66" s="206"/>
    </row>
    <row r="67" spans="1:8" ht="15" customHeight="1">
      <c r="A67" s="206"/>
    </row>
    <row r="68" spans="1:8" ht="15" customHeight="1">
      <c r="A68" s="206"/>
    </row>
    <row r="69" spans="1:8" ht="15" customHeight="1">
      <c r="A69" s="206"/>
    </row>
    <row r="70" spans="1:8" ht="15" customHeight="1">
      <c r="A70" s="206"/>
    </row>
    <row r="71" spans="1:8" ht="15" customHeight="1">
      <c r="A71" s="206"/>
    </row>
    <row r="72" spans="1:8" ht="15" customHeight="1">
      <c r="A72" s="206"/>
      <c r="B72" s="210"/>
      <c r="C72" s="210"/>
      <c r="D72" s="210"/>
      <c r="E72" s="210"/>
      <c r="F72" s="210"/>
      <c r="G72" s="210"/>
      <c r="H72" s="210"/>
    </row>
    <row r="73" spans="1:8">
      <c r="A73" s="206"/>
      <c r="B73" s="210"/>
      <c r="C73" s="210"/>
      <c r="D73" s="210"/>
      <c r="E73" s="210"/>
      <c r="F73" s="210"/>
      <c r="G73" s="210"/>
      <c r="H73" s="210"/>
    </row>
    <row r="74" spans="1:8">
      <c r="A74" s="206"/>
      <c r="B74" s="210"/>
      <c r="C74" s="210"/>
      <c r="D74" s="210"/>
      <c r="E74" s="210"/>
      <c r="F74" s="210"/>
      <c r="G74" s="210"/>
      <c r="H74" s="210"/>
    </row>
    <row r="75" spans="1:8">
      <c r="A75" s="206"/>
    </row>
    <row r="76" spans="1:8">
      <c r="A76" s="206"/>
    </row>
    <row r="77" spans="1:8">
      <c r="A77" s="206"/>
    </row>
    <row r="78" spans="1:8">
      <c r="A78" s="206"/>
    </row>
    <row r="79" spans="1:8">
      <c r="A79" s="206"/>
    </row>
    <row r="80" spans="1:8">
      <c r="A80" s="206"/>
    </row>
    <row r="81" spans="1:1">
      <c r="A81" s="206"/>
    </row>
    <row r="82" spans="1:1">
      <c r="A82" s="206"/>
    </row>
    <row r="83" spans="1:1">
      <c r="A83" s="206"/>
    </row>
    <row r="84" spans="1:1">
      <c r="A84" s="206"/>
    </row>
    <row r="85" spans="1:1">
      <c r="A85" s="206"/>
    </row>
    <row r="86" spans="1:1">
      <c r="A86" s="206"/>
    </row>
    <row r="87" spans="1:1">
      <c r="A87" s="206"/>
    </row>
    <row r="88" spans="1:1">
      <c r="A88" s="206"/>
    </row>
    <row r="89" spans="1:1">
      <c r="A89" s="206"/>
    </row>
    <row r="90" spans="1:1">
      <c r="A90" s="206"/>
    </row>
    <row r="91" spans="1:1">
      <c r="A91" s="206"/>
    </row>
    <row r="92" spans="1:1">
      <c r="A92" s="206"/>
    </row>
    <row r="93" spans="1:1">
      <c r="A93" s="206"/>
    </row>
    <row r="94" spans="1:1">
      <c r="A94" s="206"/>
    </row>
    <row r="95" spans="1:1">
      <c r="A95" s="206"/>
    </row>
    <row r="96" spans="1:1">
      <c r="A96" s="206"/>
    </row>
    <row r="97" spans="1:1">
      <c r="A97" s="206"/>
    </row>
    <row r="98" spans="1:1">
      <c r="A98" s="206"/>
    </row>
    <row r="99" spans="1:1">
      <c r="A99" s="206"/>
    </row>
    <row r="100" spans="1:1">
      <c r="A100" s="206"/>
    </row>
    <row r="101" spans="1:1">
      <c r="A101" s="206"/>
    </row>
    <row r="102" spans="1:1">
      <c r="A102" s="206"/>
    </row>
    <row r="103" spans="1:1">
      <c r="A103" s="206"/>
    </row>
    <row r="104" spans="1:1">
      <c r="A104" s="206"/>
    </row>
    <row r="105" spans="1:1">
      <c r="A105" s="206"/>
    </row>
    <row r="106" spans="1:1">
      <c r="A106" s="206"/>
    </row>
    <row r="107" spans="1:1">
      <c r="A107" s="206"/>
    </row>
    <row r="108" spans="1:1">
      <c r="A108" s="206"/>
    </row>
  </sheetData>
  <mergeCells count="2">
    <mergeCell ref="A3:D3"/>
    <mergeCell ref="A4:D4"/>
  </mergeCells>
  <printOptions horizontalCentered="1"/>
  <pageMargins left="0" right="0" top="0.75" bottom="0.25" header="0.5" footer="0.5"/>
  <pageSetup scale="60" orientation="landscape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T112"/>
  <sheetViews>
    <sheetView showGridLines="0" view="pageBreakPreview" zoomScale="85" zoomScaleNormal="80" zoomScaleSheetLayoutView="85" workbookViewId="0"/>
  </sheetViews>
  <sheetFormatPr defaultColWidth="12.5703125" defaultRowHeight="14.25"/>
  <cols>
    <col min="1" max="1" width="4.85546875" style="255" customWidth="1"/>
    <col min="2" max="2" width="2.28515625" style="205" customWidth="1"/>
    <col min="3" max="3" width="30.5703125" style="205" customWidth="1"/>
    <col min="4" max="4" width="17" style="205" customWidth="1"/>
    <col min="5" max="5" width="2.28515625" style="297" customWidth="1"/>
    <col min="6" max="6" width="17.42578125" style="205" customWidth="1"/>
    <col min="7" max="7" width="2.28515625" style="297" customWidth="1"/>
    <col min="8" max="8" width="12.42578125" style="205" bestFit="1" customWidth="1"/>
    <col min="9" max="9" width="2.28515625" style="297" customWidth="1"/>
    <col min="10" max="10" width="18.140625" style="205" customWidth="1"/>
    <col min="11" max="11" width="2.28515625" style="297" customWidth="1"/>
    <col min="12" max="12" width="12.42578125" style="205" customWidth="1"/>
    <col min="13" max="13" width="2.28515625" style="297" customWidth="1"/>
    <col min="14" max="14" width="21.28515625" style="205" customWidth="1"/>
    <col min="15" max="15" width="2.28515625" style="205" customWidth="1"/>
    <col min="16" max="16" width="14.28515625" style="205" bestFit="1" customWidth="1"/>
    <col min="17" max="17" width="2.28515625" style="205" customWidth="1"/>
    <col min="18" max="18" width="16.28515625" style="205" bestFit="1" customWidth="1"/>
    <col min="19" max="19" width="13.5703125" style="205" bestFit="1" customWidth="1"/>
    <col min="20" max="16384" width="12.5703125" style="205"/>
  </cols>
  <sheetData>
    <row r="1" spans="1:20" ht="15.75">
      <c r="A1" s="245" t="s">
        <v>31</v>
      </c>
      <c r="C1" s="245"/>
      <c r="D1" s="210"/>
      <c r="E1" s="254"/>
      <c r="F1" s="210"/>
      <c r="G1" s="254"/>
      <c r="H1" s="336"/>
      <c r="I1" s="336"/>
      <c r="J1" s="254"/>
      <c r="K1" s="254"/>
      <c r="L1" s="304"/>
      <c r="M1" s="336"/>
      <c r="N1" s="210" t="s">
        <v>274</v>
      </c>
      <c r="O1" s="210"/>
      <c r="P1" s="251"/>
      <c r="Q1" s="251"/>
      <c r="R1" s="251"/>
      <c r="S1" s="210"/>
    </row>
    <row r="2" spans="1:20" ht="15">
      <c r="A2" s="242" t="s">
        <v>353</v>
      </c>
      <c r="C2" s="242"/>
      <c r="D2" s="210"/>
      <c r="E2" s="254"/>
      <c r="F2" s="210"/>
      <c r="G2" s="254"/>
      <c r="H2" s="336"/>
      <c r="I2" s="254"/>
      <c r="J2" s="254"/>
      <c r="K2" s="254"/>
      <c r="L2" s="304"/>
      <c r="M2" s="254"/>
      <c r="N2" s="210" t="s">
        <v>352</v>
      </c>
      <c r="O2" s="210"/>
      <c r="P2" s="251"/>
      <c r="Q2" s="251"/>
      <c r="R2" s="251"/>
      <c r="S2" s="210"/>
    </row>
    <row r="3" spans="1:20" ht="15">
      <c r="A3" s="242" t="s">
        <v>351</v>
      </c>
      <c r="C3" s="242"/>
      <c r="D3" s="210"/>
      <c r="E3" s="254"/>
      <c r="F3" s="210"/>
      <c r="G3" s="254"/>
      <c r="H3" s="210"/>
      <c r="I3" s="254"/>
      <c r="J3" s="210"/>
      <c r="K3" s="254"/>
      <c r="L3" s="210"/>
      <c r="M3" s="254"/>
      <c r="N3" s="210"/>
      <c r="O3" s="210"/>
      <c r="P3" s="251"/>
      <c r="Q3" s="251"/>
      <c r="R3" s="251"/>
      <c r="S3" s="210"/>
    </row>
    <row r="4" spans="1:20" ht="15">
      <c r="B4" s="210"/>
      <c r="C4" s="210"/>
      <c r="D4" s="210"/>
      <c r="E4" s="254"/>
      <c r="F4" s="210"/>
      <c r="G4" s="254"/>
      <c r="H4" s="210"/>
      <c r="I4" s="254"/>
      <c r="J4" s="210"/>
      <c r="K4" s="254"/>
      <c r="L4" s="210"/>
      <c r="M4" s="254"/>
      <c r="N4" s="210"/>
      <c r="O4" s="210"/>
      <c r="P4" s="251"/>
      <c r="Q4" s="251"/>
      <c r="R4" s="251"/>
      <c r="S4" s="210"/>
    </row>
    <row r="5" spans="1:20" ht="15">
      <c r="B5" s="210"/>
      <c r="C5" s="210"/>
      <c r="D5" s="303" t="s">
        <v>407</v>
      </c>
      <c r="E5" s="426"/>
      <c r="F5" s="270"/>
      <c r="G5" s="430"/>
      <c r="H5" s="303" t="s">
        <v>408</v>
      </c>
      <c r="I5" s="426"/>
      <c r="J5" s="270"/>
      <c r="K5" s="430"/>
      <c r="L5" s="303" t="s">
        <v>409</v>
      </c>
      <c r="M5" s="426"/>
      <c r="N5" s="270"/>
      <c r="O5" s="302"/>
      <c r="P5" s="251"/>
      <c r="Q5" s="251"/>
      <c r="R5" s="251"/>
      <c r="S5" s="210"/>
      <c r="T5" s="210"/>
    </row>
    <row r="6" spans="1:20" ht="15">
      <c r="B6" s="242" t="s">
        <v>21</v>
      </c>
      <c r="C6" s="206"/>
      <c r="D6" s="206" t="s">
        <v>229</v>
      </c>
      <c r="E6" s="310"/>
      <c r="F6" s="206" t="s">
        <v>249</v>
      </c>
      <c r="G6" s="310"/>
      <c r="H6" s="206" t="s">
        <v>229</v>
      </c>
      <c r="I6" s="310"/>
      <c r="J6" s="206" t="s">
        <v>249</v>
      </c>
      <c r="K6" s="310"/>
      <c r="L6" s="206" t="s">
        <v>229</v>
      </c>
      <c r="M6" s="310"/>
      <c r="N6" s="206" t="s">
        <v>249</v>
      </c>
      <c r="O6" s="206"/>
      <c r="P6" s="251"/>
      <c r="Q6" s="251"/>
      <c r="R6" s="251"/>
      <c r="S6" s="210"/>
    </row>
    <row r="7" spans="1:20" ht="15">
      <c r="B7" s="206"/>
      <c r="C7" s="206"/>
      <c r="D7" s="206"/>
      <c r="E7" s="310"/>
      <c r="F7" s="206"/>
      <c r="G7" s="310"/>
      <c r="H7" s="206"/>
      <c r="I7" s="310"/>
      <c r="J7" s="206"/>
      <c r="K7" s="310"/>
      <c r="L7" s="206"/>
      <c r="M7" s="310"/>
      <c r="N7" s="206"/>
      <c r="O7" s="206"/>
      <c r="P7" s="251"/>
      <c r="Q7" s="251"/>
      <c r="R7" s="251"/>
      <c r="S7" s="210"/>
    </row>
    <row r="8" spans="1:20" ht="15.75">
      <c r="A8" s="255">
        <v>1</v>
      </c>
      <c r="B8" s="208" t="s">
        <v>350</v>
      </c>
      <c r="C8" s="210"/>
      <c r="D8" s="210"/>
      <c r="E8" s="254"/>
      <c r="F8" s="210"/>
      <c r="G8" s="254"/>
      <c r="H8" s="210"/>
      <c r="I8" s="254"/>
      <c r="J8" s="210"/>
      <c r="K8" s="254"/>
      <c r="L8" s="210"/>
      <c r="M8" s="254"/>
      <c r="N8" s="210"/>
      <c r="O8" s="210"/>
      <c r="P8" s="251"/>
      <c r="Q8" s="251"/>
      <c r="R8" s="251"/>
      <c r="S8" s="210"/>
      <c r="T8" s="210"/>
    </row>
    <row r="9" spans="1:20" ht="15">
      <c r="A9" s="255">
        <v>2</v>
      </c>
      <c r="C9" s="210" t="s">
        <v>344</v>
      </c>
      <c r="D9" s="217"/>
      <c r="E9" s="306"/>
      <c r="F9" s="228"/>
      <c r="G9" s="285"/>
      <c r="H9" s="217"/>
      <c r="I9" s="306"/>
      <c r="J9" s="228"/>
      <c r="K9" s="285"/>
      <c r="L9" s="217"/>
      <c r="M9" s="306"/>
      <c r="N9" s="228"/>
      <c r="O9" s="228"/>
      <c r="P9" s="251"/>
      <c r="Q9" s="251"/>
      <c r="R9" s="251"/>
      <c r="S9" s="210"/>
      <c r="T9" s="210"/>
    </row>
    <row r="10" spans="1:20" ht="15">
      <c r="A10" s="255">
        <v>3</v>
      </c>
      <c r="C10" s="210" t="s">
        <v>363</v>
      </c>
      <c r="D10" s="217"/>
      <c r="E10" s="306"/>
      <c r="F10" s="228"/>
      <c r="G10" s="285"/>
      <c r="H10" s="217"/>
      <c r="I10" s="306"/>
      <c r="J10" s="228"/>
      <c r="K10" s="285"/>
      <c r="L10" s="217"/>
      <c r="M10" s="306"/>
      <c r="N10" s="228"/>
      <c r="O10" s="228"/>
      <c r="P10" s="251"/>
      <c r="Q10" s="251"/>
      <c r="R10" s="251"/>
      <c r="S10" s="210"/>
      <c r="T10" s="210"/>
    </row>
    <row r="11" spans="1:20" ht="15">
      <c r="A11" s="255">
        <v>4</v>
      </c>
      <c r="C11" s="210" t="s">
        <v>362</v>
      </c>
      <c r="D11" s="217"/>
      <c r="E11" s="306"/>
      <c r="F11" s="228"/>
      <c r="G11" s="285"/>
      <c r="H11" s="217"/>
      <c r="I11" s="306"/>
      <c r="J11" s="228"/>
      <c r="K11" s="285"/>
      <c r="L11" s="217"/>
      <c r="M11" s="306"/>
      <c r="N11" s="228"/>
      <c r="O11" s="228"/>
      <c r="P11" s="251"/>
      <c r="Q11" s="251"/>
      <c r="R11" s="251"/>
      <c r="S11" s="210"/>
      <c r="T11" s="210"/>
    </row>
    <row r="12" spans="1:20" ht="15">
      <c r="A12" s="255">
        <v>5</v>
      </c>
      <c r="C12" s="210" t="s">
        <v>357</v>
      </c>
      <c r="D12" s="217"/>
      <c r="E12" s="306"/>
      <c r="F12" s="228"/>
      <c r="G12" s="285"/>
      <c r="H12" s="217"/>
      <c r="I12" s="306"/>
      <c r="J12" s="228"/>
      <c r="K12" s="285"/>
      <c r="L12" s="217"/>
      <c r="M12" s="306"/>
      <c r="N12" s="228"/>
      <c r="O12" s="228"/>
      <c r="P12" s="251"/>
      <c r="Q12" s="251"/>
      <c r="R12" s="251"/>
      <c r="S12" s="210"/>
      <c r="T12" s="210"/>
    </row>
    <row r="13" spans="1:20" ht="15">
      <c r="A13" s="255">
        <v>6</v>
      </c>
      <c r="C13" s="210" t="s">
        <v>361</v>
      </c>
      <c r="D13" s="217"/>
      <c r="E13" s="306"/>
      <c r="F13" s="228"/>
      <c r="G13" s="285"/>
      <c r="H13" s="217"/>
      <c r="I13" s="306"/>
      <c r="J13" s="228"/>
      <c r="K13" s="285"/>
      <c r="L13" s="217"/>
      <c r="M13" s="306"/>
      <c r="N13" s="228"/>
      <c r="O13" s="228"/>
      <c r="P13" s="251"/>
      <c r="Q13" s="251"/>
      <c r="R13" s="251"/>
      <c r="S13" s="210"/>
      <c r="T13" s="210"/>
    </row>
    <row r="14" spans="1:20" ht="15">
      <c r="A14" s="255">
        <v>7</v>
      </c>
      <c r="C14" s="210" t="s">
        <v>360</v>
      </c>
      <c r="D14" s="217"/>
      <c r="E14" s="306"/>
      <c r="F14" s="228"/>
      <c r="G14" s="285"/>
      <c r="H14" s="217"/>
      <c r="I14" s="306"/>
      <c r="J14" s="228"/>
      <c r="K14" s="285"/>
      <c r="L14" s="217"/>
      <c r="M14" s="306"/>
      <c r="N14" s="228"/>
      <c r="O14" s="228"/>
      <c r="P14" s="251"/>
      <c r="Q14" s="251"/>
      <c r="R14" s="251"/>
      <c r="S14" s="210"/>
      <c r="T14" s="210"/>
    </row>
    <row r="15" spans="1:20" ht="15">
      <c r="A15" s="255">
        <v>8</v>
      </c>
      <c r="C15" s="210" t="s">
        <v>345</v>
      </c>
      <c r="D15" s="217"/>
      <c r="E15" s="306"/>
      <c r="F15" s="228"/>
      <c r="G15" s="285"/>
      <c r="H15" s="217"/>
      <c r="I15" s="306"/>
      <c r="J15" s="228"/>
      <c r="K15" s="285"/>
      <c r="L15" s="217"/>
      <c r="M15" s="306"/>
      <c r="N15" s="228"/>
      <c r="O15" s="228"/>
      <c r="P15" s="251"/>
      <c r="Q15" s="251"/>
      <c r="R15" s="251"/>
      <c r="S15" s="210"/>
      <c r="T15" s="210"/>
    </row>
    <row r="16" spans="1:20" ht="15">
      <c r="A16" s="255">
        <v>9</v>
      </c>
      <c r="C16" s="210" t="s">
        <v>356</v>
      </c>
      <c r="D16" s="217"/>
      <c r="E16" s="306"/>
      <c r="F16" s="228"/>
      <c r="G16" s="285"/>
      <c r="H16" s="217"/>
      <c r="I16" s="306"/>
      <c r="J16" s="228"/>
      <c r="K16" s="285"/>
      <c r="L16" s="217"/>
      <c r="M16" s="306"/>
      <c r="N16" s="228"/>
      <c r="O16" s="228"/>
      <c r="P16" s="251"/>
      <c r="Q16" s="251"/>
      <c r="R16" s="251"/>
      <c r="S16" s="210"/>
      <c r="T16" s="210"/>
    </row>
    <row r="17" spans="1:20" ht="15">
      <c r="A17" s="255">
        <v>10</v>
      </c>
      <c r="C17" s="210" t="s">
        <v>359</v>
      </c>
      <c r="D17" s="217"/>
      <c r="E17" s="306"/>
      <c r="F17" s="228"/>
      <c r="G17" s="285"/>
      <c r="H17" s="217"/>
      <c r="I17" s="306"/>
      <c r="J17" s="228"/>
      <c r="K17" s="285"/>
      <c r="L17" s="217"/>
      <c r="M17" s="306"/>
      <c r="N17" s="228"/>
      <c r="O17" s="228"/>
      <c r="P17" s="251"/>
      <c r="Q17" s="251"/>
      <c r="R17" s="251"/>
      <c r="S17" s="210"/>
      <c r="T17" s="210"/>
    </row>
    <row r="18" spans="1:20" ht="15">
      <c r="A18" s="255">
        <v>11</v>
      </c>
      <c r="C18" s="210" t="s">
        <v>342</v>
      </c>
      <c r="D18" s="217"/>
      <c r="E18" s="254"/>
      <c r="F18" s="228"/>
      <c r="G18" s="285"/>
      <c r="H18" s="217"/>
      <c r="I18" s="254"/>
      <c r="J18" s="228"/>
      <c r="K18" s="285"/>
      <c r="L18" s="217"/>
      <c r="M18" s="254"/>
      <c r="N18" s="228"/>
      <c r="O18" s="228"/>
      <c r="P18" s="251"/>
      <c r="Q18" s="251"/>
      <c r="R18" s="251"/>
      <c r="S18" s="210"/>
      <c r="T18" s="210"/>
    </row>
    <row r="19" spans="1:20" ht="15">
      <c r="A19" s="255">
        <v>12</v>
      </c>
      <c r="C19" s="210" t="s">
        <v>341</v>
      </c>
      <c r="D19" s="217"/>
      <c r="E19" s="254"/>
      <c r="F19" s="228"/>
      <c r="G19" s="285"/>
      <c r="H19" s="217"/>
      <c r="I19" s="254"/>
      <c r="J19" s="228"/>
      <c r="K19" s="285"/>
      <c r="L19" s="217"/>
      <c r="M19" s="254"/>
      <c r="N19" s="228"/>
      <c r="O19" s="228"/>
      <c r="P19" s="251"/>
      <c r="Q19" s="251"/>
      <c r="R19" s="251"/>
      <c r="S19" s="210"/>
      <c r="T19" s="210"/>
    </row>
    <row r="20" spans="1:20" ht="15">
      <c r="A20" s="255">
        <v>13</v>
      </c>
      <c r="C20" s="210" t="s">
        <v>358</v>
      </c>
      <c r="D20" s="301"/>
      <c r="E20" s="254"/>
      <c r="F20" s="267"/>
      <c r="G20" s="376"/>
      <c r="H20" s="301"/>
      <c r="I20" s="254"/>
      <c r="J20" s="267"/>
      <c r="K20" s="376"/>
      <c r="L20" s="301"/>
      <c r="M20" s="254"/>
      <c r="N20" s="267"/>
      <c r="O20" s="215"/>
      <c r="P20" s="251"/>
      <c r="Q20" s="251"/>
      <c r="R20" s="251"/>
      <c r="S20" s="210"/>
      <c r="T20" s="210"/>
    </row>
    <row r="21" spans="1:20" ht="15">
      <c r="A21" s="255">
        <v>14</v>
      </c>
      <c r="B21" s="210"/>
      <c r="C21" s="210"/>
      <c r="D21" s="217"/>
      <c r="E21" s="306"/>
      <c r="F21" s="228"/>
      <c r="G21" s="285"/>
      <c r="H21" s="217"/>
      <c r="I21" s="306"/>
      <c r="J21" s="228"/>
      <c r="K21" s="285"/>
      <c r="L21" s="217"/>
      <c r="M21" s="306"/>
      <c r="N21" s="228"/>
      <c r="O21" s="228"/>
      <c r="P21" s="251"/>
      <c r="Q21" s="251"/>
      <c r="R21" s="251"/>
      <c r="S21" s="210"/>
      <c r="T21" s="210"/>
    </row>
    <row r="22" spans="1:20" ht="15.75">
      <c r="A22" s="255">
        <v>15</v>
      </c>
      <c r="B22" s="208" t="s">
        <v>349</v>
      </c>
      <c r="C22" s="210"/>
      <c r="D22" s="217">
        <v>433295</v>
      </c>
      <c r="E22" s="254"/>
      <c r="F22" s="230">
        <v>1273244.19</v>
      </c>
      <c r="G22" s="305"/>
      <c r="H22" s="217">
        <v>1220165</v>
      </c>
      <c r="I22" s="254"/>
      <c r="J22" s="230">
        <v>3360086.55</v>
      </c>
      <c r="K22" s="305"/>
      <c r="L22" s="217">
        <v>1296345</v>
      </c>
      <c r="M22" s="254"/>
      <c r="N22" s="230">
        <v>3106051.23</v>
      </c>
      <c r="O22" s="230"/>
      <c r="P22" s="251"/>
      <c r="Q22" s="251"/>
      <c r="R22" s="251"/>
      <c r="S22" s="210"/>
      <c r="T22" s="210"/>
    </row>
    <row r="23" spans="1:20" ht="15.75">
      <c r="A23" s="255">
        <v>16</v>
      </c>
      <c r="B23" s="208"/>
      <c r="C23" s="210"/>
      <c r="D23" s="217"/>
      <c r="E23" s="284"/>
      <c r="F23" s="217"/>
      <c r="G23" s="284"/>
      <c r="H23" s="217"/>
      <c r="I23" s="284"/>
      <c r="J23" s="217"/>
      <c r="K23" s="284"/>
      <c r="L23" s="217"/>
      <c r="M23" s="284"/>
      <c r="N23" s="217"/>
      <c r="O23" s="217"/>
      <c r="P23" s="251"/>
      <c r="Q23" s="251"/>
      <c r="R23" s="251"/>
      <c r="S23" s="210"/>
      <c r="T23" s="210"/>
    </row>
    <row r="24" spans="1:20" ht="15">
      <c r="A24" s="255">
        <v>17</v>
      </c>
      <c r="B24" s="210"/>
      <c r="C24" s="210"/>
      <c r="D24" s="217"/>
      <c r="E24" s="254"/>
      <c r="F24" s="228"/>
      <c r="G24" s="285"/>
      <c r="H24" s="217"/>
      <c r="I24" s="254"/>
      <c r="J24" s="228"/>
      <c r="K24" s="254"/>
      <c r="L24" s="217"/>
      <c r="M24" s="254"/>
      <c r="N24" s="228"/>
      <c r="O24" s="210"/>
      <c r="P24" s="251"/>
      <c r="Q24" s="251"/>
      <c r="R24" s="251"/>
      <c r="S24" s="210"/>
      <c r="T24" s="210"/>
    </row>
    <row r="25" spans="1:20" ht="15.75">
      <c r="A25" s="255">
        <v>18</v>
      </c>
      <c r="B25" s="208" t="s">
        <v>348</v>
      </c>
      <c r="C25" s="210"/>
      <c r="D25" s="210"/>
      <c r="E25" s="254"/>
      <c r="F25" s="210"/>
      <c r="G25" s="254"/>
      <c r="H25" s="210"/>
      <c r="I25" s="254"/>
      <c r="J25" s="210"/>
      <c r="K25" s="254"/>
      <c r="L25" s="210"/>
      <c r="M25" s="254"/>
      <c r="N25" s="210"/>
      <c r="O25" s="210"/>
      <c r="P25" s="251"/>
      <c r="Q25" s="251"/>
      <c r="R25" s="251"/>
      <c r="S25" s="210"/>
      <c r="T25" s="210"/>
    </row>
    <row r="26" spans="1:20" ht="15">
      <c r="A26" s="255">
        <v>19</v>
      </c>
      <c r="C26" s="210" t="s">
        <v>380</v>
      </c>
      <c r="D26" s="217"/>
      <c r="E26" s="306"/>
      <c r="F26" s="228"/>
      <c r="G26" s="285"/>
      <c r="H26" s="217"/>
      <c r="I26" s="306"/>
      <c r="J26" s="228"/>
      <c r="K26" s="285"/>
      <c r="L26" s="217"/>
      <c r="M26" s="306"/>
      <c r="N26" s="228"/>
      <c r="O26" s="228"/>
      <c r="P26" s="251"/>
      <c r="Q26" s="251"/>
      <c r="R26" s="251"/>
      <c r="S26" s="210"/>
      <c r="T26" s="210"/>
    </row>
    <row r="27" spans="1:20" ht="15">
      <c r="A27" s="255">
        <v>20</v>
      </c>
      <c r="C27" s="210" t="s">
        <v>345</v>
      </c>
      <c r="D27" s="217"/>
      <c r="E27" s="306"/>
      <c r="F27" s="228"/>
      <c r="G27" s="254"/>
      <c r="H27" s="217"/>
      <c r="I27" s="306"/>
      <c r="J27" s="228"/>
      <c r="K27" s="254"/>
      <c r="L27" s="217"/>
      <c r="M27" s="306"/>
      <c r="N27" s="228"/>
      <c r="O27" s="210"/>
      <c r="P27" s="251"/>
      <c r="Q27" s="251"/>
      <c r="R27" s="251"/>
      <c r="S27" s="210"/>
      <c r="T27" s="210"/>
    </row>
    <row r="28" spans="1:20" ht="15">
      <c r="A28" s="255">
        <v>21</v>
      </c>
      <c r="C28" s="210" t="s">
        <v>357</v>
      </c>
      <c r="D28" s="217"/>
      <c r="E28" s="306"/>
      <c r="F28" s="228"/>
      <c r="G28" s="285"/>
      <c r="H28" s="217"/>
      <c r="I28" s="306"/>
      <c r="J28" s="228"/>
      <c r="K28" s="285"/>
      <c r="L28" s="217"/>
      <c r="M28" s="306"/>
      <c r="N28" s="228"/>
      <c r="O28" s="228"/>
      <c r="P28" s="251"/>
      <c r="Q28" s="251"/>
      <c r="R28" s="251"/>
      <c r="S28" s="210"/>
      <c r="T28" s="210"/>
    </row>
    <row r="29" spans="1:20" ht="15">
      <c r="A29" s="255">
        <v>22</v>
      </c>
      <c r="C29" s="210" t="s">
        <v>342</v>
      </c>
      <c r="D29" s="217"/>
      <c r="E29" s="306"/>
      <c r="F29" s="228"/>
      <c r="G29" s="285"/>
      <c r="H29" s="217"/>
      <c r="I29" s="306"/>
      <c r="J29" s="228"/>
      <c r="K29" s="285"/>
      <c r="L29" s="217"/>
      <c r="M29" s="306"/>
      <c r="N29" s="228"/>
      <c r="O29" s="228"/>
      <c r="P29" s="251"/>
      <c r="Q29" s="251"/>
      <c r="R29" s="251"/>
      <c r="S29" s="210"/>
      <c r="T29" s="210"/>
    </row>
    <row r="30" spans="1:20" ht="15">
      <c r="A30" s="255">
        <v>23</v>
      </c>
      <c r="C30" s="210" t="s">
        <v>341</v>
      </c>
      <c r="D30" s="210"/>
      <c r="E30" s="254"/>
      <c r="F30" s="228"/>
      <c r="G30" s="285"/>
      <c r="H30" s="210"/>
      <c r="I30" s="254"/>
      <c r="J30" s="228"/>
      <c r="K30" s="285"/>
      <c r="L30" s="210"/>
      <c r="M30" s="254"/>
      <c r="N30" s="228"/>
      <c r="O30" s="228"/>
      <c r="P30" s="251"/>
      <c r="Q30" s="251"/>
      <c r="R30" s="251"/>
      <c r="S30" s="210"/>
      <c r="T30" s="210"/>
    </row>
    <row r="31" spans="1:20" ht="15">
      <c r="A31" s="255">
        <v>24</v>
      </c>
      <c r="C31" s="210" t="s">
        <v>354</v>
      </c>
      <c r="D31" s="301"/>
      <c r="E31" s="254"/>
      <c r="F31" s="267"/>
      <c r="G31" s="254"/>
      <c r="H31" s="301"/>
      <c r="I31" s="254"/>
      <c r="J31" s="267"/>
      <c r="K31" s="254"/>
      <c r="L31" s="301"/>
      <c r="M31" s="254"/>
      <c r="N31" s="267"/>
      <c r="O31" s="210"/>
      <c r="P31" s="251"/>
      <c r="Q31" s="251"/>
      <c r="R31" s="251"/>
      <c r="S31" s="210"/>
      <c r="T31" s="210"/>
    </row>
    <row r="32" spans="1:20" ht="15">
      <c r="A32" s="255">
        <v>25</v>
      </c>
      <c r="B32" s="210"/>
      <c r="C32" s="210"/>
      <c r="D32" s="217"/>
      <c r="E32" s="306"/>
      <c r="F32" s="228"/>
      <c r="G32" s="285"/>
      <c r="H32" s="217"/>
      <c r="I32" s="306"/>
      <c r="J32" s="228"/>
      <c r="K32" s="285"/>
      <c r="L32" s="217"/>
      <c r="M32" s="306"/>
      <c r="N32" s="228"/>
      <c r="O32" s="228"/>
      <c r="P32" s="251"/>
      <c r="Q32" s="251"/>
      <c r="R32" s="251"/>
      <c r="S32" s="210"/>
      <c r="T32" s="210"/>
    </row>
    <row r="33" spans="1:20" ht="15.75">
      <c r="A33" s="255">
        <v>26</v>
      </c>
      <c r="B33" s="208" t="s">
        <v>61</v>
      </c>
      <c r="C33" s="210"/>
      <c r="D33" s="217">
        <v>40156</v>
      </c>
      <c r="E33" s="254"/>
      <c r="F33" s="230">
        <v>126670.02</v>
      </c>
      <c r="G33" s="284"/>
      <c r="H33" s="217">
        <v>142353</v>
      </c>
      <c r="I33" s="254"/>
      <c r="J33" s="230">
        <v>422149.92</v>
      </c>
      <c r="K33" s="305"/>
      <c r="L33" s="217">
        <v>146809</v>
      </c>
      <c r="M33" s="254"/>
      <c r="N33" s="230">
        <v>376826.89</v>
      </c>
      <c r="O33" s="230"/>
      <c r="P33" s="251"/>
      <c r="Q33" s="251"/>
      <c r="R33" s="251"/>
      <c r="S33" s="210"/>
    </row>
    <row r="34" spans="1:20" ht="15.75">
      <c r="A34" s="255">
        <v>27</v>
      </c>
      <c r="B34" s="208"/>
      <c r="C34" s="210"/>
      <c r="D34" s="217"/>
      <c r="E34" s="254"/>
      <c r="F34" s="210"/>
      <c r="G34" s="254"/>
      <c r="H34" s="217"/>
      <c r="I34" s="254"/>
      <c r="J34" s="210"/>
      <c r="K34" s="254"/>
      <c r="L34" s="217"/>
      <c r="M34" s="254"/>
      <c r="N34" s="210"/>
      <c r="O34" s="210"/>
      <c r="P34" s="251"/>
      <c r="Q34" s="251"/>
      <c r="R34" s="251"/>
      <c r="S34" s="210"/>
    </row>
    <row r="35" spans="1:20" ht="15.75">
      <c r="A35" s="255">
        <v>28</v>
      </c>
      <c r="B35" s="208"/>
      <c r="C35" s="210"/>
      <c r="D35" s="228"/>
      <c r="E35" s="285"/>
      <c r="F35" s="210"/>
      <c r="G35" s="254"/>
      <c r="H35" s="228"/>
      <c r="I35" s="285"/>
      <c r="J35" s="210"/>
      <c r="K35" s="254"/>
      <c r="L35" s="228"/>
      <c r="M35" s="285"/>
      <c r="N35" s="210"/>
      <c r="O35" s="210"/>
      <c r="P35" s="251"/>
      <c r="Q35" s="251"/>
      <c r="R35" s="251"/>
      <c r="S35" s="210"/>
    </row>
    <row r="36" spans="1:20" ht="15.75">
      <c r="A36" s="255">
        <v>29</v>
      </c>
      <c r="B36" s="208" t="s">
        <v>174</v>
      </c>
      <c r="C36" s="210"/>
      <c r="D36" s="210"/>
      <c r="E36" s="254"/>
      <c r="F36" s="210"/>
      <c r="G36" s="254"/>
      <c r="H36" s="210"/>
      <c r="I36" s="254"/>
      <c r="J36" s="210"/>
      <c r="K36" s="254"/>
      <c r="L36" s="210"/>
      <c r="M36" s="254"/>
      <c r="N36" s="210"/>
      <c r="O36" s="210"/>
      <c r="P36" s="251"/>
      <c r="Q36" s="251"/>
      <c r="R36" s="251"/>
      <c r="S36" s="210"/>
      <c r="T36" s="210"/>
    </row>
    <row r="37" spans="1:20" ht="15">
      <c r="A37" s="255">
        <v>30</v>
      </c>
      <c r="C37" s="210" t="s">
        <v>345</v>
      </c>
      <c r="D37" s="217"/>
      <c r="E37" s="306"/>
      <c r="F37" s="228"/>
      <c r="G37" s="285"/>
      <c r="H37" s="217"/>
      <c r="I37" s="306"/>
      <c r="J37" s="228"/>
      <c r="K37" s="285"/>
      <c r="L37" s="217"/>
      <c r="M37" s="306"/>
      <c r="N37" s="228"/>
      <c r="O37" s="228"/>
      <c r="P37" s="251"/>
      <c r="Q37" s="251"/>
      <c r="R37" s="251"/>
      <c r="S37" s="210"/>
      <c r="T37" s="210"/>
    </row>
    <row r="38" spans="1:20" ht="15">
      <c r="A38" s="255">
        <v>31</v>
      </c>
      <c r="C38" s="210" t="s">
        <v>356</v>
      </c>
      <c r="D38" s="217"/>
      <c r="E38" s="306"/>
      <c r="F38" s="228"/>
      <c r="G38" s="285"/>
      <c r="H38" s="217"/>
      <c r="I38" s="306"/>
      <c r="J38" s="228"/>
      <c r="K38" s="285"/>
      <c r="L38" s="217"/>
      <c r="M38" s="306"/>
      <c r="N38" s="228"/>
      <c r="O38" s="228"/>
      <c r="P38" s="251"/>
      <c r="Q38" s="251"/>
      <c r="R38" s="251"/>
      <c r="S38" s="210"/>
      <c r="T38" s="210"/>
    </row>
    <row r="39" spans="1:20" ht="15">
      <c r="A39" s="255">
        <v>32</v>
      </c>
      <c r="C39" s="210" t="s">
        <v>342</v>
      </c>
      <c r="D39" s="217"/>
      <c r="E39" s="306"/>
      <c r="F39" s="228"/>
      <c r="G39" s="285"/>
      <c r="H39" s="217"/>
      <c r="I39" s="306"/>
      <c r="J39" s="228"/>
      <c r="K39" s="285"/>
      <c r="L39" s="217"/>
      <c r="M39" s="306"/>
      <c r="N39" s="228"/>
      <c r="O39" s="228"/>
      <c r="P39" s="251"/>
      <c r="Q39" s="251"/>
      <c r="R39" s="251"/>
      <c r="S39" s="210"/>
      <c r="T39" s="210"/>
    </row>
    <row r="40" spans="1:20" ht="15">
      <c r="A40" s="255">
        <v>33</v>
      </c>
      <c r="C40" s="210" t="s">
        <v>341</v>
      </c>
      <c r="D40" s="210"/>
      <c r="E40" s="254"/>
      <c r="F40" s="228"/>
      <c r="G40" s="285"/>
      <c r="H40" s="210"/>
      <c r="I40" s="254"/>
      <c r="J40" s="228"/>
      <c r="K40" s="285"/>
      <c r="L40" s="210"/>
      <c r="M40" s="254"/>
      <c r="N40" s="228"/>
      <c r="O40" s="228"/>
      <c r="P40" s="251"/>
      <c r="Q40" s="251"/>
      <c r="R40" s="251"/>
      <c r="S40" s="210"/>
      <c r="T40" s="210"/>
    </row>
    <row r="41" spans="1:20" ht="15">
      <c r="A41" s="255">
        <v>34</v>
      </c>
      <c r="C41" s="210" t="s">
        <v>354</v>
      </c>
      <c r="D41" s="301"/>
      <c r="E41" s="254"/>
      <c r="F41" s="267"/>
      <c r="G41" s="254"/>
      <c r="H41" s="301"/>
      <c r="I41" s="254"/>
      <c r="J41" s="267"/>
      <c r="K41" s="254"/>
      <c r="L41" s="301"/>
      <c r="M41" s="254"/>
      <c r="N41" s="267"/>
      <c r="O41" s="210"/>
      <c r="P41" s="251"/>
      <c r="Q41" s="251"/>
      <c r="R41" s="251"/>
      <c r="S41" s="210"/>
      <c r="T41" s="210"/>
    </row>
    <row r="42" spans="1:20" ht="15">
      <c r="A42" s="255">
        <v>35</v>
      </c>
      <c r="B42" s="210"/>
      <c r="C42" s="210"/>
      <c r="D42" s="217"/>
      <c r="E42" s="306"/>
      <c r="F42" s="228"/>
      <c r="G42" s="285"/>
      <c r="H42" s="217"/>
      <c r="I42" s="306"/>
      <c r="J42" s="228"/>
      <c r="K42" s="285"/>
      <c r="L42" s="217"/>
      <c r="M42" s="306"/>
      <c r="N42" s="228"/>
      <c r="O42" s="228"/>
      <c r="P42" s="251"/>
      <c r="Q42" s="251"/>
      <c r="R42" s="251"/>
      <c r="S42" s="210"/>
      <c r="T42" s="210"/>
    </row>
    <row r="43" spans="1:20" ht="15.75">
      <c r="A43" s="255">
        <v>36</v>
      </c>
      <c r="B43" s="208" t="s">
        <v>61</v>
      </c>
      <c r="C43" s="210"/>
      <c r="D43" s="217">
        <v>184</v>
      </c>
      <c r="E43" s="254"/>
      <c r="F43" s="230">
        <v>505.9</v>
      </c>
      <c r="G43" s="284"/>
      <c r="H43" s="217">
        <v>13</v>
      </c>
      <c r="I43" s="254"/>
      <c r="J43" s="230">
        <v>33.76</v>
      </c>
      <c r="K43" s="305"/>
      <c r="L43" s="217">
        <v>369</v>
      </c>
      <c r="M43" s="254"/>
      <c r="N43" s="230">
        <v>987.45</v>
      </c>
      <c r="O43" s="230"/>
      <c r="P43" s="251"/>
      <c r="Q43" s="251"/>
      <c r="R43" s="251"/>
      <c r="S43" s="210"/>
    </row>
    <row r="44" spans="1:20" ht="15.75">
      <c r="A44" s="255">
        <v>37</v>
      </c>
      <c r="B44" s="208"/>
      <c r="C44" s="210"/>
      <c r="D44" s="217"/>
      <c r="E44" s="254"/>
      <c r="F44" s="210"/>
      <c r="G44" s="254"/>
      <c r="H44" s="217"/>
      <c r="I44" s="254"/>
      <c r="J44" s="210"/>
      <c r="K44" s="254"/>
      <c r="L44" s="217"/>
      <c r="M44" s="254"/>
      <c r="N44" s="210"/>
      <c r="O44" s="210"/>
      <c r="P44" s="251"/>
      <c r="Q44" s="251"/>
      <c r="R44" s="251"/>
      <c r="S44" s="210"/>
    </row>
    <row r="45" spans="1:20" ht="15.75">
      <c r="A45" s="255">
        <v>38</v>
      </c>
      <c r="B45" s="208"/>
      <c r="C45" s="210"/>
      <c r="D45" s="228"/>
      <c r="E45" s="285"/>
      <c r="F45" s="210"/>
      <c r="G45" s="254"/>
      <c r="H45" s="228"/>
      <c r="I45" s="285"/>
      <c r="J45" s="210"/>
      <c r="K45" s="254"/>
      <c r="L45" s="228"/>
      <c r="M45" s="285"/>
      <c r="N45" s="210"/>
      <c r="O45" s="210"/>
      <c r="P45" s="251"/>
      <c r="Q45" s="251"/>
      <c r="R45" s="251"/>
      <c r="S45" s="210"/>
    </row>
    <row r="46" spans="1:20" ht="15.75">
      <c r="A46" s="255">
        <v>39</v>
      </c>
      <c r="B46" s="208" t="s">
        <v>347</v>
      </c>
      <c r="C46" s="210"/>
      <c r="D46" s="210"/>
      <c r="E46" s="254"/>
      <c r="F46" s="210"/>
      <c r="G46" s="254"/>
      <c r="H46" s="210"/>
      <c r="I46" s="254"/>
      <c r="J46" s="210"/>
      <c r="K46" s="254"/>
      <c r="L46" s="210"/>
      <c r="M46" s="254"/>
      <c r="N46" s="210"/>
      <c r="O46" s="210"/>
      <c r="P46" s="251"/>
      <c r="Q46" s="251"/>
      <c r="R46" s="251"/>
      <c r="S46" s="210"/>
      <c r="T46" s="210"/>
    </row>
    <row r="47" spans="1:20" ht="15">
      <c r="A47" s="255">
        <v>40</v>
      </c>
      <c r="C47" s="210" t="s">
        <v>345</v>
      </c>
      <c r="D47" s="217"/>
      <c r="E47" s="306"/>
      <c r="F47" s="228"/>
      <c r="G47" s="285"/>
      <c r="H47" s="217"/>
      <c r="I47" s="306"/>
      <c r="J47" s="228"/>
      <c r="K47" s="285"/>
      <c r="L47" s="217"/>
      <c r="M47" s="306"/>
      <c r="N47" s="228"/>
      <c r="O47" s="228"/>
      <c r="P47" s="251"/>
      <c r="Q47" s="251"/>
      <c r="R47" s="251"/>
      <c r="S47" s="210"/>
      <c r="T47" s="210"/>
    </row>
    <row r="48" spans="1:20" ht="15">
      <c r="A48" s="255">
        <v>41</v>
      </c>
      <c r="C48" s="210" t="s">
        <v>355</v>
      </c>
      <c r="D48" s="217"/>
      <c r="E48" s="306"/>
      <c r="F48" s="228"/>
      <c r="G48" s="285"/>
      <c r="H48" s="217"/>
      <c r="I48" s="306"/>
      <c r="J48" s="228"/>
      <c r="K48" s="285"/>
      <c r="L48" s="217"/>
      <c r="M48" s="306"/>
      <c r="N48" s="228"/>
      <c r="O48" s="228"/>
      <c r="P48" s="251"/>
      <c r="Q48" s="251"/>
      <c r="R48" s="251"/>
      <c r="S48" s="210"/>
      <c r="T48" s="210"/>
    </row>
    <row r="49" spans="1:20" ht="15">
      <c r="A49" s="255">
        <v>42</v>
      </c>
      <c r="C49" s="210" t="s">
        <v>343</v>
      </c>
      <c r="D49" s="217"/>
      <c r="E49" s="306"/>
      <c r="F49" s="228"/>
      <c r="G49" s="285"/>
      <c r="H49" s="217"/>
      <c r="I49" s="306"/>
      <c r="J49" s="228"/>
      <c r="K49" s="285"/>
      <c r="L49" s="217"/>
      <c r="M49" s="306"/>
      <c r="N49" s="228"/>
      <c r="O49" s="228"/>
      <c r="P49" s="251"/>
      <c r="Q49" s="251"/>
      <c r="R49" s="251"/>
      <c r="S49" s="210"/>
      <c r="T49" s="210"/>
    </row>
    <row r="50" spans="1:20" ht="15">
      <c r="A50" s="255">
        <v>43</v>
      </c>
      <c r="C50" s="210" t="s">
        <v>342</v>
      </c>
      <c r="D50" s="217"/>
      <c r="E50" s="306"/>
      <c r="F50" s="228"/>
      <c r="G50" s="285"/>
      <c r="H50" s="217"/>
      <c r="I50" s="306"/>
      <c r="J50" s="228"/>
      <c r="K50" s="285"/>
      <c r="L50" s="217"/>
      <c r="M50" s="306"/>
      <c r="N50" s="228"/>
      <c r="O50" s="228"/>
      <c r="P50" s="251"/>
      <c r="Q50" s="251"/>
      <c r="R50" s="251"/>
      <c r="S50" s="210"/>
      <c r="T50" s="210"/>
    </row>
    <row r="51" spans="1:20" ht="15">
      <c r="A51" s="255">
        <v>44</v>
      </c>
      <c r="C51" s="210" t="s">
        <v>341</v>
      </c>
      <c r="D51" s="210"/>
      <c r="E51" s="254"/>
      <c r="F51" s="228"/>
      <c r="G51" s="285"/>
      <c r="H51" s="210"/>
      <c r="I51" s="254"/>
      <c r="J51" s="228"/>
      <c r="K51" s="285"/>
      <c r="L51" s="210"/>
      <c r="M51" s="254"/>
      <c r="N51" s="228"/>
      <c r="O51" s="228"/>
      <c r="P51" s="251"/>
      <c r="Q51" s="251"/>
      <c r="R51" s="251"/>
      <c r="S51" s="210"/>
      <c r="T51" s="210"/>
    </row>
    <row r="52" spans="1:20" ht="15">
      <c r="A52" s="255">
        <v>45</v>
      </c>
      <c r="C52" s="210" t="s">
        <v>354</v>
      </c>
      <c r="D52" s="301"/>
      <c r="E52" s="254"/>
      <c r="F52" s="267"/>
      <c r="G52" s="254"/>
      <c r="H52" s="301"/>
      <c r="I52" s="254"/>
      <c r="J52" s="267"/>
      <c r="K52" s="254"/>
      <c r="L52" s="301"/>
      <c r="M52" s="254"/>
      <c r="N52" s="267"/>
      <c r="O52" s="210"/>
      <c r="P52" s="251"/>
      <c r="Q52" s="251"/>
      <c r="R52" s="251"/>
      <c r="S52" s="210"/>
      <c r="T52" s="210"/>
    </row>
    <row r="53" spans="1:20" ht="15">
      <c r="A53" s="255">
        <v>46</v>
      </c>
      <c r="B53" s="210"/>
      <c r="C53" s="210"/>
      <c r="D53" s="217"/>
      <c r="E53" s="306"/>
      <c r="F53" s="228"/>
      <c r="G53" s="285"/>
      <c r="H53" s="217"/>
      <c r="I53" s="306"/>
      <c r="J53" s="228"/>
      <c r="K53" s="285"/>
      <c r="L53" s="217"/>
      <c r="M53" s="306"/>
      <c r="N53" s="228"/>
      <c r="O53" s="228"/>
      <c r="P53" s="251"/>
      <c r="Q53" s="251"/>
      <c r="R53" s="251"/>
      <c r="S53" s="210"/>
      <c r="T53" s="210"/>
    </row>
    <row r="54" spans="1:20" ht="15.75">
      <c r="A54" s="255">
        <v>47</v>
      </c>
      <c r="B54" s="208" t="s">
        <v>61</v>
      </c>
      <c r="C54" s="210"/>
      <c r="D54" s="217">
        <v>-291</v>
      </c>
      <c r="E54" s="254"/>
      <c r="F54" s="230">
        <v>-781.61</v>
      </c>
      <c r="G54" s="284"/>
      <c r="H54" s="217">
        <v>-362</v>
      </c>
      <c r="I54" s="254"/>
      <c r="J54" s="230">
        <v>-955.3</v>
      </c>
      <c r="K54" s="305"/>
      <c r="L54" s="217">
        <v>-132</v>
      </c>
      <c r="M54" s="254"/>
      <c r="N54" s="230">
        <v>-359.76</v>
      </c>
      <c r="O54" s="230"/>
      <c r="P54" s="251"/>
      <c r="Q54" s="251"/>
      <c r="R54" s="251"/>
      <c r="S54" s="210"/>
    </row>
    <row r="55" spans="1:20" ht="15.75">
      <c r="A55" s="255">
        <v>48</v>
      </c>
      <c r="B55" s="208"/>
      <c r="C55" s="210"/>
      <c r="D55" s="217"/>
      <c r="E55" s="254"/>
      <c r="F55" s="210"/>
      <c r="G55" s="254"/>
      <c r="H55" s="217"/>
      <c r="I55" s="254"/>
      <c r="J55" s="210"/>
      <c r="K55" s="254"/>
      <c r="L55" s="217"/>
      <c r="M55" s="254"/>
      <c r="N55" s="210"/>
      <c r="O55" s="210"/>
      <c r="P55" s="251"/>
      <c r="Q55" s="251"/>
      <c r="R55" s="251"/>
      <c r="S55" s="210"/>
    </row>
    <row r="56" spans="1:20" ht="15.75">
      <c r="A56" s="255">
        <v>49</v>
      </c>
      <c r="B56" s="208"/>
      <c r="C56" s="210"/>
      <c r="D56" s="228"/>
      <c r="E56" s="285"/>
      <c r="F56" s="210"/>
      <c r="G56" s="254"/>
      <c r="H56" s="228"/>
      <c r="I56" s="285"/>
      <c r="J56" s="210"/>
      <c r="K56" s="254"/>
      <c r="L56" s="228"/>
      <c r="M56" s="285"/>
      <c r="N56" s="210"/>
      <c r="O56" s="210"/>
      <c r="P56" s="251"/>
      <c r="Q56" s="251"/>
      <c r="R56" s="251"/>
      <c r="S56" s="210"/>
    </row>
    <row r="57" spans="1:20" ht="15.75">
      <c r="A57" s="255">
        <v>50</v>
      </c>
      <c r="B57" s="208" t="s">
        <v>346</v>
      </c>
      <c r="C57" s="210"/>
      <c r="D57" s="228"/>
      <c r="E57" s="285"/>
      <c r="F57" s="210"/>
      <c r="G57" s="254"/>
      <c r="H57" s="228"/>
      <c r="I57" s="285"/>
      <c r="J57" s="210"/>
      <c r="K57" s="254"/>
      <c r="L57" s="228"/>
      <c r="M57" s="285"/>
      <c r="N57" s="210"/>
      <c r="O57" s="210"/>
      <c r="P57" s="251"/>
      <c r="Q57" s="251"/>
      <c r="R57" s="251"/>
      <c r="S57" s="210"/>
    </row>
    <row r="58" spans="1:20" ht="15">
      <c r="A58" s="255">
        <v>51</v>
      </c>
      <c r="C58" s="210" t="s">
        <v>345</v>
      </c>
      <c r="D58" s="228"/>
      <c r="E58" s="285"/>
      <c r="F58" s="210"/>
      <c r="G58" s="254"/>
      <c r="H58" s="228"/>
      <c r="I58" s="285"/>
      <c r="J58" s="210"/>
      <c r="K58" s="254"/>
      <c r="L58" s="228"/>
      <c r="M58" s="285"/>
      <c r="N58" s="210"/>
      <c r="O58" s="210"/>
      <c r="P58" s="251"/>
      <c r="Q58" s="251"/>
      <c r="R58" s="251"/>
      <c r="S58" s="210"/>
    </row>
    <row r="59" spans="1:20" ht="15.75">
      <c r="A59" s="255">
        <v>52</v>
      </c>
      <c r="B59" s="208"/>
      <c r="C59" s="210" t="s">
        <v>344</v>
      </c>
      <c r="D59" s="228"/>
      <c r="E59" s="285"/>
      <c r="F59" s="210"/>
      <c r="G59" s="254"/>
      <c r="H59" s="228"/>
      <c r="I59" s="285"/>
      <c r="J59" s="210"/>
      <c r="K59" s="254"/>
      <c r="L59" s="228"/>
      <c r="M59" s="285"/>
      <c r="N59" s="210"/>
      <c r="O59" s="210"/>
      <c r="P59" s="251"/>
      <c r="Q59" s="251"/>
      <c r="R59" s="251"/>
      <c r="S59" s="210"/>
    </row>
    <row r="60" spans="1:20" ht="15.75">
      <c r="A60" s="255">
        <v>53</v>
      </c>
      <c r="B60" s="208"/>
      <c r="C60" s="210" t="s">
        <v>343</v>
      </c>
      <c r="D60" s="228"/>
      <c r="E60" s="285"/>
      <c r="F60" s="210"/>
      <c r="G60" s="254"/>
      <c r="H60" s="228"/>
      <c r="I60" s="285"/>
      <c r="J60" s="210"/>
      <c r="K60" s="254"/>
      <c r="L60" s="228"/>
      <c r="M60" s="285"/>
      <c r="N60" s="210"/>
      <c r="O60" s="210"/>
      <c r="P60" s="251"/>
      <c r="Q60" s="251"/>
      <c r="R60" s="251"/>
      <c r="S60" s="210"/>
    </row>
    <row r="61" spans="1:20" ht="15.75">
      <c r="A61" s="255">
        <v>54</v>
      </c>
      <c r="B61" s="208"/>
      <c r="C61" s="210" t="s">
        <v>342</v>
      </c>
      <c r="D61" s="228"/>
      <c r="E61" s="285"/>
      <c r="F61" s="210"/>
      <c r="G61" s="254"/>
      <c r="H61" s="228"/>
      <c r="I61" s="285"/>
      <c r="J61" s="210"/>
      <c r="K61" s="254"/>
      <c r="L61" s="228"/>
      <c r="M61" s="285"/>
      <c r="N61" s="210"/>
      <c r="O61" s="210"/>
      <c r="P61" s="251"/>
      <c r="Q61" s="251"/>
      <c r="R61" s="251"/>
      <c r="S61" s="210"/>
    </row>
    <row r="62" spans="1:20" ht="15.75">
      <c r="A62" s="255">
        <v>55</v>
      </c>
      <c r="B62" s="208"/>
      <c r="C62" s="210" t="s">
        <v>341</v>
      </c>
      <c r="D62" s="228"/>
      <c r="E62" s="285"/>
      <c r="F62" s="210"/>
      <c r="G62" s="254"/>
      <c r="H62" s="228"/>
      <c r="I62" s="285"/>
      <c r="J62" s="210"/>
      <c r="K62" s="254"/>
      <c r="L62" s="228"/>
      <c r="M62" s="285"/>
      <c r="N62" s="210"/>
      <c r="O62" s="210"/>
      <c r="P62" s="251"/>
      <c r="Q62" s="251"/>
      <c r="R62" s="251"/>
      <c r="S62" s="210"/>
    </row>
    <row r="63" spans="1:20" ht="15">
      <c r="A63" s="255">
        <v>56</v>
      </c>
      <c r="C63" s="210" t="s">
        <v>354</v>
      </c>
      <c r="D63" s="301"/>
      <c r="E63" s="254"/>
      <c r="F63" s="267"/>
      <c r="G63" s="254"/>
      <c r="H63" s="301"/>
      <c r="I63" s="254"/>
      <c r="J63" s="267"/>
      <c r="K63" s="254"/>
      <c r="L63" s="301"/>
      <c r="M63" s="254"/>
      <c r="N63" s="267"/>
      <c r="O63" s="210"/>
      <c r="P63" s="251"/>
      <c r="Q63" s="251"/>
      <c r="R63" s="251"/>
      <c r="S63" s="210"/>
      <c r="T63" s="210"/>
    </row>
    <row r="64" spans="1:20" ht="15.75">
      <c r="A64" s="255">
        <v>57</v>
      </c>
      <c r="B64" s="208"/>
      <c r="C64" s="210"/>
      <c r="D64" s="228"/>
      <c r="E64" s="285"/>
      <c r="F64" s="210"/>
      <c r="G64" s="254"/>
      <c r="H64" s="228"/>
      <c r="I64" s="285"/>
      <c r="J64" s="210"/>
      <c r="K64" s="254"/>
      <c r="L64" s="228"/>
      <c r="M64" s="285"/>
      <c r="N64" s="210"/>
      <c r="O64" s="210"/>
      <c r="P64" s="251"/>
      <c r="Q64" s="251"/>
      <c r="R64" s="251"/>
      <c r="S64" s="210"/>
    </row>
    <row r="65" spans="1:19" ht="15.75">
      <c r="A65" s="255">
        <v>58</v>
      </c>
      <c r="B65" s="208" t="s">
        <v>61</v>
      </c>
      <c r="C65" s="210"/>
      <c r="D65" s="217">
        <v>0</v>
      </c>
      <c r="E65" s="285"/>
      <c r="F65" s="230">
        <v>-103.75</v>
      </c>
      <c r="G65" s="254"/>
      <c r="H65" s="217">
        <v>0</v>
      </c>
      <c r="I65" s="285"/>
      <c r="J65" s="230">
        <v>-34.380000000000003</v>
      </c>
      <c r="K65" s="254"/>
      <c r="L65" s="217">
        <v>0</v>
      </c>
      <c r="M65" s="285"/>
      <c r="N65" s="230">
        <v>-105.78</v>
      </c>
      <c r="O65" s="210"/>
      <c r="P65" s="251"/>
      <c r="Q65" s="251"/>
      <c r="R65" s="251"/>
      <c r="S65" s="210"/>
    </row>
    <row r="66" spans="1:19" ht="15.75">
      <c r="A66" s="255">
        <v>59</v>
      </c>
      <c r="B66" s="208"/>
      <c r="C66" s="210"/>
      <c r="D66" s="228"/>
      <c r="E66" s="285"/>
      <c r="F66" s="210"/>
      <c r="G66" s="254"/>
      <c r="H66" s="228"/>
      <c r="I66" s="285"/>
      <c r="J66" s="210"/>
      <c r="K66" s="254"/>
      <c r="L66" s="228"/>
      <c r="M66" s="285"/>
      <c r="N66" s="210"/>
      <c r="O66" s="210"/>
      <c r="P66" s="251"/>
      <c r="Q66" s="251"/>
      <c r="R66" s="251"/>
      <c r="S66" s="210"/>
    </row>
    <row r="67" spans="1:19" ht="15.75">
      <c r="A67" s="255">
        <v>60</v>
      </c>
      <c r="B67" s="208"/>
      <c r="C67" s="210"/>
      <c r="D67" s="228"/>
      <c r="E67" s="285"/>
      <c r="F67" s="210"/>
      <c r="G67" s="254"/>
      <c r="H67" s="228"/>
      <c r="I67" s="285"/>
      <c r="J67" s="210"/>
      <c r="K67" s="254"/>
      <c r="L67" s="228"/>
      <c r="M67" s="285"/>
      <c r="N67" s="210"/>
      <c r="O67" s="210"/>
      <c r="P67" s="251"/>
      <c r="Q67" s="251"/>
      <c r="R67" s="251"/>
      <c r="S67" s="210"/>
    </row>
    <row r="68" spans="1:19" ht="15.75">
      <c r="A68" s="255">
        <v>61</v>
      </c>
      <c r="B68" s="245" t="s">
        <v>340</v>
      </c>
      <c r="C68" s="206"/>
      <c r="D68" s="228"/>
      <c r="E68" s="285"/>
      <c r="F68" s="210"/>
      <c r="G68" s="254"/>
      <c r="H68" s="228"/>
      <c r="I68" s="285"/>
      <c r="J68" s="210"/>
      <c r="K68" s="254"/>
      <c r="L68" s="228"/>
      <c r="M68" s="285"/>
      <c r="N68" s="210"/>
      <c r="O68" s="210"/>
      <c r="P68" s="251"/>
      <c r="Q68" s="251"/>
      <c r="R68" s="251"/>
      <c r="S68" s="210"/>
    </row>
    <row r="69" spans="1:19" ht="15">
      <c r="A69" s="255">
        <v>62</v>
      </c>
      <c r="C69" s="210" t="s">
        <v>61</v>
      </c>
      <c r="D69" s="217">
        <v>473344</v>
      </c>
      <c r="E69" s="254"/>
      <c r="F69" s="230">
        <v>1399534.7499999998</v>
      </c>
      <c r="G69" s="305"/>
      <c r="H69" s="217">
        <v>1362169</v>
      </c>
      <c r="I69" s="254"/>
      <c r="J69" s="230">
        <v>3781280.55</v>
      </c>
      <c r="K69" s="305"/>
      <c r="L69" s="217">
        <v>1443391</v>
      </c>
      <c r="M69" s="254"/>
      <c r="N69" s="230">
        <v>3483400.0300000007</v>
      </c>
      <c r="O69" s="230"/>
      <c r="P69" s="251"/>
      <c r="Q69" s="251"/>
      <c r="R69" s="321"/>
      <c r="S69" s="210"/>
    </row>
    <row r="70" spans="1:19" ht="15">
      <c r="A70" s="255">
        <v>63</v>
      </c>
      <c r="C70" s="210"/>
      <c r="D70" s="217"/>
      <c r="E70" s="254"/>
      <c r="F70" s="217"/>
      <c r="G70" s="284"/>
      <c r="H70" s="217"/>
      <c r="I70" s="254"/>
      <c r="J70" s="217"/>
      <c r="K70" s="284"/>
      <c r="L70" s="217"/>
      <c r="M70" s="254"/>
      <c r="N70" s="217"/>
      <c r="O70" s="217"/>
      <c r="P70" s="251"/>
      <c r="Q70" s="251"/>
      <c r="R70" s="251"/>
      <c r="S70" s="210"/>
    </row>
    <row r="71" spans="1:19" ht="15">
      <c r="A71" s="255">
        <v>64</v>
      </c>
      <c r="B71" s="210"/>
      <c r="C71" s="210"/>
      <c r="D71" s="210"/>
      <c r="E71" s="254"/>
      <c r="F71" s="210"/>
      <c r="G71" s="254"/>
      <c r="H71" s="217"/>
      <c r="I71" s="254"/>
      <c r="J71" s="210" t="s">
        <v>339</v>
      </c>
      <c r="K71" s="254"/>
      <c r="L71" s="210"/>
      <c r="M71" s="254"/>
      <c r="N71" s="210"/>
      <c r="O71" s="210"/>
      <c r="P71" s="251"/>
      <c r="Q71" s="251"/>
      <c r="R71" s="251"/>
      <c r="S71" s="210"/>
    </row>
    <row r="72" spans="1:19" ht="15">
      <c r="A72" s="255">
        <v>65</v>
      </c>
      <c r="B72" s="210"/>
      <c r="C72" s="210"/>
      <c r="D72" s="210" t="s">
        <v>338</v>
      </c>
      <c r="E72" s="254"/>
      <c r="F72" s="210"/>
      <c r="G72" s="254"/>
      <c r="H72" s="210"/>
      <c r="I72" s="254"/>
      <c r="J72" s="210"/>
      <c r="K72" s="254"/>
      <c r="L72" s="210"/>
      <c r="M72" s="254"/>
      <c r="N72" s="210"/>
      <c r="O72" s="210"/>
      <c r="P72" s="251"/>
      <c r="Q72" s="251"/>
      <c r="R72" s="251"/>
      <c r="S72" s="210"/>
    </row>
    <row r="73" spans="1:19" ht="15">
      <c r="P73" s="251"/>
      <c r="Q73" s="251"/>
      <c r="R73" s="251"/>
    </row>
    <row r="74" spans="1:19" ht="15">
      <c r="C74" s="210"/>
      <c r="D74" s="217"/>
      <c r="E74" s="306"/>
      <c r="F74" s="228"/>
      <c r="G74" s="285"/>
      <c r="H74" s="217"/>
      <c r="I74" s="306"/>
      <c r="J74" s="228"/>
      <c r="K74" s="285"/>
      <c r="L74" s="217"/>
      <c r="M74" s="306"/>
      <c r="N74" s="228"/>
      <c r="O74" s="228"/>
      <c r="P74" s="251"/>
      <c r="Q74" s="251"/>
      <c r="R74" s="251"/>
      <c r="S74" s="210"/>
    </row>
    <row r="75" spans="1:19" ht="15">
      <c r="C75" s="210"/>
      <c r="D75" s="210"/>
      <c r="E75" s="254"/>
      <c r="F75" s="228"/>
      <c r="G75" s="285"/>
      <c r="H75" s="210"/>
      <c r="I75" s="254"/>
      <c r="J75" s="228"/>
      <c r="K75" s="285"/>
      <c r="L75" s="210"/>
      <c r="M75" s="254"/>
      <c r="N75" s="228"/>
      <c r="O75" s="228"/>
      <c r="P75" s="251"/>
      <c r="Q75" s="251"/>
      <c r="R75" s="251"/>
      <c r="S75" s="210"/>
    </row>
    <row r="76" spans="1:19" ht="15">
      <c r="C76" s="210"/>
      <c r="D76" s="263"/>
      <c r="E76" s="376"/>
      <c r="F76" s="215"/>
      <c r="G76" s="376"/>
      <c r="H76" s="263"/>
      <c r="I76" s="376"/>
      <c r="J76" s="215"/>
      <c r="K76" s="376"/>
      <c r="L76" s="263"/>
      <c r="M76" s="376"/>
      <c r="N76" s="215"/>
      <c r="O76" s="215"/>
      <c r="P76" s="251"/>
      <c r="Q76" s="251"/>
      <c r="R76" s="251"/>
      <c r="S76" s="215"/>
    </row>
    <row r="77" spans="1:19" ht="15">
      <c r="B77" s="210"/>
      <c r="C77" s="210"/>
      <c r="D77" s="263"/>
      <c r="E77" s="427"/>
      <c r="F77" s="295"/>
      <c r="G77" s="313"/>
      <c r="H77" s="263"/>
      <c r="I77" s="427"/>
      <c r="J77" s="295"/>
      <c r="K77" s="313"/>
      <c r="L77" s="263"/>
      <c r="M77" s="427"/>
      <c r="N77" s="295"/>
      <c r="O77" s="295"/>
      <c r="P77" s="251"/>
      <c r="Q77" s="251"/>
      <c r="R77" s="251"/>
      <c r="S77" s="215"/>
    </row>
    <row r="78" spans="1:19" ht="15.75">
      <c r="B78" s="208"/>
      <c r="C78" s="210"/>
      <c r="D78" s="263"/>
      <c r="E78" s="376"/>
      <c r="F78" s="294"/>
      <c r="G78" s="431"/>
      <c r="H78" s="263"/>
      <c r="I78" s="376"/>
      <c r="J78" s="294"/>
      <c r="K78" s="431"/>
      <c r="L78" s="263"/>
      <c r="M78" s="376"/>
      <c r="N78" s="294"/>
      <c r="O78" s="294"/>
      <c r="P78" s="251"/>
      <c r="Q78" s="251"/>
      <c r="R78" s="251"/>
      <c r="S78" s="215"/>
    </row>
    <row r="79" spans="1:19" ht="15.75">
      <c r="B79" s="208"/>
      <c r="C79" s="210"/>
      <c r="D79" s="263"/>
      <c r="E79" s="428"/>
      <c r="F79" s="263"/>
      <c r="G79" s="428"/>
      <c r="H79" s="263"/>
      <c r="I79" s="428"/>
      <c r="J79" s="263"/>
      <c r="K79" s="428"/>
      <c r="L79" s="263"/>
      <c r="M79" s="428"/>
      <c r="N79" s="263"/>
      <c r="O79" s="263"/>
      <c r="P79" s="251"/>
      <c r="Q79" s="251"/>
      <c r="R79" s="251"/>
      <c r="S79" s="215"/>
    </row>
    <row r="80" spans="1:19" ht="15.75">
      <c r="B80" s="208"/>
      <c r="C80" s="210"/>
      <c r="D80" s="295"/>
      <c r="E80" s="313"/>
      <c r="F80" s="215"/>
      <c r="G80" s="376"/>
      <c r="H80" s="295"/>
      <c r="I80" s="313"/>
      <c r="J80" s="215"/>
      <c r="K80" s="376"/>
      <c r="L80" s="295"/>
      <c r="M80" s="313"/>
      <c r="N80" s="215"/>
      <c r="O80" s="215"/>
      <c r="P80" s="251"/>
      <c r="Q80" s="251"/>
      <c r="R80" s="251"/>
      <c r="S80" s="215"/>
    </row>
    <row r="81" spans="2:19" ht="15.75">
      <c r="B81" s="245"/>
      <c r="C81" s="206"/>
      <c r="D81" s="295"/>
      <c r="E81" s="313"/>
      <c r="F81" s="215"/>
      <c r="G81" s="376"/>
      <c r="H81" s="295"/>
      <c r="I81" s="313"/>
      <c r="J81" s="215"/>
      <c r="K81" s="376"/>
      <c r="L81" s="295"/>
      <c r="M81" s="313"/>
      <c r="N81" s="215"/>
      <c r="O81" s="215"/>
      <c r="P81" s="251"/>
      <c r="Q81" s="251"/>
      <c r="R81" s="251"/>
      <c r="S81" s="215"/>
    </row>
    <row r="82" spans="2:19" ht="15">
      <c r="C82" s="210"/>
      <c r="D82" s="263"/>
      <c r="E82" s="376"/>
      <c r="F82" s="294"/>
      <c r="G82" s="431"/>
      <c r="H82" s="263"/>
      <c r="I82" s="376"/>
      <c r="J82" s="294"/>
      <c r="K82" s="431"/>
      <c r="L82" s="263"/>
      <c r="M82" s="376"/>
      <c r="N82" s="294"/>
      <c r="O82" s="294"/>
      <c r="P82" s="251"/>
      <c r="Q82" s="251"/>
      <c r="R82" s="251"/>
      <c r="S82" s="215"/>
    </row>
    <row r="83" spans="2:19" ht="15">
      <c r="C83" s="210"/>
      <c r="D83" s="263"/>
      <c r="E83" s="376"/>
      <c r="F83" s="263"/>
      <c r="G83" s="428"/>
      <c r="H83" s="263"/>
      <c r="I83" s="376"/>
      <c r="J83" s="263"/>
      <c r="K83" s="428"/>
      <c r="L83" s="263"/>
      <c r="M83" s="376"/>
      <c r="N83" s="263"/>
      <c r="O83" s="263"/>
      <c r="P83" s="251"/>
      <c r="Q83" s="251"/>
      <c r="R83" s="251"/>
      <c r="S83" s="215"/>
    </row>
    <row r="84" spans="2:19" ht="15">
      <c r="B84" s="210"/>
      <c r="C84" s="210"/>
      <c r="D84" s="215"/>
      <c r="E84" s="376"/>
      <c r="F84" s="215"/>
      <c r="G84" s="376"/>
      <c r="H84" s="215"/>
      <c r="I84" s="376"/>
      <c r="J84" s="215"/>
      <c r="K84" s="376"/>
      <c r="L84" s="215"/>
      <c r="M84" s="376"/>
      <c r="N84" s="215"/>
      <c r="O84" s="215"/>
      <c r="P84" s="251"/>
      <c r="Q84" s="251"/>
      <c r="R84" s="251"/>
      <c r="S84" s="215"/>
    </row>
    <row r="85" spans="2:19" ht="15">
      <c r="B85" s="210"/>
      <c r="C85" s="210"/>
      <c r="D85" s="215"/>
      <c r="E85" s="376"/>
      <c r="F85" s="215"/>
      <c r="G85" s="376"/>
      <c r="H85" s="215"/>
      <c r="I85" s="376"/>
      <c r="J85" s="215"/>
      <c r="K85" s="376"/>
      <c r="L85" s="215"/>
      <c r="M85" s="376"/>
      <c r="N85" s="215"/>
      <c r="O85" s="215"/>
      <c r="P85" s="251"/>
      <c r="Q85" s="251"/>
      <c r="R85" s="251"/>
      <c r="S85" s="215"/>
    </row>
    <row r="86" spans="2:19" ht="15">
      <c r="D86" s="211"/>
      <c r="E86" s="429"/>
      <c r="F86" s="211"/>
      <c r="G86" s="429"/>
      <c r="H86" s="211"/>
      <c r="I86" s="429"/>
      <c r="J86" s="211"/>
      <c r="K86" s="429"/>
      <c r="L86" s="211"/>
      <c r="M86" s="429"/>
      <c r="N86" s="211"/>
      <c r="O86" s="211"/>
      <c r="P86" s="251"/>
      <c r="Q86" s="251"/>
      <c r="R86" s="251"/>
      <c r="S86" s="211"/>
    </row>
    <row r="87" spans="2:19" ht="15">
      <c r="B87" s="210"/>
      <c r="C87" s="210"/>
      <c r="D87" s="215"/>
      <c r="E87" s="376"/>
      <c r="F87" s="215"/>
      <c r="G87" s="376"/>
      <c r="H87" s="215"/>
      <c r="I87" s="376"/>
      <c r="J87" s="215"/>
      <c r="K87" s="376"/>
      <c r="L87" s="215"/>
      <c r="M87" s="376"/>
      <c r="N87" s="215"/>
      <c r="O87" s="215"/>
      <c r="P87" s="251"/>
      <c r="Q87" s="251"/>
      <c r="R87" s="251"/>
      <c r="S87" s="215"/>
    </row>
    <row r="88" spans="2:19" ht="15">
      <c r="D88" s="211"/>
      <c r="E88" s="429"/>
      <c r="F88" s="211"/>
      <c r="G88" s="429"/>
      <c r="H88" s="211"/>
      <c r="I88" s="429"/>
      <c r="J88" s="211"/>
      <c r="K88" s="429"/>
      <c r="L88" s="211"/>
      <c r="M88" s="429"/>
      <c r="N88" s="211"/>
      <c r="O88" s="211"/>
      <c r="P88" s="251"/>
      <c r="Q88" s="251"/>
      <c r="R88" s="251"/>
      <c r="S88" s="211"/>
    </row>
    <row r="89" spans="2:19" ht="15">
      <c r="D89" s="211"/>
      <c r="E89" s="429"/>
      <c r="F89" s="211"/>
      <c r="G89" s="429"/>
      <c r="H89" s="211"/>
      <c r="I89" s="429"/>
      <c r="J89" s="211"/>
      <c r="K89" s="429"/>
      <c r="L89" s="211"/>
      <c r="M89" s="429"/>
      <c r="N89" s="211"/>
      <c r="O89" s="211"/>
      <c r="P89" s="251"/>
      <c r="Q89" s="251"/>
      <c r="R89" s="251"/>
      <c r="S89" s="211"/>
    </row>
    <row r="90" spans="2:19" ht="15">
      <c r="D90" s="211"/>
      <c r="E90" s="429"/>
      <c r="F90" s="211"/>
      <c r="G90" s="429"/>
      <c r="H90" s="211"/>
      <c r="I90" s="429"/>
      <c r="J90" s="211"/>
      <c r="K90" s="429"/>
      <c r="L90" s="211"/>
      <c r="M90" s="429"/>
      <c r="N90" s="211"/>
      <c r="O90" s="211"/>
      <c r="P90" s="251"/>
      <c r="Q90" s="251"/>
      <c r="R90" s="251"/>
      <c r="S90" s="211"/>
    </row>
    <row r="91" spans="2:19" ht="15">
      <c r="D91" s="211"/>
      <c r="E91" s="429"/>
      <c r="F91" s="211"/>
      <c r="G91" s="429"/>
      <c r="H91" s="211"/>
      <c r="I91" s="429"/>
      <c r="J91" s="211"/>
      <c r="K91" s="429"/>
      <c r="L91" s="211"/>
      <c r="M91" s="429"/>
      <c r="N91" s="211"/>
      <c r="O91" s="211"/>
      <c r="P91" s="251"/>
      <c r="Q91" s="251"/>
      <c r="R91" s="251"/>
      <c r="S91" s="211"/>
    </row>
    <row r="92" spans="2:19" ht="15">
      <c r="D92" s="211"/>
      <c r="E92" s="429"/>
      <c r="F92" s="211"/>
      <c r="G92" s="429"/>
      <c r="H92" s="211"/>
      <c r="I92" s="429"/>
      <c r="J92" s="211"/>
      <c r="K92" s="429"/>
      <c r="L92" s="211"/>
      <c r="M92" s="429"/>
      <c r="N92" s="211"/>
      <c r="O92" s="211"/>
      <c r="P92" s="251"/>
      <c r="Q92" s="251"/>
      <c r="R92" s="251"/>
      <c r="S92" s="211"/>
    </row>
    <row r="93" spans="2:19" ht="15">
      <c r="D93" s="211"/>
      <c r="E93" s="429"/>
      <c r="F93" s="211"/>
      <c r="G93" s="429"/>
      <c r="H93" s="211"/>
      <c r="I93" s="429"/>
      <c r="J93" s="211"/>
      <c r="K93" s="429"/>
      <c r="L93" s="211"/>
      <c r="M93" s="429"/>
      <c r="N93" s="211"/>
      <c r="O93" s="211"/>
      <c r="P93" s="251"/>
      <c r="Q93" s="251"/>
      <c r="R93" s="251"/>
      <c r="S93" s="211"/>
    </row>
    <row r="94" spans="2:19" ht="15">
      <c r="D94" s="211"/>
      <c r="E94" s="429"/>
      <c r="F94" s="211"/>
      <c r="G94" s="429"/>
      <c r="H94" s="211"/>
      <c r="I94" s="429"/>
      <c r="J94" s="211"/>
      <c r="K94" s="429"/>
      <c r="L94" s="211"/>
      <c r="M94" s="429"/>
      <c r="N94" s="211"/>
      <c r="O94" s="211"/>
      <c r="P94" s="251"/>
      <c r="Q94" s="251"/>
      <c r="R94" s="251"/>
      <c r="S94" s="211"/>
    </row>
    <row r="95" spans="2:19" ht="15">
      <c r="D95" s="211"/>
      <c r="E95" s="429"/>
      <c r="F95" s="211"/>
      <c r="G95" s="429"/>
      <c r="H95" s="211"/>
      <c r="I95" s="429"/>
      <c r="J95" s="211"/>
      <c r="K95" s="429"/>
      <c r="L95" s="211"/>
      <c r="M95" s="429"/>
      <c r="N95" s="211"/>
      <c r="O95" s="211"/>
      <c r="P95" s="251"/>
      <c r="Q95" s="251"/>
      <c r="R95" s="251"/>
      <c r="S95" s="211"/>
    </row>
    <row r="96" spans="2:19" ht="15">
      <c r="D96" s="211"/>
      <c r="E96" s="429"/>
      <c r="F96" s="211"/>
      <c r="G96" s="429"/>
      <c r="H96" s="211"/>
      <c r="I96" s="429"/>
      <c r="J96" s="211"/>
      <c r="K96" s="429"/>
      <c r="L96" s="211"/>
      <c r="M96" s="429"/>
      <c r="N96" s="211"/>
      <c r="O96" s="211"/>
      <c r="P96" s="251"/>
      <c r="Q96" s="251"/>
      <c r="R96" s="251"/>
      <c r="S96" s="211"/>
    </row>
    <row r="97" spans="4:19" ht="15">
      <c r="D97" s="211"/>
      <c r="E97" s="429"/>
      <c r="F97" s="211"/>
      <c r="G97" s="429"/>
      <c r="H97" s="211"/>
      <c r="I97" s="429"/>
      <c r="J97" s="211"/>
      <c r="K97" s="429"/>
      <c r="L97" s="211"/>
      <c r="M97" s="429"/>
      <c r="N97" s="211"/>
      <c r="O97" s="211"/>
      <c r="P97" s="251"/>
      <c r="Q97" s="251"/>
      <c r="R97" s="251"/>
      <c r="S97" s="211"/>
    </row>
    <row r="98" spans="4:19" ht="15">
      <c r="D98" s="211"/>
      <c r="E98" s="429"/>
      <c r="F98" s="211"/>
      <c r="G98" s="429"/>
      <c r="H98" s="211"/>
      <c r="I98" s="429"/>
      <c r="J98" s="211"/>
      <c r="K98" s="429"/>
      <c r="L98" s="211"/>
      <c r="M98" s="429"/>
      <c r="N98" s="211"/>
      <c r="O98" s="211"/>
      <c r="P98" s="251"/>
      <c r="Q98" s="251"/>
      <c r="R98" s="251"/>
      <c r="S98" s="211"/>
    </row>
    <row r="99" spans="4:19" ht="15">
      <c r="D99" s="211"/>
      <c r="E99" s="429"/>
      <c r="F99" s="211"/>
      <c r="G99" s="429"/>
      <c r="H99" s="211"/>
      <c r="I99" s="429"/>
      <c r="J99" s="211"/>
      <c r="K99" s="429"/>
      <c r="L99" s="211"/>
      <c r="M99" s="429"/>
      <c r="N99" s="211"/>
      <c r="O99" s="211"/>
      <c r="P99" s="251"/>
      <c r="Q99" s="251"/>
      <c r="R99" s="251"/>
      <c r="S99" s="211"/>
    </row>
    <row r="100" spans="4:19" ht="15">
      <c r="D100" s="211"/>
      <c r="E100" s="429"/>
      <c r="F100" s="211"/>
      <c r="G100" s="429"/>
      <c r="H100" s="211"/>
      <c r="I100" s="429"/>
      <c r="J100" s="211"/>
      <c r="K100" s="429"/>
      <c r="L100" s="211"/>
      <c r="M100" s="429"/>
      <c r="N100" s="211"/>
      <c r="O100" s="211"/>
      <c r="P100" s="251"/>
      <c r="Q100" s="251"/>
      <c r="R100" s="251"/>
      <c r="S100" s="211"/>
    </row>
    <row r="101" spans="4:19" ht="15">
      <c r="D101" s="211"/>
      <c r="E101" s="429"/>
      <c r="F101" s="211"/>
      <c r="G101" s="429"/>
      <c r="H101" s="211"/>
      <c r="I101" s="429"/>
      <c r="J101" s="211"/>
      <c r="K101" s="429"/>
      <c r="L101" s="211"/>
      <c r="M101" s="429"/>
      <c r="N101" s="211"/>
      <c r="O101" s="211"/>
      <c r="P101" s="251"/>
      <c r="Q101" s="251"/>
      <c r="R101" s="251"/>
      <c r="S101" s="211"/>
    </row>
    <row r="102" spans="4:19" ht="15">
      <c r="D102" s="211"/>
      <c r="E102" s="429"/>
      <c r="F102" s="211"/>
      <c r="G102" s="429"/>
      <c r="H102" s="211"/>
      <c r="I102" s="429"/>
      <c r="J102" s="211"/>
      <c r="K102" s="429"/>
      <c r="L102" s="211"/>
      <c r="M102" s="429"/>
      <c r="N102" s="211"/>
      <c r="O102" s="211"/>
      <c r="P102" s="251"/>
      <c r="Q102" s="251"/>
      <c r="R102" s="251"/>
      <c r="S102" s="211"/>
    </row>
    <row r="103" spans="4:19" ht="15">
      <c r="D103" s="211"/>
      <c r="E103" s="429"/>
      <c r="F103" s="211"/>
      <c r="G103" s="429"/>
      <c r="H103" s="211"/>
      <c r="I103" s="429"/>
      <c r="J103" s="211"/>
      <c r="K103" s="429"/>
      <c r="L103" s="211"/>
      <c r="M103" s="429"/>
      <c r="N103" s="211"/>
      <c r="O103" s="211"/>
      <c r="P103" s="251"/>
      <c r="Q103" s="251"/>
      <c r="R103" s="251"/>
      <c r="S103" s="211"/>
    </row>
    <row r="104" spans="4:19" ht="15">
      <c r="D104" s="211"/>
      <c r="E104" s="429"/>
      <c r="F104" s="211"/>
      <c r="G104" s="429"/>
      <c r="H104" s="211"/>
      <c r="I104" s="429"/>
      <c r="J104" s="211"/>
      <c r="K104" s="429"/>
      <c r="L104" s="211"/>
      <c r="M104" s="429"/>
      <c r="N104" s="211"/>
      <c r="O104" s="211"/>
      <c r="P104" s="251"/>
      <c r="Q104" s="251"/>
      <c r="R104" s="251"/>
      <c r="S104" s="211"/>
    </row>
    <row r="105" spans="4:19" ht="15">
      <c r="D105" s="211"/>
      <c r="E105" s="429"/>
      <c r="F105" s="211"/>
      <c r="G105" s="429"/>
      <c r="H105" s="211"/>
      <c r="I105" s="429"/>
      <c r="J105" s="211"/>
      <c r="K105" s="429"/>
      <c r="L105" s="211"/>
      <c r="M105" s="429"/>
      <c r="N105" s="211"/>
      <c r="O105" s="211"/>
      <c r="P105" s="251"/>
      <c r="Q105" s="251"/>
      <c r="R105" s="251"/>
      <c r="S105" s="211"/>
    </row>
    <row r="106" spans="4:19">
      <c r="D106" s="211"/>
      <c r="E106" s="429"/>
      <c r="F106" s="211"/>
      <c r="G106" s="429"/>
      <c r="H106" s="211"/>
      <c r="I106" s="429"/>
      <c r="J106" s="211"/>
      <c r="K106" s="429"/>
      <c r="L106" s="211"/>
      <c r="M106" s="429"/>
      <c r="N106" s="211"/>
      <c r="O106" s="211"/>
      <c r="P106" s="211"/>
      <c r="Q106" s="211"/>
      <c r="R106" s="211"/>
      <c r="S106" s="211"/>
    </row>
    <row r="107" spans="4:19">
      <c r="D107" s="211"/>
      <c r="E107" s="429"/>
      <c r="F107" s="211"/>
      <c r="G107" s="429"/>
      <c r="H107" s="211"/>
      <c r="I107" s="429"/>
      <c r="J107" s="211"/>
      <c r="K107" s="429"/>
      <c r="L107" s="211"/>
      <c r="M107" s="429"/>
      <c r="N107" s="211"/>
      <c r="O107" s="211"/>
      <c r="P107" s="211"/>
      <c r="Q107" s="211"/>
      <c r="R107" s="211"/>
      <c r="S107" s="211"/>
    </row>
    <row r="108" spans="4:19">
      <c r="D108" s="211"/>
      <c r="E108" s="429"/>
      <c r="F108" s="211"/>
      <c r="G108" s="429"/>
      <c r="H108" s="211"/>
      <c r="I108" s="429"/>
      <c r="J108" s="211"/>
      <c r="K108" s="429"/>
      <c r="L108" s="211"/>
      <c r="M108" s="429"/>
      <c r="N108" s="211"/>
      <c r="O108" s="211"/>
      <c r="P108" s="211"/>
      <c r="Q108" s="211"/>
      <c r="R108" s="211"/>
      <c r="S108" s="211"/>
    </row>
    <row r="109" spans="4:19">
      <c r="D109" s="211"/>
      <c r="E109" s="429"/>
      <c r="F109" s="211"/>
      <c r="G109" s="429"/>
      <c r="H109" s="211"/>
      <c r="I109" s="429"/>
      <c r="J109" s="211"/>
      <c r="K109" s="429"/>
      <c r="L109" s="211"/>
      <c r="M109" s="429"/>
      <c r="N109" s="211"/>
      <c r="O109" s="211"/>
      <c r="P109" s="211"/>
      <c r="Q109" s="211"/>
      <c r="R109" s="211"/>
      <c r="S109" s="211"/>
    </row>
    <row r="110" spans="4:19">
      <c r="D110" s="211"/>
      <c r="E110" s="429"/>
      <c r="F110" s="211"/>
      <c r="G110" s="429"/>
      <c r="H110" s="211"/>
      <c r="I110" s="429"/>
      <c r="J110" s="211"/>
      <c r="K110" s="429"/>
      <c r="L110" s="211"/>
      <c r="M110" s="429"/>
      <c r="N110" s="211"/>
      <c r="O110" s="211"/>
      <c r="P110" s="211"/>
      <c r="Q110" s="211"/>
      <c r="R110" s="211"/>
      <c r="S110" s="211"/>
    </row>
    <row r="111" spans="4:19">
      <c r="D111" s="211"/>
      <c r="E111" s="429"/>
      <c r="F111" s="211"/>
      <c r="G111" s="429"/>
      <c r="H111" s="211"/>
      <c r="I111" s="429"/>
      <c r="J111" s="211"/>
      <c r="K111" s="429"/>
      <c r="L111" s="211"/>
      <c r="M111" s="429"/>
      <c r="N111" s="211"/>
      <c r="O111" s="211"/>
      <c r="P111" s="211"/>
      <c r="Q111" s="211"/>
      <c r="R111" s="211"/>
      <c r="S111" s="211"/>
    </row>
    <row r="112" spans="4:19">
      <c r="D112" s="211"/>
      <c r="E112" s="429"/>
      <c r="F112" s="211"/>
      <c r="G112" s="429"/>
      <c r="H112" s="211"/>
      <c r="I112" s="429"/>
      <c r="J112" s="211"/>
      <c r="K112" s="429"/>
      <c r="L112" s="211"/>
      <c r="M112" s="429"/>
      <c r="N112" s="211"/>
      <c r="O112" s="211"/>
      <c r="P112" s="211"/>
      <c r="Q112" s="211"/>
      <c r="R112" s="211"/>
      <c r="S112" s="211"/>
    </row>
  </sheetData>
  <sortState xmlns:xlrd2="http://schemas.microsoft.com/office/spreadsheetml/2017/richdata2" ref="J69">
    <sortCondition ref="J69"/>
  </sortState>
  <printOptions horizontalCentered="1"/>
  <pageMargins left="0.5" right="0.5" top="0.5" bottom="0.5" header="0.5" footer="0.5"/>
  <pageSetup scale="63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J29"/>
  <sheetViews>
    <sheetView view="pageBreakPreview" zoomScale="115" zoomScaleNormal="80" zoomScaleSheetLayoutView="115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6.28515625" style="307" customWidth="1"/>
    <col min="2" max="2" width="19.5703125" style="307" bestFit="1" customWidth="1"/>
    <col min="3" max="3" width="14.42578125" style="307" customWidth="1"/>
    <col min="4" max="4" width="14.5703125" style="307" bestFit="1" customWidth="1"/>
    <col min="5" max="6" width="14" style="307" bestFit="1" customWidth="1"/>
    <col min="7" max="8" width="12.28515625" style="307" bestFit="1" customWidth="1"/>
    <col min="9" max="9" width="17.7109375" style="307" bestFit="1" customWidth="1"/>
    <col min="10" max="10" width="15" style="307" bestFit="1" customWidth="1"/>
    <col min="11" max="16384" width="9.140625" style="307"/>
  </cols>
  <sheetData>
    <row r="1" spans="1:10" ht="15">
      <c r="A1" s="408" t="s">
        <v>31</v>
      </c>
      <c r="B1" s="409"/>
      <c r="C1" s="409"/>
      <c r="D1" s="409"/>
      <c r="E1" s="409"/>
      <c r="F1" s="409"/>
      <c r="G1" s="409"/>
      <c r="H1" s="409"/>
      <c r="I1" s="409"/>
      <c r="J1" s="254" t="s">
        <v>274</v>
      </c>
    </row>
    <row r="2" spans="1:10" ht="14.25">
      <c r="A2" s="410" t="s">
        <v>365</v>
      </c>
      <c r="B2" s="409"/>
      <c r="C2" s="409"/>
      <c r="D2" s="409"/>
      <c r="E2" s="409"/>
      <c r="F2" s="409"/>
      <c r="G2" s="409"/>
      <c r="H2" s="409"/>
      <c r="I2" s="409"/>
      <c r="J2" s="254" t="s">
        <v>373</v>
      </c>
    </row>
    <row r="3" spans="1:10" ht="14.25">
      <c r="A3" s="410" t="str">
        <f>"Twelve Months Ended "&amp;TEXT(B19,"MMMM, YYYY")</f>
        <v>Twelve Months Ended November, 2020</v>
      </c>
      <c r="B3" s="409"/>
      <c r="C3" s="409"/>
      <c r="D3" s="409"/>
      <c r="E3" s="409"/>
      <c r="F3" s="409"/>
      <c r="G3" s="409"/>
      <c r="H3" s="409"/>
      <c r="I3" s="411"/>
      <c r="J3" s="411"/>
    </row>
    <row r="4" spans="1:10">
      <c r="A4" s="409"/>
      <c r="B4" s="409"/>
      <c r="C4" s="409"/>
      <c r="D4" s="409"/>
      <c r="E4" s="409"/>
      <c r="F4" s="409"/>
      <c r="G4" s="409"/>
      <c r="H4" s="409"/>
      <c r="I4" s="411"/>
      <c r="J4" s="411"/>
    </row>
    <row r="5" spans="1:10" ht="38.25">
      <c r="A5" s="412" t="s">
        <v>372</v>
      </c>
      <c r="B5" s="412" t="s">
        <v>39</v>
      </c>
      <c r="C5" s="412" t="s">
        <v>371</v>
      </c>
      <c r="D5" s="412" t="s">
        <v>370</v>
      </c>
      <c r="E5" s="412" t="s">
        <v>369</v>
      </c>
      <c r="F5" s="412" t="s">
        <v>368</v>
      </c>
      <c r="G5" s="412" t="s">
        <v>367</v>
      </c>
      <c r="H5" s="412" t="s">
        <v>366</v>
      </c>
      <c r="I5" s="412" t="s">
        <v>365</v>
      </c>
      <c r="J5" s="412" t="s">
        <v>364</v>
      </c>
    </row>
    <row r="6" spans="1:10">
      <c r="A6" s="409"/>
      <c r="B6" s="413" t="s">
        <v>26</v>
      </c>
      <c r="C6" s="413" t="s">
        <v>25</v>
      </c>
      <c r="D6" s="413" t="s">
        <v>24</v>
      </c>
      <c r="E6" s="413" t="s">
        <v>68</v>
      </c>
      <c r="F6" s="413" t="s">
        <v>67</v>
      </c>
      <c r="G6" s="413" t="s">
        <v>151</v>
      </c>
      <c r="H6" s="413" t="s">
        <v>271</v>
      </c>
      <c r="I6" s="413" t="s">
        <v>335</v>
      </c>
      <c r="J6" s="413" t="s">
        <v>334</v>
      </c>
    </row>
    <row r="7" spans="1:10" ht="15">
      <c r="A7" s="414">
        <v>1</v>
      </c>
      <c r="B7" s="487" t="s">
        <v>395</v>
      </c>
      <c r="C7" s="450">
        <v>-318641.49</v>
      </c>
      <c r="D7" s="450">
        <f>-C7</f>
        <v>318641.49</v>
      </c>
      <c r="E7" s="450">
        <v>0</v>
      </c>
      <c r="F7" s="415">
        <f>+C7+D7+E7</f>
        <v>0</v>
      </c>
      <c r="G7" s="486">
        <v>64563.369999999995</v>
      </c>
      <c r="H7" s="450">
        <f>-G7</f>
        <v>-64563.369999999995</v>
      </c>
      <c r="I7" s="416">
        <f>-C7-G7</f>
        <v>254078.12</v>
      </c>
      <c r="J7" s="416">
        <f>I7</f>
        <v>254078.12</v>
      </c>
    </row>
    <row r="8" spans="1:10">
      <c r="A8" s="414">
        <v>2</v>
      </c>
      <c r="B8" s="448">
        <v>43800</v>
      </c>
      <c r="C8" s="450">
        <v>-31337.25</v>
      </c>
      <c r="D8" s="450">
        <v>-60031.56</v>
      </c>
      <c r="E8" s="450">
        <v>-94.39</v>
      </c>
      <c r="F8" s="415">
        <f>+C8+D8+E8</f>
        <v>-91463.2</v>
      </c>
      <c r="G8" s="450">
        <v>13414.4</v>
      </c>
      <c r="H8" s="450">
        <v>11257.41</v>
      </c>
      <c r="I8" s="416">
        <f t="shared" ref="I8:I19" si="0">-C8-G8</f>
        <v>17922.849999999999</v>
      </c>
      <c r="J8" s="416">
        <f>I8+J7</f>
        <v>272000.96999999997</v>
      </c>
    </row>
    <row r="9" spans="1:10">
      <c r="A9" s="414">
        <v>3</v>
      </c>
      <c r="B9" s="449">
        <f>EDATE(B8,1)</f>
        <v>43831</v>
      </c>
      <c r="C9" s="450">
        <v>-19371.099999999999</v>
      </c>
      <c r="D9" s="450">
        <v>-47814.8</v>
      </c>
      <c r="E9" s="450">
        <v>-60</v>
      </c>
      <c r="F9" s="415">
        <f t="shared" ref="F9:F19" si="1">+C9+D9+E9</f>
        <v>-67245.899999999994</v>
      </c>
      <c r="G9" s="450">
        <v>7271.8</v>
      </c>
      <c r="H9" s="450">
        <v>6840.52</v>
      </c>
      <c r="I9" s="416">
        <f t="shared" si="0"/>
        <v>12099.3</v>
      </c>
      <c r="J9" s="416">
        <f t="shared" ref="J9:J19" si="2">I9+J8</f>
        <v>284100.26999999996</v>
      </c>
    </row>
    <row r="10" spans="1:10">
      <c r="A10" s="414">
        <v>4</v>
      </c>
      <c r="B10" s="449">
        <f t="shared" ref="B10:B19" si="3">EDATE(B9,1)</f>
        <v>43862</v>
      </c>
      <c r="C10" s="450">
        <v>-168281.59</v>
      </c>
      <c r="D10" s="450">
        <v>-208799.06</v>
      </c>
      <c r="E10" s="450">
        <v>-586.52</v>
      </c>
      <c r="F10" s="415">
        <f t="shared" si="1"/>
        <v>-377667.17000000004</v>
      </c>
      <c r="G10" s="450">
        <v>9242.83</v>
      </c>
      <c r="H10" s="450">
        <v>9671.86</v>
      </c>
      <c r="I10" s="416">
        <f t="shared" si="0"/>
        <v>159038.76</v>
      </c>
      <c r="J10" s="416">
        <f t="shared" si="2"/>
        <v>443139.02999999997</v>
      </c>
    </row>
    <row r="11" spans="1:10">
      <c r="A11" s="414">
        <v>5</v>
      </c>
      <c r="B11" s="449">
        <f t="shared" si="3"/>
        <v>43891</v>
      </c>
      <c r="C11" s="450">
        <v>-29759.98</v>
      </c>
      <c r="D11" s="450">
        <v>-82387.06</v>
      </c>
      <c r="E11" s="450">
        <v>-106.67</v>
      </c>
      <c r="F11" s="415">
        <f t="shared" si="1"/>
        <v>-112253.70999999999</v>
      </c>
      <c r="G11" s="450">
        <v>6824.75</v>
      </c>
      <c r="H11" s="450">
        <v>13787.94</v>
      </c>
      <c r="I11" s="416">
        <f t="shared" si="0"/>
        <v>22935.23</v>
      </c>
      <c r="J11" s="416">
        <f t="shared" si="2"/>
        <v>466074.25999999995</v>
      </c>
    </row>
    <row r="12" spans="1:10">
      <c r="A12" s="414">
        <v>6</v>
      </c>
      <c r="B12" s="449">
        <f t="shared" si="3"/>
        <v>43922</v>
      </c>
      <c r="C12" s="450">
        <v>-41523.42</v>
      </c>
      <c r="D12" s="450">
        <v>-97654.43</v>
      </c>
      <c r="E12" s="450">
        <v>-133.46</v>
      </c>
      <c r="F12" s="415">
        <f t="shared" si="1"/>
        <v>-139311.30999999997</v>
      </c>
      <c r="G12" s="450">
        <v>8699.7800000000007</v>
      </c>
      <c r="H12" s="450">
        <v>10203.4</v>
      </c>
      <c r="I12" s="416">
        <f t="shared" si="0"/>
        <v>32823.64</v>
      </c>
      <c r="J12" s="416">
        <f t="shared" si="2"/>
        <v>498897.89999999997</v>
      </c>
    </row>
    <row r="13" spans="1:10">
      <c r="A13" s="414">
        <v>7</v>
      </c>
      <c r="B13" s="449">
        <f t="shared" si="3"/>
        <v>43952</v>
      </c>
      <c r="C13" s="450">
        <v>-54901.36</v>
      </c>
      <c r="D13" s="450">
        <v>-106943.05</v>
      </c>
      <c r="E13" s="450">
        <v>-223.16</v>
      </c>
      <c r="F13" s="415">
        <f t="shared" si="1"/>
        <v>-162067.57</v>
      </c>
      <c r="G13" s="450">
        <v>6827.74</v>
      </c>
      <c r="H13" s="450">
        <v>7647.14</v>
      </c>
      <c r="I13" s="416">
        <f t="shared" si="0"/>
        <v>48073.62</v>
      </c>
      <c r="J13" s="416">
        <f t="shared" si="2"/>
        <v>546971.52</v>
      </c>
    </row>
    <row r="14" spans="1:10">
      <c r="A14" s="414">
        <v>8</v>
      </c>
      <c r="B14" s="449">
        <f t="shared" si="3"/>
        <v>43983</v>
      </c>
      <c r="C14" s="450">
        <v>-93095.45</v>
      </c>
      <c r="D14" s="450">
        <v>-154185.06</v>
      </c>
      <c r="E14" s="450">
        <v>-397.28</v>
      </c>
      <c r="F14" s="415">
        <f t="shared" si="1"/>
        <v>-247677.79</v>
      </c>
      <c r="G14" s="450">
        <v>11345.36</v>
      </c>
      <c r="H14" s="450">
        <v>7581.76</v>
      </c>
      <c r="I14" s="416">
        <f t="shared" si="0"/>
        <v>81750.09</v>
      </c>
      <c r="J14" s="416">
        <f t="shared" si="2"/>
        <v>628721.61</v>
      </c>
    </row>
    <row r="15" spans="1:10">
      <c r="A15" s="414">
        <v>9</v>
      </c>
      <c r="B15" s="449">
        <f t="shared" si="3"/>
        <v>44013</v>
      </c>
      <c r="C15" s="450">
        <v>7471.74</v>
      </c>
      <c r="D15" s="450">
        <v>24262.28</v>
      </c>
      <c r="E15" s="450">
        <v>37.61</v>
      </c>
      <c r="F15" s="415">
        <f t="shared" si="1"/>
        <v>31771.629999999997</v>
      </c>
      <c r="G15" s="450">
        <v>5878.13</v>
      </c>
      <c r="H15" s="450">
        <v>4326.8100000000004</v>
      </c>
      <c r="I15" s="416">
        <f t="shared" si="0"/>
        <v>-13349.869999999999</v>
      </c>
      <c r="J15" s="416">
        <f t="shared" si="2"/>
        <v>615371.74</v>
      </c>
    </row>
    <row r="16" spans="1:10">
      <c r="A16" s="414">
        <v>10</v>
      </c>
      <c r="B16" s="449">
        <f t="shared" si="3"/>
        <v>44044</v>
      </c>
      <c r="C16" s="450">
        <v>-44723</v>
      </c>
      <c r="D16" s="450">
        <v>-93857.72</v>
      </c>
      <c r="E16" s="450">
        <v>-204.69</v>
      </c>
      <c r="F16" s="415">
        <f t="shared" si="1"/>
        <v>-138785.41</v>
      </c>
      <c r="G16" s="450">
        <v>3208.49</v>
      </c>
      <c r="H16" s="450">
        <v>2820.86</v>
      </c>
      <c r="I16" s="416">
        <f t="shared" si="0"/>
        <v>41514.51</v>
      </c>
      <c r="J16" s="416">
        <f t="shared" si="2"/>
        <v>656886.25</v>
      </c>
    </row>
    <row r="17" spans="1:10">
      <c r="A17" s="414">
        <v>11</v>
      </c>
      <c r="B17" s="449">
        <f t="shared" si="3"/>
        <v>44075</v>
      </c>
      <c r="C17" s="450">
        <v>-36986.75</v>
      </c>
      <c r="D17" s="450">
        <v>-67562.009999999995</v>
      </c>
      <c r="E17" s="450">
        <v>-154.88</v>
      </c>
      <c r="F17" s="415">
        <f t="shared" si="1"/>
        <v>-104703.64</v>
      </c>
      <c r="G17" s="450">
        <v>5945.8</v>
      </c>
      <c r="H17" s="450">
        <v>6894.38</v>
      </c>
      <c r="I17" s="416">
        <f t="shared" si="0"/>
        <v>31040.95</v>
      </c>
      <c r="J17" s="416">
        <f t="shared" si="2"/>
        <v>687927.2</v>
      </c>
    </row>
    <row r="18" spans="1:10">
      <c r="A18" s="414">
        <v>12</v>
      </c>
      <c r="B18" s="449">
        <f t="shared" si="3"/>
        <v>44105</v>
      </c>
      <c r="C18" s="450">
        <v>-16347.17</v>
      </c>
      <c r="D18" s="450">
        <v>-35767.980000000003</v>
      </c>
      <c r="E18" s="450">
        <v>-48.57</v>
      </c>
      <c r="F18" s="415">
        <f t="shared" si="1"/>
        <v>-52163.72</v>
      </c>
      <c r="G18" s="450">
        <v>17564.57</v>
      </c>
      <c r="H18" s="450">
        <v>15594.91</v>
      </c>
      <c r="I18" s="416">
        <f t="shared" si="0"/>
        <v>-1217.3999999999996</v>
      </c>
      <c r="J18" s="416">
        <f t="shared" si="2"/>
        <v>686709.79999999993</v>
      </c>
    </row>
    <row r="19" spans="1:10">
      <c r="A19" s="414">
        <v>13</v>
      </c>
      <c r="B19" s="449">
        <f t="shared" si="3"/>
        <v>44136</v>
      </c>
      <c r="C19" s="450">
        <v>-12713.24</v>
      </c>
      <c r="D19" s="450">
        <v>-28390.97</v>
      </c>
      <c r="E19" s="450">
        <v>-52.42</v>
      </c>
      <c r="F19" s="415">
        <f t="shared" si="1"/>
        <v>-41156.629999999997</v>
      </c>
      <c r="G19" s="450">
        <v>12998.62</v>
      </c>
      <c r="H19" s="450">
        <v>11384.4</v>
      </c>
      <c r="I19" s="416">
        <f t="shared" si="0"/>
        <v>-285.38000000000102</v>
      </c>
      <c r="J19" s="416">
        <f t="shared" si="2"/>
        <v>686424.41999999993</v>
      </c>
    </row>
    <row r="20" spans="1:10">
      <c r="A20" s="309"/>
      <c r="C20" s="308"/>
      <c r="D20" s="308"/>
      <c r="E20" s="308"/>
      <c r="F20" s="308"/>
      <c r="G20" s="308"/>
      <c r="H20" s="308"/>
      <c r="I20" s="308"/>
      <c r="J20" s="308"/>
    </row>
    <row r="21" spans="1:10">
      <c r="A21" s="309"/>
      <c r="C21" s="308"/>
      <c r="D21" s="308"/>
      <c r="E21" s="308"/>
      <c r="F21" s="308"/>
      <c r="G21" s="308"/>
      <c r="H21" s="308"/>
      <c r="I21" s="308"/>
      <c r="J21" s="308"/>
    </row>
    <row r="22" spans="1:10">
      <c r="A22" s="309"/>
      <c r="B22" s="485"/>
      <c r="C22" s="308"/>
      <c r="D22" s="308"/>
      <c r="E22" s="308"/>
      <c r="F22" s="308"/>
      <c r="G22" s="308"/>
      <c r="H22" s="308"/>
      <c r="I22" s="308"/>
      <c r="J22" s="308"/>
    </row>
    <row r="23" spans="1:10">
      <c r="A23" s="309"/>
      <c r="C23" s="308"/>
      <c r="D23" s="308"/>
      <c r="E23" s="308"/>
      <c r="F23" s="308"/>
      <c r="G23" s="308"/>
      <c r="H23" s="308"/>
      <c r="I23" s="308"/>
      <c r="J23" s="308"/>
    </row>
    <row r="24" spans="1:10">
      <c r="C24" s="308"/>
      <c r="D24" s="308"/>
      <c r="E24" s="308"/>
      <c r="F24" s="308"/>
      <c r="G24" s="308"/>
      <c r="H24" s="308"/>
      <c r="I24" s="308"/>
      <c r="J24" s="308"/>
    </row>
    <row r="25" spans="1:10">
      <c r="C25" s="308"/>
      <c r="D25" s="308"/>
      <c r="E25" s="308"/>
      <c r="F25" s="308"/>
      <c r="G25" s="308"/>
      <c r="H25" s="308"/>
      <c r="I25" s="308"/>
      <c r="J25" s="308"/>
    </row>
    <row r="26" spans="1:10">
      <c r="F26" s="371" t="s">
        <v>379</v>
      </c>
    </row>
    <row r="27" spans="1:10">
      <c r="D27" s="393"/>
    </row>
    <row r="28" spans="1:10">
      <c r="D28" s="394"/>
    </row>
    <row r="29" spans="1:10">
      <c r="D29" s="395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O36"/>
  <sheetViews>
    <sheetView view="pageBreakPreview" zoomScale="130" zoomScaleNormal="80" zoomScaleSheetLayoutView="130" workbookViewId="0">
      <selection sqref="A1:XFD1048576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3" width="9.140625" style="1"/>
    <col min="14" max="14" width="10.85546875" style="3" bestFit="1" customWidth="1"/>
    <col min="15" max="16384" width="9.140625" style="1"/>
  </cols>
  <sheetData>
    <row r="1" spans="1:15">
      <c r="A1" s="28" t="s">
        <v>31</v>
      </c>
      <c r="K1" s="30" t="s">
        <v>30</v>
      </c>
    </row>
    <row r="2" spans="1:15">
      <c r="A2" s="1" t="str">
        <f>A.1!A2</f>
        <v>Comparison of Current and Previous Cases</v>
      </c>
      <c r="K2" s="30" t="s">
        <v>35</v>
      </c>
    </row>
    <row r="3" spans="1:15">
      <c r="A3" s="1" t="s">
        <v>34</v>
      </c>
    </row>
    <row r="5" spans="1:15">
      <c r="G5" s="4" t="s">
        <v>26</v>
      </c>
      <c r="I5" s="4" t="s">
        <v>25</v>
      </c>
      <c r="K5" s="4" t="s">
        <v>24</v>
      </c>
    </row>
    <row r="6" spans="1:15">
      <c r="A6" s="29" t="s">
        <v>23</v>
      </c>
      <c r="B6" s="28"/>
      <c r="C6" s="28"/>
      <c r="D6" s="28"/>
      <c r="E6" s="28"/>
      <c r="F6" s="28"/>
      <c r="G6" s="493" t="s">
        <v>2</v>
      </c>
      <c r="H6" s="493"/>
      <c r="I6" s="493"/>
      <c r="J6" s="28"/>
      <c r="K6" s="28"/>
    </row>
    <row r="7" spans="1:15">
      <c r="A7" s="27" t="s">
        <v>22</v>
      </c>
      <c r="B7" s="25" t="s">
        <v>21</v>
      </c>
      <c r="C7" s="25"/>
      <c r="D7" s="25"/>
      <c r="E7" s="25"/>
      <c r="F7" s="25"/>
      <c r="G7" s="31" t="str">
        <f>A.1!G7</f>
        <v>2020-00403</v>
      </c>
      <c r="H7" s="32"/>
      <c r="I7" s="31" t="str">
        <f>A.1!I7</f>
        <v>2021-00142</v>
      </c>
      <c r="J7" s="25"/>
      <c r="K7" s="25" t="s">
        <v>20</v>
      </c>
    </row>
    <row r="8" spans="1:15">
      <c r="G8" s="4" t="s">
        <v>19</v>
      </c>
      <c r="I8" s="4" t="s">
        <v>19</v>
      </c>
      <c r="K8" s="4" t="s">
        <v>19</v>
      </c>
    </row>
    <row r="9" spans="1:15">
      <c r="A9" s="5">
        <v>1</v>
      </c>
      <c r="B9" s="23" t="s">
        <v>33</v>
      </c>
      <c r="N9" s="473"/>
      <c r="O9" s="33"/>
    </row>
    <row r="10" spans="1:15">
      <c r="A10" s="5">
        <v>2</v>
      </c>
      <c r="G10" s="2"/>
      <c r="I10" s="2"/>
      <c r="N10" s="473"/>
      <c r="O10" s="33"/>
    </row>
    <row r="11" spans="1:15">
      <c r="A11" s="5">
        <v>3</v>
      </c>
      <c r="B11" s="476" t="s">
        <v>384</v>
      </c>
      <c r="C11" s="2"/>
      <c r="D11" s="2"/>
      <c r="E11" s="2"/>
      <c r="F11" s="2"/>
      <c r="G11" s="2"/>
      <c r="H11" s="2"/>
      <c r="I11" s="2"/>
      <c r="J11" s="2"/>
      <c r="K11" s="2"/>
      <c r="N11" s="474"/>
      <c r="O11" s="33"/>
    </row>
    <row r="12" spans="1:15">
      <c r="A12" s="5">
        <v>4</v>
      </c>
      <c r="B12" s="477" t="s">
        <v>5</v>
      </c>
      <c r="C12" s="478">
        <v>300</v>
      </c>
      <c r="D12" s="2" t="s">
        <v>3</v>
      </c>
      <c r="E12" s="2"/>
      <c r="F12" s="2"/>
      <c r="G12" s="363">
        <v>1.3855</v>
      </c>
      <c r="H12" s="479"/>
      <c r="I12" s="379">
        <f>1.3855</f>
        <v>1.3855</v>
      </c>
      <c r="J12" s="2"/>
      <c r="K12" s="20">
        <f>I12-G12</f>
        <v>0</v>
      </c>
      <c r="N12" s="475"/>
      <c r="O12" s="33"/>
    </row>
    <row r="13" spans="1:15">
      <c r="A13" s="5">
        <v>5</v>
      </c>
      <c r="B13" s="477" t="s">
        <v>17</v>
      </c>
      <c r="C13" s="478">
        <v>14700</v>
      </c>
      <c r="D13" s="2" t="s">
        <v>3</v>
      </c>
      <c r="E13" s="2"/>
      <c r="F13" s="2"/>
      <c r="G13" s="363">
        <v>0.95779999999999998</v>
      </c>
      <c r="H13" s="479"/>
      <c r="I13" s="379">
        <f>0.9578</f>
        <v>0.95779999999999998</v>
      </c>
      <c r="J13" s="2"/>
      <c r="K13" s="20">
        <f>I13-G13</f>
        <v>0</v>
      </c>
      <c r="N13" s="475"/>
      <c r="O13" s="33"/>
    </row>
    <row r="14" spans="1:15">
      <c r="A14" s="5">
        <v>6</v>
      </c>
      <c r="B14" s="477" t="s">
        <v>4</v>
      </c>
      <c r="C14" s="478">
        <v>15000</v>
      </c>
      <c r="D14" s="2" t="s">
        <v>3</v>
      </c>
      <c r="E14" s="2"/>
      <c r="F14" s="2"/>
      <c r="G14" s="363">
        <v>0.7651</v>
      </c>
      <c r="H14" s="2"/>
      <c r="I14" s="379">
        <f>0.7651</f>
        <v>0.7651</v>
      </c>
      <c r="J14" s="2"/>
      <c r="K14" s="20">
        <f>I14-G14</f>
        <v>0</v>
      </c>
      <c r="N14" s="475"/>
      <c r="O14" s="33"/>
    </row>
    <row r="15" spans="1:15">
      <c r="A15" s="5">
        <v>7</v>
      </c>
      <c r="G15" s="2"/>
      <c r="I15" s="339"/>
      <c r="N15" s="474"/>
      <c r="O15" s="33"/>
    </row>
    <row r="16" spans="1:15">
      <c r="A16" s="5">
        <v>8</v>
      </c>
      <c r="G16" s="2"/>
      <c r="I16" s="339"/>
      <c r="N16" s="474"/>
      <c r="O16" s="33"/>
    </row>
    <row r="17" spans="1:15">
      <c r="A17" s="5">
        <v>9</v>
      </c>
      <c r="B17" s="23" t="s">
        <v>32</v>
      </c>
      <c r="G17" s="2"/>
      <c r="I17" s="339"/>
      <c r="N17" s="474"/>
      <c r="O17" s="33"/>
    </row>
    <row r="18" spans="1:15">
      <c r="A18" s="5">
        <v>10</v>
      </c>
      <c r="G18" s="2"/>
      <c r="I18" s="339"/>
      <c r="N18" s="474"/>
      <c r="O18" s="33"/>
    </row>
    <row r="19" spans="1:15">
      <c r="A19" s="5">
        <v>11</v>
      </c>
      <c r="B19" s="476" t="str">
        <f>+B11</f>
        <v>Simple Margin / Distribution Charge (per Case No. 2015-00343)</v>
      </c>
      <c r="C19" s="2"/>
      <c r="D19" s="2"/>
      <c r="E19" s="2"/>
      <c r="F19" s="2"/>
      <c r="G19" s="2"/>
      <c r="H19" s="2"/>
      <c r="I19" s="339"/>
      <c r="J19" s="2"/>
      <c r="K19" s="2"/>
      <c r="N19" s="474"/>
      <c r="O19" s="33"/>
    </row>
    <row r="20" spans="1:15">
      <c r="A20" s="5">
        <v>12</v>
      </c>
      <c r="B20" s="477" t="s">
        <v>5</v>
      </c>
      <c r="C20" s="478">
        <v>15000</v>
      </c>
      <c r="D20" s="2" t="s">
        <v>3</v>
      </c>
      <c r="E20" s="2"/>
      <c r="F20" s="2"/>
      <c r="G20" s="363">
        <v>0.8327</v>
      </c>
      <c r="H20" s="479"/>
      <c r="I20" s="379">
        <f>0.8327</f>
        <v>0.8327</v>
      </c>
      <c r="J20" s="2"/>
      <c r="K20" s="20">
        <f>I20-G20</f>
        <v>0</v>
      </c>
      <c r="N20" s="474"/>
      <c r="O20" s="33"/>
    </row>
    <row r="21" spans="1:15">
      <c r="A21" s="5">
        <v>13</v>
      </c>
      <c r="B21" s="477" t="s">
        <v>4</v>
      </c>
      <c r="C21" s="478">
        <v>15000</v>
      </c>
      <c r="D21" s="2" t="s">
        <v>3</v>
      </c>
      <c r="E21" s="2"/>
      <c r="F21" s="2"/>
      <c r="G21" s="363">
        <v>0.63870000000000005</v>
      </c>
      <c r="H21" s="479"/>
      <c r="I21" s="379">
        <f>0.6387</f>
        <v>0.63870000000000005</v>
      </c>
      <c r="J21" s="2"/>
      <c r="K21" s="20">
        <f>I21-G21</f>
        <v>0</v>
      </c>
      <c r="N21" s="474"/>
      <c r="O21" s="33"/>
    </row>
    <row r="22" spans="1:15">
      <c r="A22" s="5">
        <v>14</v>
      </c>
      <c r="G22" s="2"/>
      <c r="I22" s="2"/>
    </row>
    <row r="23" spans="1:15">
      <c r="A23" s="5"/>
      <c r="G23" s="2"/>
    </row>
    <row r="24" spans="1:1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N78"/>
  <sheetViews>
    <sheetView view="pageBreakPreview" zoomScale="85" zoomScaleNormal="85" zoomScaleSheetLayoutView="85" workbookViewId="0"/>
  </sheetViews>
  <sheetFormatPr defaultColWidth="9.85546875" defaultRowHeight="14.25"/>
  <cols>
    <col min="1" max="1" width="4.85546875" style="34" customWidth="1"/>
    <col min="2" max="2" width="18" style="34" customWidth="1"/>
    <col min="3" max="3" width="10.28515625" style="34" customWidth="1"/>
    <col min="4" max="4" width="17.85546875" style="34" bestFit="1" customWidth="1"/>
    <col min="5" max="5" width="13.42578125" style="34" customWidth="1"/>
    <col min="6" max="6" width="9.42578125" style="34" customWidth="1"/>
    <col min="7" max="7" width="13.42578125" style="34" customWidth="1"/>
    <col min="8" max="8" width="1.85546875" style="34" customWidth="1"/>
    <col min="9" max="9" width="13.42578125" style="34" customWidth="1"/>
    <col min="10" max="10" width="1.85546875" style="34" customWidth="1"/>
    <col min="11" max="11" width="12.140625" style="34" customWidth="1"/>
    <col min="12" max="12" width="10.85546875" style="34" bestFit="1" customWidth="1"/>
    <col min="13" max="16384" width="9.85546875" style="34"/>
  </cols>
  <sheetData>
    <row r="1" spans="1:14" ht="15">
      <c r="A1" s="68" t="s">
        <v>31</v>
      </c>
      <c r="B1" s="51"/>
      <c r="C1" s="51"/>
      <c r="D1" s="51"/>
      <c r="E1" s="51"/>
      <c r="F1" s="51"/>
      <c r="G1" s="51"/>
      <c r="H1" s="51"/>
      <c r="I1" s="36" t="s">
        <v>72</v>
      </c>
      <c r="J1" s="36"/>
    </row>
    <row r="2" spans="1:14">
      <c r="A2" s="51" t="s">
        <v>71</v>
      </c>
      <c r="B2" s="51"/>
      <c r="C2" s="51"/>
      <c r="D2" s="51"/>
      <c r="E2" s="51"/>
      <c r="F2" s="51"/>
      <c r="G2" s="51"/>
      <c r="H2" s="51"/>
      <c r="I2" s="36" t="s">
        <v>70</v>
      </c>
      <c r="J2" s="36"/>
    </row>
    <row r="3" spans="1:14">
      <c r="A3" s="67" t="s">
        <v>69</v>
      </c>
      <c r="B3" s="51"/>
      <c r="C3" s="51"/>
      <c r="D3" s="51"/>
      <c r="E3" s="51"/>
      <c r="F3" s="51"/>
      <c r="G3" s="51"/>
      <c r="H3" s="51"/>
      <c r="I3" s="51"/>
      <c r="J3" s="36"/>
    </row>
    <row r="4" spans="1:14">
      <c r="A4" s="36"/>
      <c r="B4" s="36"/>
      <c r="C4" s="36"/>
      <c r="D4" s="36"/>
      <c r="E4" s="36"/>
      <c r="F4" s="66"/>
      <c r="G4" s="36"/>
      <c r="H4" s="36"/>
      <c r="I4" s="36"/>
      <c r="J4" s="36"/>
    </row>
    <row r="5" spans="1:14" ht="15">
      <c r="A5" s="61"/>
      <c r="B5" s="36"/>
      <c r="C5" s="36"/>
      <c r="D5" s="60" t="s">
        <v>26</v>
      </c>
      <c r="E5" s="60" t="s">
        <v>25</v>
      </c>
      <c r="F5" s="60" t="s">
        <v>24</v>
      </c>
      <c r="G5" s="60" t="s">
        <v>68</v>
      </c>
      <c r="H5" s="36"/>
      <c r="I5" s="60" t="s">
        <v>67</v>
      </c>
      <c r="J5" s="36"/>
    </row>
    <row r="6" spans="1:14" ht="15">
      <c r="A6" s="61"/>
      <c r="B6" s="61"/>
      <c r="C6" s="61"/>
      <c r="D6" s="61"/>
      <c r="E6" s="61"/>
      <c r="F6" s="61"/>
      <c r="G6" s="65" t="s">
        <v>66</v>
      </c>
      <c r="H6" s="65"/>
      <c r="I6" s="65"/>
      <c r="J6" s="65"/>
    </row>
    <row r="7" spans="1:14" ht="15">
      <c r="A7" s="64" t="s">
        <v>23</v>
      </c>
      <c r="B7" s="61"/>
      <c r="C7" s="61"/>
      <c r="D7" s="64" t="s">
        <v>0</v>
      </c>
      <c r="E7" s="64" t="s">
        <v>65</v>
      </c>
      <c r="F7" s="61"/>
      <c r="G7" s="61"/>
      <c r="H7" s="61"/>
      <c r="I7" s="61"/>
      <c r="J7" s="61"/>
    </row>
    <row r="8" spans="1:14" ht="15">
      <c r="A8" s="63" t="s">
        <v>22</v>
      </c>
      <c r="B8" s="62" t="s">
        <v>21</v>
      </c>
      <c r="C8" s="62"/>
      <c r="D8" s="63" t="s">
        <v>64</v>
      </c>
      <c r="E8" s="63" t="s">
        <v>63</v>
      </c>
      <c r="F8" s="63" t="s">
        <v>62</v>
      </c>
      <c r="G8" s="63" t="s">
        <v>61</v>
      </c>
      <c r="H8" s="62"/>
      <c r="I8" s="63" t="s">
        <v>12</v>
      </c>
      <c r="J8" s="62"/>
    </row>
    <row r="9" spans="1:14" ht="15">
      <c r="A9" s="36"/>
      <c r="B9" s="61"/>
      <c r="C9" s="36"/>
      <c r="D9" s="36"/>
      <c r="E9" s="60" t="s">
        <v>60</v>
      </c>
      <c r="F9" s="60" t="s">
        <v>59</v>
      </c>
      <c r="G9" s="60" t="s">
        <v>58</v>
      </c>
      <c r="H9" s="36"/>
      <c r="I9" s="60" t="s">
        <v>58</v>
      </c>
      <c r="J9" s="36"/>
      <c r="N9" s="59"/>
    </row>
    <row r="10" spans="1:14" ht="15">
      <c r="A10" s="36">
        <v>1</v>
      </c>
      <c r="B10" s="52" t="s">
        <v>57</v>
      </c>
      <c r="C10" s="36"/>
      <c r="D10" s="36"/>
      <c r="E10" s="36"/>
      <c r="F10" s="36"/>
      <c r="G10" s="42"/>
      <c r="H10" s="36"/>
      <c r="I10" s="42"/>
      <c r="J10" s="36"/>
    </row>
    <row r="11" spans="1:14">
      <c r="A11" s="36">
        <v>2</v>
      </c>
      <c r="B11" s="36" t="s">
        <v>52</v>
      </c>
      <c r="C11" s="60">
        <v>29760</v>
      </c>
      <c r="D11" s="42"/>
      <c r="E11" s="346">
        <v>12175247</v>
      </c>
      <c r="F11" s="58"/>
      <c r="G11" s="42"/>
      <c r="H11" s="36"/>
      <c r="I11" s="42"/>
      <c r="J11" s="36"/>
    </row>
    <row r="12" spans="1:14">
      <c r="A12" s="36">
        <v>3</v>
      </c>
      <c r="B12" s="36" t="s">
        <v>56</v>
      </c>
      <c r="C12" s="60"/>
      <c r="D12" s="47" t="s">
        <v>51</v>
      </c>
      <c r="E12" s="36"/>
      <c r="F12" s="385">
        <v>0.30880000000000002</v>
      </c>
      <c r="G12" s="42">
        <f>ROUND($E$11*$F12,0)</f>
        <v>3759716</v>
      </c>
      <c r="H12" s="36"/>
      <c r="I12" s="42">
        <f>ROUND($E$11*$F12,0)</f>
        <v>3759716</v>
      </c>
      <c r="J12" s="36"/>
    </row>
    <row r="13" spans="1:14">
      <c r="A13" s="36">
        <v>4</v>
      </c>
      <c r="B13" s="36"/>
      <c r="C13" s="60"/>
      <c r="D13" s="36"/>
      <c r="E13" s="56"/>
      <c r="F13" s="57"/>
      <c r="G13" s="56"/>
      <c r="H13" s="55"/>
      <c r="I13" s="56"/>
      <c r="J13" s="55"/>
    </row>
    <row r="14" spans="1:14">
      <c r="A14" s="36">
        <v>5</v>
      </c>
      <c r="B14" s="34" t="s">
        <v>45</v>
      </c>
      <c r="C14" s="125"/>
      <c r="E14" s="53">
        <f>SUM(E11:E13)</f>
        <v>12175247</v>
      </c>
      <c r="G14" s="53">
        <f>SUM(G11:G13)</f>
        <v>3759716</v>
      </c>
      <c r="I14" s="53">
        <f>SUM(I11:I13)</f>
        <v>3759716</v>
      </c>
    </row>
    <row r="15" spans="1:14">
      <c r="A15" s="36">
        <v>6</v>
      </c>
      <c r="C15" s="125"/>
    </row>
    <row r="16" spans="1:14" ht="15">
      <c r="A16" s="36">
        <v>7</v>
      </c>
      <c r="B16" s="52" t="s">
        <v>55</v>
      </c>
      <c r="C16" s="60"/>
      <c r="D16" s="42"/>
      <c r="E16" s="42"/>
      <c r="F16" s="41"/>
      <c r="G16" s="42"/>
      <c r="H16" s="36"/>
      <c r="I16" s="42"/>
      <c r="J16" s="36"/>
    </row>
    <row r="17" spans="1:12">
      <c r="A17" s="36">
        <v>8</v>
      </c>
      <c r="B17" s="36" t="s">
        <v>52</v>
      </c>
      <c r="C17" s="60">
        <v>29762</v>
      </c>
      <c r="D17" s="42"/>
      <c r="E17" s="346">
        <v>27757688</v>
      </c>
      <c r="F17" s="41"/>
      <c r="G17" s="42"/>
      <c r="H17" s="36"/>
      <c r="I17" s="42"/>
      <c r="J17" s="36"/>
    </row>
    <row r="18" spans="1:12">
      <c r="A18" s="36">
        <v>9</v>
      </c>
      <c r="B18" s="36" t="s">
        <v>49</v>
      </c>
      <c r="C18" s="60"/>
      <c r="D18" s="47" t="s">
        <v>51</v>
      </c>
      <c r="E18" s="42"/>
      <c r="F18" s="385">
        <v>0.3543</v>
      </c>
      <c r="G18" s="42">
        <f>ROUND($E$17*$F18,0)</f>
        <v>9834549</v>
      </c>
      <c r="H18" s="36"/>
      <c r="I18" s="42">
        <f>ROUND($E$17*$F18,0)</f>
        <v>9834549</v>
      </c>
      <c r="J18" s="36"/>
    </row>
    <row r="19" spans="1:12">
      <c r="A19" s="36">
        <v>10</v>
      </c>
      <c r="B19" s="36"/>
      <c r="C19" s="60"/>
      <c r="D19" s="42"/>
      <c r="E19" s="42"/>
      <c r="F19" s="41"/>
      <c r="G19" s="42"/>
      <c r="H19" s="36"/>
      <c r="I19" s="42"/>
      <c r="J19" s="36"/>
    </row>
    <row r="20" spans="1:12">
      <c r="A20" s="36">
        <v>11</v>
      </c>
      <c r="B20" s="36" t="s">
        <v>50</v>
      </c>
      <c r="C20" s="112">
        <v>29759</v>
      </c>
      <c r="D20" s="42"/>
      <c r="E20" s="346">
        <v>6022500</v>
      </c>
      <c r="F20" s="41"/>
      <c r="G20" s="42"/>
      <c r="H20" s="36"/>
      <c r="I20" s="42"/>
      <c r="J20" s="36"/>
    </row>
    <row r="21" spans="1:12">
      <c r="A21" s="36">
        <v>12</v>
      </c>
      <c r="B21" s="36" t="s">
        <v>49</v>
      </c>
      <c r="C21" s="384" t="s">
        <v>48</v>
      </c>
      <c r="D21" s="47" t="s">
        <v>47</v>
      </c>
      <c r="E21" s="42"/>
      <c r="F21" s="385">
        <v>0.29389999999999999</v>
      </c>
      <c r="G21" s="42">
        <f>ROUND($E$20*$F21,0)</f>
        <v>1770013</v>
      </c>
      <c r="H21" s="36"/>
      <c r="I21" s="42">
        <f>ROUND($E$20*$F21,0)</f>
        <v>1770013</v>
      </c>
      <c r="J21" s="36"/>
      <c r="L21" s="46"/>
    </row>
    <row r="22" spans="1:12">
      <c r="A22" s="36">
        <v>13</v>
      </c>
      <c r="C22" s="125"/>
      <c r="E22" s="54"/>
      <c r="F22" s="54"/>
      <c r="G22" s="54"/>
      <c r="H22" s="54"/>
      <c r="I22" s="54"/>
      <c r="J22" s="54"/>
    </row>
    <row r="23" spans="1:12">
      <c r="A23" s="36">
        <v>14</v>
      </c>
      <c r="B23" s="36" t="s">
        <v>50</v>
      </c>
      <c r="C23" s="112">
        <v>34380</v>
      </c>
      <c r="D23" s="42"/>
      <c r="E23" s="346">
        <v>3650000</v>
      </c>
      <c r="F23" s="54"/>
      <c r="G23" s="54"/>
      <c r="H23" s="54"/>
      <c r="I23" s="54"/>
      <c r="J23" s="54"/>
    </row>
    <row r="24" spans="1:12">
      <c r="A24" s="36">
        <v>15</v>
      </c>
      <c r="B24" s="36" t="s">
        <v>49</v>
      </c>
      <c r="C24" s="384" t="s">
        <v>48</v>
      </c>
      <c r="D24" s="47" t="s">
        <v>47</v>
      </c>
      <c r="E24" s="54"/>
      <c r="F24" s="385">
        <v>0.29389999999999999</v>
      </c>
      <c r="G24" s="42">
        <f>ROUND($E$23*$F24,0)</f>
        <v>1072735</v>
      </c>
      <c r="H24" s="54"/>
      <c r="I24" s="42">
        <f>ROUND($E$23*$F24,0)</f>
        <v>1072735</v>
      </c>
      <c r="J24" s="54"/>
    </row>
    <row r="25" spans="1:12">
      <c r="A25" s="36">
        <v>16</v>
      </c>
      <c r="C25" s="125"/>
      <c r="E25" s="54"/>
      <c r="F25" s="54"/>
      <c r="G25" s="54"/>
      <c r="H25" s="54"/>
      <c r="I25" s="54"/>
      <c r="J25" s="54"/>
    </row>
    <row r="26" spans="1:12">
      <c r="A26" s="36">
        <v>17</v>
      </c>
      <c r="B26" s="34" t="s">
        <v>44</v>
      </c>
      <c r="C26" s="125"/>
      <c r="E26" s="53">
        <f>SUM(E17:E25)</f>
        <v>37430188</v>
      </c>
      <c r="G26" s="53">
        <f>SUM(G17:G25)</f>
        <v>12677297</v>
      </c>
      <c r="I26" s="53">
        <f>SUM(I17:I25)</f>
        <v>12677297</v>
      </c>
    </row>
    <row r="27" spans="1:12">
      <c r="A27" s="36">
        <v>18</v>
      </c>
      <c r="C27" s="125"/>
    </row>
    <row r="28" spans="1:12" ht="15">
      <c r="A28" s="36">
        <v>19</v>
      </c>
      <c r="B28" s="52" t="s">
        <v>54</v>
      </c>
      <c r="C28" s="60"/>
      <c r="D28" s="36"/>
      <c r="E28" s="36"/>
      <c r="F28" s="41"/>
      <c r="G28" s="36"/>
      <c r="H28" s="36"/>
      <c r="I28" s="36"/>
    </row>
    <row r="29" spans="1:12">
      <c r="A29" s="36">
        <v>20</v>
      </c>
      <c r="B29" s="36" t="s">
        <v>385</v>
      </c>
      <c r="C29" s="60">
        <v>35772</v>
      </c>
      <c r="D29" s="47" t="s">
        <v>388</v>
      </c>
      <c r="E29" s="346">
        <v>323400</v>
      </c>
      <c r="F29" s="41"/>
      <c r="G29" s="42"/>
      <c r="H29" s="36"/>
      <c r="I29" s="42"/>
    </row>
    <row r="30" spans="1:12">
      <c r="A30" s="36">
        <v>21</v>
      </c>
      <c r="B30" s="36" t="s">
        <v>49</v>
      </c>
      <c r="C30" s="60"/>
      <c r="D30" s="47"/>
      <c r="E30" s="42"/>
      <c r="F30" s="385">
        <v>0.32819999999999999</v>
      </c>
      <c r="G30" s="42">
        <f>ROUND($E$29*$F30,0)</f>
        <v>106140</v>
      </c>
      <c r="H30" s="36"/>
      <c r="I30" s="42">
        <f>ROUND($E$29*$F30,0)</f>
        <v>106140</v>
      </c>
      <c r="L30" s="46"/>
    </row>
    <row r="31" spans="1:12">
      <c r="A31" s="36">
        <v>22</v>
      </c>
      <c r="B31" s="36"/>
      <c r="C31" s="60"/>
      <c r="D31" s="47"/>
      <c r="E31" s="42"/>
      <c r="F31" s="385"/>
      <c r="G31" s="42"/>
      <c r="H31" s="36"/>
      <c r="I31" s="42"/>
      <c r="L31" s="46"/>
    </row>
    <row r="32" spans="1:12">
      <c r="A32" s="36">
        <v>23</v>
      </c>
      <c r="B32" s="36"/>
      <c r="C32" s="60"/>
      <c r="D32" s="47"/>
      <c r="E32" s="346"/>
      <c r="F32" s="41"/>
      <c r="G32" s="42"/>
      <c r="H32" s="36"/>
      <c r="I32" s="42"/>
      <c r="L32" s="46"/>
    </row>
    <row r="33" spans="1:12">
      <c r="A33" s="36">
        <v>24</v>
      </c>
      <c r="B33" s="36"/>
      <c r="C33" s="60"/>
      <c r="D33" s="47"/>
      <c r="E33" s="42"/>
      <c r="F33" s="385"/>
      <c r="G33" s="42"/>
      <c r="H33" s="36"/>
      <c r="I33" s="42"/>
      <c r="L33" s="46"/>
    </row>
    <row r="34" spans="1:12">
      <c r="A34" s="36">
        <v>25</v>
      </c>
      <c r="B34" s="36"/>
      <c r="C34" s="60"/>
      <c r="D34" s="42"/>
      <c r="E34" s="42"/>
      <c r="F34" s="41"/>
      <c r="G34" s="42"/>
      <c r="H34" s="36"/>
      <c r="I34" s="42"/>
      <c r="J34" s="36"/>
    </row>
    <row r="35" spans="1:12">
      <c r="A35" s="36">
        <v>26</v>
      </c>
      <c r="B35" s="34" t="s">
        <v>43</v>
      </c>
      <c r="C35" s="125"/>
      <c r="E35" s="53">
        <f>SUM(E29:E34)</f>
        <v>323400</v>
      </c>
      <c r="G35" s="53">
        <f>SUM(G29:G34)</f>
        <v>106140</v>
      </c>
      <c r="I35" s="53">
        <f>SUM(I29:I34)</f>
        <v>106140</v>
      </c>
    </row>
    <row r="36" spans="1:12">
      <c r="A36" s="36">
        <v>27</v>
      </c>
      <c r="C36" s="125"/>
    </row>
    <row r="37" spans="1:12" ht="15">
      <c r="A37" s="36">
        <v>28</v>
      </c>
      <c r="B37" s="52" t="s">
        <v>53</v>
      </c>
      <c r="C37" s="60"/>
      <c r="D37" s="42"/>
      <c r="E37" s="42"/>
      <c r="F37" s="41"/>
      <c r="G37" s="42"/>
      <c r="H37" s="36"/>
      <c r="I37" s="42"/>
    </row>
    <row r="38" spans="1:12">
      <c r="A38" s="36">
        <v>29</v>
      </c>
      <c r="B38" s="36" t="s">
        <v>52</v>
      </c>
      <c r="C38" s="60">
        <v>29763</v>
      </c>
      <c r="D38" s="42"/>
      <c r="E38" s="346">
        <v>3320769</v>
      </c>
      <c r="F38" s="41"/>
      <c r="G38" s="42"/>
      <c r="H38" s="36"/>
      <c r="I38" s="42"/>
    </row>
    <row r="39" spans="1:12">
      <c r="A39" s="36">
        <v>30</v>
      </c>
      <c r="B39" s="36" t="s">
        <v>49</v>
      </c>
      <c r="C39" s="60"/>
      <c r="D39" s="47" t="s">
        <v>51</v>
      </c>
      <c r="E39" s="42"/>
      <c r="F39" s="385">
        <v>0.41899999999999998</v>
      </c>
      <c r="G39" s="42">
        <f>ROUND($E$38*$F39,0)</f>
        <v>1391402</v>
      </c>
      <c r="H39" s="36"/>
      <c r="I39" s="42">
        <f>ROUND($E$38*$F39,0)</f>
        <v>1391402</v>
      </c>
    </row>
    <row r="40" spans="1:12">
      <c r="A40" s="36">
        <v>31</v>
      </c>
      <c r="B40" s="36"/>
      <c r="C40" s="60"/>
      <c r="D40" s="42"/>
      <c r="E40" s="42"/>
      <c r="F40" s="41"/>
      <c r="G40" s="42"/>
      <c r="H40" s="36"/>
      <c r="I40" s="42"/>
    </row>
    <row r="41" spans="1:12">
      <c r="A41" s="36">
        <v>32</v>
      </c>
      <c r="B41" s="36" t="s">
        <v>50</v>
      </c>
      <c r="C41" s="112">
        <v>31097</v>
      </c>
      <c r="D41" s="42"/>
      <c r="E41" s="346">
        <v>1825000</v>
      </c>
      <c r="F41" s="41"/>
      <c r="G41" s="42"/>
      <c r="H41" s="36"/>
      <c r="I41" s="42"/>
    </row>
    <row r="42" spans="1:12">
      <c r="A42" s="36">
        <v>33</v>
      </c>
      <c r="B42" s="36" t="s">
        <v>49</v>
      </c>
      <c r="C42" s="60"/>
      <c r="D42" s="47" t="s">
        <v>47</v>
      </c>
      <c r="E42" s="42"/>
      <c r="F42" s="385">
        <v>0.36699999999999999</v>
      </c>
      <c r="G42" s="42">
        <f>ROUND($E$41*$F42,0)</f>
        <v>669775</v>
      </c>
      <c r="H42" s="36"/>
      <c r="I42" s="42">
        <f>ROUND($E$41*$F42,0)</f>
        <v>669775</v>
      </c>
      <c r="L42" s="46"/>
    </row>
    <row r="43" spans="1:12">
      <c r="A43" s="36">
        <v>34</v>
      </c>
      <c r="B43" s="36"/>
      <c r="C43" s="60"/>
      <c r="D43" s="42"/>
      <c r="E43" s="42"/>
      <c r="F43" s="41"/>
      <c r="G43" s="42"/>
      <c r="H43" s="36"/>
      <c r="I43" s="42"/>
    </row>
    <row r="44" spans="1:12" hidden="1">
      <c r="A44" s="36">
        <v>35</v>
      </c>
      <c r="B44" s="36" t="s">
        <v>50</v>
      </c>
      <c r="C44" s="112"/>
      <c r="D44" s="42"/>
      <c r="E44" s="346"/>
      <c r="F44" s="41"/>
      <c r="G44" s="42"/>
      <c r="H44" s="36"/>
      <c r="I44" s="42"/>
      <c r="J44" s="36"/>
    </row>
    <row r="45" spans="1:12" hidden="1">
      <c r="A45" s="36">
        <v>36</v>
      </c>
      <c r="B45" s="36" t="s">
        <v>49</v>
      </c>
      <c r="C45" s="384" t="s">
        <v>48</v>
      </c>
      <c r="D45" s="47" t="s">
        <v>47</v>
      </c>
      <c r="E45" s="42"/>
      <c r="F45" s="385"/>
      <c r="G45" s="42">
        <f>ROUND($E$44*$F45,0)</f>
        <v>0</v>
      </c>
      <c r="H45" s="36"/>
      <c r="I45" s="42">
        <f>ROUND($E$44*$F45,0)</f>
        <v>0</v>
      </c>
      <c r="J45" s="36"/>
      <c r="L45" s="46"/>
    </row>
    <row r="46" spans="1:12" hidden="1">
      <c r="A46" s="36">
        <v>37</v>
      </c>
      <c r="B46" s="36"/>
      <c r="C46" s="60"/>
      <c r="D46" s="36"/>
      <c r="E46" s="36"/>
      <c r="F46" s="41"/>
      <c r="G46" s="36"/>
      <c r="H46" s="36"/>
      <c r="I46" s="36"/>
    </row>
    <row r="47" spans="1:12">
      <c r="A47" s="36">
        <v>38</v>
      </c>
      <c r="B47" s="36" t="s">
        <v>46</v>
      </c>
      <c r="C47" s="60"/>
      <c r="D47" s="42"/>
      <c r="E47" s="43">
        <f>SUM(E38:E46)</f>
        <v>5145769</v>
      </c>
      <c r="F47" s="41"/>
      <c r="G47" s="43">
        <f>SUM(G38:G46)</f>
        <v>2061177</v>
      </c>
      <c r="H47" s="36"/>
      <c r="I47" s="43">
        <f>SUM(I38:I46)</f>
        <v>2061177</v>
      </c>
    </row>
    <row r="48" spans="1:12">
      <c r="A48" s="36">
        <v>39</v>
      </c>
      <c r="B48" s="36"/>
      <c r="C48" s="60"/>
      <c r="D48" s="42"/>
      <c r="E48" s="56"/>
      <c r="F48" s="41"/>
      <c r="G48" s="56"/>
      <c r="H48" s="36"/>
      <c r="I48" s="56"/>
    </row>
    <row r="49" spans="1:12" ht="15">
      <c r="A49" s="36">
        <v>40</v>
      </c>
      <c r="B49" s="52" t="s">
        <v>375</v>
      </c>
      <c r="C49" s="60"/>
      <c r="D49" s="42"/>
      <c r="E49" s="42"/>
      <c r="F49" s="41"/>
      <c r="G49" s="42"/>
      <c r="H49" s="36"/>
      <c r="I49" s="42"/>
    </row>
    <row r="50" spans="1:12">
      <c r="A50" s="36">
        <v>41</v>
      </c>
      <c r="B50" s="36" t="s">
        <v>50</v>
      </c>
      <c r="C50" s="112">
        <v>39787</v>
      </c>
      <c r="D50" s="42"/>
      <c r="E50" s="346">
        <v>2309720</v>
      </c>
      <c r="F50" s="41"/>
      <c r="G50" s="42"/>
      <c r="H50" s="36"/>
      <c r="I50" s="42"/>
    </row>
    <row r="51" spans="1:12">
      <c r="A51" s="36">
        <v>42</v>
      </c>
      <c r="B51" s="36" t="s">
        <v>49</v>
      </c>
      <c r="C51" s="384" t="s">
        <v>48</v>
      </c>
      <c r="D51" s="47" t="s">
        <v>47</v>
      </c>
      <c r="E51" s="42"/>
      <c r="F51" s="385">
        <v>0.27800000000000002</v>
      </c>
      <c r="G51" s="42">
        <f>ROUND($E$50*$F51,0)</f>
        <v>642102</v>
      </c>
      <c r="H51" s="36"/>
      <c r="I51" s="42">
        <f>ROUND($E$50*$F51,0)</f>
        <v>642102</v>
      </c>
    </row>
    <row r="52" spans="1:12">
      <c r="A52" s="36">
        <v>43</v>
      </c>
      <c r="B52" s="36"/>
      <c r="C52" s="60"/>
      <c r="D52" s="36"/>
      <c r="E52" s="36"/>
      <c r="F52" s="41"/>
      <c r="G52" s="36"/>
      <c r="H52" s="36"/>
      <c r="I52" s="36"/>
    </row>
    <row r="53" spans="1:12">
      <c r="A53" s="36">
        <v>44</v>
      </c>
      <c r="B53" s="36" t="s">
        <v>376</v>
      </c>
      <c r="C53" s="36"/>
      <c r="D53" s="42"/>
      <c r="E53" s="43">
        <f>SUM(E50:E52)</f>
        <v>2309720</v>
      </c>
      <c r="F53" s="41"/>
      <c r="G53" s="43">
        <f>SUM(G50:G52)</f>
        <v>642102</v>
      </c>
      <c r="H53" s="36"/>
      <c r="I53" s="43">
        <f>SUM(I50:I52)</f>
        <v>642102</v>
      </c>
    </row>
    <row r="54" spans="1:12">
      <c r="A54" s="36">
        <v>45</v>
      </c>
      <c r="B54" s="36"/>
      <c r="C54" s="60"/>
      <c r="D54" s="42"/>
      <c r="E54" s="56"/>
      <c r="F54" s="41"/>
      <c r="G54" s="56"/>
      <c r="H54" s="36"/>
      <c r="I54" s="56"/>
    </row>
    <row r="55" spans="1:12" ht="15">
      <c r="A55" s="36">
        <v>46</v>
      </c>
      <c r="B55" s="52" t="s">
        <v>386</v>
      </c>
      <c r="C55" s="60"/>
      <c r="D55" s="42"/>
      <c r="E55" s="42"/>
      <c r="F55" s="41"/>
      <c r="G55" s="42"/>
      <c r="H55" s="36"/>
      <c r="I55" s="42"/>
    </row>
    <row r="56" spans="1:12">
      <c r="A56" s="36">
        <v>47</v>
      </c>
      <c r="B56" s="36" t="s">
        <v>50</v>
      </c>
      <c r="C56" s="112">
        <v>36773</v>
      </c>
      <c r="D56" s="42"/>
      <c r="E56" s="346">
        <v>1825000</v>
      </c>
      <c r="F56" s="41"/>
      <c r="G56" s="42"/>
      <c r="H56" s="36"/>
      <c r="I56" s="42"/>
    </row>
    <row r="57" spans="1:12">
      <c r="A57" s="36">
        <v>48</v>
      </c>
      <c r="B57" s="36" t="s">
        <v>49</v>
      </c>
      <c r="C57" s="384" t="s">
        <v>48</v>
      </c>
      <c r="D57" s="47" t="s">
        <v>47</v>
      </c>
      <c r="E57" s="42"/>
      <c r="F57" s="385">
        <v>0.14929999999999999</v>
      </c>
      <c r="G57" s="42">
        <f>ROUND($E$56*$F57,0)</f>
        <v>272473</v>
      </c>
      <c r="H57" s="36"/>
      <c r="I57" s="42">
        <f>ROUND($E$56*$F57,0)</f>
        <v>272473</v>
      </c>
      <c r="L57" s="46"/>
    </row>
    <row r="58" spans="1:12">
      <c r="A58" s="36">
        <v>49</v>
      </c>
      <c r="B58" s="36"/>
      <c r="C58" s="60"/>
      <c r="D58" s="36"/>
      <c r="E58" s="36"/>
      <c r="F58" s="41"/>
      <c r="G58" s="36"/>
      <c r="H58" s="36"/>
      <c r="I58" s="36"/>
      <c r="L58" s="423"/>
    </row>
    <row r="59" spans="1:12">
      <c r="A59" s="36">
        <v>50</v>
      </c>
      <c r="B59" s="36" t="s">
        <v>387</v>
      </c>
      <c r="C59" s="36"/>
      <c r="D59" s="42"/>
      <c r="E59" s="43">
        <f>SUM(E56:E58)</f>
        <v>1825000</v>
      </c>
      <c r="F59" s="41"/>
      <c r="G59" s="43">
        <f>SUM(G56:G58)</f>
        <v>272473</v>
      </c>
      <c r="H59" s="36"/>
      <c r="I59" s="43">
        <f>SUM(I56:I58)</f>
        <v>272473</v>
      </c>
    </row>
    <row r="60" spans="1:12">
      <c r="A60" s="36">
        <v>51</v>
      </c>
    </row>
    <row r="61" spans="1:12">
      <c r="A61" s="36">
        <v>52</v>
      </c>
      <c r="B61" s="34" t="s">
        <v>45</v>
      </c>
      <c r="E61" s="38">
        <f>E14</f>
        <v>12175247</v>
      </c>
      <c r="F61" s="38"/>
      <c r="G61" s="38">
        <f>G14</f>
        <v>3759716</v>
      </c>
      <c r="H61" s="38"/>
      <c r="I61" s="38">
        <f>I14</f>
        <v>3759716</v>
      </c>
    </row>
    <row r="62" spans="1:12">
      <c r="A62" s="36">
        <v>53</v>
      </c>
      <c r="B62" s="34" t="s">
        <v>44</v>
      </c>
      <c r="E62" s="38">
        <f>E26</f>
        <v>37430188</v>
      </c>
      <c r="F62" s="38"/>
      <c r="G62" s="38">
        <f>G26</f>
        <v>12677297</v>
      </c>
      <c r="H62" s="38"/>
      <c r="I62" s="38">
        <f>I26</f>
        <v>12677297</v>
      </c>
    </row>
    <row r="63" spans="1:12">
      <c r="A63" s="36">
        <v>54</v>
      </c>
      <c r="B63" s="34" t="s">
        <v>43</v>
      </c>
      <c r="E63" s="38">
        <f>E35</f>
        <v>323400</v>
      </c>
      <c r="F63" s="38"/>
      <c r="G63" s="38">
        <f>G35</f>
        <v>106140</v>
      </c>
      <c r="H63" s="38"/>
      <c r="I63" s="38">
        <f>I35</f>
        <v>106140</v>
      </c>
    </row>
    <row r="64" spans="1:12">
      <c r="A64" s="36">
        <v>55</v>
      </c>
      <c r="B64" s="34" t="s">
        <v>46</v>
      </c>
      <c r="E64" s="38">
        <f>E47</f>
        <v>5145769</v>
      </c>
      <c r="F64" s="38"/>
      <c r="G64" s="38">
        <f>G47</f>
        <v>2061177</v>
      </c>
      <c r="H64" s="38"/>
      <c r="I64" s="38">
        <f>I47</f>
        <v>2061177</v>
      </c>
    </row>
    <row r="65" spans="1:9">
      <c r="A65" s="36">
        <v>56</v>
      </c>
      <c r="B65" s="34" t="s">
        <v>376</v>
      </c>
      <c r="E65" s="38">
        <f>E53</f>
        <v>2309720</v>
      </c>
      <c r="F65" s="38"/>
      <c r="G65" s="38">
        <f>G53</f>
        <v>642102</v>
      </c>
      <c r="H65" s="38"/>
      <c r="I65" s="38">
        <f>I53</f>
        <v>642102</v>
      </c>
    </row>
    <row r="66" spans="1:9">
      <c r="A66" s="36">
        <v>57</v>
      </c>
      <c r="B66" s="34" t="s">
        <v>387</v>
      </c>
      <c r="E66" s="38">
        <f>E59</f>
        <v>1825000</v>
      </c>
      <c r="F66" s="38"/>
      <c r="G66" s="38">
        <f>G59</f>
        <v>272473</v>
      </c>
      <c r="H66" s="38"/>
      <c r="I66" s="38">
        <f>I59</f>
        <v>272473</v>
      </c>
    </row>
    <row r="67" spans="1:9">
      <c r="A67" s="36">
        <v>58</v>
      </c>
      <c r="B67" s="36"/>
      <c r="C67" s="36"/>
      <c r="E67" s="45"/>
      <c r="F67" s="35"/>
    </row>
    <row r="68" spans="1:9">
      <c r="A68" s="36">
        <v>59</v>
      </c>
      <c r="B68" s="36" t="s">
        <v>42</v>
      </c>
      <c r="C68" s="36"/>
      <c r="D68" s="42"/>
      <c r="E68" s="43">
        <f>SUM(E61:E66)</f>
        <v>59209324</v>
      </c>
      <c r="F68" s="41"/>
      <c r="G68" s="43">
        <f>SUM(G61:G66)</f>
        <v>19518905</v>
      </c>
      <c r="H68" s="44"/>
      <c r="I68" s="43">
        <f>SUM(I61:J66)</f>
        <v>19518905</v>
      </c>
    </row>
    <row r="69" spans="1:9">
      <c r="A69" s="36">
        <v>60</v>
      </c>
      <c r="B69" s="36"/>
      <c r="C69" s="36"/>
      <c r="D69" s="42"/>
      <c r="E69" s="42"/>
      <c r="F69" s="41"/>
      <c r="G69" s="42"/>
      <c r="H69" s="36"/>
      <c r="I69" s="42"/>
    </row>
    <row r="70" spans="1:9">
      <c r="A70" s="36">
        <v>61</v>
      </c>
      <c r="B70" s="36"/>
      <c r="C70" s="36"/>
      <c r="D70" s="36"/>
      <c r="E70" s="36"/>
      <c r="F70" s="41"/>
      <c r="G70" s="36"/>
      <c r="H70" s="36"/>
      <c r="I70" s="36"/>
    </row>
    <row r="71" spans="1:9" ht="15" thickBot="1">
      <c r="A71" s="36">
        <v>62</v>
      </c>
      <c r="B71" s="36" t="s">
        <v>41</v>
      </c>
      <c r="C71" s="36"/>
      <c r="D71" s="36"/>
      <c r="E71" s="42"/>
      <c r="F71" s="41"/>
      <c r="G71" s="39">
        <f>SUM(G68:G70)</f>
        <v>19518905</v>
      </c>
      <c r="H71" s="40"/>
      <c r="I71" s="39">
        <f>SUM(I68:I70)</f>
        <v>19518905</v>
      </c>
    </row>
    <row r="72" spans="1:9" ht="15" thickTop="1">
      <c r="A72" s="36"/>
      <c r="F72" s="35"/>
    </row>
    <row r="73" spans="1:9">
      <c r="A73" s="36"/>
      <c r="F73" s="35"/>
      <c r="G73" s="38"/>
    </row>
    <row r="74" spans="1:9">
      <c r="A74" s="36"/>
      <c r="F74" s="35"/>
    </row>
    <row r="75" spans="1:9">
      <c r="A75" s="36"/>
      <c r="F75" s="35"/>
    </row>
    <row r="76" spans="1:9">
      <c r="A76" s="36"/>
      <c r="F76" s="35"/>
      <c r="G76" s="37"/>
    </row>
    <row r="77" spans="1:9">
      <c r="A77" s="36"/>
      <c r="F77" s="35"/>
    </row>
    <row r="78" spans="1:9">
      <c r="A78" s="36"/>
      <c r="F78" s="35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L118"/>
  <sheetViews>
    <sheetView view="pageBreakPreview" zoomScaleNormal="80" zoomScaleSheetLayoutView="100" workbookViewId="0"/>
  </sheetViews>
  <sheetFormatPr defaultColWidth="9.85546875" defaultRowHeight="14.25"/>
  <cols>
    <col min="1" max="1" width="4.85546875" style="34" customWidth="1"/>
    <col min="2" max="2" width="17.140625" style="34" customWidth="1"/>
    <col min="3" max="3" width="23.42578125" style="34" customWidth="1"/>
    <col min="4" max="4" width="9.85546875" style="34" customWidth="1"/>
    <col min="5" max="5" width="13" style="34" bestFit="1" customWidth="1"/>
    <col min="6" max="6" width="10.85546875" style="34" customWidth="1"/>
    <col min="7" max="7" width="11.7109375" style="34" bestFit="1" customWidth="1"/>
    <col min="8" max="8" width="1.85546875" style="34" customWidth="1"/>
    <col min="9" max="9" width="13.5703125" style="34" customWidth="1"/>
    <col min="10" max="10" width="1.85546875" style="34" customWidth="1"/>
    <col min="11" max="11" width="11.28515625" style="34" customWidth="1"/>
    <col min="12" max="13" width="9.85546875" style="34"/>
    <col min="14" max="14" width="12.7109375" style="34" bestFit="1" customWidth="1"/>
    <col min="15" max="16384" width="9.85546875" style="34"/>
  </cols>
  <sheetData>
    <row r="1" spans="1:10" ht="15">
      <c r="A1" s="68" t="s">
        <v>31</v>
      </c>
      <c r="B1" s="51"/>
      <c r="C1" s="51"/>
      <c r="D1" s="51"/>
      <c r="E1" s="51"/>
      <c r="F1" s="51"/>
      <c r="G1" s="51"/>
      <c r="H1" s="51"/>
      <c r="I1" s="36" t="s">
        <v>72</v>
      </c>
      <c r="J1" s="36"/>
    </row>
    <row r="2" spans="1:10">
      <c r="A2" s="51" t="str">
        <f>B.1!A2</f>
        <v>Expected Gas Cost (EGC) Calculation</v>
      </c>
      <c r="B2" s="51"/>
      <c r="C2" s="51"/>
      <c r="D2" s="51"/>
      <c r="E2" s="51"/>
      <c r="F2" s="51"/>
      <c r="G2" s="51"/>
      <c r="H2" s="51"/>
      <c r="I2" s="36" t="s">
        <v>88</v>
      </c>
      <c r="J2" s="36"/>
    </row>
    <row r="3" spans="1:10">
      <c r="A3" s="67" t="s">
        <v>87</v>
      </c>
      <c r="B3" s="51"/>
      <c r="C3" s="51"/>
      <c r="D3" s="51"/>
      <c r="E3" s="51"/>
      <c r="F3" s="51"/>
      <c r="G3" s="51"/>
      <c r="H3" s="51"/>
      <c r="I3" s="51"/>
      <c r="J3" s="36"/>
    </row>
    <row r="4" spans="1:10">
      <c r="A4" s="36"/>
      <c r="B4" s="36"/>
      <c r="C4" s="36"/>
      <c r="D4" s="36"/>
      <c r="E4" s="36"/>
      <c r="F4" s="66"/>
      <c r="G4" s="36"/>
      <c r="H4" s="36"/>
      <c r="I4" s="36"/>
      <c r="J4" s="36"/>
    </row>
    <row r="5" spans="1:10" ht="15">
      <c r="A5" s="61"/>
      <c r="B5" s="36"/>
      <c r="C5" s="36"/>
      <c r="D5" s="60" t="s">
        <v>26</v>
      </c>
      <c r="E5" s="60" t="s">
        <v>25</v>
      </c>
      <c r="F5" s="60" t="s">
        <v>24</v>
      </c>
      <c r="G5" s="60" t="s">
        <v>68</v>
      </c>
      <c r="H5" s="36"/>
      <c r="I5" s="60" t="s">
        <v>67</v>
      </c>
      <c r="J5" s="36"/>
    </row>
    <row r="6" spans="1:10" ht="15">
      <c r="A6" s="61"/>
      <c r="B6" s="61"/>
      <c r="C6" s="61"/>
      <c r="D6" s="61"/>
      <c r="E6" s="61"/>
      <c r="F6" s="61"/>
      <c r="G6" s="65" t="s">
        <v>66</v>
      </c>
      <c r="H6" s="65"/>
      <c r="I6" s="65"/>
      <c r="J6" s="65"/>
    </row>
    <row r="7" spans="1:10" ht="15">
      <c r="A7" s="64" t="s">
        <v>23</v>
      </c>
      <c r="B7" s="61"/>
      <c r="C7" s="61"/>
      <c r="D7" s="64" t="s">
        <v>0</v>
      </c>
      <c r="E7" s="64" t="s">
        <v>65</v>
      </c>
      <c r="F7" s="61"/>
      <c r="G7" s="61"/>
      <c r="H7" s="61"/>
      <c r="I7" s="61"/>
      <c r="J7" s="61"/>
    </row>
    <row r="8" spans="1:10" ht="15">
      <c r="A8" s="63" t="s">
        <v>22</v>
      </c>
      <c r="B8" s="62" t="s">
        <v>21</v>
      </c>
      <c r="C8" s="62"/>
      <c r="D8" s="63" t="s">
        <v>64</v>
      </c>
      <c r="E8" s="63" t="s">
        <v>63</v>
      </c>
      <c r="F8" s="63" t="s">
        <v>62</v>
      </c>
      <c r="G8" s="63" t="s">
        <v>61</v>
      </c>
      <c r="H8" s="62"/>
      <c r="I8" s="63" t="s">
        <v>12</v>
      </c>
      <c r="J8" s="62"/>
    </row>
    <row r="9" spans="1:10" ht="15">
      <c r="A9" s="36"/>
      <c r="B9" s="61"/>
      <c r="C9" s="36"/>
      <c r="D9" s="36"/>
      <c r="E9" s="60" t="s">
        <v>60</v>
      </c>
      <c r="F9" s="60" t="s">
        <v>59</v>
      </c>
      <c r="G9" s="60" t="s">
        <v>58</v>
      </c>
      <c r="H9" s="36"/>
      <c r="I9" s="60" t="s">
        <v>58</v>
      </c>
      <c r="J9" s="36"/>
    </row>
    <row r="10" spans="1:10" ht="15">
      <c r="A10" s="36"/>
      <c r="B10" s="61"/>
      <c r="C10" s="36"/>
      <c r="D10" s="36"/>
      <c r="E10" s="36"/>
      <c r="F10" s="36"/>
      <c r="G10" s="36"/>
      <c r="H10" s="36"/>
      <c r="I10" s="36"/>
      <c r="J10" s="36"/>
    </row>
    <row r="11" spans="1:10" ht="15">
      <c r="A11" s="36">
        <v>1</v>
      </c>
      <c r="B11" s="52" t="s">
        <v>86</v>
      </c>
      <c r="C11" s="36"/>
      <c r="D11" s="42"/>
      <c r="E11" s="42"/>
      <c r="F11" s="58"/>
      <c r="G11" s="42"/>
      <c r="H11" s="36"/>
      <c r="I11" s="42"/>
      <c r="J11" s="36"/>
    </row>
    <row r="12" spans="1:10">
      <c r="A12" s="36">
        <v>2</v>
      </c>
      <c r="B12" s="36" t="s">
        <v>83</v>
      </c>
      <c r="C12" s="51">
        <v>2546</v>
      </c>
      <c r="D12" s="36"/>
      <c r="E12" s="346">
        <v>144000</v>
      </c>
      <c r="F12" s="347"/>
      <c r="G12" s="42"/>
      <c r="H12" s="36"/>
      <c r="I12" s="42"/>
      <c r="J12" s="36"/>
    </row>
    <row r="13" spans="1:10">
      <c r="A13" s="36">
        <v>3</v>
      </c>
      <c r="B13" s="36" t="s">
        <v>49</v>
      </c>
      <c r="C13" s="51"/>
      <c r="D13" s="70" t="s">
        <v>82</v>
      </c>
      <c r="E13" s="346"/>
      <c r="F13" s="347">
        <v>13.653</v>
      </c>
      <c r="G13" s="42">
        <f>ROUND($E$12*$F$13,0)</f>
        <v>1966032</v>
      </c>
      <c r="H13" s="36"/>
      <c r="I13" s="42">
        <f>ROUND($E$12*$F$13,0)</f>
        <v>1966032</v>
      </c>
      <c r="J13" s="36"/>
    </row>
    <row r="14" spans="1:10">
      <c r="A14" s="36">
        <v>4</v>
      </c>
      <c r="B14" s="36"/>
      <c r="C14" s="51"/>
      <c r="D14" s="36"/>
      <c r="E14" s="346"/>
      <c r="F14" s="347"/>
      <c r="G14" s="42"/>
      <c r="H14" s="36"/>
      <c r="I14" s="42"/>
      <c r="J14" s="36"/>
    </row>
    <row r="15" spans="1:10">
      <c r="A15" s="36">
        <v>5</v>
      </c>
      <c r="B15" s="36" t="s">
        <v>374</v>
      </c>
      <c r="C15" s="51">
        <v>95033</v>
      </c>
      <c r="D15" s="42"/>
      <c r="E15" s="346">
        <v>144000</v>
      </c>
      <c r="F15" s="347"/>
      <c r="G15" s="42"/>
      <c r="H15" s="36"/>
      <c r="I15" s="42"/>
      <c r="J15" s="36"/>
    </row>
    <row r="16" spans="1:10">
      <c r="A16" s="36">
        <v>6</v>
      </c>
      <c r="B16" s="36" t="s">
        <v>49</v>
      </c>
      <c r="C16" s="51"/>
      <c r="D16" s="70">
        <v>14</v>
      </c>
      <c r="E16" s="346"/>
      <c r="F16" s="347">
        <v>13.653</v>
      </c>
      <c r="G16" s="42">
        <f>ROUND($E$15*$F$16,0)</f>
        <v>1966032</v>
      </c>
      <c r="H16" s="36"/>
      <c r="I16" s="42">
        <f>ROUND($E$15*$F$16,0)</f>
        <v>1966032</v>
      </c>
      <c r="J16" s="36"/>
    </row>
    <row r="17" spans="1:10">
      <c r="A17" s="36">
        <v>7</v>
      </c>
      <c r="B17" s="36"/>
      <c r="C17" s="51"/>
      <c r="D17" s="70"/>
      <c r="E17" s="346"/>
      <c r="F17" s="347"/>
      <c r="G17" s="42"/>
      <c r="H17" s="36"/>
      <c r="I17" s="42"/>
      <c r="J17" s="36"/>
    </row>
    <row r="18" spans="1:10">
      <c r="A18" s="36">
        <v>8</v>
      </c>
      <c r="B18" s="36" t="s">
        <v>85</v>
      </c>
      <c r="C18" s="36"/>
      <c r="D18" s="42"/>
      <c r="E18" s="43">
        <f>SUM(E12:E17)</f>
        <v>288000</v>
      </c>
      <c r="F18" s="41"/>
      <c r="G18" s="43">
        <f>SUM(G12:G17)</f>
        <v>3932064</v>
      </c>
      <c r="H18" s="36"/>
      <c r="I18" s="43">
        <f>SUM(I12:I17)</f>
        <v>3932064</v>
      </c>
      <c r="J18" s="36"/>
    </row>
    <row r="19" spans="1:10">
      <c r="A19" s="36">
        <v>9</v>
      </c>
      <c r="B19" s="36"/>
      <c r="C19" s="36"/>
      <c r="D19" s="42"/>
      <c r="E19" s="56"/>
      <c r="F19" s="41"/>
      <c r="G19" s="56"/>
      <c r="H19" s="36"/>
      <c r="I19" s="56"/>
      <c r="J19" s="36"/>
    </row>
    <row r="20" spans="1:10" ht="15">
      <c r="A20" s="36">
        <v>10</v>
      </c>
      <c r="B20" s="52" t="s">
        <v>84</v>
      </c>
      <c r="C20" s="36"/>
      <c r="D20" s="42"/>
      <c r="E20" s="56"/>
      <c r="F20" s="41"/>
      <c r="G20" s="56"/>
      <c r="H20" s="36"/>
      <c r="I20" s="56"/>
      <c r="J20" s="36"/>
    </row>
    <row r="21" spans="1:10">
      <c r="A21" s="36">
        <v>11</v>
      </c>
      <c r="B21" s="36" t="s">
        <v>374</v>
      </c>
      <c r="C21" s="51">
        <v>300264</v>
      </c>
      <c r="D21" s="42"/>
      <c r="E21" s="346">
        <v>30000</v>
      </c>
      <c r="F21" s="347"/>
      <c r="G21" s="42"/>
      <c r="H21" s="36"/>
      <c r="I21" s="42"/>
      <c r="J21" s="36"/>
    </row>
    <row r="22" spans="1:10">
      <c r="A22" s="36">
        <v>12</v>
      </c>
      <c r="B22" s="36" t="s">
        <v>49</v>
      </c>
      <c r="C22" s="51"/>
      <c r="D22" s="70">
        <v>14</v>
      </c>
      <c r="E22" s="346"/>
      <c r="F22" s="347">
        <v>9.2715999999999994</v>
      </c>
      <c r="G22" s="42">
        <f>ROUND($E$21*$F$22,0)</f>
        <v>278148</v>
      </c>
      <c r="H22" s="36"/>
      <c r="I22" s="42">
        <f>ROUND($E$21*$F$22,0)</f>
        <v>278148</v>
      </c>
      <c r="J22" s="36"/>
    </row>
    <row r="23" spans="1:10">
      <c r="A23" s="36">
        <v>13</v>
      </c>
      <c r="B23" s="36"/>
      <c r="C23" s="36"/>
      <c r="D23" s="42"/>
      <c r="E23" s="56"/>
      <c r="F23" s="41"/>
      <c r="G23" s="56"/>
      <c r="H23" s="36"/>
      <c r="I23" s="56"/>
      <c r="J23" s="36"/>
    </row>
    <row r="24" spans="1:10">
      <c r="A24" s="36">
        <v>14</v>
      </c>
      <c r="B24" s="36" t="s">
        <v>383</v>
      </c>
      <c r="C24" s="36"/>
      <c r="D24" s="42"/>
      <c r="E24" s="43">
        <f>+SUM(E21:E23)</f>
        <v>30000</v>
      </c>
      <c r="F24" s="41"/>
      <c r="G24" s="43">
        <f>+SUM(G21:G23)</f>
        <v>278148</v>
      </c>
      <c r="H24" s="56"/>
      <c r="I24" s="43">
        <f t="shared" ref="I24" si="0">+SUM(I21:I23)</f>
        <v>278148</v>
      </c>
      <c r="J24" s="36"/>
    </row>
    <row r="25" spans="1:10" ht="15">
      <c r="A25" s="36">
        <v>15</v>
      </c>
      <c r="B25" s="61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>
        <v>16</v>
      </c>
      <c r="B26" s="52" t="s">
        <v>81</v>
      </c>
      <c r="C26" s="36"/>
      <c r="D26" s="36"/>
      <c r="E26" s="36"/>
      <c r="F26" s="36"/>
      <c r="G26" s="36"/>
      <c r="H26" s="36"/>
      <c r="I26" s="36"/>
      <c r="J26" s="36"/>
    </row>
    <row r="27" spans="1:10">
      <c r="A27" s="36">
        <v>17</v>
      </c>
      <c r="B27" s="36" t="s">
        <v>80</v>
      </c>
      <c r="C27" s="36"/>
      <c r="D27" s="36"/>
      <c r="E27" s="36"/>
      <c r="F27" s="36"/>
      <c r="G27" s="36"/>
      <c r="H27" s="36"/>
      <c r="I27" s="36"/>
      <c r="J27" s="36"/>
    </row>
    <row r="28" spans="1:10">
      <c r="A28" s="36">
        <v>18</v>
      </c>
      <c r="B28" s="36" t="s">
        <v>76</v>
      </c>
      <c r="C28" s="48" t="s">
        <v>79</v>
      </c>
      <c r="D28" s="60">
        <v>61</v>
      </c>
      <c r="E28" s="346">
        <v>34968</v>
      </c>
      <c r="F28" s="347">
        <v>1.7824</v>
      </c>
      <c r="G28" s="42">
        <f>ROUND($E$28*$F$28,0)</f>
        <v>62327</v>
      </c>
      <c r="H28" s="36"/>
      <c r="I28" s="42">
        <f>ROUND($E$28*$F$28,0)</f>
        <v>62327</v>
      </c>
      <c r="J28" s="36"/>
    </row>
    <row r="29" spans="1:10">
      <c r="A29" s="36">
        <v>19</v>
      </c>
      <c r="B29" s="36" t="s">
        <v>75</v>
      </c>
      <c r="C29" s="48" t="s">
        <v>78</v>
      </c>
      <c r="D29" s="60">
        <v>61</v>
      </c>
      <c r="E29" s="346">
        <v>4916148</v>
      </c>
      <c r="F29" s="347">
        <v>1.8100000000000002E-2</v>
      </c>
      <c r="G29" s="42">
        <f>ROUND($E$29*$F$29,0)</f>
        <v>88982</v>
      </c>
      <c r="H29" s="36"/>
      <c r="I29" s="42">
        <f>ROUND($E$29*$F$29,0)</f>
        <v>88982</v>
      </c>
      <c r="J29" s="36"/>
    </row>
    <row r="30" spans="1:10">
      <c r="A30" s="36">
        <v>20</v>
      </c>
      <c r="B30" s="36" t="s">
        <v>77</v>
      </c>
      <c r="C30" s="36"/>
      <c r="D30" s="36"/>
      <c r="E30" s="346"/>
      <c r="F30" s="348"/>
      <c r="G30" s="42"/>
      <c r="H30" s="36"/>
      <c r="I30" s="42"/>
      <c r="J30" s="36"/>
    </row>
    <row r="31" spans="1:10">
      <c r="A31" s="36">
        <v>21</v>
      </c>
      <c r="B31" s="36" t="s">
        <v>76</v>
      </c>
      <c r="C31" s="36"/>
      <c r="D31" s="60">
        <v>61</v>
      </c>
      <c r="E31" s="346">
        <v>237408</v>
      </c>
      <c r="F31" s="347">
        <v>1.3093999999999999</v>
      </c>
      <c r="G31" s="42">
        <f>ROUND($E$31*$F$31,0)</f>
        <v>310862</v>
      </c>
      <c r="H31" s="36"/>
      <c r="I31" s="42">
        <f>ROUND($E$31*$F$31,0)</f>
        <v>310862</v>
      </c>
      <c r="J31" s="36"/>
    </row>
    <row r="32" spans="1:10">
      <c r="A32" s="36">
        <v>22</v>
      </c>
      <c r="B32" s="49" t="s">
        <v>75</v>
      </c>
      <c r="C32" s="36"/>
      <c r="D32" s="60">
        <v>61</v>
      </c>
      <c r="E32" s="407">
        <v>10846308</v>
      </c>
      <c r="F32" s="347">
        <v>1.7899999999999999E-2</v>
      </c>
      <c r="G32" s="69">
        <f>ROUND($E$32*$F$32,0)</f>
        <v>194149</v>
      </c>
      <c r="H32" s="36"/>
      <c r="I32" s="69">
        <f>ROUND($E$32*$F$32,0)</f>
        <v>194149</v>
      </c>
      <c r="J32" s="36"/>
    </row>
    <row r="33" spans="1:10">
      <c r="A33" s="36">
        <v>23</v>
      </c>
      <c r="B33" s="36" t="s">
        <v>74</v>
      </c>
      <c r="C33" s="36"/>
      <c r="D33" s="36"/>
      <c r="E33" s="42">
        <f>SUM(E28:E32)</f>
        <v>16034832</v>
      </c>
      <c r="F33" s="36"/>
      <c r="G33" s="42">
        <f>SUM(G28:G32)</f>
        <v>656320</v>
      </c>
      <c r="H33" s="36"/>
      <c r="I33" s="42">
        <f>SUM(I28:I32)</f>
        <v>656320</v>
      </c>
      <c r="J33" s="36"/>
    </row>
    <row r="34" spans="1:10">
      <c r="A34" s="36">
        <v>24</v>
      </c>
      <c r="J34" s="36"/>
    </row>
    <row r="35" spans="1:10" ht="15" thickBot="1">
      <c r="A35" s="36">
        <v>25</v>
      </c>
      <c r="B35" s="36" t="s">
        <v>73</v>
      </c>
      <c r="C35" s="36"/>
      <c r="D35" s="36"/>
      <c r="E35" s="36"/>
      <c r="F35" s="36"/>
      <c r="G35" s="39">
        <f>G18+G24+G33</f>
        <v>4866532</v>
      </c>
      <c r="H35" s="36"/>
      <c r="I35" s="39">
        <f>I18+I24+I33</f>
        <v>4866532</v>
      </c>
      <c r="J35" s="36"/>
    </row>
    <row r="36" spans="1:10" ht="15.75" thickTop="1">
      <c r="A36" s="36"/>
      <c r="B36" s="61"/>
      <c r="C36" s="36"/>
      <c r="D36" s="36"/>
      <c r="E36" s="36"/>
      <c r="F36" s="36"/>
      <c r="G36" s="36"/>
      <c r="H36" s="36"/>
      <c r="I36" s="36"/>
      <c r="J36" s="36"/>
    </row>
    <row r="37" spans="1:10" ht="15">
      <c r="A37" s="36"/>
      <c r="B37" s="61"/>
      <c r="C37" s="36"/>
      <c r="D37" s="36"/>
      <c r="E37" s="36"/>
      <c r="F37" s="36"/>
      <c r="G37" s="36"/>
      <c r="H37" s="36"/>
      <c r="I37" s="36"/>
      <c r="J37" s="36"/>
    </row>
    <row r="38" spans="1:10" ht="15">
      <c r="A38" s="36"/>
      <c r="B38" s="61"/>
      <c r="C38" s="36"/>
      <c r="D38" s="36"/>
      <c r="E38" s="36"/>
      <c r="F38" s="36"/>
      <c r="G38" s="36"/>
      <c r="H38" s="36"/>
      <c r="I38" s="42"/>
      <c r="J38" s="36"/>
    </row>
    <row r="39" spans="1:10" ht="15">
      <c r="A39" s="36"/>
      <c r="B39" s="61"/>
      <c r="C39" s="36"/>
      <c r="D39" s="36"/>
      <c r="E39" s="36"/>
      <c r="F39" s="36"/>
      <c r="G39" s="36"/>
      <c r="H39" s="36"/>
      <c r="I39" s="36"/>
      <c r="J39" s="36"/>
    </row>
    <row r="40" spans="1:10" ht="15">
      <c r="A40" s="36"/>
      <c r="B40" s="61"/>
      <c r="C40" s="36"/>
      <c r="D40" s="36"/>
      <c r="E40" s="36"/>
      <c r="F40" s="36"/>
      <c r="G40" s="36"/>
      <c r="H40" s="36"/>
      <c r="I40" s="36"/>
      <c r="J40" s="36"/>
    </row>
    <row r="41" spans="1:10" ht="15">
      <c r="A41" s="36"/>
      <c r="B41" s="61"/>
      <c r="C41" s="36"/>
      <c r="D41" s="36"/>
      <c r="E41" s="36"/>
      <c r="F41" s="36"/>
      <c r="G41" s="36"/>
      <c r="H41" s="36"/>
      <c r="I41" s="36"/>
      <c r="J41" s="36"/>
    </row>
    <row r="42" spans="1:10" ht="15">
      <c r="A42" s="36"/>
      <c r="B42" s="61"/>
      <c r="C42" s="36"/>
      <c r="D42" s="36"/>
      <c r="E42" s="36"/>
      <c r="F42" s="36"/>
      <c r="G42" s="36"/>
      <c r="H42" s="36"/>
      <c r="I42" s="36"/>
      <c r="J42" s="36"/>
    </row>
    <row r="43" spans="1:10" ht="15">
      <c r="A43" s="36"/>
      <c r="B43" s="61"/>
      <c r="C43" s="36"/>
      <c r="D43" s="36"/>
      <c r="E43" s="36"/>
      <c r="F43" s="36"/>
      <c r="G43" s="36"/>
      <c r="H43" s="36"/>
      <c r="I43" s="36"/>
      <c r="J43" s="36"/>
    </row>
    <row r="44" spans="1:10" ht="15">
      <c r="A44" s="36"/>
      <c r="B44" s="61"/>
      <c r="C44" s="36"/>
      <c r="D44" s="36"/>
      <c r="E44" s="36"/>
      <c r="F44" s="36"/>
      <c r="G44" s="36"/>
      <c r="H44" s="36"/>
      <c r="I44" s="36"/>
      <c r="J44" s="36"/>
    </row>
    <row r="45" spans="1:10" ht="15">
      <c r="A45" s="36"/>
      <c r="B45" s="61"/>
      <c r="C45" s="36"/>
      <c r="D45" s="36"/>
      <c r="E45" s="36"/>
      <c r="F45" s="36"/>
      <c r="G45" s="36"/>
      <c r="H45" s="36"/>
      <c r="I45" s="36"/>
      <c r="J45" s="36"/>
    </row>
    <row r="46" spans="1:10" ht="15">
      <c r="A46" s="36"/>
      <c r="B46" s="61"/>
      <c r="C46" s="36"/>
      <c r="D46" s="36"/>
      <c r="E46" s="36"/>
      <c r="F46" s="36"/>
      <c r="G46" s="36"/>
      <c r="H46" s="36"/>
      <c r="I46" s="36"/>
      <c r="J46" s="36"/>
    </row>
    <row r="47" spans="1:10" ht="15">
      <c r="A47" s="36"/>
      <c r="B47" s="61"/>
      <c r="C47" s="36"/>
      <c r="D47" s="36"/>
      <c r="E47" s="36"/>
      <c r="F47" s="36"/>
      <c r="G47" s="36"/>
      <c r="H47" s="36"/>
      <c r="I47" s="36"/>
      <c r="J47" s="36"/>
    </row>
    <row r="48" spans="1:10" ht="15">
      <c r="A48" s="36"/>
      <c r="B48" s="61"/>
      <c r="C48" s="36"/>
      <c r="D48" s="36"/>
      <c r="E48" s="36"/>
      <c r="F48" s="36"/>
      <c r="G48" s="36"/>
      <c r="H48" s="36"/>
      <c r="I48" s="36"/>
      <c r="J48" s="36"/>
    </row>
    <row r="49" spans="1:10" ht="15">
      <c r="A49" s="36"/>
      <c r="B49" s="61"/>
      <c r="C49" s="36"/>
      <c r="D49" s="36"/>
      <c r="E49" s="36"/>
      <c r="F49" s="36"/>
      <c r="G49" s="36"/>
      <c r="H49" s="36"/>
      <c r="I49" s="36"/>
      <c r="J49" s="36"/>
    </row>
    <row r="50" spans="1:10" ht="15">
      <c r="A50" s="36"/>
      <c r="B50" s="61"/>
      <c r="C50" s="36"/>
      <c r="D50" s="36"/>
      <c r="E50" s="36"/>
      <c r="F50" s="36"/>
      <c r="G50" s="36"/>
      <c r="H50" s="36"/>
      <c r="I50" s="36"/>
      <c r="J50" s="36"/>
    </row>
    <row r="51" spans="1:10" ht="15">
      <c r="A51" s="36"/>
      <c r="B51" s="61"/>
      <c r="C51" s="36"/>
      <c r="D51" s="36"/>
      <c r="E51" s="36"/>
      <c r="F51" s="36"/>
      <c r="G51" s="36"/>
      <c r="H51" s="36"/>
      <c r="I51" s="36"/>
      <c r="J51" s="36"/>
    </row>
    <row r="52" spans="1:10" ht="15">
      <c r="A52" s="36"/>
      <c r="B52" s="61"/>
      <c r="C52" s="36"/>
      <c r="D52" s="36"/>
      <c r="E52" s="36"/>
      <c r="F52" s="36"/>
      <c r="G52" s="36"/>
      <c r="H52" s="36"/>
      <c r="I52" s="36"/>
      <c r="J52" s="36"/>
    </row>
    <row r="53" spans="1:10" ht="15">
      <c r="A53" s="36"/>
      <c r="B53" s="61"/>
      <c r="C53" s="36"/>
      <c r="D53" s="36"/>
      <c r="E53" s="36"/>
      <c r="F53" s="36"/>
      <c r="G53" s="36"/>
      <c r="H53" s="36"/>
      <c r="I53" s="36"/>
      <c r="J53" s="36"/>
    </row>
    <row r="54" spans="1:10" ht="15">
      <c r="A54" s="36"/>
      <c r="B54" s="61"/>
      <c r="C54" s="36"/>
      <c r="D54" s="36"/>
      <c r="E54" s="36"/>
      <c r="F54" s="36"/>
      <c r="G54" s="36"/>
      <c r="H54" s="36"/>
      <c r="I54" s="36"/>
      <c r="J54" s="36"/>
    </row>
    <row r="55" spans="1:10" ht="15">
      <c r="A55" s="36"/>
      <c r="B55" s="61"/>
      <c r="C55" s="36"/>
      <c r="D55" s="36"/>
      <c r="E55" s="36"/>
      <c r="F55" s="36"/>
      <c r="G55" s="36"/>
      <c r="H55" s="36"/>
      <c r="I55" s="36"/>
      <c r="J55" s="36"/>
    </row>
    <row r="56" spans="1:10" ht="15">
      <c r="A56" s="36"/>
      <c r="B56" s="61"/>
      <c r="C56" s="36"/>
      <c r="D56" s="36"/>
      <c r="E56" s="36"/>
      <c r="F56" s="36"/>
      <c r="G56" s="36"/>
      <c r="H56" s="36"/>
      <c r="I56" s="36"/>
      <c r="J56" s="36"/>
    </row>
    <row r="57" spans="1:10" ht="15">
      <c r="A57" s="36"/>
      <c r="B57" s="61"/>
      <c r="C57" s="36"/>
      <c r="D57" s="36"/>
      <c r="E57" s="36"/>
      <c r="F57" s="36"/>
      <c r="G57" s="36"/>
      <c r="H57" s="36"/>
      <c r="I57" s="36"/>
      <c r="J57" s="36"/>
    </row>
    <row r="58" spans="1:10" ht="15">
      <c r="A58" s="36"/>
      <c r="B58" s="61"/>
      <c r="C58" s="36"/>
      <c r="D58" s="36"/>
      <c r="E58" s="36"/>
      <c r="F58" s="36"/>
      <c r="G58" s="36"/>
      <c r="H58" s="36"/>
      <c r="I58" s="36"/>
      <c r="J58" s="36"/>
    </row>
    <row r="59" spans="1:10" ht="15">
      <c r="A59" s="36"/>
      <c r="B59" s="61"/>
      <c r="C59" s="36"/>
      <c r="D59" s="36"/>
      <c r="E59" s="36"/>
      <c r="F59" s="36"/>
      <c r="G59" s="36"/>
      <c r="H59" s="36"/>
      <c r="I59" s="36"/>
      <c r="J59" s="36"/>
    </row>
    <row r="60" spans="1:10" ht="15">
      <c r="A60" s="36"/>
      <c r="B60" s="61"/>
      <c r="C60" s="36"/>
      <c r="D60" s="36"/>
      <c r="E60" s="36"/>
      <c r="F60" s="36"/>
      <c r="G60" s="36"/>
      <c r="H60" s="36"/>
      <c r="I60" s="36"/>
      <c r="J60" s="36"/>
    </row>
    <row r="61" spans="1:10" ht="15">
      <c r="A61" s="36"/>
      <c r="B61" s="61"/>
      <c r="C61" s="36"/>
      <c r="D61" s="36"/>
      <c r="E61" s="36"/>
      <c r="F61" s="36"/>
      <c r="G61" s="36"/>
      <c r="H61" s="36"/>
      <c r="I61" s="36"/>
      <c r="J61" s="36"/>
    </row>
    <row r="62" spans="1:10" ht="15">
      <c r="A62" s="36"/>
      <c r="B62" s="61"/>
      <c r="C62" s="36"/>
      <c r="D62" s="36"/>
      <c r="E62" s="36"/>
      <c r="F62" s="36"/>
      <c r="G62" s="36"/>
      <c r="H62" s="36"/>
      <c r="I62" s="36"/>
      <c r="J62" s="36"/>
    </row>
    <row r="63" spans="1:10" ht="15">
      <c r="A63" s="36"/>
      <c r="B63" s="61"/>
      <c r="C63" s="36"/>
      <c r="D63" s="36"/>
      <c r="E63" s="36"/>
      <c r="F63" s="36"/>
      <c r="G63" s="36"/>
      <c r="H63" s="36"/>
      <c r="I63" s="36"/>
      <c r="J63" s="36"/>
    </row>
    <row r="64" spans="1:10" ht="15">
      <c r="A64" s="36"/>
      <c r="B64" s="61"/>
      <c r="C64" s="36"/>
      <c r="D64" s="36"/>
      <c r="E64" s="36"/>
      <c r="F64" s="36"/>
      <c r="G64" s="36"/>
      <c r="H64" s="36"/>
      <c r="I64" s="36"/>
      <c r="J64" s="36"/>
    </row>
    <row r="65" spans="1:12" ht="15">
      <c r="A65" s="36"/>
      <c r="B65" s="61"/>
      <c r="C65" s="36"/>
      <c r="D65" s="36"/>
      <c r="E65" s="36"/>
      <c r="F65" s="36"/>
      <c r="G65" s="36"/>
      <c r="H65" s="36"/>
      <c r="I65" s="36"/>
      <c r="J65" s="36"/>
    </row>
    <row r="66" spans="1:12" ht="15">
      <c r="A66" s="36"/>
      <c r="B66" s="61"/>
      <c r="C66" s="36"/>
      <c r="D66" s="36"/>
      <c r="E66" s="36"/>
      <c r="F66" s="36"/>
      <c r="G66" s="36"/>
      <c r="H66" s="36"/>
      <c r="I66" s="36"/>
      <c r="J66" s="36"/>
    </row>
    <row r="67" spans="1:12">
      <c r="A67" s="36"/>
    </row>
    <row r="68" spans="1:12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2">
      <c r="A69" s="36"/>
    </row>
    <row r="70" spans="1:12">
      <c r="A70" s="36"/>
    </row>
    <row r="71" spans="1:12">
      <c r="A71" s="36"/>
    </row>
    <row r="72" spans="1:12">
      <c r="A72" s="36"/>
    </row>
    <row r="73" spans="1:12">
      <c r="A73" s="36"/>
    </row>
    <row r="74" spans="1:12">
      <c r="A74" s="36"/>
      <c r="B74" s="36"/>
      <c r="C74" s="36"/>
      <c r="D74" s="36"/>
      <c r="E74" s="36"/>
      <c r="F74" s="36"/>
      <c r="G74" s="36"/>
      <c r="H74" s="36"/>
      <c r="I74" s="36"/>
      <c r="J74" s="36"/>
      <c r="L74" s="36"/>
    </row>
    <row r="76" spans="1:12">
      <c r="A76" s="36"/>
      <c r="L76" s="36"/>
    </row>
    <row r="80" spans="1:12">
      <c r="B80" s="36"/>
      <c r="C80" s="36"/>
      <c r="D80" s="36"/>
      <c r="E80" s="36"/>
      <c r="F80" s="36"/>
      <c r="G80" s="36"/>
      <c r="H80" s="36"/>
      <c r="I80" s="36"/>
      <c r="J80" s="36"/>
    </row>
    <row r="82" spans="1:12">
      <c r="A82" s="36"/>
      <c r="L82" s="36"/>
    </row>
    <row r="86" spans="1:12">
      <c r="B86" s="36"/>
      <c r="C86" s="36"/>
      <c r="D86" s="36"/>
      <c r="E86" s="36"/>
      <c r="F86" s="36"/>
      <c r="G86" s="36"/>
      <c r="H86" s="36"/>
      <c r="I86" s="36"/>
      <c r="J86" s="36"/>
    </row>
    <row r="88" spans="1:12">
      <c r="A88" s="36"/>
      <c r="L88" s="36"/>
    </row>
    <row r="94" spans="1:12">
      <c r="A94" s="36"/>
      <c r="L94" s="36"/>
    </row>
    <row r="110" spans="2:7">
      <c r="B110" s="36"/>
      <c r="C110" s="36"/>
      <c r="D110" s="36"/>
      <c r="E110" s="36"/>
      <c r="F110" s="36"/>
      <c r="G110" s="42"/>
    </row>
    <row r="118" spans="1:1">
      <c r="A118" s="36"/>
    </row>
  </sheetData>
  <printOptions horizontalCentered="1"/>
  <pageMargins left="0" right="0" top="0.75" bottom="0.25" header="0.5" footer="0.5"/>
  <pageSetup scale="9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P57"/>
  <sheetViews>
    <sheetView view="pageBreakPreview" zoomScale="85" zoomScaleNormal="80" zoomScaleSheetLayoutView="85" workbookViewId="0"/>
  </sheetViews>
  <sheetFormatPr defaultColWidth="9.85546875" defaultRowHeight="14.25"/>
  <cols>
    <col min="1" max="1" width="5.85546875" style="71" customWidth="1"/>
    <col min="2" max="2" width="16.85546875" style="71" customWidth="1"/>
    <col min="3" max="3" width="11.28515625" style="71" customWidth="1"/>
    <col min="4" max="4" width="17.85546875" style="71" bestFit="1" customWidth="1"/>
    <col min="5" max="5" width="8.42578125" style="71" bestFit="1" customWidth="1"/>
    <col min="6" max="6" width="13" style="71" bestFit="1" customWidth="1"/>
    <col min="7" max="7" width="16.140625" style="71" bestFit="1" customWidth="1"/>
    <col min="8" max="8" width="11.28515625" style="71" customWidth="1"/>
    <col min="9" max="9" width="14.140625" style="71" customWidth="1"/>
    <col min="10" max="10" width="10.140625" style="71" bestFit="1" customWidth="1"/>
    <col min="11" max="11" width="10.85546875" style="71" bestFit="1" customWidth="1"/>
    <col min="12" max="12" width="17.140625" style="71" bestFit="1" customWidth="1"/>
    <col min="13" max="13" width="11.7109375" style="71" bestFit="1" customWidth="1"/>
    <col min="14" max="16384" width="9.85546875" style="71"/>
  </cols>
  <sheetData>
    <row r="1" spans="1:13" ht="15">
      <c r="A1" s="109" t="s">
        <v>31</v>
      </c>
      <c r="B1" s="107"/>
      <c r="C1" s="107"/>
      <c r="D1" s="107"/>
      <c r="E1" s="51"/>
      <c r="F1" s="51"/>
      <c r="G1" s="51"/>
      <c r="H1" s="51"/>
      <c r="I1" s="87" t="s">
        <v>72</v>
      </c>
    </row>
    <row r="2" spans="1:13">
      <c r="A2" s="107" t="str">
        <f>B.1!A2</f>
        <v>Expected Gas Cost (EGC) Calculation</v>
      </c>
      <c r="B2" s="107"/>
      <c r="C2" s="107"/>
      <c r="D2" s="107"/>
      <c r="E2" s="51"/>
      <c r="F2" s="51"/>
      <c r="G2" s="51"/>
      <c r="H2" s="51"/>
      <c r="I2" s="87" t="s">
        <v>153</v>
      </c>
    </row>
    <row r="3" spans="1:13">
      <c r="A3" s="108" t="s">
        <v>152</v>
      </c>
      <c r="B3" s="107"/>
      <c r="C3" s="107"/>
      <c r="D3" s="107"/>
      <c r="E3" s="51"/>
      <c r="F3" s="51"/>
      <c r="G3" s="51"/>
      <c r="H3" s="51"/>
      <c r="I3" s="87"/>
    </row>
    <row r="4" spans="1:13">
      <c r="A4" s="87"/>
      <c r="B4" s="87"/>
      <c r="C4" s="87"/>
      <c r="D4" s="87"/>
      <c r="E4" s="36"/>
      <c r="F4" s="36"/>
      <c r="G4" s="36"/>
      <c r="H4" s="66"/>
      <c r="I4" s="87"/>
    </row>
    <row r="5" spans="1:13">
      <c r="A5" s="106"/>
      <c r="B5" s="87"/>
      <c r="C5" s="87"/>
      <c r="E5" s="34"/>
      <c r="F5" s="34"/>
      <c r="G5" s="34"/>
      <c r="H5" s="34"/>
    </row>
    <row r="6" spans="1:13" ht="15">
      <c r="A6" s="102"/>
      <c r="B6" s="102"/>
      <c r="C6" s="102"/>
      <c r="D6" s="92" t="s">
        <v>26</v>
      </c>
      <c r="E6" s="60" t="s">
        <v>25</v>
      </c>
      <c r="F6" s="60" t="s">
        <v>24</v>
      </c>
      <c r="G6" s="60" t="s">
        <v>68</v>
      </c>
      <c r="H6" s="60" t="s">
        <v>67</v>
      </c>
      <c r="I6" s="72" t="s">
        <v>151</v>
      </c>
    </row>
    <row r="7" spans="1:13" ht="15">
      <c r="A7" s="105" t="s">
        <v>23</v>
      </c>
      <c r="B7" s="102"/>
      <c r="C7" s="102"/>
      <c r="D7" s="105" t="s">
        <v>0</v>
      </c>
      <c r="E7" s="61"/>
      <c r="F7" s="124"/>
      <c r="G7" s="124"/>
      <c r="H7" s="61"/>
      <c r="I7" s="102"/>
    </row>
    <row r="8" spans="1:13" ht="15">
      <c r="A8" s="103" t="s">
        <v>22</v>
      </c>
      <c r="B8" s="104" t="s">
        <v>21</v>
      </c>
      <c r="C8" s="104"/>
      <c r="D8" s="103" t="s">
        <v>64</v>
      </c>
      <c r="E8" s="62"/>
      <c r="F8" s="65" t="s">
        <v>150</v>
      </c>
      <c r="G8" s="65"/>
      <c r="H8" s="63" t="s">
        <v>62</v>
      </c>
      <c r="I8" s="103" t="s">
        <v>61</v>
      </c>
      <c r="L8" s="342"/>
    </row>
    <row r="9" spans="1:13" ht="15">
      <c r="A9" s="87"/>
      <c r="B9" s="102"/>
      <c r="C9" s="87"/>
      <c r="D9" s="87"/>
      <c r="E9" s="36"/>
      <c r="F9" s="60" t="s">
        <v>3</v>
      </c>
      <c r="G9" s="60" t="s">
        <v>60</v>
      </c>
      <c r="H9" s="60" t="s">
        <v>59</v>
      </c>
      <c r="I9" s="92" t="s">
        <v>58</v>
      </c>
      <c r="L9" s="342"/>
    </row>
    <row r="10" spans="1:13" ht="15">
      <c r="A10" s="87"/>
      <c r="B10" s="101"/>
      <c r="C10" s="87"/>
      <c r="D10" s="36"/>
      <c r="E10" s="36"/>
      <c r="F10" s="36"/>
      <c r="G10" s="100"/>
      <c r="H10" s="36"/>
      <c r="I10" s="36"/>
      <c r="L10" s="342"/>
    </row>
    <row r="11" spans="1:13">
      <c r="A11" s="73" t="s">
        <v>149</v>
      </c>
      <c r="B11" s="96" t="s">
        <v>148</v>
      </c>
      <c r="C11" s="87"/>
      <c r="D11" s="36"/>
      <c r="E11" s="42"/>
      <c r="F11" s="42"/>
      <c r="G11" s="45">
        <v>2576291.3000000003</v>
      </c>
      <c r="H11" s="36"/>
      <c r="I11" s="36"/>
      <c r="K11" s="34"/>
      <c r="L11" s="342"/>
    </row>
    <row r="12" spans="1:13">
      <c r="A12" s="73" t="s">
        <v>36</v>
      </c>
      <c r="B12" s="87" t="s">
        <v>140</v>
      </c>
      <c r="C12" s="87"/>
      <c r="D12" s="36"/>
      <c r="E12" s="36"/>
      <c r="F12" s="36"/>
      <c r="G12" s="421"/>
      <c r="H12" s="41">
        <v>2.6549999999999998</v>
      </c>
      <c r="I12" s="42">
        <f>ROUND($G$11*$H$12,0)</f>
        <v>6840053</v>
      </c>
      <c r="K12" s="34"/>
      <c r="L12" s="342"/>
      <c r="M12" s="94"/>
    </row>
    <row r="13" spans="1:13">
      <c r="A13" s="73" t="s">
        <v>147</v>
      </c>
      <c r="B13" s="87" t="s">
        <v>124</v>
      </c>
      <c r="C13" s="87"/>
      <c r="D13" s="47" t="s">
        <v>51</v>
      </c>
      <c r="E13" s="36"/>
      <c r="F13" s="36"/>
      <c r="G13" s="422"/>
      <c r="H13" s="385">
        <v>4.9000000000000002E-2</v>
      </c>
      <c r="I13" s="42">
        <f>ROUND($G$11*$H$13,0)</f>
        <v>126238</v>
      </c>
      <c r="K13" s="46"/>
      <c r="L13" s="342"/>
    </row>
    <row r="14" spans="1:13">
      <c r="A14" s="73" t="s">
        <v>146</v>
      </c>
      <c r="B14" s="36" t="s">
        <v>122</v>
      </c>
      <c r="C14" s="36"/>
      <c r="D14" s="60" t="s">
        <v>121</v>
      </c>
      <c r="E14" s="438">
        <v>5.4000000000000003E-3</v>
      </c>
      <c r="F14" s="36"/>
      <c r="G14" s="421"/>
      <c r="H14" s="97">
        <f>ROUND(H12/(1-E14)-H12,4)</f>
        <v>1.44E-2</v>
      </c>
      <c r="I14" s="79">
        <f>ROUND($G$11*$H$14,0)</f>
        <v>37099</v>
      </c>
      <c r="K14" s="46"/>
      <c r="L14" s="342"/>
      <c r="M14" s="94"/>
    </row>
    <row r="15" spans="1:13">
      <c r="A15" s="73" t="s">
        <v>145</v>
      </c>
      <c r="B15" s="87"/>
      <c r="C15" s="87"/>
      <c r="D15" s="60"/>
      <c r="E15" s="348"/>
      <c r="F15" s="36"/>
      <c r="G15" s="421"/>
      <c r="H15" s="41">
        <f>SUM(H12:H14)</f>
        <v>2.7183999999999999</v>
      </c>
      <c r="I15" s="42">
        <f>SUM(I12:I14)</f>
        <v>7003390</v>
      </c>
      <c r="K15" s="34"/>
      <c r="L15" s="342"/>
    </row>
    <row r="16" spans="1:13">
      <c r="A16" s="73" t="s">
        <v>144</v>
      </c>
      <c r="B16" s="87"/>
      <c r="C16" s="87"/>
      <c r="D16" s="60"/>
      <c r="E16" s="348"/>
      <c r="F16" s="36"/>
      <c r="G16" s="421"/>
      <c r="H16" s="41"/>
      <c r="I16" s="42"/>
      <c r="L16" s="342"/>
      <c r="M16" s="94"/>
    </row>
    <row r="17" spans="1:16">
      <c r="A17" s="73" t="s">
        <v>143</v>
      </c>
      <c r="B17" s="96" t="s">
        <v>142</v>
      </c>
      <c r="C17" s="87"/>
      <c r="D17" s="60"/>
      <c r="E17" s="348"/>
      <c r="F17" s="36"/>
      <c r="G17" s="45">
        <v>2107874.7000000002</v>
      </c>
      <c r="H17" s="41"/>
      <c r="I17" s="42"/>
      <c r="K17" s="94"/>
      <c r="L17" s="342"/>
    </row>
    <row r="18" spans="1:16">
      <c r="A18" s="73" t="s">
        <v>141</v>
      </c>
      <c r="B18" s="87" t="s">
        <v>140</v>
      </c>
      <c r="C18" s="87"/>
      <c r="D18" s="60"/>
      <c r="E18" s="348"/>
      <c r="F18" s="36"/>
      <c r="G18" s="421"/>
      <c r="H18" s="41">
        <v>2.6549999999999998</v>
      </c>
      <c r="I18" s="42">
        <f>ROUND($G$17*$H$18,0)</f>
        <v>5596407</v>
      </c>
      <c r="L18" s="342"/>
    </row>
    <row r="19" spans="1:16">
      <c r="A19" s="73" t="s">
        <v>139</v>
      </c>
      <c r="B19" s="87" t="s">
        <v>138</v>
      </c>
      <c r="C19" s="87"/>
      <c r="D19" s="112"/>
      <c r="E19" s="348"/>
      <c r="F19" s="36"/>
      <c r="G19" s="421"/>
      <c r="H19" s="41">
        <f>I45</f>
        <v>4.420000000000001E-2</v>
      </c>
      <c r="I19" s="42">
        <f>ROUND($G$17*$H$19,0)</f>
        <v>93168</v>
      </c>
      <c r="L19" s="342"/>
    </row>
    <row r="20" spans="1:16" ht="15">
      <c r="A20" s="73" t="s">
        <v>137</v>
      </c>
      <c r="B20" s="87" t="s">
        <v>136</v>
      </c>
      <c r="C20" s="87"/>
      <c r="D20" s="47" t="s">
        <v>47</v>
      </c>
      <c r="E20" s="490"/>
      <c r="F20" s="36"/>
      <c r="G20" s="421"/>
      <c r="H20" s="385">
        <v>1.1000000000000001E-3</v>
      </c>
      <c r="I20" s="42">
        <f>ROUND($G$17*$H$20,0)</f>
        <v>2319</v>
      </c>
      <c r="J20" s="98"/>
      <c r="L20" s="342"/>
    </row>
    <row r="21" spans="1:16">
      <c r="A21" s="73" t="s">
        <v>135</v>
      </c>
      <c r="B21" s="36" t="s">
        <v>122</v>
      </c>
      <c r="C21" s="36"/>
      <c r="D21" s="60" t="s">
        <v>121</v>
      </c>
      <c r="E21" s="491">
        <f>E14</f>
        <v>5.4000000000000003E-3</v>
      </c>
      <c r="F21" s="36"/>
      <c r="G21" s="421"/>
      <c r="H21" s="97">
        <f>ROUND(H18/(1-E21)-H18,4)</f>
        <v>1.44E-2</v>
      </c>
      <c r="I21" s="79">
        <f>ROUND($G$17*$H$21,0)</f>
        <v>30353</v>
      </c>
      <c r="L21" s="342"/>
      <c r="M21" s="94"/>
    </row>
    <row r="22" spans="1:16">
      <c r="A22" s="73" t="s">
        <v>134</v>
      </c>
      <c r="B22" s="87"/>
      <c r="C22" s="87"/>
      <c r="D22" s="60"/>
      <c r="E22" s="490"/>
      <c r="F22" s="36"/>
      <c r="G22" s="421"/>
      <c r="H22" s="41">
        <f>SUM(H18:H21)</f>
        <v>2.7147000000000001</v>
      </c>
      <c r="I22" s="42">
        <f>SUM(I18:I21)</f>
        <v>5722247</v>
      </c>
      <c r="L22" s="342"/>
    </row>
    <row r="23" spans="1:16">
      <c r="A23" s="73" t="s">
        <v>133</v>
      </c>
      <c r="B23" s="96" t="s">
        <v>132</v>
      </c>
      <c r="C23" s="87"/>
      <c r="D23" s="60"/>
      <c r="E23" s="490"/>
      <c r="F23" s="36"/>
      <c r="G23" s="421"/>
      <c r="H23" s="41"/>
      <c r="I23" s="36"/>
      <c r="L23" s="342"/>
      <c r="M23" s="94"/>
    </row>
    <row r="24" spans="1:16">
      <c r="A24" s="73" t="s">
        <v>131</v>
      </c>
      <c r="B24" s="87" t="s">
        <v>130</v>
      </c>
      <c r="C24" s="87"/>
      <c r="D24" s="60"/>
      <c r="E24" s="490"/>
      <c r="F24" s="36"/>
      <c r="G24" s="34"/>
      <c r="H24" s="41"/>
      <c r="I24" s="36"/>
      <c r="L24" s="342"/>
    </row>
    <row r="25" spans="1:16">
      <c r="A25" s="73" t="s">
        <v>129</v>
      </c>
      <c r="B25" s="87" t="s">
        <v>128</v>
      </c>
      <c r="C25" s="87"/>
      <c r="D25" s="60"/>
      <c r="E25" s="490"/>
      <c r="F25" s="36"/>
      <c r="G25" s="46">
        <v>0</v>
      </c>
      <c r="H25" s="41">
        <v>1.929</v>
      </c>
      <c r="I25" s="42">
        <f>ROUND($G$25*$H$25,0)</f>
        <v>0</v>
      </c>
      <c r="K25" s="94"/>
      <c r="L25" s="342"/>
      <c r="M25" s="94"/>
      <c r="P25" s="95"/>
    </row>
    <row r="26" spans="1:16">
      <c r="A26" s="73" t="s">
        <v>127</v>
      </c>
      <c r="B26" s="87" t="s">
        <v>126</v>
      </c>
      <c r="D26" s="34"/>
      <c r="E26" s="492"/>
      <c r="F26" s="34"/>
      <c r="G26" s="46">
        <v>-1486168</v>
      </c>
      <c r="H26" s="41">
        <v>2.6549999999999998</v>
      </c>
      <c r="I26" s="46">
        <f>ROUND(G26*$H$26,4)</f>
        <v>-3945776.04</v>
      </c>
      <c r="L26" s="342"/>
    </row>
    <row r="27" spans="1:16">
      <c r="A27" s="73" t="s">
        <v>125</v>
      </c>
      <c r="B27" s="87" t="s">
        <v>124</v>
      </c>
      <c r="C27" s="87"/>
      <c r="D27" s="47" t="s">
        <v>51</v>
      </c>
      <c r="E27" s="490"/>
      <c r="F27" s="36"/>
      <c r="G27" s="42"/>
      <c r="H27" s="385">
        <v>4.9000000000000002E-2</v>
      </c>
      <c r="I27" s="42">
        <f>ROUND(($G$25+$G$26)*$H$27,0)</f>
        <v>-72822</v>
      </c>
      <c r="L27" s="342"/>
    </row>
    <row r="28" spans="1:16">
      <c r="A28" s="73" t="s">
        <v>123</v>
      </c>
      <c r="B28" s="87" t="s">
        <v>122</v>
      </c>
      <c r="C28" s="87"/>
      <c r="D28" s="60" t="s">
        <v>121</v>
      </c>
      <c r="E28" s="491">
        <f>E14</f>
        <v>5.4000000000000003E-3</v>
      </c>
      <c r="F28" s="36"/>
      <c r="G28" s="36"/>
      <c r="H28" s="97">
        <f>ROUND(H26/(1-E28)-H26,4)</f>
        <v>1.44E-2</v>
      </c>
      <c r="I28" s="79">
        <f>ROUND(($G$25+$G$26)*$H$28,0)</f>
        <v>-21401</v>
      </c>
      <c r="L28" s="342"/>
    </row>
    <row r="29" spans="1:16">
      <c r="A29" s="73" t="s">
        <v>120</v>
      </c>
      <c r="B29" s="87"/>
      <c r="C29" s="87"/>
      <c r="D29" s="36"/>
      <c r="E29" s="348"/>
      <c r="F29" s="36"/>
      <c r="G29" s="44">
        <f>G25+G26</f>
        <v>-1486168</v>
      </c>
      <c r="H29" s="41">
        <f>I29/G29</f>
        <v>2.7183999655489823</v>
      </c>
      <c r="I29" s="42">
        <f>SUM(I25:I28)</f>
        <v>-4039999.04</v>
      </c>
    </row>
    <row r="30" spans="1:16">
      <c r="A30" s="73" t="s">
        <v>119</v>
      </c>
      <c r="B30" s="87"/>
      <c r="C30" s="87"/>
      <c r="D30" s="36"/>
      <c r="E30" s="36"/>
      <c r="F30" s="36"/>
      <c r="G30" s="36"/>
      <c r="H30" s="41"/>
      <c r="I30" s="36"/>
    </row>
    <row r="31" spans="1:16">
      <c r="A31" s="73" t="s">
        <v>118</v>
      </c>
      <c r="B31" s="87"/>
      <c r="C31" s="87"/>
      <c r="D31" s="36"/>
      <c r="E31" s="36"/>
      <c r="F31" s="36"/>
      <c r="G31" s="36"/>
      <c r="H31" s="41"/>
      <c r="I31" s="36"/>
    </row>
    <row r="32" spans="1:16" ht="15" thickBot="1">
      <c r="A32" s="73" t="s">
        <v>117</v>
      </c>
      <c r="B32" s="87" t="s">
        <v>116</v>
      </c>
      <c r="C32" s="87"/>
      <c r="D32" s="36"/>
      <c r="E32" s="36"/>
      <c r="F32" s="42"/>
      <c r="G32" s="328">
        <f>G11+G17+G29</f>
        <v>3197998</v>
      </c>
      <c r="H32" s="110">
        <f>ROUND(I32/G32,4)</f>
        <v>2.7160000000000002</v>
      </c>
      <c r="I32" s="328">
        <f>I15+I22+I29</f>
        <v>8685637.9600000009</v>
      </c>
      <c r="L32" s="342"/>
    </row>
    <row r="33" spans="1:12" ht="15" thickTop="1">
      <c r="A33" s="73" t="s">
        <v>82</v>
      </c>
      <c r="D33" s="34"/>
      <c r="E33" s="34"/>
      <c r="F33" s="34"/>
      <c r="G33" s="34"/>
      <c r="H33" s="34"/>
      <c r="I33" s="34"/>
      <c r="J33" s="87"/>
      <c r="K33" s="87"/>
      <c r="L33" s="342"/>
    </row>
    <row r="34" spans="1:12">
      <c r="A34" s="73" t="s">
        <v>115</v>
      </c>
      <c r="D34" s="34"/>
      <c r="E34" s="34"/>
      <c r="F34" s="34"/>
      <c r="G34" s="34"/>
      <c r="H34" s="34"/>
      <c r="I34" s="34"/>
      <c r="J34" s="89"/>
      <c r="L34" s="342"/>
    </row>
    <row r="35" spans="1:12" ht="15" thickBot="1">
      <c r="A35" s="73" t="s">
        <v>114</v>
      </c>
      <c r="B35" s="93" t="s">
        <v>113</v>
      </c>
      <c r="C35" s="93"/>
      <c r="D35" s="329"/>
      <c r="E35" s="329"/>
      <c r="F35" s="329"/>
      <c r="G35" s="330"/>
      <c r="H35" s="329"/>
      <c r="I35" s="329"/>
      <c r="J35" s="89"/>
    </row>
    <row r="36" spans="1:12">
      <c r="A36" s="73" t="s">
        <v>112</v>
      </c>
      <c r="B36" s="89"/>
      <c r="C36" s="89"/>
      <c r="D36" s="55"/>
      <c r="E36" s="55"/>
      <c r="F36" s="55"/>
      <c r="G36" s="55"/>
      <c r="H36" s="55"/>
      <c r="I36" s="55"/>
      <c r="J36" s="89"/>
    </row>
    <row r="37" spans="1:12">
      <c r="A37" s="73" t="s">
        <v>111</v>
      </c>
      <c r="B37" s="89"/>
      <c r="C37" s="87"/>
      <c r="D37" s="36"/>
      <c r="E37" s="36"/>
      <c r="F37" s="60" t="s">
        <v>110</v>
      </c>
      <c r="G37" s="36"/>
      <c r="H37" s="60" t="s">
        <v>13</v>
      </c>
      <c r="I37" s="55"/>
      <c r="J37" s="89"/>
    </row>
    <row r="38" spans="1:12">
      <c r="A38" s="73" t="s">
        <v>109</v>
      </c>
      <c r="B38" s="89"/>
      <c r="C38" s="87"/>
      <c r="D38" s="36"/>
      <c r="E38" s="36"/>
      <c r="F38" s="60" t="s">
        <v>108</v>
      </c>
      <c r="G38" s="36"/>
      <c r="H38" s="126" t="s">
        <v>107</v>
      </c>
      <c r="I38" s="81" t="s">
        <v>106</v>
      </c>
      <c r="J38" s="89"/>
    </row>
    <row r="39" spans="1:12">
      <c r="A39" s="73" t="s">
        <v>105</v>
      </c>
      <c r="B39" s="91" t="s">
        <v>104</v>
      </c>
      <c r="C39" s="90" t="s">
        <v>103</v>
      </c>
      <c r="D39" s="81"/>
      <c r="E39" s="36"/>
      <c r="F39" s="131" t="s">
        <v>60</v>
      </c>
      <c r="G39" s="131" t="s">
        <v>102</v>
      </c>
      <c r="H39" s="131" t="s">
        <v>59</v>
      </c>
      <c r="I39" s="131" t="s">
        <v>101</v>
      </c>
      <c r="J39" s="89"/>
    </row>
    <row r="40" spans="1:12" s="34" customFormat="1">
      <c r="A40" s="73" t="s">
        <v>100</v>
      </c>
      <c r="B40" s="89" t="s">
        <v>57</v>
      </c>
      <c r="C40" s="88">
        <v>1</v>
      </c>
      <c r="D40" s="47" t="s">
        <v>47</v>
      </c>
      <c r="E40" s="36"/>
      <c r="F40" s="42">
        <f>B.1!E14</f>
        <v>12175247</v>
      </c>
      <c r="G40" s="85">
        <f>ROUND($F$40/$F$45,4)</f>
        <v>0.2122</v>
      </c>
      <c r="H40" s="437">
        <v>3.9899999999999998E-2</v>
      </c>
      <c r="I40" s="331">
        <f>ROUND(G40*H40,4)</f>
        <v>8.5000000000000006E-3</v>
      </c>
      <c r="J40" s="55"/>
    </row>
    <row r="41" spans="1:12" s="34" customFormat="1">
      <c r="A41" s="73" t="s">
        <v>99</v>
      </c>
      <c r="B41" s="55" t="s">
        <v>55</v>
      </c>
      <c r="C41" s="77"/>
      <c r="D41" s="47" t="s">
        <v>47</v>
      </c>
      <c r="E41" s="36"/>
      <c r="F41" s="42">
        <f>B.1!E26</f>
        <v>37430188</v>
      </c>
      <c r="G41" s="85">
        <f>ROUND($F$41/$F$45,4)</f>
        <v>0.65229999999999999</v>
      </c>
      <c r="H41" s="347">
        <v>4.4499999999999998E-2</v>
      </c>
      <c r="I41" s="331">
        <f>ROUND(G41*H41,4)</f>
        <v>2.9000000000000001E-2</v>
      </c>
      <c r="J41" s="55"/>
    </row>
    <row r="42" spans="1:12" s="34" customFormat="1">
      <c r="A42" s="73" t="s">
        <v>98</v>
      </c>
      <c r="B42" s="55" t="s">
        <v>97</v>
      </c>
      <c r="C42" s="77"/>
      <c r="D42" s="47" t="s">
        <v>47</v>
      </c>
      <c r="E42" s="36"/>
      <c r="F42" s="42">
        <f>B.1!E35</f>
        <v>323400</v>
      </c>
      <c r="G42" s="85">
        <f>ROUND($F$42/$F$45,4)</f>
        <v>5.5999999999999999E-3</v>
      </c>
      <c r="H42" s="347">
        <v>4.2200000000000001E-2</v>
      </c>
      <c r="I42" s="331">
        <f>ROUND(G42*H42,4)</f>
        <v>2.0000000000000001E-4</v>
      </c>
      <c r="J42" s="55"/>
    </row>
    <row r="43" spans="1:12" s="34" customFormat="1">
      <c r="A43" s="73" t="s">
        <v>96</v>
      </c>
      <c r="B43" s="55" t="s">
        <v>53</v>
      </c>
      <c r="C43" s="77"/>
      <c r="D43" s="47" t="s">
        <v>47</v>
      </c>
      <c r="E43" s="36"/>
      <c r="F43" s="42">
        <f>B.1!E47</f>
        <v>5145769</v>
      </c>
      <c r="G43" s="85">
        <f>ROUND($F$43/$F$45,4)</f>
        <v>8.9700000000000002E-2</v>
      </c>
      <c r="H43" s="347">
        <v>5.28E-2</v>
      </c>
      <c r="I43" s="331">
        <f>ROUND(G43*H43,4)</f>
        <v>4.7000000000000002E-3</v>
      </c>
      <c r="J43" s="55"/>
    </row>
    <row r="44" spans="1:12" s="34" customFormat="1" ht="16.5">
      <c r="A44" s="73" t="s">
        <v>95</v>
      </c>
      <c r="B44" s="55" t="s">
        <v>377</v>
      </c>
      <c r="C44" s="77"/>
      <c r="D44" s="47" t="s">
        <v>47</v>
      </c>
      <c r="E44" s="36"/>
      <c r="F44" s="79">
        <f>B.1!E53</f>
        <v>2309720</v>
      </c>
      <c r="G44" s="332">
        <f>ROUND($F$44/$F$45,4)</f>
        <v>4.0300000000000002E-2</v>
      </c>
      <c r="H44" s="347">
        <v>4.4600000000000001E-2</v>
      </c>
      <c r="I44" s="333">
        <f>ROUND(G44*H44,4)</f>
        <v>1.8E-3</v>
      </c>
      <c r="J44" s="55"/>
    </row>
    <row r="45" spans="1:12" s="34" customFormat="1" ht="15" thickBot="1">
      <c r="A45" s="73" t="s">
        <v>94</v>
      </c>
      <c r="B45" s="55" t="s">
        <v>61</v>
      </c>
      <c r="C45" s="77"/>
      <c r="D45" s="36"/>
      <c r="E45" s="36"/>
      <c r="F45" s="42">
        <f>SUM(F40:F44)</f>
        <v>57384324</v>
      </c>
      <c r="G45" s="340">
        <f>SUM(G40:G44)</f>
        <v>1.0001000000000002</v>
      </c>
      <c r="H45" s="348"/>
      <c r="I45" s="86">
        <f>SUM(I40:I44)</f>
        <v>4.420000000000001E-2</v>
      </c>
      <c r="J45" s="55"/>
    </row>
    <row r="46" spans="1:12" s="34" customFormat="1" ht="15" thickTop="1">
      <c r="A46" s="73" t="s">
        <v>93</v>
      </c>
      <c r="B46" s="55"/>
      <c r="C46" s="77"/>
      <c r="D46" s="36"/>
      <c r="E46" s="36"/>
      <c r="F46" s="42"/>
      <c r="G46" s="85"/>
      <c r="H46" s="348"/>
      <c r="I46" s="84"/>
    </row>
    <row r="47" spans="1:12" s="34" customFormat="1">
      <c r="A47" s="73" t="s">
        <v>91</v>
      </c>
      <c r="B47" s="83" t="s">
        <v>92</v>
      </c>
      <c r="C47" s="82"/>
      <c r="D47" s="55"/>
      <c r="E47" s="36"/>
      <c r="F47" s="81"/>
      <c r="G47" s="81"/>
      <c r="H47" s="349"/>
      <c r="I47" s="81"/>
    </row>
    <row r="48" spans="1:12" s="34" customFormat="1">
      <c r="A48" s="73" t="s">
        <v>90</v>
      </c>
      <c r="B48" s="55" t="s">
        <v>86</v>
      </c>
      <c r="C48" s="77"/>
      <c r="D48" s="76">
        <v>24</v>
      </c>
      <c r="E48" s="36"/>
      <c r="F48" s="56">
        <f>B.2!E18</f>
        <v>288000</v>
      </c>
      <c r="G48" s="85">
        <f>ROUND($F$48/$F$50,4)</f>
        <v>0.90569999999999995</v>
      </c>
      <c r="H48" s="439">
        <v>1.67E-2</v>
      </c>
      <c r="I48" s="80">
        <f>G48*H48</f>
        <v>1.5125189999999998E-2</v>
      </c>
    </row>
    <row r="49" spans="1:9" s="34" customFormat="1">
      <c r="A49" s="73" t="s">
        <v>89</v>
      </c>
      <c r="B49" s="55" t="s">
        <v>84</v>
      </c>
      <c r="C49" s="77"/>
      <c r="D49" s="76">
        <v>24</v>
      </c>
      <c r="E49" s="36"/>
      <c r="F49" s="79">
        <f>+B.2!E24</f>
        <v>30000</v>
      </c>
      <c r="G49" s="332">
        <f>ROUND($F$49/$F$50,4)</f>
        <v>9.4299999999999995E-2</v>
      </c>
      <c r="H49" s="440">
        <v>8.6999999999999994E-3</v>
      </c>
      <c r="I49" s="78">
        <f>G49*H49</f>
        <v>8.2040999999999993E-4</v>
      </c>
    </row>
    <row r="50" spans="1:9" s="34" customFormat="1" ht="15" thickBot="1">
      <c r="A50" s="73" t="s">
        <v>40</v>
      </c>
      <c r="B50" s="55" t="s">
        <v>61</v>
      </c>
      <c r="C50" s="77"/>
      <c r="D50" s="76"/>
      <c r="E50" s="36"/>
      <c r="F50" s="42">
        <f>SUM(F48:F49)</f>
        <v>318000</v>
      </c>
      <c r="G50" s="75">
        <f>SUM(G48:G49)</f>
        <v>1</v>
      </c>
      <c r="H50" s="36"/>
      <c r="I50" s="74">
        <f>I48+I49</f>
        <v>1.5945599999999997E-2</v>
      </c>
    </row>
    <row r="51" spans="1:9" ht="15" thickTop="1">
      <c r="A51" s="73" t="s">
        <v>378</v>
      </c>
      <c r="B51" s="34"/>
      <c r="C51" s="34"/>
      <c r="D51" s="34"/>
      <c r="E51" s="34"/>
      <c r="F51" s="34"/>
      <c r="G51" s="34"/>
      <c r="H51" s="34"/>
      <c r="I51" s="34"/>
    </row>
    <row r="52" spans="1:9">
      <c r="B52" s="34"/>
      <c r="C52" s="34"/>
      <c r="D52" s="34"/>
      <c r="E52" s="34"/>
      <c r="F52" s="34"/>
      <c r="G52" s="34"/>
      <c r="H52" s="34"/>
      <c r="I52" s="34"/>
    </row>
    <row r="53" spans="1:9">
      <c r="B53" s="34"/>
      <c r="C53" s="34"/>
      <c r="D53" s="34"/>
      <c r="E53" s="34"/>
      <c r="F53" s="34"/>
      <c r="G53" s="34"/>
      <c r="H53" s="34"/>
      <c r="I53" s="34"/>
    </row>
    <row r="54" spans="1:9">
      <c r="A54" s="72"/>
      <c r="B54" s="34"/>
      <c r="C54" s="34"/>
      <c r="D54" s="34"/>
      <c r="E54" s="34"/>
      <c r="F54" s="34"/>
      <c r="G54" s="34"/>
      <c r="H54" s="34"/>
      <c r="I54" s="34"/>
    </row>
    <row r="55" spans="1:9">
      <c r="A55" s="72"/>
      <c r="B55" s="34"/>
      <c r="C55" s="34"/>
      <c r="D55" s="34"/>
      <c r="E55" s="34"/>
      <c r="F55" s="34"/>
      <c r="G55" s="34"/>
      <c r="H55" s="34"/>
      <c r="I55" s="34"/>
    </row>
    <row r="56" spans="1:9">
      <c r="A56" s="72"/>
      <c r="B56" s="34"/>
      <c r="C56" s="34"/>
      <c r="D56" s="34"/>
      <c r="E56" s="34"/>
      <c r="F56" s="34"/>
      <c r="G56" s="34"/>
      <c r="H56" s="34"/>
      <c r="I56" s="34"/>
    </row>
    <row r="57" spans="1:9">
      <c r="A57" s="72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M53"/>
  <sheetViews>
    <sheetView view="pageBreakPreview" zoomScaleNormal="80" zoomScaleSheetLayoutView="100" workbookViewId="0"/>
  </sheetViews>
  <sheetFormatPr defaultColWidth="9.85546875" defaultRowHeight="14.25"/>
  <cols>
    <col min="1" max="1" width="5.85546875" style="34" customWidth="1"/>
    <col min="2" max="2" width="22.85546875" style="34" customWidth="1"/>
    <col min="3" max="3" width="9.85546875" style="34"/>
    <col min="4" max="4" width="4.85546875" style="34" customWidth="1"/>
    <col min="5" max="5" width="10.5703125" style="34" customWidth="1"/>
    <col min="6" max="6" width="8.7109375" style="34" bestFit="1" customWidth="1"/>
    <col min="7" max="7" width="6.140625" style="34" customWidth="1"/>
    <col min="8" max="8" width="12.42578125" style="34" customWidth="1"/>
    <col min="9" max="9" width="9.85546875" style="34"/>
    <col min="10" max="10" width="14" style="34" customWidth="1"/>
    <col min="11" max="11" width="9.85546875" style="34"/>
    <col min="12" max="13" width="11" style="34" bestFit="1" customWidth="1"/>
    <col min="14" max="16384" width="9.85546875" style="34"/>
  </cols>
  <sheetData>
    <row r="1" spans="1:10" ht="15">
      <c r="A1" s="68" t="s">
        <v>31</v>
      </c>
      <c r="B1" s="51"/>
      <c r="C1" s="51"/>
      <c r="D1" s="51"/>
      <c r="E1" s="51"/>
      <c r="F1" s="51"/>
      <c r="G1" s="51"/>
      <c r="H1" s="51"/>
      <c r="I1" s="126"/>
      <c r="J1" s="36" t="s">
        <v>72</v>
      </c>
    </row>
    <row r="2" spans="1:10">
      <c r="A2" s="51" t="str">
        <f>B.1!A2</f>
        <v>Expected Gas Cost (EGC) Calculation</v>
      </c>
      <c r="B2" s="51"/>
      <c r="C2" s="51"/>
      <c r="D2" s="51"/>
      <c r="E2" s="51"/>
      <c r="F2" s="51"/>
      <c r="G2" s="51"/>
      <c r="H2" s="51"/>
      <c r="I2" s="126"/>
      <c r="J2" s="36" t="s">
        <v>166</v>
      </c>
    </row>
    <row r="3" spans="1:10">
      <c r="A3" s="67" t="s">
        <v>165</v>
      </c>
      <c r="B3" s="51"/>
      <c r="C3" s="51"/>
      <c r="D3" s="51"/>
      <c r="E3" s="51"/>
      <c r="F3" s="51"/>
      <c r="G3" s="51"/>
      <c r="H3" s="51"/>
      <c r="I3" s="126"/>
      <c r="J3" s="36"/>
    </row>
    <row r="4" spans="1:10">
      <c r="A4" s="36"/>
      <c r="B4" s="36"/>
      <c r="C4" s="36"/>
      <c r="D4" s="36"/>
      <c r="E4" s="36"/>
      <c r="F4" s="36"/>
      <c r="G4" s="36"/>
      <c r="H4" s="36"/>
      <c r="I4" s="66"/>
      <c r="J4" s="36"/>
    </row>
    <row r="5" spans="1:10">
      <c r="A5" s="153"/>
      <c r="B5" s="36"/>
      <c r="C5" s="36"/>
      <c r="D5" s="36"/>
      <c r="E5" s="60" t="s">
        <v>26</v>
      </c>
      <c r="F5" s="60" t="s">
        <v>25</v>
      </c>
      <c r="G5" s="60" t="s">
        <v>24</v>
      </c>
      <c r="H5" s="60" t="s">
        <v>68</v>
      </c>
      <c r="I5" s="60" t="s">
        <v>67</v>
      </c>
      <c r="J5" s="125" t="s">
        <v>151</v>
      </c>
    </row>
    <row r="6" spans="1:10" ht="1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5">
      <c r="A7" s="64" t="s">
        <v>23</v>
      </c>
      <c r="B7" s="61"/>
      <c r="C7" s="61"/>
      <c r="D7" s="61"/>
      <c r="E7" s="64" t="s">
        <v>0</v>
      </c>
      <c r="F7" s="61"/>
      <c r="G7" s="124"/>
      <c r="H7" s="124"/>
      <c r="I7" s="61"/>
      <c r="J7" s="61"/>
    </row>
    <row r="8" spans="1:10" ht="15">
      <c r="A8" s="63" t="s">
        <v>22</v>
      </c>
      <c r="B8" s="62" t="s">
        <v>21</v>
      </c>
      <c r="C8" s="62"/>
      <c r="D8" s="62"/>
      <c r="E8" s="63" t="s">
        <v>64</v>
      </c>
      <c r="F8" s="62"/>
      <c r="G8" s="65" t="s">
        <v>150</v>
      </c>
      <c r="H8" s="65"/>
      <c r="I8" s="63" t="s">
        <v>62</v>
      </c>
      <c r="J8" s="63" t="s">
        <v>61</v>
      </c>
    </row>
    <row r="9" spans="1:10" ht="15">
      <c r="A9" s="36"/>
      <c r="B9" s="61"/>
      <c r="C9" s="36"/>
      <c r="D9" s="36"/>
      <c r="E9" s="36"/>
      <c r="F9" s="36"/>
      <c r="G9" s="60" t="s">
        <v>3</v>
      </c>
      <c r="H9" s="60" t="s">
        <v>60</v>
      </c>
      <c r="I9" s="60" t="s">
        <v>59</v>
      </c>
      <c r="J9" s="60" t="s">
        <v>58</v>
      </c>
    </row>
    <row r="10" spans="1:10" ht="15">
      <c r="A10" s="36"/>
      <c r="B10" s="52"/>
      <c r="C10" s="36"/>
      <c r="D10" s="36"/>
      <c r="E10" s="36"/>
      <c r="F10" s="36"/>
      <c r="G10" s="36"/>
      <c r="H10" s="100"/>
      <c r="I10" s="100"/>
      <c r="J10" s="36"/>
    </row>
    <row r="11" spans="1:10">
      <c r="A11" s="36">
        <v>1</v>
      </c>
      <c r="B11" s="123" t="s">
        <v>164</v>
      </c>
      <c r="C11" s="36"/>
      <c r="D11" s="36"/>
      <c r="E11" s="42"/>
      <c r="F11" s="36"/>
      <c r="G11" s="42"/>
      <c r="H11" s="45">
        <v>706579</v>
      </c>
      <c r="I11" s="58"/>
      <c r="J11" s="36"/>
    </row>
    <row r="12" spans="1:10">
      <c r="A12" s="36">
        <v>2</v>
      </c>
      <c r="B12" s="36" t="s">
        <v>140</v>
      </c>
      <c r="C12" s="36"/>
      <c r="D12" s="36"/>
      <c r="E12" s="36"/>
      <c r="F12" s="36"/>
      <c r="G12" s="36"/>
      <c r="H12" s="36"/>
      <c r="I12" s="41">
        <v>2.6549999999999998</v>
      </c>
      <c r="J12" s="42">
        <f>ROUND($H$11*I12,0)</f>
        <v>1875967</v>
      </c>
    </row>
    <row r="13" spans="1:10">
      <c r="A13" s="36">
        <v>3</v>
      </c>
      <c r="B13" s="36" t="s">
        <v>163</v>
      </c>
      <c r="C13" s="36"/>
      <c r="D13" s="36"/>
      <c r="E13" s="36"/>
      <c r="F13" s="36"/>
      <c r="G13" s="36"/>
      <c r="H13" s="36"/>
      <c r="I13" s="41">
        <f>B.3!I50</f>
        <v>1.5945599999999997E-2</v>
      </c>
      <c r="J13" s="42">
        <f>ROUND($H$11*I13,0)</f>
        <v>11267</v>
      </c>
    </row>
    <row r="14" spans="1:10">
      <c r="A14" s="36">
        <v>4</v>
      </c>
      <c r="B14" s="36" t="s">
        <v>136</v>
      </c>
      <c r="C14" s="36"/>
      <c r="D14" s="36"/>
      <c r="E14" s="60">
        <v>24</v>
      </c>
      <c r="F14" s="36"/>
      <c r="G14" s="36"/>
      <c r="H14" s="36"/>
      <c r="I14" s="385">
        <v>1.1000000000000001E-3</v>
      </c>
      <c r="J14" s="42">
        <f>ROUND($H$11*I14,0)</f>
        <v>777</v>
      </c>
    </row>
    <row r="15" spans="1:10">
      <c r="A15" s="36">
        <v>5</v>
      </c>
      <c r="B15" s="36" t="s">
        <v>156</v>
      </c>
      <c r="C15" s="36"/>
      <c r="D15" s="36"/>
      <c r="E15" s="60">
        <v>32</v>
      </c>
      <c r="F15" s="438">
        <v>0.02</v>
      </c>
      <c r="G15" s="36"/>
      <c r="H15" s="36"/>
      <c r="I15" s="97">
        <f>ROUND(I12/(1-F15)-I12,4)</f>
        <v>5.4199999999999998E-2</v>
      </c>
      <c r="J15" s="79">
        <f>ROUND($H$11*I15,0)</f>
        <v>38297</v>
      </c>
    </row>
    <row r="16" spans="1:10">
      <c r="A16" s="36">
        <v>6</v>
      </c>
      <c r="B16" s="36"/>
      <c r="C16" s="36"/>
      <c r="D16" s="36"/>
      <c r="E16" s="36"/>
      <c r="F16" s="36"/>
      <c r="G16" s="36"/>
      <c r="H16" s="36"/>
      <c r="I16" s="41">
        <f>SUM(I12:I15)</f>
        <v>2.7262455999999995</v>
      </c>
      <c r="J16" s="42">
        <f>SUM(J12:J15)</f>
        <v>1926308</v>
      </c>
    </row>
    <row r="17" spans="1:13">
      <c r="A17" s="36">
        <v>7</v>
      </c>
      <c r="B17" s="36"/>
      <c r="C17" s="36"/>
      <c r="D17" s="36"/>
      <c r="E17" s="36"/>
      <c r="F17" s="36"/>
      <c r="G17" s="36"/>
      <c r="H17" s="36"/>
      <c r="I17" s="41"/>
      <c r="J17" s="36"/>
    </row>
    <row r="18" spans="1:13">
      <c r="A18" s="36">
        <v>8</v>
      </c>
      <c r="B18" s="123" t="s">
        <v>162</v>
      </c>
      <c r="C18" s="36"/>
      <c r="D18" s="36"/>
      <c r="E18" s="36"/>
      <c r="F18" s="36"/>
      <c r="G18" s="42"/>
      <c r="H18" s="346">
        <v>0</v>
      </c>
      <c r="I18" s="41"/>
      <c r="J18" s="36"/>
    </row>
    <row r="19" spans="1:13">
      <c r="A19" s="36">
        <v>9</v>
      </c>
      <c r="B19" s="36" t="s">
        <v>140</v>
      </c>
      <c r="C19" s="36"/>
      <c r="D19" s="36"/>
      <c r="E19" s="36"/>
      <c r="F19" s="36"/>
      <c r="G19" s="36"/>
      <c r="H19" s="36"/>
      <c r="I19" s="41">
        <f>I12</f>
        <v>2.6549999999999998</v>
      </c>
      <c r="J19" s="42">
        <f>ROUND($H$18*I19,0)</f>
        <v>0</v>
      </c>
    </row>
    <row r="20" spans="1:13">
      <c r="A20" s="36">
        <v>10</v>
      </c>
      <c r="B20" s="36" t="s">
        <v>161</v>
      </c>
      <c r="C20" s="36"/>
      <c r="D20" s="36"/>
      <c r="E20" s="60">
        <v>26</v>
      </c>
      <c r="F20" s="36"/>
      <c r="G20" s="36"/>
      <c r="H20" s="36"/>
      <c r="I20" s="385">
        <v>0.76239999999999997</v>
      </c>
      <c r="J20" s="42">
        <f>ROUND($H$18*I20,0)</f>
        <v>0</v>
      </c>
    </row>
    <row r="21" spans="1:13">
      <c r="A21" s="36">
        <v>11</v>
      </c>
      <c r="B21" s="36" t="s">
        <v>136</v>
      </c>
      <c r="C21" s="36"/>
      <c r="D21" s="36"/>
      <c r="E21" s="112">
        <v>24</v>
      </c>
      <c r="F21" s="36"/>
      <c r="G21" s="36"/>
      <c r="H21" s="36"/>
      <c r="I21" s="41">
        <f>I14</f>
        <v>1.1000000000000001E-3</v>
      </c>
      <c r="J21" s="42">
        <f>ROUND($H$18*I21,0)</f>
        <v>0</v>
      </c>
    </row>
    <row r="22" spans="1:13">
      <c r="A22" s="36">
        <v>12</v>
      </c>
      <c r="B22" s="36" t="s">
        <v>156</v>
      </c>
      <c r="C22" s="36"/>
      <c r="D22" s="36"/>
      <c r="E22" s="60">
        <v>32</v>
      </c>
      <c r="F22" s="441">
        <f>F15</f>
        <v>0.02</v>
      </c>
      <c r="G22" s="36"/>
      <c r="H22" s="36"/>
      <c r="I22" s="97">
        <f>ROUND(I19/(1-F22)-I19,4)</f>
        <v>5.4199999999999998E-2</v>
      </c>
      <c r="J22" s="79">
        <f>ROUND($H$18*I22,0)</f>
        <v>0</v>
      </c>
    </row>
    <row r="23" spans="1:13">
      <c r="A23" s="36">
        <v>13</v>
      </c>
      <c r="B23" s="36"/>
      <c r="C23" s="36"/>
      <c r="D23" s="36"/>
      <c r="E23" s="36"/>
      <c r="F23" s="36"/>
      <c r="G23" s="36"/>
      <c r="H23" s="36"/>
      <c r="I23" s="41">
        <f>SUM(I19:I22)</f>
        <v>3.4726999999999997</v>
      </c>
      <c r="J23" s="42">
        <f>SUM(J19:J22)</f>
        <v>0</v>
      </c>
    </row>
    <row r="24" spans="1:13">
      <c r="A24" s="36">
        <v>14</v>
      </c>
      <c r="B24" s="36"/>
      <c r="C24" s="36"/>
      <c r="D24" s="36"/>
      <c r="E24" s="36"/>
      <c r="F24" s="36"/>
      <c r="G24" s="36"/>
      <c r="H24" s="36"/>
      <c r="I24" s="41"/>
      <c r="J24" s="36"/>
    </row>
    <row r="25" spans="1:13">
      <c r="A25" s="36">
        <v>15</v>
      </c>
      <c r="B25" s="123" t="s">
        <v>81</v>
      </c>
      <c r="C25" s="36"/>
      <c r="D25" s="36"/>
      <c r="E25" s="36"/>
      <c r="F25" s="36"/>
      <c r="G25" s="36"/>
      <c r="H25" s="36"/>
      <c r="I25" s="41"/>
      <c r="J25" s="36"/>
    </row>
    <row r="26" spans="1:13">
      <c r="A26" s="36">
        <v>16</v>
      </c>
      <c r="B26" s="36" t="s">
        <v>160</v>
      </c>
      <c r="C26" s="36"/>
      <c r="D26" s="36"/>
      <c r="E26" s="36"/>
      <c r="F26" s="36"/>
      <c r="G26" s="36"/>
      <c r="H26" s="45">
        <v>0</v>
      </c>
      <c r="I26" s="41">
        <v>1.929</v>
      </c>
      <c r="J26" s="99">
        <f>H26*I26</f>
        <v>0</v>
      </c>
    </row>
    <row r="27" spans="1:13">
      <c r="A27" s="36">
        <v>17</v>
      </c>
      <c r="B27" s="36" t="s">
        <v>159</v>
      </c>
      <c r="C27" s="36"/>
      <c r="D27" s="36"/>
      <c r="E27" s="36"/>
      <c r="F27" s="36"/>
      <c r="G27" s="36"/>
      <c r="H27" s="45">
        <v>-508208</v>
      </c>
      <c r="I27" s="41">
        <v>2.6549999999999998</v>
      </c>
      <c r="J27" s="42">
        <f>H27*I27</f>
        <v>-1349292.24</v>
      </c>
    </row>
    <row r="28" spans="1:13">
      <c r="A28" s="36">
        <v>18</v>
      </c>
      <c r="B28" s="51" t="s">
        <v>158</v>
      </c>
      <c r="C28" s="36"/>
      <c r="D28" s="36"/>
      <c r="E28" s="60">
        <v>61</v>
      </c>
      <c r="F28" s="36"/>
      <c r="G28" s="36"/>
      <c r="H28" s="36"/>
      <c r="I28" s="385">
        <v>8.6999999999999994E-3</v>
      </c>
      <c r="J28" s="42">
        <f>ROUND(H26*I28,0)</f>
        <v>0</v>
      </c>
      <c r="L28" s="116"/>
    </row>
    <row r="29" spans="1:13">
      <c r="A29" s="36">
        <v>19</v>
      </c>
      <c r="B29" s="36" t="s">
        <v>157</v>
      </c>
      <c r="C29" s="36"/>
      <c r="D29" s="36"/>
      <c r="E29" s="60">
        <v>61</v>
      </c>
      <c r="F29" s="36"/>
      <c r="G29" s="36"/>
      <c r="H29" s="36"/>
      <c r="I29" s="385">
        <v>8.6999999999999994E-3</v>
      </c>
      <c r="J29" s="42">
        <f>ROUND($H$27*I29,0)</f>
        <v>-4421</v>
      </c>
    </row>
    <row r="30" spans="1:13">
      <c r="A30" s="36">
        <v>20</v>
      </c>
      <c r="B30" s="36" t="s">
        <v>156</v>
      </c>
      <c r="C30" s="36"/>
      <c r="D30" s="36"/>
      <c r="E30" s="60">
        <v>61</v>
      </c>
      <c r="F30" s="438">
        <v>1.3599999999999999E-2</v>
      </c>
      <c r="G30" s="36"/>
      <c r="H30" s="144"/>
      <c r="I30" s="97">
        <f>ROUND(I29/(1-F30)-I29,4)</f>
        <v>1E-4</v>
      </c>
      <c r="J30" s="69">
        <f>ROUND(SUM($H$26:$H$27)*I30,0)</f>
        <v>-51</v>
      </c>
    </row>
    <row r="31" spans="1:13">
      <c r="A31" s="36">
        <v>21</v>
      </c>
      <c r="B31" s="36" t="s">
        <v>155</v>
      </c>
      <c r="C31" s="36"/>
      <c r="D31" s="36"/>
      <c r="E31" s="60"/>
      <c r="F31" s="36"/>
      <c r="G31" s="36"/>
      <c r="H31" s="42">
        <f>H26+H27</f>
        <v>-508208</v>
      </c>
      <c r="I31" s="41">
        <f>J31/H31</f>
        <v>2.6637995466423199</v>
      </c>
      <c r="J31" s="42">
        <f>SUM(J26:J30)</f>
        <v>-1353764.24</v>
      </c>
      <c r="L31" s="46"/>
      <c r="M31" s="46"/>
    </row>
    <row r="32" spans="1:13">
      <c r="A32" s="36">
        <v>22</v>
      </c>
      <c r="B32" s="36"/>
      <c r="C32" s="36"/>
      <c r="D32" s="36"/>
      <c r="E32" s="60"/>
      <c r="F32" s="36"/>
      <c r="G32" s="36"/>
      <c r="H32" s="36"/>
      <c r="I32" s="41"/>
      <c r="J32" s="36"/>
      <c r="L32" s="46"/>
      <c r="M32" s="46"/>
    </row>
    <row r="33" spans="1:10">
      <c r="A33" s="36">
        <v>23</v>
      </c>
      <c r="B33" s="36"/>
      <c r="C33" s="36"/>
      <c r="D33" s="36"/>
      <c r="E33" s="55"/>
      <c r="F33" s="55"/>
      <c r="G33" s="55"/>
      <c r="H33" s="55"/>
      <c r="I33" s="111"/>
      <c r="J33" s="55"/>
    </row>
    <row r="34" spans="1:10">
      <c r="A34" s="36">
        <v>24</v>
      </c>
      <c r="B34" s="36"/>
      <c r="C34" s="36"/>
      <c r="D34" s="36"/>
      <c r="E34" s="55"/>
      <c r="F34" s="55"/>
      <c r="G34" s="55"/>
      <c r="H34" s="55"/>
      <c r="I34" s="111"/>
      <c r="J34" s="55"/>
    </row>
    <row r="35" spans="1:10" ht="15" thickBot="1">
      <c r="A35" s="36">
        <v>25</v>
      </c>
      <c r="B35" s="36" t="s">
        <v>154</v>
      </c>
      <c r="C35" s="36"/>
      <c r="D35" s="36"/>
      <c r="E35" s="36"/>
      <c r="F35" s="36"/>
      <c r="G35" s="36"/>
      <c r="H35" s="39">
        <f>SUM(H11:H30)</f>
        <v>198371</v>
      </c>
      <c r="I35" s="110">
        <f>ROUND(J35/H35,4)</f>
        <v>2.8862000000000001</v>
      </c>
      <c r="J35" s="39">
        <f>J16+J23+J31</f>
        <v>572543.76</v>
      </c>
    </row>
    <row r="36" spans="1:10" ht="15" thickTop="1">
      <c r="A36" s="36"/>
      <c r="G36" s="54"/>
    </row>
    <row r="37" spans="1:10">
      <c r="A37" s="36"/>
      <c r="H37" s="46"/>
      <c r="J37" s="46"/>
    </row>
    <row r="38" spans="1:10">
      <c r="A38" s="36"/>
    </row>
    <row r="39" spans="1:10">
      <c r="A39" s="36"/>
      <c r="F39" s="54"/>
      <c r="G39" s="54"/>
    </row>
    <row r="40" spans="1:10">
      <c r="A40" s="36"/>
      <c r="F40" s="54"/>
      <c r="G40" s="54"/>
      <c r="H40" s="54"/>
    </row>
    <row r="41" spans="1:10">
      <c r="A41" s="36"/>
    </row>
    <row r="42" spans="1:10">
      <c r="A42" s="36"/>
    </row>
    <row r="43" spans="1:10">
      <c r="A43" s="36"/>
    </row>
    <row r="44" spans="1:10">
      <c r="A44" s="36"/>
    </row>
    <row r="45" spans="1:10">
      <c r="A45" s="36"/>
    </row>
    <row r="46" spans="1:10">
      <c r="A46" s="36"/>
    </row>
    <row r="47" spans="1:10">
      <c r="A47" s="36"/>
    </row>
    <row r="48" spans="1:10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K71"/>
  <sheetViews>
    <sheetView view="pageBreakPreview" zoomScale="115" zoomScaleNormal="80" zoomScaleSheetLayoutView="115" workbookViewId="0"/>
  </sheetViews>
  <sheetFormatPr defaultColWidth="9.28515625" defaultRowHeight="14.25"/>
  <cols>
    <col min="1" max="3" width="9.28515625" style="34" customWidth="1"/>
    <col min="4" max="4" width="9.85546875" style="34" customWidth="1"/>
    <col min="5" max="5" width="10.7109375" style="34" customWidth="1"/>
    <col min="6" max="6" width="9.140625" style="34" customWidth="1"/>
    <col min="7" max="7" width="9.28515625" style="34" customWidth="1"/>
    <col min="8" max="8" width="10" style="34" bestFit="1" customWidth="1"/>
    <col min="9" max="9" width="10.7109375" style="34" bestFit="1" customWidth="1"/>
    <col min="10" max="10" width="14.42578125" style="34" customWidth="1"/>
    <col min="11" max="16384" width="9.28515625" style="34"/>
  </cols>
  <sheetData>
    <row r="1" spans="1:11" ht="15">
      <c r="A1" s="68" t="s">
        <v>31</v>
      </c>
      <c r="B1" s="51"/>
      <c r="C1" s="51"/>
      <c r="D1" s="51"/>
      <c r="E1" s="51"/>
      <c r="F1" s="51"/>
      <c r="G1" s="51"/>
      <c r="H1" s="51"/>
      <c r="I1" s="126"/>
      <c r="J1" s="36" t="s">
        <v>72</v>
      </c>
    </row>
    <row r="2" spans="1:11">
      <c r="A2" s="51" t="s">
        <v>71</v>
      </c>
      <c r="B2" s="51"/>
      <c r="C2" s="51"/>
      <c r="D2" s="51"/>
      <c r="E2" s="51"/>
      <c r="F2" s="51"/>
      <c r="G2" s="51"/>
      <c r="H2" s="51"/>
      <c r="I2" s="126"/>
      <c r="J2" s="36" t="s">
        <v>175</v>
      </c>
    </row>
    <row r="3" spans="1:11">
      <c r="A3" s="67" t="s">
        <v>174</v>
      </c>
      <c r="B3" s="51"/>
      <c r="C3" s="51"/>
      <c r="D3" s="51"/>
      <c r="E3" s="51"/>
      <c r="F3" s="51"/>
      <c r="G3" s="51"/>
      <c r="H3" s="51"/>
      <c r="I3" s="126"/>
      <c r="J3" s="36"/>
    </row>
    <row r="4" spans="1:11">
      <c r="A4" s="36"/>
      <c r="B4" s="36"/>
      <c r="C4" s="36"/>
      <c r="D4" s="36"/>
      <c r="E4" s="36"/>
      <c r="F4" s="36"/>
      <c r="G4" s="36"/>
      <c r="H4" s="36"/>
      <c r="I4" s="66"/>
      <c r="J4" s="36"/>
    </row>
    <row r="5" spans="1:11">
      <c r="A5" s="36" t="s">
        <v>13</v>
      </c>
      <c r="B5" s="36"/>
      <c r="C5" s="36"/>
      <c r="D5" s="36"/>
      <c r="E5" s="60" t="s">
        <v>26</v>
      </c>
      <c r="F5" s="60" t="s">
        <v>25</v>
      </c>
      <c r="G5" s="60" t="s">
        <v>24</v>
      </c>
      <c r="H5" s="60" t="s">
        <v>68</v>
      </c>
      <c r="I5" s="60" t="s">
        <v>67</v>
      </c>
      <c r="J5" s="125" t="s">
        <v>151</v>
      </c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1" ht="15">
      <c r="A7" s="64" t="s">
        <v>23</v>
      </c>
      <c r="B7" s="61"/>
      <c r="C7" s="61"/>
      <c r="D7" s="61"/>
      <c r="E7" s="64" t="s">
        <v>0</v>
      </c>
      <c r="F7" s="64"/>
      <c r="G7" s="124"/>
      <c r="H7" s="124"/>
      <c r="I7" s="61"/>
      <c r="J7" s="61"/>
    </row>
    <row r="8" spans="1:11" ht="15">
      <c r="A8" s="63" t="s">
        <v>22</v>
      </c>
      <c r="B8" s="62" t="s">
        <v>21</v>
      </c>
      <c r="C8" s="62"/>
      <c r="D8" s="62"/>
      <c r="E8" s="63" t="s">
        <v>64</v>
      </c>
      <c r="F8" s="63"/>
      <c r="G8" s="65" t="s">
        <v>150</v>
      </c>
      <c r="H8" s="65"/>
      <c r="I8" s="63" t="s">
        <v>62</v>
      </c>
      <c r="J8" s="63" t="s">
        <v>61</v>
      </c>
    </row>
    <row r="9" spans="1:11" ht="15">
      <c r="A9" s="36"/>
      <c r="B9" s="61"/>
      <c r="C9" s="36"/>
      <c r="D9" s="36"/>
      <c r="E9" s="36"/>
      <c r="F9" s="60"/>
      <c r="G9" s="60" t="s">
        <v>3</v>
      </c>
      <c r="H9" s="60" t="s">
        <v>60</v>
      </c>
      <c r="I9" s="60" t="s">
        <v>59</v>
      </c>
      <c r="J9" s="60" t="s">
        <v>58</v>
      </c>
    </row>
    <row r="10" spans="1:11" ht="15">
      <c r="A10" s="36"/>
      <c r="B10" s="61"/>
      <c r="C10" s="36"/>
      <c r="D10" s="36"/>
      <c r="E10" s="36"/>
      <c r="F10" s="36"/>
      <c r="G10" s="60"/>
      <c r="H10" s="60"/>
      <c r="I10" s="60"/>
      <c r="J10" s="60"/>
    </row>
    <row r="11" spans="1:11">
      <c r="A11" s="36">
        <v>1</v>
      </c>
      <c r="B11" s="123" t="s">
        <v>173</v>
      </c>
      <c r="C11" s="36"/>
      <c r="D11" s="36"/>
      <c r="E11" s="42"/>
      <c r="F11" s="36"/>
      <c r="G11" s="36"/>
      <c r="H11" s="100"/>
      <c r="I11" s="100"/>
      <c r="J11" s="36"/>
    </row>
    <row r="12" spans="1:11">
      <c r="A12" s="36">
        <v>2</v>
      </c>
      <c r="B12" s="36" t="s">
        <v>172</v>
      </c>
      <c r="C12" s="36"/>
      <c r="D12" s="36"/>
      <c r="E12" s="36"/>
      <c r="F12" s="36"/>
      <c r="G12" s="42"/>
      <c r="H12" s="433">
        <v>92000</v>
      </c>
      <c r="I12" s="58"/>
      <c r="J12" s="36"/>
    </row>
    <row r="13" spans="1:11">
      <c r="A13" s="36">
        <v>3</v>
      </c>
      <c r="B13" s="36" t="s">
        <v>140</v>
      </c>
      <c r="C13" s="36"/>
      <c r="D13" s="36"/>
      <c r="E13" s="36"/>
      <c r="F13" s="36"/>
      <c r="G13" s="36"/>
      <c r="H13" s="36"/>
      <c r="I13" s="120">
        <v>2.6549999999999998</v>
      </c>
      <c r="J13" s="42">
        <f>ROUND($H$12*I13,0)</f>
        <v>244260</v>
      </c>
      <c r="K13" s="36"/>
    </row>
    <row r="14" spans="1:11">
      <c r="A14" s="36">
        <v>4</v>
      </c>
      <c r="B14" s="36" t="s">
        <v>171</v>
      </c>
      <c r="C14" s="36"/>
      <c r="D14" s="36"/>
      <c r="E14" s="60">
        <v>13</v>
      </c>
      <c r="F14" s="36"/>
      <c r="G14" s="36"/>
      <c r="H14" s="36"/>
      <c r="I14" s="442">
        <v>5.1000000000000004E-3</v>
      </c>
      <c r="J14" s="42">
        <f>ROUND($H$12*I14,0)</f>
        <v>469</v>
      </c>
      <c r="K14" s="36"/>
    </row>
    <row r="15" spans="1:11">
      <c r="A15" s="36">
        <v>5</v>
      </c>
      <c r="B15" s="36" t="s">
        <v>136</v>
      </c>
      <c r="E15" s="60">
        <v>13</v>
      </c>
      <c r="I15" s="442">
        <v>1.1000000000000001E-3</v>
      </c>
      <c r="J15" s="42">
        <f>ROUND($H$12*I15,0)</f>
        <v>101</v>
      </c>
      <c r="K15" s="36"/>
    </row>
    <row r="16" spans="1:11">
      <c r="A16" s="36">
        <v>6</v>
      </c>
      <c r="B16" s="36" t="s">
        <v>156</v>
      </c>
      <c r="C16" s="36"/>
      <c r="D16" s="36"/>
      <c r="E16" s="60">
        <v>13</v>
      </c>
      <c r="F16" s="443">
        <v>7.7000000000000002E-3</v>
      </c>
      <c r="G16" s="36"/>
      <c r="H16" s="36"/>
      <c r="I16" s="111">
        <f>ROUND(I13/(1-(F16-0.001))-I13,4)</f>
        <v>1.7899999999999999E-2</v>
      </c>
      <c r="J16" s="56">
        <f>ROUND($H$12*I16,0)</f>
        <v>1647</v>
      </c>
    </row>
    <row r="17" spans="1:11" ht="15" thickBot="1">
      <c r="A17" s="36">
        <v>7</v>
      </c>
      <c r="B17" s="36"/>
      <c r="C17" s="36"/>
      <c r="D17" s="36"/>
      <c r="E17" s="36"/>
      <c r="F17" s="36"/>
      <c r="G17" s="36"/>
      <c r="H17" s="36"/>
      <c r="I17" s="110">
        <f>SUM(I13:I16)</f>
        <v>2.6791</v>
      </c>
      <c r="J17" s="39">
        <f>SUM(J13:J16)</f>
        <v>246477</v>
      </c>
    </row>
    <row r="18" spans="1:11" ht="15.75" thickTop="1">
      <c r="A18" s="36">
        <v>8</v>
      </c>
      <c r="B18" s="61"/>
      <c r="C18" s="36"/>
      <c r="D18" s="36"/>
      <c r="E18" s="36"/>
      <c r="F18" s="85"/>
      <c r="G18" s="60"/>
      <c r="H18" s="60"/>
      <c r="I18" s="60"/>
      <c r="J18" s="60"/>
    </row>
    <row r="19" spans="1:11" ht="15">
      <c r="A19" s="36">
        <v>9</v>
      </c>
      <c r="B19" s="61"/>
      <c r="C19" s="36"/>
      <c r="D19" s="36"/>
      <c r="E19" s="36"/>
      <c r="F19" s="85"/>
      <c r="G19" s="60"/>
      <c r="H19" s="60"/>
      <c r="I19" s="60"/>
      <c r="J19" s="60"/>
    </row>
    <row r="20" spans="1:11" ht="15">
      <c r="A20" s="36"/>
      <c r="B20" s="61"/>
      <c r="C20" s="36"/>
      <c r="D20" s="36"/>
      <c r="E20" s="36"/>
      <c r="F20" s="36"/>
      <c r="G20" s="60"/>
      <c r="H20" s="60"/>
      <c r="I20" s="60"/>
      <c r="J20" s="60"/>
    </row>
    <row r="21" spans="1:11">
      <c r="A21" s="36" t="s">
        <v>66</v>
      </c>
      <c r="B21" s="36"/>
      <c r="C21" s="36"/>
      <c r="D21" s="36"/>
      <c r="E21" s="36"/>
      <c r="F21" s="36"/>
      <c r="G21" s="60"/>
      <c r="H21" s="60"/>
      <c r="I21" s="60"/>
      <c r="J21" s="60"/>
    </row>
    <row r="22" spans="1:11" ht="15">
      <c r="A22" s="64"/>
      <c r="B22" s="61"/>
      <c r="C22" s="61"/>
      <c r="D22" s="61"/>
      <c r="E22" s="61"/>
      <c r="F22" s="61"/>
      <c r="G22" s="61"/>
      <c r="H22" s="61"/>
      <c r="I22" s="61"/>
      <c r="J22" s="61"/>
    </row>
    <row r="23" spans="1:11" ht="15">
      <c r="A23" s="61"/>
      <c r="B23" s="36"/>
      <c r="C23" s="36"/>
      <c r="D23" s="36"/>
      <c r="E23" s="60" t="s">
        <v>26</v>
      </c>
      <c r="F23" s="60" t="s">
        <v>25</v>
      </c>
      <c r="G23" s="60" t="s">
        <v>24</v>
      </c>
      <c r="H23" s="60" t="s">
        <v>68</v>
      </c>
      <c r="I23" s="60" t="s">
        <v>67</v>
      </c>
      <c r="K23" s="81"/>
    </row>
    <row r="24" spans="1:11" ht="15">
      <c r="A24" s="61"/>
      <c r="B24" s="61"/>
      <c r="C24" s="61"/>
      <c r="D24" s="61"/>
      <c r="E24" s="61"/>
      <c r="F24" s="61"/>
      <c r="G24" s="65" t="s">
        <v>66</v>
      </c>
      <c r="H24" s="65"/>
      <c r="I24" s="65"/>
      <c r="K24" s="122"/>
    </row>
    <row r="25" spans="1:11" ht="15">
      <c r="A25" s="64" t="s">
        <v>23</v>
      </c>
      <c r="B25" s="61"/>
      <c r="C25" s="61"/>
      <c r="D25" s="64"/>
      <c r="E25" s="64" t="s">
        <v>0</v>
      </c>
      <c r="F25" s="64" t="s">
        <v>65</v>
      </c>
      <c r="G25" s="61"/>
      <c r="H25" s="61"/>
      <c r="I25" s="61"/>
      <c r="K25" s="121"/>
    </row>
    <row r="26" spans="1:11" ht="15">
      <c r="A26" s="63" t="s">
        <v>22</v>
      </c>
      <c r="B26" s="62" t="s">
        <v>21</v>
      </c>
      <c r="C26" s="62"/>
      <c r="D26" s="63"/>
      <c r="E26" s="63" t="s">
        <v>64</v>
      </c>
      <c r="F26" s="63" t="s">
        <v>63</v>
      </c>
      <c r="G26" s="63" t="s">
        <v>62</v>
      </c>
      <c r="H26" s="63" t="s">
        <v>61</v>
      </c>
      <c r="I26" s="63" t="s">
        <v>12</v>
      </c>
      <c r="K26" s="121"/>
    </row>
    <row r="27" spans="1:11" ht="15">
      <c r="A27" s="36"/>
      <c r="B27" s="61"/>
      <c r="C27" s="36"/>
      <c r="D27" s="36"/>
      <c r="E27" s="60"/>
      <c r="F27" s="60" t="s">
        <v>60</v>
      </c>
      <c r="G27" s="60" t="s">
        <v>59</v>
      </c>
      <c r="H27" s="60" t="s">
        <v>58</v>
      </c>
      <c r="I27" s="60" t="s">
        <v>58</v>
      </c>
      <c r="K27" s="81"/>
    </row>
    <row r="28" spans="1:11" ht="15">
      <c r="A28" s="36"/>
      <c r="B28" s="61" t="s">
        <v>170</v>
      </c>
      <c r="C28" s="36"/>
      <c r="D28" s="36"/>
      <c r="E28" s="60"/>
      <c r="F28" s="60"/>
      <c r="G28" s="60"/>
      <c r="H28" s="60"/>
      <c r="I28" s="60"/>
      <c r="K28" s="81"/>
    </row>
    <row r="29" spans="1:11">
      <c r="A29" s="36">
        <v>10</v>
      </c>
      <c r="B29" s="36" t="s">
        <v>83</v>
      </c>
      <c r="C29" s="36"/>
      <c r="D29" s="49" t="s">
        <v>169</v>
      </c>
      <c r="E29" s="36"/>
      <c r="F29" s="119">
        <v>38750</v>
      </c>
      <c r="G29" s="42"/>
      <c r="H29" s="42"/>
      <c r="I29" s="58"/>
    </row>
    <row r="30" spans="1:11" ht="15">
      <c r="A30" s="36">
        <v>11</v>
      </c>
      <c r="B30" s="36" t="s">
        <v>168</v>
      </c>
      <c r="C30" s="36"/>
      <c r="D30" s="36"/>
      <c r="E30" s="36"/>
      <c r="F30" s="120"/>
      <c r="G30" s="370">
        <v>5.3776000000000002</v>
      </c>
      <c r="H30" s="119">
        <f>ROUND(F$29*G30,0)</f>
        <v>208382</v>
      </c>
      <c r="I30" s="99">
        <f>H30</f>
        <v>208382</v>
      </c>
      <c r="K30" s="118"/>
    </row>
    <row r="31" spans="1:11">
      <c r="A31" s="36">
        <v>12</v>
      </c>
      <c r="B31" s="36"/>
      <c r="C31" s="36"/>
      <c r="D31" s="36"/>
      <c r="E31" s="60"/>
      <c r="F31" s="117"/>
      <c r="G31" s="36"/>
      <c r="H31" s="36"/>
      <c r="I31" s="111"/>
      <c r="J31" s="60"/>
      <c r="K31" s="116"/>
    </row>
    <row r="32" spans="1:11" ht="15" thickBot="1">
      <c r="A32" s="36">
        <v>13</v>
      </c>
      <c r="B32" s="36" t="s">
        <v>167</v>
      </c>
      <c r="C32" s="36"/>
      <c r="D32" s="36"/>
      <c r="E32" s="36"/>
      <c r="F32" s="36"/>
      <c r="G32" s="36"/>
      <c r="H32" s="115">
        <f>SUM(H30:H30)</f>
        <v>208382</v>
      </c>
      <c r="I32" s="115">
        <f>SUM(I30:I30)</f>
        <v>208382</v>
      </c>
      <c r="J32" s="55"/>
    </row>
    <row r="33" spans="1:10" ht="15" thickTop="1">
      <c r="A33" s="36"/>
      <c r="B33" s="55"/>
      <c r="C33" s="55"/>
      <c r="D33" s="55"/>
      <c r="E33" s="55"/>
      <c r="F33" s="55"/>
      <c r="G33" s="55"/>
      <c r="H33" s="55"/>
      <c r="I33" s="111"/>
      <c r="J33" s="56"/>
    </row>
    <row r="34" spans="1:10">
      <c r="A34" s="36"/>
      <c r="B34" s="55"/>
      <c r="C34" s="55"/>
      <c r="D34" s="55"/>
      <c r="E34" s="81"/>
      <c r="F34" s="55"/>
      <c r="G34" s="55"/>
      <c r="H34" s="55"/>
      <c r="I34" s="111"/>
      <c r="J34" s="56"/>
    </row>
    <row r="35" spans="1:10">
      <c r="A35" s="36"/>
      <c r="B35" s="55"/>
      <c r="C35" s="55"/>
      <c r="D35" s="55"/>
      <c r="E35" s="81"/>
      <c r="F35" s="55"/>
      <c r="G35" s="55"/>
      <c r="H35" s="55"/>
      <c r="I35" s="111"/>
      <c r="J35" s="56"/>
    </row>
    <row r="36" spans="1:10">
      <c r="A36" s="36"/>
      <c r="B36" s="55"/>
      <c r="C36" s="55"/>
      <c r="D36" s="55"/>
      <c r="E36" s="81"/>
      <c r="F36" s="55"/>
      <c r="G36" s="55"/>
      <c r="H36" s="55"/>
      <c r="I36" s="111"/>
      <c r="J36" s="56"/>
    </row>
    <row r="37" spans="1:10">
      <c r="A37" s="36"/>
      <c r="B37" s="55"/>
      <c r="C37" s="55"/>
      <c r="D37" s="55"/>
      <c r="E37" s="81"/>
      <c r="F37" s="55"/>
      <c r="G37" s="55"/>
      <c r="H37" s="55"/>
      <c r="I37" s="111"/>
      <c r="J37" s="56"/>
    </row>
    <row r="38" spans="1:10">
      <c r="A38" s="36"/>
      <c r="B38" s="55"/>
      <c r="C38" s="55"/>
      <c r="D38" s="55"/>
      <c r="E38" s="81"/>
      <c r="F38" s="55"/>
      <c r="G38" s="55"/>
      <c r="H38" s="55"/>
      <c r="I38" s="111"/>
      <c r="J38" s="56"/>
    </row>
    <row r="39" spans="1:10">
      <c r="A39" s="36"/>
      <c r="B39" s="55"/>
      <c r="C39" s="55"/>
      <c r="D39" s="55"/>
      <c r="E39" s="81"/>
      <c r="F39" s="113"/>
      <c r="G39" s="55"/>
      <c r="H39" s="55"/>
      <c r="I39" s="111"/>
      <c r="J39" s="56"/>
    </row>
    <row r="40" spans="1:10">
      <c r="A40" s="36"/>
      <c r="B40" s="55"/>
      <c r="C40" s="55"/>
      <c r="D40" s="55"/>
      <c r="E40" s="55"/>
      <c r="F40" s="55"/>
      <c r="G40" s="55"/>
      <c r="H40" s="55"/>
      <c r="I40" s="111"/>
      <c r="J40" s="56"/>
    </row>
    <row r="41" spans="1:10">
      <c r="A41" s="36"/>
      <c r="B41" s="55"/>
      <c r="C41" s="55"/>
      <c r="D41" s="55"/>
      <c r="E41" s="55"/>
      <c r="F41" s="55"/>
      <c r="G41" s="55"/>
      <c r="H41" s="55"/>
      <c r="I41" s="111"/>
      <c r="J41" s="55"/>
    </row>
    <row r="42" spans="1:10">
      <c r="A42" s="36"/>
      <c r="B42" s="55"/>
      <c r="C42" s="55"/>
      <c r="D42" s="55"/>
      <c r="E42" s="55"/>
      <c r="F42" s="55"/>
      <c r="G42" s="55"/>
      <c r="H42" s="55"/>
      <c r="I42" s="111"/>
      <c r="J42" s="55"/>
    </row>
    <row r="43" spans="1:10">
      <c r="A43" s="36"/>
      <c r="B43" s="114"/>
      <c r="C43" s="55"/>
      <c r="D43" s="55"/>
      <c r="E43" s="55"/>
      <c r="F43" s="55"/>
      <c r="G43" s="55"/>
      <c r="H43" s="55"/>
      <c r="I43" s="111"/>
      <c r="J43" s="55"/>
    </row>
    <row r="44" spans="1:10">
      <c r="A44" s="36"/>
      <c r="B44" s="55"/>
      <c r="C44" s="55"/>
      <c r="D44" s="55"/>
      <c r="E44" s="55"/>
      <c r="F44" s="55"/>
      <c r="G44" s="55"/>
      <c r="H44" s="56"/>
      <c r="I44" s="111"/>
      <c r="J44" s="55"/>
    </row>
    <row r="45" spans="1:10">
      <c r="B45" s="55"/>
      <c r="C45" s="55"/>
      <c r="D45" s="55"/>
      <c r="E45" s="55"/>
      <c r="F45" s="55"/>
      <c r="G45" s="55"/>
      <c r="H45" s="55"/>
      <c r="I45" s="111"/>
      <c r="J45" s="56"/>
    </row>
    <row r="46" spans="1:10">
      <c r="B46" s="55"/>
      <c r="C46" s="55"/>
      <c r="D46" s="55"/>
      <c r="E46" s="81"/>
      <c r="F46" s="55"/>
      <c r="G46" s="55"/>
      <c r="H46" s="55"/>
      <c r="I46" s="111"/>
      <c r="J46" s="56"/>
    </row>
    <row r="47" spans="1:10">
      <c r="B47" s="55"/>
      <c r="C47" s="55"/>
      <c r="D47" s="55"/>
      <c r="E47" s="81"/>
      <c r="F47" s="113"/>
      <c r="G47" s="55"/>
      <c r="H47" s="55"/>
      <c r="I47" s="111"/>
      <c r="J47" s="56"/>
    </row>
    <row r="48" spans="1:10">
      <c r="B48" s="55"/>
      <c r="C48" s="55"/>
      <c r="D48" s="55"/>
      <c r="E48" s="81"/>
      <c r="F48" s="55"/>
      <c r="G48" s="55"/>
      <c r="H48" s="55"/>
      <c r="I48" s="111"/>
      <c r="J48" s="56"/>
    </row>
    <row r="49" spans="2:10">
      <c r="B49" s="55"/>
      <c r="C49" s="55"/>
      <c r="D49" s="55"/>
      <c r="E49" s="81"/>
      <c r="F49" s="55"/>
      <c r="G49" s="55"/>
      <c r="H49" s="55"/>
      <c r="I49" s="111"/>
      <c r="J49" s="55"/>
    </row>
    <row r="50" spans="2:10">
      <c r="B50" s="55"/>
      <c r="C50" s="55"/>
      <c r="D50" s="55"/>
      <c r="E50" s="81"/>
      <c r="F50" s="55"/>
      <c r="G50" s="55"/>
      <c r="H50" s="55"/>
      <c r="I50" s="111"/>
      <c r="J50" s="55"/>
    </row>
    <row r="51" spans="2:10">
      <c r="B51" s="55"/>
      <c r="C51" s="55"/>
      <c r="D51" s="55"/>
      <c r="E51" s="81"/>
      <c r="F51" s="55"/>
      <c r="G51" s="55"/>
      <c r="H51" s="56"/>
      <c r="I51" s="111"/>
      <c r="J51" s="55"/>
    </row>
    <row r="52" spans="2:10">
      <c r="B52" s="55"/>
      <c r="C52" s="55"/>
      <c r="D52" s="55"/>
      <c r="E52" s="81"/>
      <c r="F52" s="55"/>
      <c r="G52" s="55"/>
      <c r="H52" s="55"/>
      <c r="I52" s="111"/>
      <c r="J52" s="56"/>
    </row>
    <row r="53" spans="2:10">
      <c r="B53" s="55"/>
      <c r="C53" s="55"/>
      <c r="D53" s="55"/>
      <c r="E53" s="81"/>
      <c r="F53" s="55"/>
      <c r="G53" s="55"/>
      <c r="H53" s="55"/>
      <c r="I53" s="111"/>
      <c r="J53" s="56"/>
    </row>
    <row r="54" spans="2:10">
      <c r="B54" s="55"/>
      <c r="C54" s="55"/>
      <c r="D54" s="55"/>
      <c r="E54" s="81"/>
      <c r="F54" s="113"/>
      <c r="G54" s="55"/>
      <c r="H54" s="55"/>
      <c r="I54" s="111"/>
      <c r="J54" s="56"/>
    </row>
    <row r="55" spans="2:10">
      <c r="B55" s="55"/>
      <c r="C55" s="55"/>
      <c r="D55" s="55"/>
      <c r="E55" s="55"/>
      <c r="F55" s="55"/>
      <c r="G55" s="55"/>
      <c r="H55" s="55"/>
      <c r="I55" s="111"/>
      <c r="J55" s="56"/>
    </row>
    <row r="56" spans="2:10">
      <c r="B56" s="55"/>
      <c r="C56" s="55"/>
      <c r="D56" s="55"/>
      <c r="E56" s="55"/>
      <c r="F56" s="55"/>
      <c r="G56" s="55"/>
      <c r="H56" s="55"/>
      <c r="I56" s="111"/>
      <c r="J56" s="55"/>
    </row>
    <row r="57" spans="2:10">
      <c r="B57" s="55"/>
      <c r="C57" s="55"/>
      <c r="D57" s="55"/>
      <c r="E57" s="55"/>
      <c r="F57" s="55"/>
      <c r="G57" s="55"/>
      <c r="H57" s="55"/>
      <c r="I57" s="111"/>
      <c r="J57" s="55"/>
    </row>
    <row r="58" spans="2:10">
      <c r="B58" s="55"/>
      <c r="C58" s="55"/>
      <c r="D58" s="55"/>
      <c r="E58" s="55"/>
      <c r="F58" s="55"/>
      <c r="G58" s="55"/>
      <c r="H58" s="56"/>
      <c r="I58" s="111"/>
      <c r="J58" s="56"/>
    </row>
    <row r="59" spans="2:10">
      <c r="B59" s="54"/>
      <c r="C59" s="54"/>
      <c r="D59" s="54"/>
      <c r="E59" s="54"/>
      <c r="F59" s="54"/>
      <c r="G59" s="54"/>
      <c r="H59" s="54"/>
      <c r="I59" s="54"/>
      <c r="J59" s="54"/>
    </row>
    <row r="60" spans="2:10">
      <c r="B60" s="54"/>
      <c r="C60" s="54"/>
      <c r="D60" s="54"/>
      <c r="E60" s="54"/>
      <c r="F60" s="54"/>
      <c r="G60" s="54"/>
      <c r="H60" s="54"/>
      <c r="I60" s="54"/>
      <c r="J60" s="54"/>
    </row>
    <row r="61" spans="2:10">
      <c r="B61" s="54"/>
      <c r="C61" s="54"/>
      <c r="D61" s="54"/>
      <c r="E61" s="54"/>
      <c r="F61" s="54"/>
      <c r="G61" s="54"/>
      <c r="H61" s="54"/>
      <c r="I61" s="54"/>
      <c r="J61" s="54"/>
    </row>
    <row r="62" spans="2:10">
      <c r="B62" s="54"/>
      <c r="C62" s="54"/>
      <c r="D62" s="54"/>
      <c r="E62" s="54"/>
      <c r="F62" s="54"/>
      <c r="G62" s="54"/>
      <c r="H62" s="54"/>
      <c r="I62" s="54"/>
      <c r="J62" s="54"/>
    </row>
    <row r="63" spans="2:10">
      <c r="B63" s="54"/>
      <c r="C63" s="54"/>
      <c r="D63" s="54"/>
      <c r="E63" s="54"/>
      <c r="F63" s="54"/>
      <c r="G63" s="54"/>
      <c r="H63" s="54"/>
      <c r="I63" s="54"/>
      <c r="J63" s="54"/>
    </row>
    <row r="64" spans="2:10">
      <c r="B64" s="54"/>
      <c r="C64" s="54"/>
      <c r="D64" s="54"/>
      <c r="E64" s="54"/>
      <c r="F64" s="54"/>
      <c r="G64" s="54"/>
      <c r="H64" s="54"/>
      <c r="I64" s="54"/>
      <c r="J64" s="54"/>
    </row>
    <row r="65" spans="2:10">
      <c r="B65" s="54"/>
      <c r="C65" s="54"/>
      <c r="D65" s="54"/>
      <c r="E65" s="54"/>
      <c r="F65" s="54"/>
      <c r="G65" s="54"/>
      <c r="H65" s="54"/>
      <c r="I65" s="54"/>
      <c r="J65" s="54"/>
    </row>
    <row r="66" spans="2:10">
      <c r="B66" s="54"/>
      <c r="C66" s="54"/>
      <c r="D66" s="54"/>
      <c r="E66" s="54"/>
      <c r="F66" s="54"/>
      <c r="G66" s="54"/>
      <c r="H66" s="54"/>
      <c r="I66" s="54"/>
      <c r="J66" s="54"/>
    </row>
    <row r="67" spans="2:10">
      <c r="B67" s="54"/>
      <c r="C67" s="54"/>
      <c r="D67" s="54"/>
      <c r="E67" s="54"/>
      <c r="F67" s="54"/>
      <c r="G67" s="54"/>
      <c r="H67" s="54"/>
      <c r="I67" s="54"/>
      <c r="J67" s="54"/>
    </row>
    <row r="68" spans="2:10">
      <c r="B68" s="54"/>
      <c r="C68" s="54"/>
      <c r="D68" s="54"/>
      <c r="E68" s="54"/>
      <c r="F68" s="54"/>
      <c r="G68" s="54"/>
      <c r="H68" s="54"/>
      <c r="I68" s="54"/>
      <c r="J68" s="54"/>
    </row>
    <row r="69" spans="2:10">
      <c r="B69" s="54"/>
      <c r="C69" s="54"/>
      <c r="D69" s="54"/>
      <c r="E69" s="54"/>
      <c r="F69" s="54"/>
      <c r="G69" s="54"/>
      <c r="H69" s="54"/>
      <c r="I69" s="54"/>
      <c r="J69" s="54"/>
    </row>
    <row r="70" spans="2:10">
      <c r="B70" s="54"/>
      <c r="C70" s="54"/>
      <c r="D70" s="54"/>
      <c r="E70" s="54"/>
      <c r="F70" s="54"/>
      <c r="G70" s="54"/>
      <c r="H70" s="54"/>
      <c r="I70" s="54"/>
      <c r="J70" s="54"/>
    </row>
    <row r="71" spans="2:10">
      <c r="B71" s="54"/>
      <c r="C71" s="54"/>
      <c r="D71" s="54"/>
      <c r="E71" s="54"/>
      <c r="F71" s="54"/>
      <c r="G71" s="54"/>
      <c r="H71" s="54"/>
      <c r="I71" s="54"/>
      <c r="J71" s="54"/>
    </row>
  </sheetData>
  <printOptions horizontalCentered="1"/>
  <pageMargins left="0.5" right="0.5" top="0.75" bottom="0.75" header="0.5" footer="0.5"/>
  <pageSetup scale="94" orientation="portrait" r:id="rId1"/>
  <headerFooter alignWithMargins="0">
    <oddFooter>&amp;L
&amp;R&amp;Z&amp;F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M65"/>
  <sheetViews>
    <sheetView view="pageBreakPreview" zoomScaleNormal="80" zoomScaleSheetLayoutView="100" workbookViewId="0"/>
  </sheetViews>
  <sheetFormatPr defaultColWidth="9.85546875" defaultRowHeight="14.25"/>
  <cols>
    <col min="1" max="1" width="3.85546875" style="34" customWidth="1"/>
    <col min="2" max="2" width="1.85546875" style="34" customWidth="1"/>
    <col min="3" max="3" width="25.42578125" style="34" customWidth="1"/>
    <col min="4" max="4" width="2.85546875" style="34" customWidth="1"/>
    <col min="5" max="6" width="14.42578125" style="34" bestFit="1" customWidth="1"/>
    <col min="7" max="7" width="13" style="34" bestFit="1" customWidth="1"/>
    <col min="8" max="8" width="9.85546875" style="34" customWidth="1"/>
    <col min="9" max="9" width="14.5703125" style="34" customWidth="1"/>
    <col min="10" max="10" width="9.85546875" style="34"/>
    <col min="11" max="11" width="10.5703125" style="34" bestFit="1" customWidth="1"/>
    <col min="12" max="16384" width="9.85546875" style="34"/>
  </cols>
  <sheetData>
    <row r="1" spans="1:10" ht="15">
      <c r="A1" s="141" t="s">
        <v>31</v>
      </c>
      <c r="B1" s="126"/>
      <c r="C1" s="126"/>
      <c r="D1" s="126"/>
      <c r="E1" s="126"/>
      <c r="F1" s="126"/>
      <c r="G1" s="126"/>
      <c r="H1" s="126"/>
      <c r="I1" s="140" t="s">
        <v>72</v>
      </c>
    </row>
    <row r="2" spans="1:10">
      <c r="A2" s="34" t="str">
        <f>B.1!A2</f>
        <v>Expected Gas Cost (EGC) Calculation</v>
      </c>
      <c r="B2" s="126"/>
      <c r="C2" s="126"/>
      <c r="D2" s="126"/>
      <c r="E2" s="126"/>
      <c r="F2" s="126"/>
      <c r="G2" s="126"/>
      <c r="H2" s="126"/>
      <c r="I2" s="51" t="s">
        <v>198</v>
      </c>
    </row>
    <row r="3" spans="1:10">
      <c r="A3" s="139" t="s">
        <v>197</v>
      </c>
      <c r="B3" s="126"/>
      <c r="C3" s="126"/>
      <c r="D3" s="126"/>
      <c r="E3" s="126"/>
      <c r="F3" s="126"/>
      <c r="G3" s="126"/>
      <c r="H3" s="126"/>
      <c r="I3" s="126"/>
    </row>
    <row r="4" spans="1:10">
      <c r="A4" s="36"/>
      <c r="B4" s="36"/>
      <c r="C4" s="36"/>
      <c r="D4" s="36"/>
      <c r="E4" s="36"/>
      <c r="F4" s="36"/>
      <c r="G4" s="36"/>
      <c r="H4" s="36"/>
      <c r="I4" s="36"/>
    </row>
    <row r="5" spans="1:10">
      <c r="A5" s="60" t="s">
        <v>23</v>
      </c>
      <c r="B5" s="36"/>
      <c r="C5" s="36"/>
      <c r="D5" s="36"/>
      <c r="E5" s="36"/>
      <c r="F5" s="36"/>
      <c r="G5" s="36"/>
      <c r="H5" s="36"/>
      <c r="I5" s="36"/>
    </row>
    <row r="6" spans="1:10" ht="15">
      <c r="A6" s="131" t="s">
        <v>22</v>
      </c>
      <c r="B6" s="62"/>
      <c r="C6" s="62"/>
      <c r="D6" s="62"/>
      <c r="E6" s="60" t="s">
        <v>26</v>
      </c>
      <c r="F6" s="60" t="s">
        <v>25</v>
      </c>
      <c r="G6" s="60" t="s">
        <v>24</v>
      </c>
      <c r="H6" s="60" t="s">
        <v>68</v>
      </c>
      <c r="I6" s="60" t="s">
        <v>67</v>
      </c>
      <c r="J6" s="125"/>
    </row>
    <row r="8" spans="1:10">
      <c r="A8" s="36">
        <v>1</v>
      </c>
      <c r="B8" s="36"/>
      <c r="C8" s="123" t="s">
        <v>196</v>
      </c>
      <c r="D8" s="36"/>
      <c r="E8" s="42"/>
      <c r="F8" s="36"/>
      <c r="G8" s="36"/>
      <c r="H8" s="36"/>
      <c r="I8" s="36"/>
    </row>
    <row r="9" spans="1:10">
      <c r="A9" s="36">
        <v>2</v>
      </c>
      <c r="B9" s="36"/>
      <c r="C9" s="36" t="s">
        <v>195</v>
      </c>
      <c r="D9" s="36"/>
      <c r="E9" s="130">
        <f>B.1!I71</f>
        <v>19518905</v>
      </c>
      <c r="F9" s="36"/>
      <c r="G9" s="36"/>
      <c r="H9" s="36"/>
      <c r="I9" s="42"/>
    </row>
    <row r="10" spans="1:10">
      <c r="A10" s="36">
        <v>3</v>
      </c>
      <c r="B10" s="36"/>
      <c r="C10" s="36" t="s">
        <v>194</v>
      </c>
      <c r="D10" s="36"/>
      <c r="E10" s="42">
        <v>0</v>
      </c>
      <c r="F10" s="36"/>
      <c r="G10" s="36"/>
      <c r="H10" s="36"/>
      <c r="I10" s="42"/>
    </row>
    <row r="11" spans="1:10">
      <c r="A11" s="36">
        <v>4</v>
      </c>
      <c r="B11" s="36"/>
      <c r="C11" s="36" t="s">
        <v>193</v>
      </c>
      <c r="D11" s="36"/>
      <c r="E11" s="56">
        <f>B.2!I35</f>
        <v>4866532</v>
      </c>
      <c r="F11" s="36"/>
      <c r="G11" s="36"/>
      <c r="H11" s="36"/>
      <c r="I11" s="36"/>
    </row>
    <row r="12" spans="1:10">
      <c r="A12" s="36">
        <v>5</v>
      </c>
      <c r="B12" s="36"/>
      <c r="C12" s="36" t="s">
        <v>174</v>
      </c>
      <c r="E12" s="138">
        <f>B.5!I32</f>
        <v>208382</v>
      </c>
    </row>
    <row r="13" spans="1:10" ht="15" thickBot="1">
      <c r="A13" s="36">
        <v>6</v>
      </c>
      <c r="C13" s="36" t="s">
        <v>61</v>
      </c>
      <c r="D13" s="36"/>
      <c r="E13" s="134">
        <f>SUM(E9:E12)</f>
        <v>24593819</v>
      </c>
      <c r="F13" s="36"/>
      <c r="G13" s="36"/>
      <c r="H13" s="36"/>
      <c r="I13" s="36"/>
    </row>
    <row r="14" spans="1:10" ht="15" thickTop="1">
      <c r="A14" s="36">
        <v>7</v>
      </c>
      <c r="B14" s="36"/>
    </row>
    <row r="15" spans="1:10">
      <c r="A15" s="36">
        <v>8</v>
      </c>
      <c r="B15" s="36"/>
      <c r="C15" s="36"/>
      <c r="D15" s="36"/>
      <c r="E15" s="36"/>
      <c r="F15" s="60" t="s">
        <v>192</v>
      </c>
      <c r="G15" s="60" t="s">
        <v>191</v>
      </c>
      <c r="H15" s="132" t="s">
        <v>190</v>
      </c>
      <c r="I15" s="132"/>
    </row>
    <row r="16" spans="1:10">
      <c r="A16" s="36">
        <v>9</v>
      </c>
      <c r="B16" s="36"/>
      <c r="C16" s="123" t="s">
        <v>189</v>
      </c>
      <c r="D16" s="36"/>
      <c r="E16" s="131" t="s">
        <v>188</v>
      </c>
      <c r="F16" s="131" t="s">
        <v>12</v>
      </c>
      <c r="G16" s="131" t="s">
        <v>187</v>
      </c>
      <c r="H16" s="131" t="s">
        <v>180</v>
      </c>
      <c r="I16" s="131" t="s">
        <v>186</v>
      </c>
    </row>
    <row r="17" spans="1:13">
      <c r="A17" s="36">
        <v>10</v>
      </c>
      <c r="B17" s="36"/>
      <c r="C17" s="36" t="s">
        <v>185</v>
      </c>
      <c r="D17" s="36"/>
      <c r="E17" s="41">
        <f>B.8!F22</f>
        <v>0.1424</v>
      </c>
      <c r="F17" s="130">
        <f>ROUND($E$13*E17,0)</f>
        <v>3502160</v>
      </c>
      <c r="G17" s="42">
        <f>F35</f>
        <v>16167382.638659999</v>
      </c>
      <c r="H17" s="137">
        <f>ROUND(F17/G17,4)</f>
        <v>0.21659999999999999</v>
      </c>
      <c r="I17" s="137">
        <f>H17</f>
        <v>0.21659999999999999</v>
      </c>
    </row>
    <row r="18" spans="1:13">
      <c r="A18" s="36">
        <v>11</v>
      </c>
      <c r="B18" s="36"/>
      <c r="C18" s="36" t="s">
        <v>180</v>
      </c>
      <c r="D18" s="36"/>
      <c r="E18" s="111">
        <f>E19-E17</f>
        <v>0.85760000000000003</v>
      </c>
      <c r="F18" s="42">
        <f>ROUND($E$13*E18,0)</f>
        <v>21091659</v>
      </c>
      <c r="G18" s="56">
        <f>G35</f>
        <v>16027459.209659999</v>
      </c>
      <c r="H18" s="136">
        <f>ROUND(F18/G18,4)</f>
        <v>1.3160000000000001</v>
      </c>
      <c r="I18" s="135"/>
    </row>
    <row r="19" spans="1:13" ht="15" thickBot="1">
      <c r="A19" s="36">
        <v>12</v>
      </c>
      <c r="C19" s="36" t="s">
        <v>61</v>
      </c>
      <c r="D19" s="36"/>
      <c r="E19" s="110">
        <v>1</v>
      </c>
      <c r="F19" s="134">
        <f>F17+F18</f>
        <v>24593819</v>
      </c>
      <c r="G19" s="36"/>
      <c r="H19" s="133">
        <f>H17+H18</f>
        <v>1.5326</v>
      </c>
      <c r="I19" s="133">
        <f>I17+I18</f>
        <v>0.21659999999999999</v>
      </c>
      <c r="L19" s="424"/>
    </row>
    <row r="20" spans="1:13" ht="15" thickTop="1">
      <c r="A20" s="36">
        <v>13</v>
      </c>
      <c r="B20" s="36"/>
    </row>
    <row r="21" spans="1:13">
      <c r="A21" s="36">
        <v>14</v>
      </c>
      <c r="B21" s="36"/>
      <c r="C21" s="36"/>
      <c r="D21" s="36"/>
      <c r="E21" s="36"/>
      <c r="F21" s="126" t="s">
        <v>184</v>
      </c>
      <c r="G21" s="126"/>
      <c r="H21" s="36"/>
      <c r="I21" s="36"/>
    </row>
    <row r="22" spans="1:13">
      <c r="A22" s="36">
        <v>15</v>
      </c>
      <c r="B22" s="36"/>
      <c r="C22" s="36"/>
      <c r="D22" s="36"/>
      <c r="E22" s="60" t="s">
        <v>110</v>
      </c>
      <c r="F22" s="132" t="s">
        <v>183</v>
      </c>
      <c r="G22" s="132"/>
      <c r="H22" s="36"/>
      <c r="I22" s="36"/>
    </row>
    <row r="23" spans="1:13">
      <c r="A23" s="36">
        <v>16</v>
      </c>
      <c r="B23" s="36"/>
      <c r="C23" s="36"/>
      <c r="D23" s="36"/>
      <c r="E23" s="131" t="s">
        <v>182</v>
      </c>
      <c r="F23" s="131" t="s">
        <v>181</v>
      </c>
      <c r="G23" s="131" t="s">
        <v>180</v>
      </c>
      <c r="H23" s="36"/>
      <c r="I23" s="36"/>
    </row>
    <row r="24" spans="1:13">
      <c r="A24" s="36">
        <v>17</v>
      </c>
      <c r="B24" s="36"/>
      <c r="C24" s="123" t="s">
        <v>38</v>
      </c>
      <c r="D24" s="36"/>
      <c r="E24" s="36"/>
      <c r="F24" s="36"/>
      <c r="G24" s="36"/>
      <c r="H24" s="36"/>
      <c r="I24" s="36"/>
    </row>
    <row r="25" spans="1:13">
      <c r="A25" s="36">
        <v>18</v>
      </c>
      <c r="B25" s="36"/>
      <c r="C25" s="36" t="s">
        <v>178</v>
      </c>
      <c r="D25" s="36"/>
      <c r="E25" s="36"/>
      <c r="F25" s="36"/>
      <c r="G25" s="36"/>
      <c r="H25" s="36"/>
      <c r="I25" s="36"/>
    </row>
    <row r="26" spans="1:13">
      <c r="A26" s="36">
        <v>19</v>
      </c>
      <c r="B26" s="36"/>
      <c r="C26" s="36" t="s">
        <v>179</v>
      </c>
      <c r="D26" s="36"/>
      <c r="E26" s="346">
        <v>16027459.209659999</v>
      </c>
      <c r="F26" s="42">
        <f>E26</f>
        <v>16027459.209659999</v>
      </c>
      <c r="G26" s="42">
        <f>E26</f>
        <v>16027459.209659999</v>
      </c>
      <c r="H26" s="129">
        <f>H19</f>
        <v>1.5326</v>
      </c>
      <c r="I26" s="36"/>
    </row>
    <row r="27" spans="1:13">
      <c r="A27" s="36">
        <v>20</v>
      </c>
      <c r="B27" s="36"/>
      <c r="C27" s="36"/>
      <c r="D27" s="36"/>
      <c r="E27" s="346"/>
      <c r="F27" s="42"/>
      <c r="G27" s="36"/>
      <c r="H27" s="36"/>
      <c r="I27" s="36"/>
    </row>
    <row r="28" spans="1:13">
      <c r="A28" s="36">
        <v>21</v>
      </c>
      <c r="B28" s="36"/>
      <c r="C28" s="123" t="s">
        <v>37</v>
      </c>
      <c r="D28" s="36"/>
      <c r="E28" s="348"/>
      <c r="F28" s="42"/>
      <c r="G28" s="36"/>
      <c r="H28" s="129"/>
      <c r="I28" s="36"/>
    </row>
    <row r="29" spans="1:13">
      <c r="A29" s="36">
        <v>22</v>
      </c>
      <c r="B29" s="36"/>
      <c r="C29" s="36" t="s">
        <v>178</v>
      </c>
      <c r="D29" s="36"/>
      <c r="E29" s="348"/>
      <c r="F29" s="42"/>
      <c r="G29" s="36"/>
      <c r="H29" s="129"/>
      <c r="I29" s="36"/>
    </row>
    <row r="30" spans="1:13">
      <c r="A30" s="36">
        <v>23</v>
      </c>
      <c r="B30" s="36"/>
      <c r="C30" s="36" t="s">
        <v>177</v>
      </c>
      <c r="D30" s="36"/>
      <c r="E30" s="346">
        <v>139923.429</v>
      </c>
      <c r="F30" s="42">
        <f>E30</f>
        <v>139923.429</v>
      </c>
      <c r="G30" s="36"/>
      <c r="H30" s="129">
        <f>H19</f>
        <v>1.5326</v>
      </c>
      <c r="I30" s="129">
        <f>I19</f>
        <v>0.21659999999999999</v>
      </c>
      <c r="M30" s="46"/>
    </row>
    <row r="31" spans="1:13">
      <c r="A31" s="36">
        <v>24</v>
      </c>
      <c r="B31" s="36"/>
      <c r="C31" s="36"/>
      <c r="D31" s="36"/>
      <c r="E31" s="348"/>
      <c r="F31" s="42"/>
      <c r="G31" s="36"/>
      <c r="H31" s="129"/>
      <c r="I31" s="36"/>
    </row>
    <row r="32" spans="1:13">
      <c r="A32" s="36">
        <v>25</v>
      </c>
      <c r="B32" s="36"/>
      <c r="C32" s="123" t="s">
        <v>34</v>
      </c>
      <c r="D32" s="36"/>
      <c r="E32" s="348"/>
      <c r="F32" s="42"/>
      <c r="G32" s="36"/>
      <c r="H32" s="129"/>
      <c r="I32" s="36"/>
    </row>
    <row r="33" spans="1:9">
      <c r="A33" s="36">
        <v>26</v>
      </c>
      <c r="B33" s="36"/>
      <c r="C33" s="36" t="s">
        <v>176</v>
      </c>
      <c r="D33" s="36"/>
      <c r="E33" s="346">
        <v>30115003.973999999</v>
      </c>
      <c r="F33" s="42"/>
      <c r="G33" s="36"/>
      <c r="H33" s="129"/>
      <c r="I33" s="36"/>
    </row>
    <row r="34" spans="1:9">
      <c r="A34" s="36">
        <v>27</v>
      </c>
      <c r="B34" s="36"/>
      <c r="C34" s="36"/>
      <c r="D34" s="36"/>
      <c r="E34" s="36"/>
      <c r="F34" s="42"/>
      <c r="G34" s="36"/>
      <c r="H34" s="129"/>
      <c r="I34" s="36"/>
    </row>
    <row r="35" spans="1:9" ht="15" thickBot="1">
      <c r="A35" s="36">
        <v>28</v>
      </c>
      <c r="B35" s="36"/>
      <c r="C35" s="36"/>
      <c r="D35" s="36"/>
      <c r="E35" s="39">
        <f>E26+E30+E33</f>
        <v>46282386.612659998</v>
      </c>
      <c r="F35" s="39">
        <f>F26+F30</f>
        <v>16167382.638659999</v>
      </c>
      <c r="G35" s="39">
        <f>G26</f>
        <v>16027459.209659999</v>
      </c>
      <c r="H35" s="129"/>
      <c r="I35" s="36"/>
    </row>
    <row r="36" spans="1:9" ht="15" thickTop="1">
      <c r="A36" s="36">
        <v>29</v>
      </c>
      <c r="B36" s="36"/>
      <c r="C36" s="36"/>
      <c r="D36" s="36"/>
      <c r="E36" s="36"/>
      <c r="F36" s="42"/>
      <c r="G36" s="36"/>
      <c r="H36" s="129"/>
      <c r="I36" s="36"/>
    </row>
    <row r="37" spans="1:9">
      <c r="A37" s="36">
        <v>30</v>
      </c>
      <c r="B37" s="36"/>
      <c r="C37" s="123"/>
      <c r="D37" s="36"/>
      <c r="E37" s="42"/>
      <c r="F37" s="36"/>
      <c r="G37" s="55"/>
      <c r="H37" s="129"/>
      <c r="I37" s="36"/>
    </row>
    <row r="38" spans="1:9">
      <c r="A38" s="55"/>
      <c r="B38" s="36"/>
      <c r="C38" s="36"/>
      <c r="D38" s="36"/>
      <c r="E38" s="36"/>
      <c r="F38" s="130"/>
      <c r="G38" s="36"/>
      <c r="H38" s="129"/>
      <c r="I38" s="36"/>
    </row>
    <row r="39" spans="1:9">
      <c r="A39" s="55"/>
      <c r="B39" s="36"/>
      <c r="C39" s="36"/>
      <c r="D39" s="36"/>
      <c r="E39" s="36"/>
      <c r="F39" s="42"/>
      <c r="G39" s="36"/>
      <c r="H39" s="129"/>
      <c r="I39" s="36"/>
    </row>
    <row r="40" spans="1:9">
      <c r="A40" s="55"/>
      <c r="B40" s="36"/>
      <c r="C40" s="36"/>
      <c r="D40" s="36"/>
      <c r="E40" s="36"/>
      <c r="F40" s="56"/>
      <c r="G40" s="55"/>
      <c r="H40" s="128"/>
      <c r="I40" s="36"/>
    </row>
    <row r="41" spans="1:9">
      <c r="A41" s="36"/>
      <c r="B41" s="36"/>
      <c r="C41" s="36"/>
      <c r="D41" s="36"/>
      <c r="E41" s="36"/>
      <c r="F41" s="42"/>
      <c r="G41" s="36"/>
      <c r="H41" s="36"/>
      <c r="I41" s="36"/>
    </row>
    <row r="42" spans="1:9">
      <c r="A42" s="36"/>
      <c r="C42" s="36"/>
      <c r="D42" s="36"/>
      <c r="E42" s="36"/>
      <c r="F42" s="127"/>
      <c r="G42" s="36"/>
      <c r="H42" s="36"/>
      <c r="I42" s="36"/>
    </row>
    <row r="43" spans="1:9">
      <c r="A43" s="36"/>
    </row>
    <row r="44" spans="1:9">
      <c r="A44" s="36"/>
    </row>
    <row r="45" spans="1:9">
      <c r="A45" s="36"/>
    </row>
    <row r="46" spans="1:9">
      <c r="A46" s="36"/>
      <c r="B46" s="36"/>
      <c r="C46" s="36"/>
      <c r="D46" s="36"/>
      <c r="E46" s="42"/>
      <c r="F46" s="36"/>
      <c r="G46" s="36"/>
      <c r="H46" s="36"/>
      <c r="I46" s="36"/>
    </row>
    <row r="47" spans="1:9">
      <c r="A47" s="36"/>
      <c r="B47" s="36"/>
      <c r="C47" s="36"/>
      <c r="D47" s="36"/>
      <c r="E47" s="42"/>
      <c r="F47" s="36"/>
      <c r="G47" s="36"/>
      <c r="H47" s="36"/>
      <c r="I47" s="36"/>
    </row>
    <row r="48" spans="1:9">
      <c r="A48" s="36"/>
      <c r="B48" s="36"/>
      <c r="C48" s="36"/>
      <c r="D48" s="36"/>
      <c r="E48" s="42"/>
      <c r="F48" s="36"/>
      <c r="G48" s="36"/>
      <c r="H48" s="36"/>
      <c r="I48" s="36"/>
    </row>
    <row r="49" spans="1:9">
      <c r="A49" s="36"/>
      <c r="B49" s="36"/>
      <c r="C49" s="36"/>
      <c r="D49" s="36"/>
      <c r="E49" s="42"/>
      <c r="F49" s="36"/>
      <c r="G49" s="36"/>
      <c r="H49" s="36"/>
      <c r="I49" s="36"/>
    </row>
    <row r="50" spans="1:9">
      <c r="A50" s="36"/>
    </row>
    <row r="51" spans="1:9">
      <c r="A51" s="36"/>
    </row>
    <row r="52" spans="1:9">
      <c r="A52" s="36"/>
    </row>
    <row r="53" spans="1:9">
      <c r="A53" s="36"/>
    </row>
    <row r="54" spans="1:9">
      <c r="A54" s="36"/>
    </row>
    <row r="55" spans="1:9">
      <c r="A55" s="36"/>
    </row>
    <row r="56" spans="1:9">
      <c r="A56" s="36"/>
    </row>
    <row r="57" spans="1:9">
      <c r="A57" s="36"/>
    </row>
    <row r="58" spans="1:9">
      <c r="A58" s="36"/>
    </row>
    <row r="59" spans="1:9">
      <c r="A59" s="36"/>
    </row>
    <row r="60" spans="1:9">
      <c r="A60" s="36"/>
    </row>
    <row r="61" spans="1:9">
      <c r="A61" s="36"/>
    </row>
    <row r="62" spans="1:9">
      <c r="A62" s="36"/>
    </row>
    <row r="63" spans="1:9">
      <c r="A63" s="36"/>
    </row>
    <row r="64" spans="1:9">
      <c r="A64" s="36"/>
    </row>
    <row r="65" spans="1:1">
      <c r="A65" s="36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N58"/>
  <sheetViews>
    <sheetView view="pageBreakPreview" zoomScale="85" zoomScaleNormal="80" zoomScaleSheetLayoutView="85" workbookViewId="0"/>
  </sheetViews>
  <sheetFormatPr defaultColWidth="9.85546875" defaultRowHeight="14.25"/>
  <cols>
    <col min="1" max="1" width="4.85546875" style="34" customWidth="1"/>
    <col min="2" max="2" width="9.85546875" style="34"/>
    <col min="3" max="3" width="15.85546875" style="34" customWidth="1"/>
    <col min="4" max="4" width="13.85546875" style="34" customWidth="1"/>
    <col min="5" max="5" width="16.7109375" style="34" customWidth="1"/>
    <col min="6" max="6" width="13.7109375" style="34" customWidth="1"/>
    <col min="7" max="7" width="11.140625" style="34" customWidth="1"/>
    <col min="8" max="8" width="15" style="34" customWidth="1"/>
    <col min="9" max="9" width="10.140625" style="34" bestFit="1" customWidth="1"/>
    <col min="10" max="10" width="9.85546875" style="34"/>
    <col min="11" max="11" width="15.140625" style="34" bestFit="1" customWidth="1"/>
    <col min="12" max="12" width="11.7109375" style="142" bestFit="1" customWidth="1"/>
    <col min="13" max="13" width="9.85546875" style="34"/>
    <col min="14" max="14" width="12.85546875" style="34" bestFit="1" customWidth="1"/>
    <col min="15" max="16384" width="9.85546875" style="34"/>
  </cols>
  <sheetData>
    <row r="1" spans="1:12" ht="15">
      <c r="A1" s="68" t="s">
        <v>31</v>
      </c>
      <c r="B1" s="51"/>
      <c r="C1" s="51"/>
      <c r="D1" s="51"/>
      <c r="E1" s="51"/>
      <c r="F1" s="51"/>
      <c r="G1" s="126"/>
      <c r="H1" s="36" t="s">
        <v>72</v>
      </c>
    </row>
    <row r="2" spans="1:12">
      <c r="A2" s="51" t="str">
        <f>B.1!A2</f>
        <v>Expected Gas Cost (EGC) Calculation</v>
      </c>
      <c r="B2" s="51"/>
      <c r="C2" s="51"/>
      <c r="D2" s="51"/>
      <c r="E2" s="51"/>
      <c r="F2" s="51"/>
      <c r="G2" s="126"/>
      <c r="H2" s="36" t="s">
        <v>217</v>
      </c>
      <c r="K2" s="34" t="s">
        <v>392</v>
      </c>
    </row>
    <row r="3" spans="1:12">
      <c r="A3" s="67" t="s">
        <v>216</v>
      </c>
      <c r="B3" s="51"/>
      <c r="C3" s="51"/>
      <c r="D3" s="51"/>
      <c r="E3" s="51"/>
      <c r="F3" s="51"/>
      <c r="G3" s="126"/>
      <c r="H3" s="36"/>
      <c r="J3" s="34" t="s">
        <v>389</v>
      </c>
      <c r="K3" s="432">
        <v>1.0349832070710745</v>
      </c>
    </row>
    <row r="4" spans="1:12">
      <c r="A4" s="36"/>
      <c r="B4" s="36"/>
      <c r="C4" s="36"/>
      <c r="D4" s="36"/>
      <c r="E4" s="36"/>
      <c r="F4" s="36"/>
      <c r="G4" s="66"/>
      <c r="H4" s="36"/>
      <c r="J4" s="34" t="s">
        <v>390</v>
      </c>
      <c r="K4" s="432">
        <v>1.0582870099473376</v>
      </c>
    </row>
    <row r="5" spans="1:12">
      <c r="A5" s="153"/>
      <c r="B5" s="36"/>
      <c r="C5" s="36"/>
      <c r="D5" s="36"/>
      <c r="E5" s="60" t="s">
        <v>26</v>
      </c>
      <c r="F5" s="60" t="s">
        <v>25</v>
      </c>
      <c r="G5" s="60" t="s">
        <v>24</v>
      </c>
      <c r="H5" s="60" t="s">
        <v>68</v>
      </c>
      <c r="I5" s="60"/>
      <c r="J5" s="34" t="s">
        <v>391</v>
      </c>
      <c r="K5" s="432">
        <v>1.0309999999999999</v>
      </c>
    </row>
    <row r="6" spans="1:12" ht="15">
      <c r="A6" s="61"/>
      <c r="B6" s="61"/>
      <c r="C6" s="61"/>
      <c r="D6" s="61"/>
      <c r="E6" s="61"/>
      <c r="F6" s="61"/>
      <c r="G6" s="61"/>
      <c r="H6" s="61"/>
    </row>
    <row r="7" spans="1:12" ht="15">
      <c r="A7" s="64" t="s">
        <v>23</v>
      </c>
      <c r="B7" s="61"/>
      <c r="C7" s="61"/>
      <c r="D7" s="61"/>
      <c r="E7" s="124"/>
      <c r="F7" s="124"/>
      <c r="G7" s="61"/>
      <c r="H7" s="61"/>
    </row>
    <row r="8" spans="1:12" ht="15">
      <c r="A8" s="63" t="s">
        <v>22</v>
      </c>
      <c r="B8" s="62" t="s">
        <v>21</v>
      </c>
      <c r="C8" s="62"/>
      <c r="D8" s="62"/>
      <c r="E8" s="65" t="s">
        <v>150</v>
      </c>
      <c r="F8" s="65"/>
      <c r="G8" s="63" t="s">
        <v>62</v>
      </c>
      <c r="H8" s="63" t="s">
        <v>61</v>
      </c>
    </row>
    <row r="9" spans="1:12" ht="15">
      <c r="A9" s="36"/>
      <c r="B9" s="61"/>
      <c r="C9" s="36"/>
      <c r="D9" s="36"/>
      <c r="E9" s="60" t="s">
        <v>3</v>
      </c>
      <c r="F9" s="60" t="s">
        <v>60</v>
      </c>
      <c r="G9" s="60" t="s">
        <v>19</v>
      </c>
      <c r="H9" s="60" t="s">
        <v>58</v>
      </c>
    </row>
    <row r="10" spans="1:12" ht="15">
      <c r="A10" s="36"/>
      <c r="B10" s="52"/>
      <c r="C10" s="36"/>
      <c r="D10" s="36"/>
      <c r="E10" s="36"/>
      <c r="F10" s="100"/>
      <c r="G10" s="36"/>
      <c r="H10" s="36"/>
    </row>
    <row r="11" spans="1:12" ht="15">
      <c r="A11" s="36">
        <v>1</v>
      </c>
      <c r="B11" s="52" t="s">
        <v>215</v>
      </c>
      <c r="C11" s="36"/>
      <c r="D11" s="36"/>
      <c r="E11" s="42"/>
      <c r="F11" s="42"/>
      <c r="G11" s="36"/>
      <c r="H11" s="36"/>
    </row>
    <row r="12" spans="1:12">
      <c r="A12" s="36">
        <v>2</v>
      </c>
      <c r="B12" s="36" t="s">
        <v>214</v>
      </c>
      <c r="C12" s="36"/>
      <c r="D12" s="36"/>
      <c r="E12" s="45">
        <f>ROUND(F12/$K$3,0)</f>
        <v>2489211</v>
      </c>
      <c r="F12" s="42">
        <f>B.3!G11</f>
        <v>2576291.3000000003</v>
      </c>
      <c r="G12" s="41">
        <f>IF(F12&lt;&gt;0,ROUND(H12/E12,4),0)</f>
        <v>2.8134999999999999</v>
      </c>
      <c r="H12" s="42">
        <f>B.3!I15</f>
        <v>7003390</v>
      </c>
    </row>
    <row r="13" spans="1:12">
      <c r="A13" s="36">
        <v>3</v>
      </c>
      <c r="B13" s="36" t="s">
        <v>173</v>
      </c>
      <c r="C13" s="36"/>
      <c r="D13" s="36"/>
      <c r="E13" s="45">
        <f t="shared" ref="E13:E14" si="0">ROUND(F13/$K$3,0)</f>
        <v>2036627</v>
      </c>
      <c r="F13" s="42">
        <f>B.3!G17</f>
        <v>2107874.7000000002</v>
      </c>
      <c r="G13" s="41">
        <f>IF(F13&lt;&gt;0,ROUND(H13/E13,4),0)</f>
        <v>2.8096999999999999</v>
      </c>
      <c r="H13" s="42">
        <f>B.3!I22</f>
        <v>5722247</v>
      </c>
      <c r="I13" s="116"/>
    </row>
    <row r="14" spans="1:12">
      <c r="A14" s="36">
        <v>4</v>
      </c>
      <c r="B14" s="36" t="s">
        <v>132</v>
      </c>
      <c r="C14" s="36"/>
      <c r="D14" s="85"/>
      <c r="E14" s="45">
        <f t="shared" si="0"/>
        <v>-1435934</v>
      </c>
      <c r="F14" s="56">
        <f>B.3!G25+B.3!G26</f>
        <v>-1486168</v>
      </c>
      <c r="G14" s="111">
        <f>IF(F14&lt;&gt;0,ROUND(H14/E14,4),0)</f>
        <v>2.8134999999999999</v>
      </c>
      <c r="H14" s="56">
        <f>B.3!I29</f>
        <v>-4039999.04</v>
      </c>
      <c r="I14" s="116"/>
    </row>
    <row r="15" spans="1:12">
      <c r="A15" s="36">
        <v>5</v>
      </c>
      <c r="B15" s="36" t="s">
        <v>213</v>
      </c>
      <c r="C15" s="36"/>
      <c r="D15" s="36"/>
      <c r="E15" s="43">
        <f>SUM(E12:E14)</f>
        <v>3089904</v>
      </c>
      <c r="F15" s="43">
        <f>SUM(F12:F14)</f>
        <v>3197998</v>
      </c>
      <c r="G15" s="150">
        <f>IF(F15&lt;&gt;0,ROUND(H15/E15,4),0)</f>
        <v>2.8109999999999999</v>
      </c>
      <c r="H15" s="43">
        <f>SUM(H12:H14)</f>
        <v>8685637.9600000009</v>
      </c>
      <c r="K15" s="398"/>
      <c r="L15" s="398"/>
    </row>
    <row r="16" spans="1:12">
      <c r="A16" s="36">
        <v>6</v>
      </c>
      <c r="B16" s="36"/>
      <c r="C16" s="36"/>
      <c r="D16" s="36"/>
      <c r="E16" s="36"/>
      <c r="F16" s="42"/>
      <c r="G16" s="36"/>
      <c r="H16" s="36"/>
      <c r="J16" s="35"/>
      <c r="K16" s="46"/>
    </row>
    <row r="17" spans="1:12" ht="15">
      <c r="A17" s="36">
        <v>7</v>
      </c>
      <c r="B17" s="52" t="s">
        <v>212</v>
      </c>
      <c r="C17" s="36"/>
      <c r="D17" s="36"/>
      <c r="E17" s="36"/>
      <c r="F17" s="42"/>
      <c r="G17" s="36"/>
      <c r="H17" s="42"/>
    </row>
    <row r="18" spans="1:12">
      <c r="A18" s="36">
        <v>8</v>
      </c>
      <c r="B18" s="36" t="s">
        <v>211</v>
      </c>
      <c r="C18" s="36"/>
      <c r="D18" s="36"/>
      <c r="E18" s="45">
        <f>ROUND(F18/$K$4,0)</f>
        <v>667663</v>
      </c>
      <c r="F18" s="42">
        <f>B.4!H11</f>
        <v>706579</v>
      </c>
      <c r="G18" s="41">
        <f>IF(F18&lt;&gt;0,ROUND(H18/E18,4),0)</f>
        <v>2.8852000000000002</v>
      </c>
      <c r="H18" s="42">
        <f>B.4!J16</f>
        <v>1926308</v>
      </c>
    </row>
    <row r="19" spans="1:12">
      <c r="A19" s="36">
        <v>9</v>
      </c>
      <c r="B19" s="36" t="s">
        <v>210</v>
      </c>
      <c r="C19" s="36"/>
      <c r="D19" s="36"/>
      <c r="E19" s="45">
        <f t="shared" ref="E19:E22" si="1">ROUND(F19/$K$4,0)</f>
        <v>0</v>
      </c>
      <c r="F19" s="42">
        <f>B.4!H18</f>
        <v>0</v>
      </c>
      <c r="G19" s="41">
        <f>IF(F19&lt;&gt;0,ROUND(H19/E19,4),0)</f>
        <v>0</v>
      </c>
      <c r="H19" s="42">
        <f>B.4!J23</f>
        <v>0</v>
      </c>
      <c r="J19" s="46"/>
      <c r="K19" s="46"/>
    </row>
    <row r="20" spans="1:12">
      <c r="A20" s="36">
        <v>10</v>
      </c>
      <c r="B20" s="36" t="s">
        <v>81</v>
      </c>
      <c r="C20" s="36"/>
      <c r="D20" s="36"/>
      <c r="E20" s="45"/>
      <c r="F20" s="46"/>
      <c r="G20" s="41"/>
      <c r="H20" s="46"/>
      <c r="I20" s="46"/>
    </row>
    <row r="21" spans="1:12">
      <c r="A21" s="36">
        <v>11</v>
      </c>
      <c r="B21" s="50" t="s">
        <v>170</v>
      </c>
      <c r="C21" s="36"/>
      <c r="D21" s="36"/>
      <c r="E21" s="45">
        <f t="shared" si="1"/>
        <v>-480218</v>
      </c>
      <c r="F21" s="46">
        <f>B.4!H27</f>
        <v>-508208</v>
      </c>
      <c r="G21" s="41">
        <f>IF(F21&lt;&gt;0,ROUND(H21/E21,4),0)</f>
        <v>2.819</v>
      </c>
      <c r="H21" s="152">
        <f>B.4!J27+B.4!J29</f>
        <v>-1353713.24</v>
      </c>
    </row>
    <row r="22" spans="1:12">
      <c r="A22" s="36">
        <v>12</v>
      </c>
      <c r="B22" s="50" t="s">
        <v>128</v>
      </c>
      <c r="C22" s="36"/>
      <c r="D22" s="85"/>
      <c r="E22" s="45">
        <f t="shared" si="1"/>
        <v>0</v>
      </c>
      <c r="F22" s="69">
        <f>B.4!H26</f>
        <v>0</v>
      </c>
      <c r="G22" s="41">
        <f>IF(F22&lt;&gt;0,ROUND(H22/E22,4),0)</f>
        <v>0</v>
      </c>
      <c r="H22" s="151">
        <f>B.4!J26+B.4!J28+B.4!J30</f>
        <v>-51</v>
      </c>
    </row>
    <row r="23" spans="1:12" ht="15">
      <c r="A23" s="36">
        <v>13</v>
      </c>
      <c r="B23" s="36"/>
      <c r="C23" s="36"/>
      <c r="D23" s="36"/>
      <c r="E23" s="43">
        <f>SUM(E18:E22)</f>
        <v>187445</v>
      </c>
      <c r="F23" s="43">
        <f>SUM(F18:F22)</f>
        <v>198371</v>
      </c>
      <c r="G23" s="150">
        <f>IF(F23&lt;&gt;0,ROUND(H23/E23,4),0)</f>
        <v>3.0545</v>
      </c>
      <c r="H23" s="43">
        <f>SUM(H18:H22)</f>
        <v>572543.76</v>
      </c>
      <c r="I23" s="118"/>
      <c r="L23" s="399"/>
    </row>
    <row r="24" spans="1:12" ht="15">
      <c r="A24" s="36">
        <v>14</v>
      </c>
      <c r="B24" s="52" t="s">
        <v>209</v>
      </c>
      <c r="C24" s="36"/>
      <c r="D24" s="36"/>
      <c r="E24" s="36"/>
      <c r="F24" s="42"/>
      <c r="G24" s="36"/>
      <c r="H24" s="42"/>
    </row>
    <row r="25" spans="1:12">
      <c r="A25" s="36">
        <v>15</v>
      </c>
      <c r="B25" s="36" t="s">
        <v>173</v>
      </c>
      <c r="C25" s="36"/>
      <c r="D25" s="36"/>
      <c r="E25" s="45">
        <f>ROUND(F25/K5,0)</f>
        <v>89234</v>
      </c>
      <c r="F25" s="42">
        <f>B.5!H12</f>
        <v>92000</v>
      </c>
      <c r="G25" s="41">
        <f>IF(F25&lt;&gt;0,ROUND(H25/E25,4),0)</f>
        <v>2.7621000000000002</v>
      </c>
      <c r="H25" s="42">
        <f>B.5!J17</f>
        <v>246477</v>
      </c>
    </row>
    <row r="26" spans="1:12">
      <c r="A26" s="36">
        <v>16</v>
      </c>
      <c r="G26" s="41"/>
    </row>
    <row r="27" spans="1:12" ht="15">
      <c r="A27" s="36">
        <v>17</v>
      </c>
      <c r="B27" s="52" t="s">
        <v>208</v>
      </c>
      <c r="C27" s="36"/>
      <c r="D27" s="36"/>
      <c r="E27" s="421"/>
      <c r="F27" s="42"/>
      <c r="G27" s="41"/>
      <c r="H27" s="36"/>
    </row>
    <row r="28" spans="1:12">
      <c r="A28" s="36">
        <v>18</v>
      </c>
      <c r="B28" s="34" t="s">
        <v>206</v>
      </c>
      <c r="C28" s="36"/>
      <c r="D28" s="36"/>
      <c r="E28" s="45">
        <f>ROUND(F28/K3,0)</f>
        <v>0</v>
      </c>
      <c r="F28" s="45">
        <v>0</v>
      </c>
      <c r="G28" s="41">
        <f t="shared" ref="G28" si="2">IF(F28&lt;&gt;0,ROUND(H28/E28,4),0)</f>
        <v>0</v>
      </c>
      <c r="H28" s="42">
        <f>ROUND(E28*B.3!H29,0)</f>
        <v>0</v>
      </c>
    </row>
    <row r="29" spans="1:12">
      <c r="A29" s="36">
        <v>19</v>
      </c>
      <c r="B29" s="34" t="s">
        <v>207</v>
      </c>
      <c r="C29" s="36"/>
      <c r="D29" s="36"/>
      <c r="E29" s="45">
        <f>ROUND(F29/K3,0)</f>
        <v>-1365000</v>
      </c>
      <c r="F29" s="407">
        <v>-1412752</v>
      </c>
      <c r="G29" s="419">
        <f>IF(F29&lt;&gt;0,ROUND(H29/E29,4),0)</f>
        <v>2.7183999999999999</v>
      </c>
      <c r="H29" s="69">
        <f>ROUND(E29*B.3!H29,0)</f>
        <v>-3710616</v>
      </c>
      <c r="J29" s="116"/>
      <c r="K29" s="149"/>
    </row>
    <row r="30" spans="1:12">
      <c r="A30" s="36">
        <v>20</v>
      </c>
      <c r="B30" s="36" t="s">
        <v>205</v>
      </c>
      <c r="C30" s="36"/>
      <c r="D30" s="85"/>
      <c r="E30" s="42">
        <f>E28+E29</f>
        <v>-1365000</v>
      </c>
      <c r="F30" s="42">
        <f>F28+F29</f>
        <v>-1412752</v>
      </c>
      <c r="G30" s="111">
        <f>IF(F30&lt;&gt;0,ROUND(H30/E30,4),0)</f>
        <v>2.7183999999999999</v>
      </c>
      <c r="H30" s="42">
        <f>H28+H29</f>
        <v>-3710616</v>
      </c>
      <c r="K30" s="398"/>
      <c r="L30" s="398"/>
    </row>
    <row r="31" spans="1:12">
      <c r="A31" s="36">
        <v>21</v>
      </c>
      <c r="B31" s="36"/>
      <c r="C31" s="36"/>
      <c r="D31" s="85"/>
      <c r="E31" s="36"/>
      <c r="F31" s="42"/>
      <c r="G31" s="41"/>
      <c r="H31" s="42"/>
    </row>
    <row r="32" spans="1:12">
      <c r="A32" s="36">
        <v>22</v>
      </c>
      <c r="B32" s="36"/>
      <c r="C32" s="36"/>
      <c r="D32" s="85"/>
      <c r="E32" s="36"/>
      <c r="F32" s="42"/>
      <c r="G32" s="41"/>
      <c r="H32" s="42"/>
    </row>
    <row r="33" spans="1:14">
      <c r="A33" s="36">
        <v>23</v>
      </c>
      <c r="B33" s="36" t="s">
        <v>204</v>
      </c>
      <c r="C33" s="36"/>
      <c r="D33" s="85"/>
      <c r="E33" s="420">
        <f>ROUND(F33/K4,0)</f>
        <v>3999</v>
      </c>
      <c r="F33" s="45">
        <f>D.2!D24+D.2!F24+D.2!H24</f>
        <v>4232</v>
      </c>
      <c r="G33" s="41">
        <f>IF(F33&lt;&gt;0,ROUND(H33/E33,4),0)</f>
        <v>2.6549</v>
      </c>
      <c r="H33" s="42">
        <v>10617</v>
      </c>
    </row>
    <row r="34" spans="1:14">
      <c r="A34" s="36">
        <v>24</v>
      </c>
      <c r="B34" s="36"/>
      <c r="C34" s="36"/>
      <c r="D34" s="85"/>
      <c r="E34" s="36"/>
      <c r="F34" s="42"/>
      <c r="G34" s="41"/>
      <c r="H34" s="42"/>
    </row>
    <row r="35" spans="1:14">
      <c r="A35" s="36">
        <v>25</v>
      </c>
      <c r="B35" s="36"/>
      <c r="C35" s="36"/>
      <c r="D35" s="36"/>
      <c r="E35" s="36"/>
      <c r="F35" s="42"/>
      <c r="G35" s="36"/>
      <c r="H35" s="36"/>
      <c r="M35" s="46"/>
    </row>
    <row r="36" spans="1:14">
      <c r="A36" s="36">
        <v>26</v>
      </c>
      <c r="B36" s="36"/>
      <c r="C36" s="36"/>
      <c r="D36" s="36"/>
      <c r="E36" s="36"/>
      <c r="F36" s="42"/>
      <c r="G36" s="144"/>
      <c r="H36" s="36"/>
    </row>
    <row r="37" spans="1:14">
      <c r="A37" s="36">
        <v>27</v>
      </c>
      <c r="B37" s="36" t="s">
        <v>203</v>
      </c>
      <c r="C37" s="36"/>
      <c r="D37" s="36"/>
      <c r="E37" s="148">
        <f>E15+E23+E25+E30+E33</f>
        <v>2005582</v>
      </c>
      <c r="F37" s="148">
        <f>F15+F23+F25+F30+F33</f>
        <v>2079849</v>
      </c>
      <c r="G37" s="111">
        <f>IF(F37&lt;&gt;0,ROUND(H37/E37,4),0)</f>
        <v>2.8942999999999999</v>
      </c>
      <c r="H37" s="148">
        <f>H15+H23+H25+H30+H33</f>
        <v>5804659.7200000007</v>
      </c>
      <c r="K37" s="400"/>
      <c r="L37" s="401"/>
    </row>
    <row r="38" spans="1:14">
      <c r="A38" s="36">
        <v>28</v>
      </c>
      <c r="B38" s="36"/>
      <c r="C38" s="36"/>
      <c r="D38" s="36"/>
      <c r="E38" s="42"/>
      <c r="F38" s="42"/>
      <c r="G38" s="58"/>
      <c r="H38" s="42"/>
    </row>
    <row r="39" spans="1:14">
      <c r="A39" s="36">
        <v>29</v>
      </c>
      <c r="B39" s="36" t="s">
        <v>202</v>
      </c>
      <c r="C39" s="36"/>
      <c r="D39" s="438">
        <v>1.84E-2</v>
      </c>
      <c r="E39" s="42">
        <f>ROUND(F39*$E$37/$F$37,0)</f>
        <v>36902</v>
      </c>
      <c r="F39" s="42">
        <f>ROUND(F37*D39,0)</f>
        <v>38269</v>
      </c>
      <c r="G39" s="36"/>
      <c r="H39" s="36"/>
    </row>
    <row r="40" spans="1:14">
      <c r="A40" s="36">
        <v>30</v>
      </c>
      <c r="B40" s="36"/>
      <c r="C40" s="36"/>
      <c r="D40" s="36"/>
      <c r="E40" s="36"/>
      <c r="F40" s="42"/>
      <c r="G40" s="83"/>
      <c r="H40" s="36"/>
    </row>
    <row r="41" spans="1:14">
      <c r="A41" s="36">
        <v>31</v>
      </c>
      <c r="B41" s="36" t="s">
        <v>201</v>
      </c>
      <c r="C41" s="36"/>
      <c r="D41" s="42"/>
      <c r="E41" s="147">
        <f>E37-E39</f>
        <v>1968680</v>
      </c>
      <c r="F41" s="147">
        <f>F37-F39</f>
        <v>2041580</v>
      </c>
      <c r="G41" s="111">
        <f>IF(F41&lt;&gt;0,ROUND(H41/E41,4),0)</f>
        <v>2.9485000000000001</v>
      </c>
      <c r="H41" s="147">
        <f>SUM(H37:H40)</f>
        <v>5804659.7200000007</v>
      </c>
      <c r="N41" s="146"/>
    </row>
    <row r="42" spans="1:14">
      <c r="A42" s="36">
        <v>32</v>
      </c>
      <c r="B42" s="36"/>
      <c r="C42" s="36"/>
      <c r="D42" s="36"/>
      <c r="E42" s="36"/>
      <c r="F42" s="42"/>
      <c r="G42" s="36"/>
      <c r="H42" s="36"/>
      <c r="M42" s="35"/>
    </row>
    <row r="43" spans="1:14">
      <c r="A43" s="36">
        <v>33</v>
      </c>
      <c r="B43" s="145"/>
      <c r="C43" s="126"/>
      <c r="D43" s="126"/>
      <c r="E43" s="126"/>
      <c r="F43" s="42"/>
      <c r="G43" s="36"/>
      <c r="H43" s="36"/>
    </row>
    <row r="44" spans="1:14">
      <c r="A44" s="36">
        <v>34</v>
      </c>
      <c r="B44" s="36"/>
      <c r="C44" s="48"/>
      <c r="D44" s="36"/>
      <c r="E44" s="144"/>
      <c r="F44" s="69"/>
      <c r="G44" s="144"/>
      <c r="H44" s="144"/>
    </row>
    <row r="45" spans="1:14" ht="15" thickBot="1">
      <c r="A45" s="36">
        <v>35</v>
      </c>
      <c r="B45" s="36" t="s">
        <v>200</v>
      </c>
      <c r="C45" s="36"/>
      <c r="D45" s="36"/>
      <c r="E45" s="39">
        <f>E41</f>
        <v>1968680</v>
      </c>
      <c r="F45" s="39">
        <f>F41</f>
        <v>2041580</v>
      </c>
      <c r="G45" s="110">
        <f>ROUND(H45/E45, 4)</f>
        <v>2.9485000000000001</v>
      </c>
      <c r="H45" s="39">
        <f>H41</f>
        <v>5804659.7200000007</v>
      </c>
    </row>
    <row r="46" spans="1:14" ht="15" thickTop="1">
      <c r="A46" s="36">
        <v>36</v>
      </c>
      <c r="B46" s="36"/>
      <c r="C46" s="36"/>
      <c r="D46" s="36"/>
      <c r="E46" s="54"/>
      <c r="F46" s="54"/>
      <c r="G46" s="54"/>
      <c r="H46" s="54"/>
    </row>
    <row r="47" spans="1:14">
      <c r="A47" s="36">
        <v>37</v>
      </c>
      <c r="B47" s="36"/>
      <c r="C47" s="36"/>
      <c r="D47" s="36"/>
      <c r="E47" s="46"/>
      <c r="F47" s="56"/>
      <c r="G47" s="111"/>
      <c r="H47" s="56"/>
    </row>
    <row r="48" spans="1:14">
      <c r="A48" s="36">
        <v>38</v>
      </c>
      <c r="B48" s="36" t="s">
        <v>199</v>
      </c>
      <c r="C48" s="36"/>
      <c r="D48" s="36"/>
      <c r="F48" s="42"/>
      <c r="G48" s="36"/>
      <c r="H48" s="42"/>
    </row>
    <row r="49" spans="1:8">
      <c r="A49" s="36">
        <v>39</v>
      </c>
      <c r="B49" s="36"/>
      <c r="C49" s="36"/>
      <c r="D49" s="36"/>
      <c r="F49" s="56"/>
      <c r="G49" s="136"/>
      <c r="H49" s="56"/>
    </row>
    <row r="50" spans="1:8">
      <c r="A50" s="36"/>
      <c r="B50" s="36"/>
      <c r="C50" s="36"/>
      <c r="D50" s="36"/>
      <c r="F50" s="42"/>
      <c r="G50" s="143"/>
      <c r="H50" s="42"/>
    </row>
    <row r="51" spans="1:8">
      <c r="A51" s="36"/>
      <c r="B51" s="36"/>
      <c r="C51" s="36"/>
      <c r="D51" s="36"/>
      <c r="E51" s="42"/>
      <c r="F51" s="42"/>
      <c r="G51" s="36"/>
      <c r="H51" s="42"/>
    </row>
    <row r="52" spans="1:8">
      <c r="A52" s="36"/>
      <c r="B52" s="36"/>
      <c r="C52" s="36"/>
      <c r="D52" s="36"/>
      <c r="E52" s="36"/>
      <c r="F52" s="42"/>
      <c r="G52" s="36"/>
      <c r="H52" s="36"/>
    </row>
    <row r="53" spans="1:8">
      <c r="A53" s="36"/>
      <c r="B53" s="36"/>
      <c r="C53" s="36"/>
      <c r="D53" s="36"/>
      <c r="E53" s="36"/>
      <c r="F53" s="42"/>
      <c r="G53" s="36"/>
      <c r="H53" s="36"/>
    </row>
    <row r="54" spans="1:8">
      <c r="A54" s="36"/>
      <c r="B54" s="36"/>
      <c r="C54" s="36"/>
      <c r="D54" s="36"/>
      <c r="E54" s="36"/>
      <c r="F54" s="42"/>
      <c r="G54" s="36"/>
      <c r="H54" s="36"/>
    </row>
    <row r="55" spans="1:8">
      <c r="A55" s="36"/>
      <c r="B55" s="36"/>
      <c r="C55" s="36"/>
      <c r="D55" s="36"/>
      <c r="E55" s="36"/>
      <c r="F55" s="42"/>
      <c r="G55" s="36"/>
      <c r="H55" s="36"/>
    </row>
    <row r="56" spans="1:8">
      <c r="A56" s="36"/>
    </row>
    <row r="57" spans="1:8">
      <c r="A57" s="36"/>
    </row>
    <row r="58" spans="1:8">
      <c r="A58" s="36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23</vt:i4>
      </vt:variant>
    </vt:vector>
  </HeadingPairs>
  <TitlesOfParts>
    <vt:vector size="41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DemandChargePerMdq</vt:lpstr>
      <vt:lpstr>ExpectedCommodity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rpt_Confidential</vt:lpstr>
      <vt:lpstr>rpt_PublicDisclosure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Anthony D Croissant</cp:lastModifiedBy>
  <cp:lastPrinted>2021-03-31T13:44:27Z</cp:lastPrinted>
  <dcterms:created xsi:type="dcterms:W3CDTF">2012-10-03T12:42:31Z</dcterms:created>
  <dcterms:modified xsi:type="dcterms:W3CDTF">2021-03-31T14:21:32Z</dcterms:modified>
</cp:coreProperties>
</file>