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activeTab="0"/>
  </bookViews>
  <sheets>
    <sheet name="May 21" sheetId="1" r:id="rId1"/>
  </sheets>
  <externalReferences>
    <externalReference r:id="rId4"/>
  </externalReferences>
  <definedNames>
    <definedName name="_xlnm.Print_Area" localSheetId="0">'May 21'!$A$1:$H$56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<sst xmlns="http://schemas.openxmlformats.org/spreadsheetml/2006/main" count="136" uniqueCount="106">
  <si>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</si>
  <si>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</si>
  <si>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</si>
  <si>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</si>
  <si>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</si>
  <si>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</si>
  <si>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</si>
  <si>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</si>
  <si>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</si>
  <si>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</si>
  <si>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</si>
  <si>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</si>
  <si>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</si>
  <si>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</si>
  <si>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</si>
  <si>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</si>
  <si>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</si>
  <si>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</si>
  <si>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</si>
  <si>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</si>
  <si>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</si>
  <si>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</si>
  <si>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</si>
  <si>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</si>
  <si>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</si>
  <si>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</si>
  <si>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</si>
  <si>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</si>
  <si>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</si>
  <si>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</si>
  <si>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</si>
  <si>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</si>
  <si>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</si>
  <si>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</si>
  <si>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</si>
  <si>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</si>
  <si>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</si>
  <si>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</si>
  <si>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</si>
  <si>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</si>
  <si>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</si>
  <si>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</si>
  <si>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</si>
  <si>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</si>
  <si>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</si>
  <si>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</si>
  <si>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</si>
  <si>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</si>
  <si>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</si>
  <si>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</si>
  <si>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</si>
  <si>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</si>
  <si>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</si>
  <si>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</si>
  <si>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</si>
  <si>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</si>
  <si>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</si>
  <si>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</si>
  <si>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</si>
  <si>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</si>
  <si>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</si>
  <si>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</si>
  <si>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</si>
  <si>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</si>
  <si>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</si>
  <si>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</si>
  <si>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</si>
  <si>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</si>
  <si>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</si>
  <si>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</si>
  <si>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</si>
  <si>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</si>
  <si>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</si>
  <si>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</si>
  <si>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</si>
  <si>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</si>
  <si>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</si>
  <si>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</si>
  <si>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</si>
  <si>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</si>
  <si>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</si>
  <si>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</si>
  <si>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</si>
  <si>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</si>
  <si>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</si>
  <si>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</si>
  <si>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</si>
  <si>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</si>
  <si>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</si>
  <si>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</si>
  <si>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</si>
  <si>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</si>
  <si>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</si>
  <si>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</si>
  <si>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</si>
  <si>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</si>
  <si>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</si>
  <si>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</si>
  <si>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</si>
  <si>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</si>
  <si>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</si>
  <si>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</si>
  <si>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</si>
  <si>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05/01/2021</t>
  </si>
  <si>
    <t>COLUMBIA GAS TRANSMISSION RATES EFFECTIVE 05/01/2021</t>
  </si>
  <si>
    <t>COLUMBIA GULF CORPORATION RATES EFFECTIVE 05/01/2021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</si>
</sst>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"/>
      <name val="MS Sans Serif"/>
      <family val="0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8"/>
      <color indexed="8"/>
      <name val="MS Sans Serif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38" fontId="5" fillId="0" borderId="0" xfId="43" applyFont="1" applyBorder="1" applyAlignment="1">
      <alignment horizontal="center"/>
    </xf>
    <xf numFmtId="14" fontId="2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10" xfId="43" applyFont="1" applyFill="1" applyBorder="1" applyAlignment="1">
      <alignment/>
    </xf>
    <xf numFmtId="38" fontId="4" fillId="0" borderId="0" xfId="43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38" fontId="4" fillId="0" borderId="0" xfId="43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2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5" fontId="24" fillId="0" borderId="12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5" fontId="1" fillId="0" borderId="12" xfId="0" applyNumberFormat="1" applyFont="1" applyBorder="1" applyAlignment="1">
      <alignment/>
    </xf>
    <xf numFmtId="38" fontId="43" fillId="0" borderId="0" xfId="43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May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2.5030511684125702</v>
          </cell>
        </row>
        <row r="26">
          <cell r="E26">
            <v>2.490561439407303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46">
      <selection activeCell="H52" sqref="H52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</cols>
  <sheetData>
    <row r="1" spans="1:13" ht="12" customHeight="1">
      <c r="A1" s="5">
        <f ca="1">NOW()</f>
        <v>44279.757986805555</v>
      </c>
      <c r="B1" s="6"/>
      <c r="C1" s="6"/>
      <c r="D1" s="6"/>
      <c r="E1" s="6"/>
      <c r="F1" s="6"/>
      <c r="G1" s="6"/>
      <c r="H1" s="7" t="s">
        <v>0</v>
      </c>
      <c r="I1" s="6"/>
      <c r="J1" s="6"/>
      <c r="K1" s="6"/>
      <c r="L1" s="6"/>
      <c r="M1" s="6"/>
    </row>
    <row r="2" spans="1:13" ht="12" customHeight="1">
      <c r="A2" s="6"/>
      <c r="B2" s="8"/>
      <c r="C2" s="6"/>
      <c r="D2" s="6"/>
      <c r="E2" s="6"/>
      <c r="F2" s="6"/>
      <c r="G2" s="6"/>
      <c r="H2" s="7" t="s">
        <v>96</v>
      </c>
      <c r="I2" s="6"/>
      <c r="J2" s="6"/>
      <c r="K2" s="6"/>
      <c r="L2" s="6"/>
      <c r="M2" s="6"/>
    </row>
    <row r="3" spans="1:15" ht="12" customHeight="1">
      <c r="A3" s="2" t="s">
        <v>103</v>
      </c>
      <c r="B3" s="2"/>
      <c r="C3" s="9"/>
      <c r="D3" s="9"/>
      <c r="E3" s="9"/>
      <c r="F3" s="9"/>
      <c r="G3" s="9"/>
      <c r="H3" s="9"/>
      <c r="I3" s="9"/>
      <c r="J3" s="9" t="s">
        <v>1</v>
      </c>
      <c r="K3" s="6"/>
      <c r="L3" s="6"/>
      <c r="M3" s="10">
        <v>65243</v>
      </c>
      <c r="N3" s="3" t="s">
        <v>2</v>
      </c>
      <c r="O3" s="4"/>
    </row>
    <row r="4" spans="1:14" ht="12" customHeight="1">
      <c r="A4" s="2"/>
      <c r="B4" s="2"/>
      <c r="C4" s="9"/>
      <c r="D4" s="9"/>
      <c r="E4" s="9"/>
      <c r="F4" s="9"/>
      <c r="G4" s="9"/>
      <c r="H4" s="9"/>
      <c r="I4" s="9"/>
      <c r="J4" s="9"/>
      <c r="K4" s="6"/>
      <c r="L4" s="6"/>
      <c r="M4" s="11"/>
      <c r="N4" s="3"/>
    </row>
    <row r="5" spans="1:13" ht="12" customHeight="1">
      <c r="A5" s="9"/>
      <c r="B5" s="9"/>
      <c r="C5" s="9"/>
      <c r="D5" s="12" t="s">
        <v>2</v>
      </c>
      <c r="E5" s="12" t="s">
        <v>3</v>
      </c>
      <c r="F5" s="12"/>
      <c r="G5" s="12"/>
      <c r="H5" s="12" t="s">
        <v>97</v>
      </c>
      <c r="I5" s="9"/>
      <c r="J5" s="9" t="s">
        <v>98</v>
      </c>
      <c r="K5" s="6"/>
      <c r="L5" s="13">
        <v>0.134502049</v>
      </c>
      <c r="M5" s="14"/>
    </row>
    <row r="6" spans="1:13" ht="12" customHeight="1">
      <c r="A6" s="9"/>
      <c r="B6" s="9"/>
      <c r="C6" s="9"/>
      <c r="D6" s="15" t="s">
        <v>4</v>
      </c>
      <c r="E6" s="12" t="s">
        <v>5</v>
      </c>
      <c r="F6" s="12"/>
      <c r="G6" s="12" t="s">
        <v>6</v>
      </c>
      <c r="H6" s="12" t="s">
        <v>7</v>
      </c>
      <c r="I6" s="9"/>
      <c r="J6" s="9"/>
      <c r="K6" s="6"/>
      <c r="L6" s="6"/>
      <c r="M6" s="6"/>
    </row>
    <row r="7" spans="1:13" ht="12" customHeight="1">
      <c r="A7" s="16" t="s">
        <v>8</v>
      </c>
      <c r="B7" s="9"/>
      <c r="C7" s="17" t="s">
        <v>9</v>
      </c>
      <c r="D7" s="18">
        <v>61</v>
      </c>
      <c r="E7" s="19" t="s">
        <v>10</v>
      </c>
      <c r="F7" s="20" t="s">
        <v>11</v>
      </c>
      <c r="G7" s="21">
        <v>13.6529</v>
      </c>
      <c r="H7" s="22">
        <f aca="true" t="shared" si="0" ref="H7:H16">D7*G7</f>
        <v>832.8269</v>
      </c>
      <c r="I7" s="9"/>
      <c r="J7" s="9"/>
      <c r="K7" s="6"/>
      <c r="L7" s="6"/>
      <c r="M7" s="6"/>
    </row>
    <row r="8" spans="1:13" ht="12" customHeight="1">
      <c r="A8" s="16" t="s">
        <v>12</v>
      </c>
      <c r="B8" s="9"/>
      <c r="C8" s="17" t="s">
        <v>13</v>
      </c>
      <c r="D8" s="18">
        <f>(88756+1287)*L5</f>
        <v>12110.967998107</v>
      </c>
      <c r="E8" s="19" t="s">
        <v>10</v>
      </c>
      <c r="F8" s="20" t="s">
        <v>14</v>
      </c>
      <c r="G8" s="21">
        <v>9.3276</v>
      </c>
      <c r="H8" s="22">
        <f t="shared" si="0"/>
        <v>112966.26509914287</v>
      </c>
      <c r="I8" s="9"/>
      <c r="J8" s="9" t="s">
        <v>99</v>
      </c>
      <c r="K8" s="23">
        <f>SUM(H7,H8,H11,H12,H13,H23,H26,H31,H34,H50)</f>
        <v>241864.45512708538</v>
      </c>
      <c r="L8" s="6"/>
      <c r="M8" s="6"/>
    </row>
    <row r="9" spans="1:13" ht="12" customHeight="1">
      <c r="A9" s="16" t="s">
        <v>15</v>
      </c>
      <c r="B9" s="9"/>
      <c r="C9" s="17" t="s">
        <v>16</v>
      </c>
      <c r="D9" s="43">
        <f>(M3-(511000*L5))*0.2711</f>
        <v>-945.4740022729032</v>
      </c>
      <c r="E9" s="19" t="s">
        <v>17</v>
      </c>
      <c r="F9" s="20" t="s">
        <v>18</v>
      </c>
      <c r="G9" s="25">
        <v>0.0177</v>
      </c>
      <c r="H9" s="22">
        <f t="shared" si="0"/>
        <v>-16.734889840230387</v>
      </c>
      <c r="I9" s="9"/>
      <c r="J9" s="9" t="s">
        <v>100</v>
      </c>
      <c r="K9" s="26">
        <f>SUM(H9,H10,H14,H15,H16,H17,H18,H19,H24,H25,H27,H32,H33,H35,H43,H44,H51,H52)</f>
        <v>59930.20699453289</v>
      </c>
      <c r="L9" s="6"/>
      <c r="M9" s="6"/>
    </row>
    <row r="10" spans="1:13" ht="12" customHeight="1">
      <c r="A10" s="16" t="s">
        <v>19</v>
      </c>
      <c r="B10" s="9"/>
      <c r="C10" s="17" t="s">
        <v>20</v>
      </c>
      <c r="D10" s="24">
        <f>(M3-(511000*L5))*0.7289</f>
        <v>-2542.0730367271085</v>
      </c>
      <c r="E10" s="19" t="s">
        <v>17</v>
      </c>
      <c r="F10" s="20" t="s">
        <v>21</v>
      </c>
      <c r="G10" s="25">
        <v>0.0147</v>
      </c>
      <c r="H10" s="22">
        <f t="shared" si="0"/>
        <v>-37.36847363988849</v>
      </c>
      <c r="I10" s="9"/>
      <c r="J10" s="9"/>
      <c r="K10" s="27">
        <f>SUM(K8:K9)</f>
        <v>301794.6621216183</v>
      </c>
      <c r="L10" s="6"/>
      <c r="M10" s="6"/>
    </row>
    <row r="11" spans="1:13" ht="12" customHeight="1">
      <c r="A11" s="16" t="s">
        <v>22</v>
      </c>
      <c r="B11" s="9"/>
      <c r="C11" s="17" t="s">
        <v>23</v>
      </c>
      <c r="D11" s="18">
        <f>2820*L5</f>
        <v>379.29577818</v>
      </c>
      <c r="E11" s="19" t="s">
        <v>10</v>
      </c>
      <c r="F11" s="20" t="s">
        <v>24</v>
      </c>
      <c r="G11" s="21">
        <f>G7</f>
        <v>13.6529</v>
      </c>
      <c r="H11" s="22">
        <f t="shared" si="0"/>
        <v>5178.4873299137225</v>
      </c>
      <c r="I11" s="9"/>
      <c r="J11" s="9"/>
      <c r="K11" s="6"/>
      <c r="L11" s="6"/>
      <c r="M11" s="6"/>
    </row>
    <row r="12" spans="1:13" ht="12" customHeight="1">
      <c r="A12" s="16" t="s">
        <v>25</v>
      </c>
      <c r="B12" s="9"/>
      <c r="C12" s="17" t="s">
        <v>26</v>
      </c>
      <c r="D12" s="18">
        <f>12096*L5</f>
        <v>1626.936784704</v>
      </c>
      <c r="E12" s="19" t="s">
        <v>10</v>
      </c>
      <c r="F12" s="20" t="s">
        <v>27</v>
      </c>
      <c r="G12" s="21">
        <f>G8</f>
        <v>9.3276</v>
      </c>
      <c r="H12" s="22">
        <f t="shared" si="0"/>
        <v>15175.415553005032</v>
      </c>
      <c r="I12" s="9"/>
      <c r="J12" s="9"/>
      <c r="K12" s="6"/>
      <c r="L12" s="6"/>
      <c r="M12" s="6"/>
    </row>
    <row r="13" spans="1:13" ht="12" customHeight="1">
      <c r="A13" s="16" t="s">
        <v>28</v>
      </c>
      <c r="B13" s="9"/>
      <c r="C13" s="17" t="s">
        <v>29</v>
      </c>
      <c r="D13" s="18">
        <f>1884*L5</f>
        <v>253.401860316</v>
      </c>
      <c r="E13" s="19" t="s">
        <v>10</v>
      </c>
      <c r="F13" s="20" t="s">
        <v>30</v>
      </c>
      <c r="G13" s="21">
        <v>4.8611</v>
      </c>
      <c r="H13" s="22">
        <f t="shared" si="0"/>
        <v>1231.8117831821078</v>
      </c>
      <c r="I13" s="9"/>
      <c r="J13" s="9"/>
      <c r="K13" s="6"/>
      <c r="L13" s="6"/>
      <c r="M13" s="6"/>
    </row>
    <row r="14" spans="1:13" ht="12" customHeight="1">
      <c r="A14" s="16" t="s">
        <v>31</v>
      </c>
      <c r="B14" s="9"/>
      <c r="C14" s="17" t="s">
        <v>32</v>
      </c>
      <c r="D14" s="24">
        <f>(235*365)*L5</f>
        <v>11536.913252975</v>
      </c>
      <c r="E14" s="19" t="s">
        <v>17</v>
      </c>
      <c r="F14" s="20" t="s">
        <v>33</v>
      </c>
      <c r="G14" s="25">
        <f>G9</f>
        <v>0.0177</v>
      </c>
      <c r="H14" s="22">
        <f t="shared" si="0"/>
        <v>204.2033645776575</v>
      </c>
      <c r="I14" s="9"/>
      <c r="J14" s="9"/>
      <c r="K14" s="6"/>
      <c r="L14" s="6"/>
      <c r="M14" s="6"/>
    </row>
    <row r="15" spans="1:13" ht="12" customHeight="1">
      <c r="A15" s="16" t="s">
        <v>34</v>
      </c>
      <c r="B15" s="9"/>
      <c r="C15" s="17" t="s">
        <v>35</v>
      </c>
      <c r="D15" s="24">
        <f>(1008*365)*L5</f>
        <v>49485.993868080004</v>
      </c>
      <c r="E15" s="19" t="s">
        <v>17</v>
      </c>
      <c r="F15" s="20" t="s">
        <v>36</v>
      </c>
      <c r="G15" s="25">
        <f>G10</f>
        <v>0.0147</v>
      </c>
      <c r="H15" s="22">
        <f t="shared" si="0"/>
        <v>727.444109860776</v>
      </c>
      <c r="I15" s="9"/>
      <c r="J15" s="9"/>
      <c r="K15" s="6"/>
      <c r="L15" s="6"/>
      <c r="M15" s="6"/>
    </row>
    <row r="16" spans="1:13" ht="12" customHeight="1">
      <c r="A16" s="16" t="s">
        <v>37</v>
      </c>
      <c r="B16" s="9"/>
      <c r="C16" s="17" t="s">
        <v>38</v>
      </c>
      <c r="D16" s="24">
        <f>(157*365)*L5</f>
        <v>7707.639917945001</v>
      </c>
      <c r="E16" s="19" t="s">
        <v>17</v>
      </c>
      <c r="F16" s="20" t="s">
        <v>39</v>
      </c>
      <c r="G16" s="25">
        <v>0.0026</v>
      </c>
      <c r="H16" s="22">
        <f t="shared" si="0"/>
        <v>20.039863786657</v>
      </c>
      <c r="I16" s="9"/>
      <c r="J16" s="9"/>
      <c r="K16" s="6"/>
      <c r="L16" s="6"/>
      <c r="M16" s="6"/>
    </row>
    <row r="17" spans="1:13" ht="12" customHeight="1">
      <c r="A17" s="16" t="s">
        <v>40</v>
      </c>
      <c r="B17" s="9"/>
      <c r="C17" s="17" t="s">
        <v>41</v>
      </c>
      <c r="D17" s="24">
        <f>(M3-(511000*L5))*0.2711+((235*365)*L5)</f>
        <v>10591.439250702097</v>
      </c>
      <c r="E17" s="19" t="s">
        <v>17</v>
      </c>
      <c r="F17" s="20" t="s">
        <v>42</v>
      </c>
      <c r="G17" s="28">
        <f>H17/D17</f>
        <v>0.06182536385979048</v>
      </c>
      <c r="H17" s="22">
        <f>(((D17/365)*151)*0.0247*'[1]NYMEX'!$E$13)+(((D17/365)*214)*0.0247*'[1]NYMEX'!$E$13)</f>
        <v>654.8195854735238</v>
      </c>
      <c r="I17" s="9"/>
      <c r="J17" s="9"/>
      <c r="K17" s="6"/>
      <c r="L17" s="6"/>
      <c r="M17" s="6"/>
    </row>
    <row r="18" spans="1:13" ht="12" customHeight="1">
      <c r="A18" s="16" t="s">
        <v>43</v>
      </c>
      <c r="B18" s="9"/>
      <c r="C18" s="17" t="s">
        <v>44</v>
      </c>
      <c r="D18" s="24">
        <f>(M3-(511000*L5))*0.7289+((1008*365)*L5)</f>
        <v>46943.920831352894</v>
      </c>
      <c r="E18" s="19" t="s">
        <v>17</v>
      </c>
      <c r="F18" s="20" t="s">
        <v>45</v>
      </c>
      <c r="G18" s="28">
        <f>H18/D18</f>
        <v>0.05006102336825141</v>
      </c>
      <c r="H18" s="22">
        <f>(((D18/365)*151)*0.02*'[1]NYMEX'!$E$13)+(((D18/365)*214)*0.02*'[1]NYMEX'!$E$13)</f>
        <v>2350.0607177357015</v>
      </c>
      <c r="I18" s="9"/>
      <c r="J18" s="9"/>
      <c r="K18" s="6"/>
      <c r="L18" s="6"/>
      <c r="M18" s="6"/>
    </row>
    <row r="19" spans="1:13" ht="12" customHeight="1">
      <c r="A19" s="16" t="s">
        <v>46</v>
      </c>
      <c r="B19" s="9"/>
      <c r="C19" s="17" t="s">
        <v>47</v>
      </c>
      <c r="D19" s="24">
        <f>(157*365)*L5</f>
        <v>7707.639917945001</v>
      </c>
      <c r="E19" s="19" t="s">
        <v>17</v>
      </c>
      <c r="F19" s="20" t="s">
        <v>48</v>
      </c>
      <c r="G19" s="28">
        <f>H19/D19</f>
        <v>0.008260068855761481</v>
      </c>
      <c r="H19" s="29">
        <f>(((D19/365)*151)*0.0033*'[1]NYMEX'!$E$13)+(((D19/365)*214)*0.0033*'[1]NYMEX'!$E$13)</f>
        <v>63.66563643764148</v>
      </c>
      <c r="I19" s="6"/>
      <c r="J19" s="9"/>
      <c r="K19" s="6"/>
      <c r="L19" s="6"/>
      <c r="M19" s="6"/>
    </row>
    <row r="20" spans="1:13" ht="12" customHeight="1">
      <c r="A20" s="16"/>
      <c r="B20" s="9"/>
      <c r="C20" s="17"/>
      <c r="D20" s="24"/>
      <c r="E20" s="19"/>
      <c r="F20" s="20"/>
      <c r="G20" s="28"/>
      <c r="H20" s="30"/>
      <c r="I20" s="6"/>
      <c r="J20" s="9"/>
      <c r="K20" s="6"/>
      <c r="L20" s="6"/>
      <c r="M20" s="6"/>
    </row>
    <row r="21" spans="1:13" ht="12" customHeight="1">
      <c r="A21" s="9" t="s">
        <v>49</v>
      </c>
      <c r="B21" s="9"/>
      <c r="C21" s="9"/>
      <c r="D21" s="31"/>
      <c r="E21" s="19"/>
      <c r="F21" s="19"/>
      <c r="G21" s="9"/>
      <c r="H21" s="32">
        <f>SUM(H7:H19)</f>
        <v>139350.9365796356</v>
      </c>
      <c r="I21" s="33"/>
      <c r="J21" s="9"/>
      <c r="K21" s="6"/>
      <c r="L21" s="6"/>
      <c r="M21" s="6"/>
    </row>
    <row r="22" spans="1:13" ht="12" customHeight="1">
      <c r="A22" s="9"/>
      <c r="B22" s="9"/>
      <c r="C22" s="9"/>
      <c r="D22" s="31"/>
      <c r="E22" s="19"/>
      <c r="F22" s="19"/>
      <c r="G22" s="9"/>
      <c r="H22" s="6"/>
      <c r="I22" s="6"/>
      <c r="J22" s="9"/>
      <c r="K22" s="6"/>
      <c r="L22" s="6"/>
      <c r="M22" s="6"/>
    </row>
    <row r="23" spans="1:13" ht="12" customHeight="1">
      <c r="A23" s="16" t="s">
        <v>50</v>
      </c>
      <c r="B23" s="16"/>
      <c r="C23" s="17" t="s">
        <v>51</v>
      </c>
      <c r="D23" s="31">
        <f>(1524*12)*L5</f>
        <v>2459.773472112</v>
      </c>
      <c r="E23" s="19" t="s">
        <v>10</v>
      </c>
      <c r="F23" s="20" t="s">
        <v>52</v>
      </c>
      <c r="G23" s="34">
        <v>1.8222</v>
      </c>
      <c r="H23" s="32">
        <f>D23*G23</f>
        <v>4482.199220882487</v>
      </c>
      <c r="I23" s="9"/>
      <c r="J23" s="9"/>
      <c r="K23" s="6"/>
      <c r="L23" s="6"/>
      <c r="M23" s="6"/>
    </row>
    <row r="24" spans="1:13" ht="12" customHeight="1">
      <c r="A24" s="16" t="s">
        <v>53</v>
      </c>
      <c r="B24" s="9"/>
      <c r="C24" s="17" t="s">
        <v>54</v>
      </c>
      <c r="D24" s="11">
        <f>186757*L5</f>
        <v>25119.199165093003</v>
      </c>
      <c r="E24" s="19" t="s">
        <v>17</v>
      </c>
      <c r="F24" s="20" t="s">
        <v>55</v>
      </c>
      <c r="G24" s="34">
        <v>0.0073</v>
      </c>
      <c r="H24" s="32">
        <f>D24*G24</f>
        <v>183.37015390517894</v>
      </c>
      <c r="I24" s="9"/>
      <c r="J24" s="9"/>
      <c r="K24" s="6"/>
      <c r="L24" s="6"/>
      <c r="M24" s="6"/>
    </row>
    <row r="25" spans="1:13" ht="12" customHeight="1">
      <c r="A25" s="16" t="s">
        <v>56</v>
      </c>
      <c r="B25" s="9"/>
      <c r="C25" s="17" t="s">
        <v>57</v>
      </c>
      <c r="D25" s="11">
        <f>186757*L5</f>
        <v>25119.199165093003</v>
      </c>
      <c r="E25" s="19" t="s">
        <v>17</v>
      </c>
      <c r="F25" s="20" t="s">
        <v>58</v>
      </c>
      <c r="G25" s="34">
        <v>0.0073</v>
      </c>
      <c r="H25" s="32">
        <f>D25*G25</f>
        <v>183.37015390517894</v>
      </c>
      <c r="I25" s="9"/>
      <c r="J25" s="9"/>
      <c r="K25" s="6"/>
      <c r="L25" s="6"/>
      <c r="M25" s="6"/>
    </row>
    <row r="26" spans="1:13" ht="12" customHeight="1">
      <c r="A26" s="16" t="s">
        <v>59</v>
      </c>
      <c r="B26" s="9"/>
      <c r="C26" s="17" t="s">
        <v>60</v>
      </c>
      <c r="D26" s="31">
        <f>(186757*12)*L5</f>
        <v>301430.38998111605</v>
      </c>
      <c r="E26" s="19" t="s">
        <v>10</v>
      </c>
      <c r="F26" s="20" t="s">
        <v>61</v>
      </c>
      <c r="G26" s="34">
        <v>0.0185</v>
      </c>
      <c r="H26" s="32">
        <f>D26*G26</f>
        <v>5576.462214650646</v>
      </c>
      <c r="I26" s="9"/>
      <c r="J26" s="9"/>
      <c r="K26" s="6"/>
      <c r="L26" s="6"/>
      <c r="M26" s="6"/>
    </row>
    <row r="27" spans="1:13" ht="12" customHeight="1">
      <c r="A27" s="16" t="s">
        <v>62</v>
      </c>
      <c r="B27" s="9"/>
      <c r="C27" s="17" t="s">
        <v>63</v>
      </c>
      <c r="D27" s="11">
        <f>186757*L5</f>
        <v>25119.199165093003</v>
      </c>
      <c r="E27" s="19" t="s">
        <v>17</v>
      </c>
      <c r="F27" s="20" t="s">
        <v>64</v>
      </c>
      <c r="G27" s="34">
        <f>H27/D27</f>
        <v>0.018272273529411766</v>
      </c>
      <c r="H27" s="29">
        <f>D27*0.0073*'[1]NYMEX'!$E$13</f>
        <v>458.984877984351</v>
      </c>
      <c r="I27" s="6"/>
      <c r="J27" s="9"/>
      <c r="K27" s="6"/>
      <c r="L27" s="6"/>
      <c r="M27" s="6"/>
    </row>
    <row r="28" spans="1:13" ht="12" customHeight="1">
      <c r="A28" s="9"/>
      <c r="B28" s="9"/>
      <c r="C28" s="9"/>
      <c r="D28" s="31"/>
      <c r="E28" s="19"/>
      <c r="F28" s="19"/>
      <c r="G28" s="9"/>
      <c r="H28" s="9"/>
      <c r="I28" s="6"/>
      <c r="J28" s="9"/>
      <c r="K28" s="6"/>
      <c r="L28" s="6"/>
      <c r="M28" s="6"/>
    </row>
    <row r="29" spans="1:13" ht="12" customHeight="1">
      <c r="A29" s="9" t="s">
        <v>49</v>
      </c>
      <c r="B29" s="9"/>
      <c r="C29" s="9"/>
      <c r="D29" s="31"/>
      <c r="E29" s="19"/>
      <c r="F29" s="19"/>
      <c r="G29" s="9"/>
      <c r="H29" s="32">
        <f>SUM(H23:H27)</f>
        <v>10884.386621327842</v>
      </c>
      <c r="I29" s="33"/>
      <c r="J29" s="9"/>
      <c r="K29" s="6"/>
      <c r="L29" s="6"/>
      <c r="M29" s="6"/>
    </row>
    <row r="30" spans="1:13" ht="12" customHeight="1">
      <c r="A30" s="9"/>
      <c r="B30" s="9"/>
      <c r="C30" s="9"/>
      <c r="D30" s="31"/>
      <c r="E30" s="19"/>
      <c r="F30" s="19"/>
      <c r="G30" s="9"/>
      <c r="H30" s="9"/>
      <c r="I30" s="6"/>
      <c r="J30" s="9"/>
      <c r="K30" s="6"/>
      <c r="L30" s="6"/>
      <c r="M30" s="6"/>
    </row>
    <row r="31" spans="1:13" ht="12" customHeight="1">
      <c r="A31" s="16" t="s">
        <v>65</v>
      </c>
      <c r="B31" s="9"/>
      <c r="C31" s="17" t="s">
        <v>66</v>
      </c>
      <c r="D31" s="31">
        <f>(8636*12)*L5</f>
        <v>13938.716341968002</v>
      </c>
      <c r="E31" s="19" t="s">
        <v>10</v>
      </c>
      <c r="F31" s="20" t="s">
        <v>67</v>
      </c>
      <c r="G31" s="34">
        <v>1.3386</v>
      </c>
      <c r="H31" s="32">
        <f>D31*G31</f>
        <v>18658.365695358367</v>
      </c>
      <c r="I31" s="9"/>
      <c r="J31" s="9"/>
      <c r="K31" s="6"/>
      <c r="L31" s="6"/>
      <c r="M31" s="6"/>
    </row>
    <row r="32" spans="1:13" ht="12" customHeight="1">
      <c r="A32" s="16" t="s">
        <v>68</v>
      </c>
      <c r="B32" s="9"/>
      <c r="C32" s="17" t="s">
        <v>69</v>
      </c>
      <c r="D32" s="11">
        <f>387622*L5</f>
        <v>52135.953237478</v>
      </c>
      <c r="E32" s="19" t="s">
        <v>17</v>
      </c>
      <c r="F32" s="20" t="s">
        <v>70</v>
      </c>
      <c r="G32" s="34">
        <v>0.0087</v>
      </c>
      <c r="H32" s="32">
        <f>D32*G32</f>
        <v>453.5827931660586</v>
      </c>
      <c r="I32" s="9"/>
      <c r="J32" s="9"/>
      <c r="K32" s="6"/>
      <c r="L32" s="6"/>
      <c r="M32" s="6"/>
    </row>
    <row r="33" spans="1:13" ht="12" customHeight="1">
      <c r="A33" s="16" t="s">
        <v>71</v>
      </c>
      <c r="B33" s="9"/>
      <c r="C33" s="17" t="s">
        <v>72</v>
      </c>
      <c r="D33" s="11">
        <f>387622*L5</f>
        <v>52135.953237478</v>
      </c>
      <c r="E33" s="19" t="s">
        <v>17</v>
      </c>
      <c r="F33" s="20" t="s">
        <v>73</v>
      </c>
      <c r="G33" s="34">
        <v>0.0087</v>
      </c>
      <c r="H33" s="32">
        <f>D33*G33</f>
        <v>453.5827931660586</v>
      </c>
      <c r="I33" s="9"/>
      <c r="J33" s="9"/>
      <c r="K33" s="6"/>
      <c r="L33" s="6"/>
      <c r="M33" s="6"/>
    </row>
    <row r="34" spans="1:13" ht="12" customHeight="1">
      <c r="A34" s="16" t="s">
        <v>74</v>
      </c>
      <c r="B34" s="16"/>
      <c r="C34" s="17" t="s">
        <v>75</v>
      </c>
      <c r="D34" s="31">
        <f>(387622*12)*L5</f>
        <v>625631.438849736</v>
      </c>
      <c r="E34" s="19" t="s">
        <v>10</v>
      </c>
      <c r="F34" s="20" t="s">
        <v>76</v>
      </c>
      <c r="G34" s="34">
        <v>0.0183</v>
      </c>
      <c r="H34" s="32">
        <f>D34*G34</f>
        <v>11449.055330950168</v>
      </c>
      <c r="I34" s="9"/>
      <c r="J34" s="9"/>
      <c r="K34" s="6"/>
      <c r="L34" s="6"/>
      <c r="M34" s="6"/>
    </row>
    <row r="35" spans="1:13" ht="12" customHeight="1">
      <c r="A35" s="16" t="s">
        <v>77</v>
      </c>
      <c r="B35" s="16"/>
      <c r="C35" s="17" t="s">
        <v>78</v>
      </c>
      <c r="D35" s="11">
        <f>387622*L5</f>
        <v>52135.953237478</v>
      </c>
      <c r="E35" s="19" t="s">
        <v>17</v>
      </c>
      <c r="F35" s="20" t="s">
        <v>79</v>
      </c>
      <c r="G35" s="34">
        <f>H35/D35</f>
        <v>0.02177654516518936</v>
      </c>
      <c r="H35" s="29">
        <f>D35*0.0087*'[1]NYMEX'!$E$13</f>
        <v>1135.3409404061401</v>
      </c>
      <c r="I35" s="9"/>
      <c r="J35" s="9"/>
      <c r="K35" s="6"/>
      <c r="L35" s="6"/>
      <c r="M35" s="6"/>
    </row>
    <row r="36" spans="1:13" ht="1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6"/>
      <c r="L36" s="6"/>
      <c r="M36" s="6"/>
    </row>
    <row r="37" spans="1:13" ht="12" customHeight="1">
      <c r="A37" s="9" t="s">
        <v>49</v>
      </c>
      <c r="B37" s="9"/>
      <c r="C37" s="9"/>
      <c r="D37" s="31"/>
      <c r="E37" s="19"/>
      <c r="F37" s="19"/>
      <c r="G37" s="9"/>
      <c r="H37" s="32">
        <f>SUM(H31:H35)</f>
        <v>32149.927553046786</v>
      </c>
      <c r="I37" s="33"/>
      <c r="J37" s="9"/>
      <c r="K37" s="6"/>
      <c r="L37" s="6"/>
      <c r="M37" s="6"/>
    </row>
    <row r="38" spans="1:13" ht="12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6"/>
      <c r="L38" s="6"/>
      <c r="M38" s="6"/>
    </row>
    <row r="39" spans="1:13" ht="12" customHeight="1" thickBot="1">
      <c r="A39" s="35" t="s">
        <v>95</v>
      </c>
      <c r="B39" s="36"/>
      <c r="C39" s="36"/>
      <c r="D39" s="36"/>
      <c r="E39" s="36"/>
      <c r="F39" s="36"/>
      <c r="G39" s="36"/>
      <c r="H39" s="37">
        <f>H21+H29+H37</f>
        <v>182385.25075401022</v>
      </c>
      <c r="I39" s="33"/>
      <c r="J39" s="9"/>
      <c r="K39" s="6"/>
      <c r="L39" s="6"/>
      <c r="M39" s="6"/>
    </row>
    <row r="40" spans="1:13" ht="12" customHeight="1" thickTop="1">
      <c r="A40" s="9"/>
      <c r="B40" s="9"/>
      <c r="C40" s="9"/>
      <c r="D40" s="9"/>
      <c r="E40" s="9"/>
      <c r="F40" s="9"/>
      <c r="G40" s="9"/>
      <c r="H40" s="38"/>
      <c r="I40" s="9"/>
      <c r="J40" s="9"/>
      <c r="K40" s="6"/>
      <c r="L40" s="6"/>
      <c r="M40" s="6"/>
    </row>
    <row r="41" spans="1:13" ht="12" customHeight="1">
      <c r="A41" s="2" t="s">
        <v>104</v>
      </c>
      <c r="B41" s="2"/>
      <c r="C41" s="9"/>
      <c r="D41" s="9"/>
      <c r="E41" s="9"/>
      <c r="F41" s="9"/>
      <c r="G41" s="9"/>
      <c r="H41" s="9"/>
      <c r="I41" s="9"/>
      <c r="J41" s="9"/>
      <c r="K41" s="6"/>
      <c r="L41" s="6"/>
      <c r="M41" s="6"/>
    </row>
    <row r="42" spans="1:13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6"/>
      <c r="L42" s="6"/>
      <c r="M42" s="6"/>
    </row>
    <row r="43" spans="1:13" ht="12" customHeight="1">
      <c r="A43" s="16" t="s">
        <v>80</v>
      </c>
      <c r="B43" s="16"/>
      <c r="C43" s="17" t="s">
        <v>81</v>
      </c>
      <c r="D43" s="24">
        <v>28999</v>
      </c>
      <c r="E43" s="12" t="s">
        <v>17</v>
      </c>
      <c r="F43" s="20" t="s">
        <v>82</v>
      </c>
      <c r="G43" s="28">
        <v>1.7702</v>
      </c>
      <c r="H43" s="32">
        <f>D43*G43</f>
        <v>51334.0298</v>
      </c>
      <c r="I43" s="33"/>
      <c r="J43" s="9"/>
      <c r="K43" s="6"/>
      <c r="L43" s="6"/>
      <c r="M43" s="6"/>
    </row>
    <row r="44" spans="1:13" ht="12" customHeight="1">
      <c r="A44" s="16" t="s">
        <v>83</v>
      </c>
      <c r="B44" s="39"/>
      <c r="C44" s="17" t="s">
        <v>84</v>
      </c>
      <c r="D44" s="11">
        <f>D43</f>
        <v>28999</v>
      </c>
      <c r="E44" s="19" t="s">
        <v>17</v>
      </c>
      <c r="F44" s="20" t="s">
        <v>85</v>
      </c>
      <c r="G44" s="34">
        <f>H44/D44</f>
        <v>0.04624972592979362</v>
      </c>
      <c r="H44" s="29">
        <f>((D44*0.00171)+(D44*0.01686))*'[1]NYMEX'!$E$26</f>
        <v>1341.1958022380852</v>
      </c>
      <c r="I44" s="9"/>
      <c r="J44" s="9"/>
      <c r="K44" s="6"/>
      <c r="L44" s="6"/>
      <c r="M44" s="6"/>
    </row>
    <row r="45" spans="1:13" ht="12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6"/>
      <c r="L45" s="6"/>
      <c r="M45" s="6"/>
    </row>
    <row r="46" spans="1:13" ht="12" customHeight="1" thickBot="1">
      <c r="A46" s="35" t="s">
        <v>86</v>
      </c>
      <c r="B46" s="35"/>
      <c r="C46" s="36"/>
      <c r="D46" s="36"/>
      <c r="E46" s="36"/>
      <c r="F46" s="36"/>
      <c r="G46" s="36"/>
      <c r="H46" s="37">
        <f>SUM(H43:H44)</f>
        <v>52675.22560223808</v>
      </c>
      <c r="I46" s="33"/>
      <c r="J46" s="9"/>
      <c r="K46" s="6"/>
      <c r="L46" s="6"/>
      <c r="M46" s="6"/>
    </row>
    <row r="47" spans="1:13" ht="12" customHeight="1" thickTop="1">
      <c r="A47" s="9"/>
      <c r="B47" s="9"/>
      <c r="C47" s="9"/>
      <c r="D47" s="9"/>
      <c r="E47" s="9"/>
      <c r="F47" s="9"/>
      <c r="G47" s="9"/>
      <c r="H47" s="40"/>
      <c r="I47" s="9"/>
      <c r="J47" s="9"/>
      <c r="K47" s="6"/>
      <c r="L47" s="6"/>
      <c r="M47" s="6"/>
    </row>
    <row r="48" spans="1:13" ht="12" customHeight="1">
      <c r="A48" s="2" t="s">
        <v>105</v>
      </c>
      <c r="B48" s="2"/>
      <c r="C48" s="9"/>
      <c r="D48" s="9"/>
      <c r="E48" s="9"/>
      <c r="F48" s="9"/>
      <c r="G48" s="9"/>
      <c r="H48" s="9"/>
      <c r="I48" s="9"/>
      <c r="J48" s="9"/>
      <c r="K48" s="6"/>
      <c r="L48" s="6"/>
      <c r="M48" s="6"/>
    </row>
    <row r="49" spans="1:13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6"/>
      <c r="L49" s="6"/>
      <c r="M49" s="6"/>
    </row>
    <row r="50" spans="1:13" ht="12" customHeight="1">
      <c r="A50" s="16" t="s">
        <v>101</v>
      </c>
      <c r="B50" s="16"/>
      <c r="C50" s="17" t="s">
        <v>87</v>
      </c>
      <c r="D50" s="20">
        <f>((4103+105+170)*12)/4</f>
        <v>13134</v>
      </c>
      <c r="E50" s="12" t="s">
        <v>10</v>
      </c>
      <c r="F50" s="20" t="s">
        <v>88</v>
      </c>
      <c r="G50" s="28">
        <v>5.049</v>
      </c>
      <c r="H50" s="32">
        <f>D50*G50</f>
        <v>66313.566</v>
      </c>
      <c r="I50" s="33"/>
      <c r="J50" s="9"/>
      <c r="K50" s="6"/>
      <c r="L50" s="6"/>
      <c r="M50" s="6"/>
    </row>
    <row r="51" spans="1:13" ht="12" customHeight="1">
      <c r="A51" s="16" t="s">
        <v>102</v>
      </c>
      <c r="B51" s="9"/>
      <c r="C51" s="17" t="s">
        <v>89</v>
      </c>
      <c r="D51" s="11">
        <f>D43</f>
        <v>28999</v>
      </c>
      <c r="E51" s="12" t="s">
        <v>17</v>
      </c>
      <c r="F51" s="20" t="s">
        <v>90</v>
      </c>
      <c r="G51" s="28">
        <v>0.0109</v>
      </c>
      <c r="H51" s="32">
        <f>D51*G51</f>
        <v>316.0891</v>
      </c>
      <c r="I51" s="14"/>
      <c r="J51" s="9"/>
      <c r="K51" s="6"/>
      <c r="L51" s="6"/>
      <c r="M51" s="6"/>
    </row>
    <row r="52" spans="1:13" ht="12" customHeight="1">
      <c r="A52" s="16" t="s">
        <v>83</v>
      </c>
      <c r="B52" s="39"/>
      <c r="C52" s="17" t="s">
        <v>91</v>
      </c>
      <c r="D52" s="11">
        <f>D51</f>
        <v>28999</v>
      </c>
      <c r="E52" s="19" t="s">
        <v>17</v>
      </c>
      <c r="F52" s="20" t="s">
        <v>92</v>
      </c>
      <c r="G52" s="34">
        <f>H52/D52</f>
        <v>0.00360463</v>
      </c>
      <c r="H52" s="29">
        <f>(D52*0.3307)*G51</f>
        <v>104.53066537000001</v>
      </c>
      <c r="I52" s="9"/>
      <c r="J52" s="9"/>
      <c r="K52" s="6"/>
      <c r="L52" s="6"/>
      <c r="M52" s="6"/>
    </row>
    <row r="53" spans="1:13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6"/>
      <c r="L53" s="6"/>
      <c r="M53" s="6"/>
    </row>
    <row r="54" spans="1:13" ht="12" customHeight="1" thickBot="1">
      <c r="A54" s="36" t="s">
        <v>93</v>
      </c>
      <c r="B54" s="36"/>
      <c r="C54" s="36"/>
      <c r="D54" s="36"/>
      <c r="E54" s="36"/>
      <c r="F54" s="36"/>
      <c r="G54" s="36"/>
      <c r="H54" s="37">
        <f>H50+H51+H52</f>
        <v>66734.18576537</v>
      </c>
      <c r="I54" s="33"/>
      <c r="J54" s="9"/>
      <c r="K54" s="6"/>
      <c r="L54" s="6"/>
      <c r="M54" s="6"/>
    </row>
    <row r="55" spans="1:13" ht="12" customHeight="1" thickTop="1">
      <c r="A55" s="9"/>
      <c r="B55" s="9"/>
      <c r="C55" s="9"/>
      <c r="D55" s="9"/>
      <c r="E55" s="9"/>
      <c r="F55" s="9"/>
      <c r="G55" s="9"/>
      <c r="H55" s="9"/>
      <c r="I55" s="9"/>
      <c r="J55" s="9"/>
      <c r="K55" s="6"/>
      <c r="L55" s="6"/>
      <c r="M55" s="6"/>
    </row>
    <row r="56" spans="1:13" ht="12" customHeight="1" thickBot="1">
      <c r="A56" s="41" t="s">
        <v>94</v>
      </c>
      <c r="B56" s="41"/>
      <c r="C56" s="41"/>
      <c r="D56" s="41"/>
      <c r="E56" s="41"/>
      <c r="F56" s="41"/>
      <c r="G56" s="41"/>
      <c r="H56" s="42">
        <f>H39+H46+H54</f>
        <v>301794.6621216183</v>
      </c>
      <c r="I56" s="33"/>
      <c r="J56" s="9"/>
      <c r="K56" s="6"/>
      <c r="L56" s="6"/>
      <c r="M56" s="6"/>
    </row>
    <row r="57" spans="1:13" ht="12" customHeight="1" thickTop="1">
      <c r="A57" s="9"/>
      <c r="B57" s="9"/>
      <c r="C57" s="9"/>
      <c r="D57" s="9"/>
      <c r="E57" s="9"/>
      <c r="F57" s="9"/>
      <c r="G57" s="9"/>
      <c r="H57" s="9"/>
      <c r="I57" s="9"/>
      <c r="J57" s="9"/>
      <c r="K57" s="6"/>
      <c r="L57" s="6"/>
      <c r="M57" s="6"/>
    </row>
    <row r="58" spans="1:13" ht="12" customHeight="1">
      <c r="A58" s="36"/>
      <c r="B58" s="9"/>
      <c r="C58" s="9"/>
      <c r="D58" s="9"/>
      <c r="E58" s="9"/>
      <c r="F58" s="9"/>
      <c r="G58" s="6"/>
      <c r="H58" s="23">
        <f>H46+H54</f>
        <v>119409.41136760809</v>
      </c>
      <c r="I58" s="9"/>
      <c r="J58" s="9"/>
      <c r="K58" s="6"/>
      <c r="L58" s="6"/>
      <c r="M58" s="6"/>
    </row>
    <row r="59" spans="1:1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6"/>
      <c r="L59" s="6"/>
      <c r="M59" s="6"/>
    </row>
    <row r="60" spans="1:1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6"/>
      <c r="L60" s="6"/>
      <c r="M60" s="6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2020-03-18T15:12:07Z</cp:lastPrinted>
  <dcterms:created xsi:type="dcterms:W3CDTF">1998-06-17T15:14:46Z</dcterms:created>
  <dcterms:modified xsi:type="dcterms:W3CDTF">2021-03-24T22:14:11Z</dcterms:modified>
  <cp:category/>
  <cp:version/>
  <cp:contentType/>
  <cp:contentStatus/>
</cp:coreProperties>
</file>