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ternal\01_Regulatory Services\02_Cases\2021 Cases\02_2021-00135 2020-12-24 Snow Storm Deferral\03_Application\As Filed\"/>
    </mc:Choice>
  </mc:AlternateContent>
  <bookViews>
    <workbookView xWindow="0" yWindow="0" windowWidth="28800" windowHeight="12300" firstSheet="2" activeTab="2"/>
  </bookViews>
  <sheets>
    <sheet name="2020 Wind Storm #1 (3)" sheetId="3" state="hidden" r:id="rId1"/>
    <sheet name="2020 Wind Storm #1 (2)" sheetId="2" state="hidden" r:id="rId2"/>
    <sheet name="Ex. 2_Summary" sheetId="8" r:id="rId3"/>
    <sheet name="Ex. 2a_Dec 24-25 Snow Storm " sheetId="12" r:id="rId4"/>
    <sheet name="Ex. 2b_Dec 24-25 Snow Storm" sheetId="11" r:id="rId5"/>
    <sheet name="Exh 7 April 12 Wind Storm - T" sheetId="7" state="hidden" r:id="rId6"/>
    <sheet name="Exh 6 April 12 Wind Storm - D" sheetId="5" state="hidden" r:id="rId7"/>
    <sheet name="Exh 5 April 9 Thunderstorm - T" sheetId="6" state="hidden" r:id="rId8"/>
    <sheet name="Exh 4 April 9 Thunderstorm - D " sheetId="4" state="hidden" r:id="rId9"/>
    <sheet name="Exhibit 3 January Wind Storm" sheetId="1" state="hidden" r:id="rId10"/>
  </sheets>
  <definedNames>
    <definedName name="_xlnm.Print_Area" localSheetId="1">'2020 Wind Storm #1 (2)'!$B$2:$Q$126</definedName>
    <definedName name="_xlnm.Print_Area" localSheetId="0">'2020 Wind Storm #1 (3)'!$B$2:$Q$126</definedName>
    <definedName name="_xlnm.Print_Area" localSheetId="2">'Ex. 2_Summary'!$A$1:$K$45</definedName>
    <definedName name="_xlnm.Print_Area" localSheetId="3">'Ex. 2a_Dec 24-25 Snow Storm '!$B$2:$Q$130</definedName>
    <definedName name="_xlnm.Print_Area" localSheetId="4">'Ex. 2b_Dec 24-25 Snow Storm'!$B$2:$Q$130</definedName>
    <definedName name="_xlnm.Print_Area" localSheetId="8">'Exh 4 April 9 Thunderstorm - D '!$B$2:$Q$130</definedName>
    <definedName name="_xlnm.Print_Area" localSheetId="7">'Exh 5 April 9 Thunderstorm - T'!$B$2:$Q$128</definedName>
    <definedName name="_xlnm.Print_Area" localSheetId="6">'Exh 6 April 12 Wind Storm - D'!$B$2:$Q$193</definedName>
    <definedName name="_xlnm.Print_Area" localSheetId="5">'Exh 7 April 12 Wind Storm - T'!$B$2:$Q$128</definedName>
    <definedName name="_xlnm.Print_Area" localSheetId="9">'Exhibit 3 January Wind Storm'!$B$2:$Q$128</definedName>
    <definedName name="_xlnm.Print_Titles" localSheetId="1">'2020 Wind Storm #1 (2)'!$2:$8</definedName>
    <definedName name="_xlnm.Print_Titles" localSheetId="0">'2020 Wind Storm #1 (3)'!$2:$8</definedName>
    <definedName name="_xlnm.Print_Titles" localSheetId="3">'Ex. 2a_Dec 24-25 Snow Storm '!$2:$8</definedName>
    <definedName name="_xlnm.Print_Titles" localSheetId="4">'Ex. 2b_Dec 24-25 Snow Storm'!$2:$8</definedName>
    <definedName name="_xlnm.Print_Titles" localSheetId="8">'Exh 4 April 9 Thunderstorm - D '!$2:$8</definedName>
    <definedName name="_xlnm.Print_Titles" localSheetId="7">'Exh 5 April 9 Thunderstorm - T'!$2:$8</definedName>
    <definedName name="_xlnm.Print_Titles" localSheetId="6">'Exh 6 April 12 Wind Storm - D'!$2:$8</definedName>
    <definedName name="_xlnm.Print_Titles" localSheetId="5">'Exh 7 April 12 Wind Storm - T'!$2:$8</definedName>
    <definedName name="_xlnm.Print_Titles" localSheetId="9">'Exhibit 3 January Wind Storm'!$2:$8</definedName>
    <definedName name="TotalOTHours" localSheetId="1">'2020 Wind Storm #1 (2)'!$Q$13</definedName>
    <definedName name="TotalOTHours" localSheetId="0">'2020 Wind Storm #1 (3)'!$Q$13</definedName>
    <definedName name="TotalOTHours" localSheetId="2">#REF!</definedName>
    <definedName name="TotalOTHours" localSheetId="3">'Ex. 2a_Dec 24-25 Snow Storm '!$Q$13</definedName>
    <definedName name="TotalOTHours" localSheetId="4">'Ex. 2b_Dec 24-25 Snow Storm'!$Q$13</definedName>
    <definedName name="TotalOTHours" localSheetId="8">'Exh 4 April 9 Thunderstorm - D '!$Q$13</definedName>
    <definedName name="TotalOTHours" localSheetId="7">'Exh 5 April 9 Thunderstorm - T'!$Q$13</definedName>
    <definedName name="TotalOTHours" localSheetId="6">'Exh 6 April 12 Wind Storm - D'!$Q$13</definedName>
    <definedName name="TotalOTHours" localSheetId="5">'Exh 7 April 12 Wind Storm - T'!$Q$13</definedName>
    <definedName name="TotalOTHours" localSheetId="9">'Exhibit 3 January Wind Storm'!$Q$13</definedName>
    <definedName name="TotalOTHours">#REF!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8" l="1"/>
  <c r="N8" i="8" l="1"/>
  <c r="N15" i="8" s="1"/>
  <c r="N17" i="8" s="1"/>
  <c r="N20" i="8" s="1"/>
  <c r="N23" i="8" s="1"/>
  <c r="Q126" i="12" l="1"/>
  <c r="N127" i="12" s="1"/>
  <c r="P119" i="12"/>
  <c r="I16" i="12"/>
  <c r="P127" i="12" l="1"/>
  <c r="O127" i="12"/>
  <c r="H42" i="8" l="1"/>
  <c r="G119" i="11"/>
  <c r="H119" i="11"/>
  <c r="I119" i="11"/>
  <c r="O119" i="12"/>
  <c r="N119" i="12"/>
  <c r="P118" i="12"/>
  <c r="I118" i="12"/>
  <c r="I119" i="12" s="1"/>
  <c r="G118" i="12"/>
  <c r="G119" i="12" s="1"/>
  <c r="Q117" i="12"/>
  <c r="P120" i="12" s="1"/>
  <c r="H118" i="12"/>
  <c r="H119" i="12" s="1"/>
  <c r="K114" i="12"/>
  <c r="K111" i="12"/>
  <c r="K110" i="12"/>
  <c r="P107" i="12"/>
  <c r="O107" i="12"/>
  <c r="Q107" i="12" s="1"/>
  <c r="N107" i="12"/>
  <c r="Q105" i="12"/>
  <c r="L95" i="12"/>
  <c r="J92" i="12"/>
  <c r="K91" i="12"/>
  <c r="J91" i="12"/>
  <c r="Q89" i="12"/>
  <c r="P89" i="12"/>
  <c r="I89" i="12"/>
  <c r="O89" i="12" s="1"/>
  <c r="H89" i="12"/>
  <c r="N89" i="12" s="1"/>
  <c r="G89" i="12"/>
  <c r="M89" i="12" s="1"/>
  <c r="I88" i="12"/>
  <c r="H88" i="12"/>
  <c r="G88" i="12"/>
  <c r="Q87" i="12"/>
  <c r="P87" i="12"/>
  <c r="I87" i="12"/>
  <c r="O87" i="12" s="1"/>
  <c r="H87" i="12"/>
  <c r="N87" i="12" s="1"/>
  <c r="G87" i="12"/>
  <c r="M87" i="12" s="1"/>
  <c r="Q86" i="12"/>
  <c r="P86" i="12"/>
  <c r="I86" i="12"/>
  <c r="O86" i="12" s="1"/>
  <c r="H86" i="12"/>
  <c r="N86" i="12" s="1"/>
  <c r="G86" i="12"/>
  <c r="M86" i="12" s="1"/>
  <c r="I85" i="12"/>
  <c r="H85" i="12"/>
  <c r="G85" i="12"/>
  <c r="Q84" i="12"/>
  <c r="P84" i="12"/>
  <c r="I84" i="12"/>
  <c r="O84" i="12" s="1"/>
  <c r="H84" i="12"/>
  <c r="N84" i="12" s="1"/>
  <c r="G84" i="12"/>
  <c r="M84" i="12" s="1"/>
  <c r="Q83" i="12"/>
  <c r="P83" i="12"/>
  <c r="I83" i="12"/>
  <c r="O83" i="12" s="1"/>
  <c r="H83" i="12"/>
  <c r="N83" i="12" s="1"/>
  <c r="G83" i="12"/>
  <c r="M83" i="12" s="1"/>
  <c r="I82" i="12"/>
  <c r="H82" i="12"/>
  <c r="G82" i="12"/>
  <c r="Q81" i="12"/>
  <c r="P81" i="12"/>
  <c r="I81" i="12"/>
  <c r="O81" i="12" s="1"/>
  <c r="H81" i="12"/>
  <c r="N81" i="12" s="1"/>
  <c r="G81" i="12"/>
  <c r="M81" i="12" s="1"/>
  <c r="Q80" i="12"/>
  <c r="P80" i="12"/>
  <c r="Q78" i="12"/>
  <c r="P78" i="12"/>
  <c r="Q77" i="12"/>
  <c r="P77" i="12"/>
  <c r="Q75" i="12"/>
  <c r="P75" i="12"/>
  <c r="Q74" i="12"/>
  <c r="P74" i="12"/>
  <c r="I73" i="12"/>
  <c r="Q72" i="12"/>
  <c r="P72" i="12"/>
  <c r="I72" i="12"/>
  <c r="O72" i="12" s="1"/>
  <c r="Q71" i="12"/>
  <c r="P71" i="12"/>
  <c r="I71" i="12"/>
  <c r="O71" i="12" s="1"/>
  <c r="I70" i="12"/>
  <c r="Q69" i="12"/>
  <c r="P69" i="12"/>
  <c r="I69" i="12"/>
  <c r="O69" i="12" s="1"/>
  <c r="Q68" i="12"/>
  <c r="M68" i="12" s="1"/>
  <c r="P68" i="12"/>
  <c r="O68" i="12"/>
  <c r="N68" i="12"/>
  <c r="I68" i="12"/>
  <c r="I67" i="12"/>
  <c r="Q66" i="12"/>
  <c r="P66" i="12"/>
  <c r="I66" i="12"/>
  <c r="O66" i="12" s="1"/>
  <c r="Q65" i="12"/>
  <c r="N65" i="12" s="1"/>
  <c r="P65" i="12"/>
  <c r="O65" i="12"/>
  <c r="Y63" i="12"/>
  <c r="Q63" i="12"/>
  <c r="P63" i="12"/>
  <c r="P92" i="12" s="1"/>
  <c r="N63" i="12"/>
  <c r="M63" i="12"/>
  <c r="I63" i="12"/>
  <c r="Q62" i="12"/>
  <c r="O62" i="12" s="1"/>
  <c r="P62" i="12"/>
  <c r="P91" i="12" s="1"/>
  <c r="N62" i="12"/>
  <c r="M62" i="12"/>
  <c r="Q55" i="12"/>
  <c r="K55" i="12"/>
  <c r="J53" i="12"/>
  <c r="I53" i="12"/>
  <c r="P52" i="12"/>
  <c r="O52" i="12"/>
  <c r="N52" i="12"/>
  <c r="M52" i="12"/>
  <c r="Q52" i="12" s="1"/>
  <c r="K52" i="12"/>
  <c r="P49" i="12"/>
  <c r="O49" i="12"/>
  <c r="N49" i="12"/>
  <c r="Q49" i="12" s="1"/>
  <c r="M49" i="12"/>
  <c r="K49" i="12"/>
  <c r="P47" i="12"/>
  <c r="O47" i="12"/>
  <c r="N47" i="12"/>
  <c r="M47" i="12"/>
  <c r="Q47" i="12" s="1"/>
  <c r="K47" i="12"/>
  <c r="P45" i="12"/>
  <c r="O45" i="12"/>
  <c r="N45" i="12"/>
  <c r="Q45" i="12" s="1"/>
  <c r="M45" i="12"/>
  <c r="K45" i="12"/>
  <c r="P43" i="12"/>
  <c r="O43" i="12"/>
  <c r="M43" i="12"/>
  <c r="H43" i="12"/>
  <c r="H53" i="12" s="1"/>
  <c r="P41" i="12"/>
  <c r="O41" i="12"/>
  <c r="N41" i="12"/>
  <c r="K41" i="12"/>
  <c r="G41" i="12"/>
  <c r="M41" i="12" s="1"/>
  <c r="Q41" i="12" s="1"/>
  <c r="P40" i="12"/>
  <c r="O40" i="12"/>
  <c r="Q40" i="12" s="1"/>
  <c r="N40" i="12"/>
  <c r="M40" i="12"/>
  <c r="K40" i="12"/>
  <c r="Q39" i="12"/>
  <c r="P39" i="12"/>
  <c r="O39" i="12"/>
  <c r="N39" i="12"/>
  <c r="M39" i="12"/>
  <c r="K39" i="12"/>
  <c r="P38" i="12"/>
  <c r="O38" i="12"/>
  <c r="Q38" i="12" s="1"/>
  <c r="N38" i="12"/>
  <c r="M38" i="12"/>
  <c r="K38" i="12"/>
  <c r="P37" i="12"/>
  <c r="O37" i="12"/>
  <c r="N37" i="12"/>
  <c r="G37" i="12"/>
  <c r="G53" i="12" s="1"/>
  <c r="K53" i="12" s="1"/>
  <c r="P36" i="12"/>
  <c r="O36" i="12"/>
  <c r="N36" i="12"/>
  <c r="Q36" i="12" s="1"/>
  <c r="M36" i="12"/>
  <c r="K36" i="12"/>
  <c r="Q34" i="12"/>
  <c r="P34" i="12"/>
  <c r="O34" i="12"/>
  <c r="N34" i="12"/>
  <c r="M34" i="12"/>
  <c r="K34" i="12"/>
  <c r="P33" i="12"/>
  <c r="P53" i="12" s="1"/>
  <c r="O33" i="12"/>
  <c r="N33" i="12"/>
  <c r="Q33" i="12" s="1"/>
  <c r="M33" i="12"/>
  <c r="K33" i="12"/>
  <c r="J31" i="12"/>
  <c r="P30" i="12"/>
  <c r="O30" i="12"/>
  <c r="M30" i="12"/>
  <c r="K30" i="12"/>
  <c r="I30" i="12"/>
  <c r="H30" i="12"/>
  <c r="N30" i="12" s="1"/>
  <c r="G30" i="12"/>
  <c r="P29" i="12"/>
  <c r="O29" i="12"/>
  <c r="O31" i="12" s="1"/>
  <c r="N29" i="12"/>
  <c r="M29" i="12"/>
  <c r="Q29" i="12" s="1"/>
  <c r="Q28" i="12"/>
  <c r="I28" i="12"/>
  <c r="I31" i="12" s="1"/>
  <c r="H28" i="12"/>
  <c r="H31" i="12" s="1"/>
  <c r="G28" i="12"/>
  <c r="G31" i="12" s="1"/>
  <c r="P27" i="12"/>
  <c r="P31" i="12" s="1"/>
  <c r="O27" i="12"/>
  <c r="N27" i="12"/>
  <c r="N31" i="12" s="1"/>
  <c r="M27" i="12"/>
  <c r="Q26" i="12"/>
  <c r="P24" i="12"/>
  <c r="J24" i="12"/>
  <c r="H24" i="12"/>
  <c r="Y23" i="12"/>
  <c r="T23" i="12"/>
  <c r="Q23" i="12"/>
  <c r="O23" i="12" s="1"/>
  <c r="O24" i="12" s="1"/>
  <c r="I23" i="12"/>
  <c r="I24" i="12" s="1"/>
  <c r="H23" i="12"/>
  <c r="G23" i="12"/>
  <c r="G24" i="12" s="1"/>
  <c r="P21" i="12"/>
  <c r="P58" i="12" s="1"/>
  <c r="J21" i="12"/>
  <c r="J58" i="12" s="1"/>
  <c r="J95" i="12" s="1"/>
  <c r="I21" i="12"/>
  <c r="H21" i="12"/>
  <c r="H58" i="12" s="1"/>
  <c r="G21" i="12"/>
  <c r="Y20" i="12"/>
  <c r="Q20" i="12"/>
  <c r="K20" i="12"/>
  <c r="P19" i="12"/>
  <c r="O19" i="12"/>
  <c r="N19" i="12"/>
  <c r="M19" i="12"/>
  <c r="Q19" i="12" s="1"/>
  <c r="K19" i="12"/>
  <c r="Q18" i="12"/>
  <c r="Q17" i="12"/>
  <c r="P16" i="12"/>
  <c r="O16" i="12"/>
  <c r="N16" i="12"/>
  <c r="M16" i="12"/>
  <c r="Q16" i="12" s="1"/>
  <c r="Q15" i="12"/>
  <c r="O13" i="12"/>
  <c r="N13" i="12"/>
  <c r="M13" i="12"/>
  <c r="Q13" i="12" s="1"/>
  <c r="T12" i="12"/>
  <c r="P12" i="12"/>
  <c r="O12" i="12"/>
  <c r="O21" i="12" s="1"/>
  <c r="N12" i="12"/>
  <c r="Q12" i="12" s="1"/>
  <c r="M12" i="12"/>
  <c r="Q10" i="12"/>
  <c r="O10" i="12"/>
  <c r="N10" i="12"/>
  <c r="M10" i="12"/>
  <c r="Q9" i="12"/>
  <c r="K31" i="12" l="1"/>
  <c r="I58" i="12"/>
  <c r="M21" i="12"/>
  <c r="K21" i="12"/>
  <c r="N109" i="12"/>
  <c r="O109" i="12"/>
  <c r="P109" i="12"/>
  <c r="K24" i="12"/>
  <c r="P95" i="12"/>
  <c r="Q30" i="12"/>
  <c r="Q21" i="12"/>
  <c r="G58" i="12"/>
  <c r="N21" i="12"/>
  <c r="K43" i="12"/>
  <c r="O63" i="12"/>
  <c r="O53" i="12"/>
  <c r="O58" i="12" s="1"/>
  <c r="N43" i="12"/>
  <c r="Q43" i="12" s="1"/>
  <c r="Q27" i="12"/>
  <c r="M31" i="12"/>
  <c r="Q31" i="12" s="1"/>
  <c r="K37" i="12"/>
  <c r="Q119" i="12"/>
  <c r="O121" i="12" s="1"/>
  <c r="O122" i="12" s="1"/>
  <c r="O123" i="12" s="1"/>
  <c r="M37" i="12"/>
  <c r="N120" i="12"/>
  <c r="M23" i="12"/>
  <c r="M24" i="12" s="1"/>
  <c r="O120" i="12"/>
  <c r="N23" i="12"/>
  <c r="N24" i="12" s="1"/>
  <c r="M65" i="12"/>
  <c r="P121" i="12" l="1"/>
  <c r="P122" i="12" s="1"/>
  <c r="P123" i="12" s="1"/>
  <c r="N53" i="12"/>
  <c r="N58" i="12" s="1"/>
  <c r="N121" i="12"/>
  <c r="N122" i="12" s="1"/>
  <c r="N123" i="12" s="1"/>
  <c r="Q24" i="12"/>
  <c r="T24" i="12" s="1"/>
  <c r="Q37" i="12"/>
  <c r="M53" i="12"/>
  <c r="K58" i="12"/>
  <c r="K95" i="12" s="1"/>
  <c r="Q53" i="12" l="1"/>
  <c r="M58" i="12"/>
  <c r="Q123" i="12"/>
  <c r="K19" i="6"/>
  <c r="K20" i="6"/>
  <c r="Q58" i="12" l="1"/>
  <c r="I80" i="12"/>
  <c r="Q68" i="5"/>
  <c r="H69" i="12" l="1"/>
  <c r="N69" i="12" s="1"/>
  <c r="H71" i="12"/>
  <c r="N71" i="12" s="1"/>
  <c r="H76" i="12"/>
  <c r="H78" i="12"/>
  <c r="N78" i="12" s="1"/>
  <c r="H65" i="12"/>
  <c r="H80" i="12"/>
  <c r="N80" i="12" s="1"/>
  <c r="H70" i="12"/>
  <c r="H72" i="12"/>
  <c r="N72" i="12" s="1"/>
  <c r="H74" i="12"/>
  <c r="N74" i="12" s="1"/>
  <c r="H79" i="12"/>
  <c r="H66" i="12"/>
  <c r="H68" i="12"/>
  <c r="H73" i="12"/>
  <c r="H67" i="12"/>
  <c r="H75" i="12"/>
  <c r="N75" i="12" s="1"/>
  <c r="H77" i="12"/>
  <c r="N77" i="12" s="1"/>
  <c r="G77" i="12"/>
  <c r="M77" i="12" s="1"/>
  <c r="G67" i="12"/>
  <c r="G69" i="12"/>
  <c r="M69" i="12" s="1"/>
  <c r="G71" i="12"/>
  <c r="M71" i="12" s="1"/>
  <c r="G76" i="12"/>
  <c r="G78" i="12"/>
  <c r="M78" i="12" s="1"/>
  <c r="G65" i="12"/>
  <c r="G80" i="12"/>
  <c r="M80" i="12" s="1"/>
  <c r="G70" i="12"/>
  <c r="G72" i="12"/>
  <c r="M72" i="12" s="1"/>
  <c r="G74" i="12"/>
  <c r="M74" i="12" s="1"/>
  <c r="G79" i="12"/>
  <c r="G66" i="12"/>
  <c r="G68" i="12"/>
  <c r="G73" i="12"/>
  <c r="G75" i="12"/>
  <c r="M75" i="12" s="1"/>
  <c r="I76" i="12"/>
  <c r="I78" i="12"/>
  <c r="O78" i="12" s="1"/>
  <c r="I65" i="12"/>
  <c r="O80" i="12"/>
  <c r="I74" i="12"/>
  <c r="O74" i="12" s="1"/>
  <c r="I79" i="12"/>
  <c r="I75" i="12"/>
  <c r="I77" i="12"/>
  <c r="O77" i="12" s="1"/>
  <c r="T12" i="11"/>
  <c r="T23" i="11"/>
  <c r="G91" i="12" l="1"/>
  <c r="G95" i="12" s="1"/>
  <c r="I91" i="12"/>
  <c r="I95" i="12" s="1"/>
  <c r="M91" i="12"/>
  <c r="M95" i="12" s="1"/>
  <c r="H92" i="12"/>
  <c r="N66" i="12"/>
  <c r="N92" i="12" s="1"/>
  <c r="G92" i="12"/>
  <c r="M66" i="12"/>
  <c r="M92" i="12" s="1"/>
  <c r="N91" i="12"/>
  <c r="N95" i="12" s="1"/>
  <c r="H91" i="12"/>
  <c r="H95" i="12" s="1"/>
  <c r="O75" i="12"/>
  <c r="O92" i="12" s="1"/>
  <c r="I92" i="12"/>
  <c r="O91" i="12"/>
  <c r="O95" i="12" s="1"/>
  <c r="H40" i="8" s="1"/>
  <c r="H45" i="8" s="1"/>
  <c r="K45" i="8" s="1"/>
  <c r="K91" i="11"/>
  <c r="O119" i="11"/>
  <c r="N119" i="11"/>
  <c r="P118" i="11"/>
  <c r="P119" i="11" s="1"/>
  <c r="Q117" i="11"/>
  <c r="O120" i="11" s="1"/>
  <c r="K92" i="12" l="1"/>
  <c r="Q92" i="12"/>
  <c r="Q91" i="12"/>
  <c r="Q95" i="12" s="1"/>
  <c r="Q119" i="11"/>
  <c r="N121" i="11" s="1"/>
  <c r="N122" i="11" s="1"/>
  <c r="N123" i="11" s="1"/>
  <c r="P121" i="11"/>
  <c r="P122" i="11" s="1"/>
  <c r="P123" i="11" s="1"/>
  <c r="O121" i="11"/>
  <c r="O122" i="11" s="1"/>
  <c r="O123" i="11" s="1"/>
  <c r="N120" i="11"/>
  <c r="P120" i="11"/>
  <c r="Q123" i="11"/>
  <c r="O124" i="11" s="1"/>
  <c r="N124" i="11"/>
  <c r="I118" i="11"/>
  <c r="H118" i="11"/>
  <c r="G118" i="11"/>
  <c r="K110" i="11"/>
  <c r="P107" i="11"/>
  <c r="O107" i="11"/>
  <c r="N107" i="11"/>
  <c r="Q105" i="11"/>
  <c r="L95" i="11"/>
  <c r="J92" i="11"/>
  <c r="J91" i="11"/>
  <c r="Q89" i="11"/>
  <c r="P89" i="11"/>
  <c r="H89" i="11"/>
  <c r="N89" i="11" s="1"/>
  <c r="G89" i="11"/>
  <c r="M89" i="11" s="1"/>
  <c r="Q87" i="11"/>
  <c r="P87" i="11"/>
  <c r="N87" i="11"/>
  <c r="M87" i="11"/>
  <c r="Q86" i="11"/>
  <c r="P86" i="11"/>
  <c r="N86" i="11"/>
  <c r="M86" i="11"/>
  <c r="Q84" i="11"/>
  <c r="P84" i="11"/>
  <c r="N84" i="11"/>
  <c r="M84" i="11"/>
  <c r="Q83" i="11"/>
  <c r="P83" i="11"/>
  <c r="Q81" i="11"/>
  <c r="P81" i="11"/>
  <c r="N81" i="11"/>
  <c r="M81" i="11"/>
  <c r="Q80" i="11"/>
  <c r="P80" i="11"/>
  <c r="Q78" i="11"/>
  <c r="P78" i="11"/>
  <c r="Q77" i="11"/>
  <c r="P77" i="11"/>
  <c r="Q75" i="11"/>
  <c r="P75" i="11"/>
  <c r="Q74" i="11"/>
  <c r="P74" i="11"/>
  <c r="Q72" i="11"/>
  <c r="P72" i="11"/>
  <c r="Q71" i="11"/>
  <c r="P71" i="11"/>
  <c r="Q69" i="11"/>
  <c r="P69" i="11"/>
  <c r="Q68" i="11"/>
  <c r="N68" i="11" s="1"/>
  <c r="P68" i="11"/>
  <c r="Q66" i="11"/>
  <c r="P66" i="11"/>
  <c r="Q65" i="11"/>
  <c r="M65" i="11" s="1"/>
  <c r="P65" i="11"/>
  <c r="Y63" i="11"/>
  <c r="Q63" i="11"/>
  <c r="P63" i="11"/>
  <c r="N63" i="11"/>
  <c r="M63" i="11"/>
  <c r="O63" i="11"/>
  <c r="Q62" i="11"/>
  <c r="O62" i="11" s="1"/>
  <c r="P62" i="11"/>
  <c r="N62" i="11"/>
  <c r="M62" i="11"/>
  <c r="Q55" i="11"/>
  <c r="K55" i="11"/>
  <c r="J53" i="11"/>
  <c r="I53" i="11"/>
  <c r="P52" i="11"/>
  <c r="O52" i="11"/>
  <c r="N52" i="11"/>
  <c r="M52" i="11"/>
  <c r="K52" i="11"/>
  <c r="P49" i="11"/>
  <c r="O49" i="11"/>
  <c r="N49" i="11"/>
  <c r="M49" i="11"/>
  <c r="K49" i="11"/>
  <c r="P47" i="11"/>
  <c r="O47" i="11"/>
  <c r="N47" i="11"/>
  <c r="M47" i="11"/>
  <c r="K47" i="11"/>
  <c r="P45" i="11"/>
  <c r="O45" i="11"/>
  <c r="N45" i="11"/>
  <c r="M45" i="11"/>
  <c r="Q45" i="11" s="1"/>
  <c r="K45" i="11"/>
  <c r="P43" i="11"/>
  <c r="O43" i="11"/>
  <c r="M43" i="11"/>
  <c r="K43" i="11"/>
  <c r="P41" i="11"/>
  <c r="O41" i="11"/>
  <c r="N41" i="11"/>
  <c r="K41" i="11"/>
  <c r="P40" i="11"/>
  <c r="O40" i="11"/>
  <c r="N40" i="11"/>
  <c r="M40" i="11"/>
  <c r="K40" i="11"/>
  <c r="P39" i="11"/>
  <c r="O39" i="11"/>
  <c r="N39" i="11"/>
  <c r="M39" i="11"/>
  <c r="K39" i="11"/>
  <c r="P38" i="11"/>
  <c r="O38" i="11"/>
  <c r="N38" i="11"/>
  <c r="M38" i="11"/>
  <c r="Q38" i="11" s="1"/>
  <c r="K38" i="11"/>
  <c r="P37" i="11"/>
  <c r="O37" i="11"/>
  <c r="N37" i="11"/>
  <c r="K37" i="11"/>
  <c r="P36" i="11"/>
  <c r="O36" i="11"/>
  <c r="N36" i="11"/>
  <c r="M36" i="11"/>
  <c r="K36" i="11"/>
  <c r="P34" i="11"/>
  <c r="O34" i="11"/>
  <c r="N34" i="11"/>
  <c r="M34" i="11"/>
  <c r="K34" i="11"/>
  <c r="P33" i="11"/>
  <c r="O33" i="11"/>
  <c r="N33" i="11"/>
  <c r="M33" i="11"/>
  <c r="K33" i="11"/>
  <c r="J31" i="11"/>
  <c r="P30" i="11"/>
  <c r="O30" i="11"/>
  <c r="N30" i="11"/>
  <c r="M30" i="11"/>
  <c r="P29" i="11"/>
  <c r="O29" i="11"/>
  <c r="N29" i="11"/>
  <c r="M29" i="11"/>
  <c r="Q28" i="11"/>
  <c r="P27" i="11"/>
  <c r="O27" i="11"/>
  <c r="N27" i="11"/>
  <c r="M27" i="11"/>
  <c r="Q26" i="11"/>
  <c r="P24" i="11"/>
  <c r="J24" i="11"/>
  <c r="J21" i="11"/>
  <c r="Y20" i="11"/>
  <c r="Y23" i="11" s="1"/>
  <c r="Q23" i="11" s="1"/>
  <c r="Q20" i="11"/>
  <c r="P19" i="11"/>
  <c r="O19" i="11"/>
  <c r="N19" i="11"/>
  <c r="M19" i="11"/>
  <c r="Q18" i="11"/>
  <c r="Q17" i="11"/>
  <c r="P16" i="11"/>
  <c r="O16" i="11"/>
  <c r="Q15" i="11"/>
  <c r="O13" i="11"/>
  <c r="N13" i="11"/>
  <c r="M13" i="11"/>
  <c r="P12" i="11"/>
  <c r="O12" i="11"/>
  <c r="N12" i="11"/>
  <c r="M12" i="11"/>
  <c r="O10" i="11"/>
  <c r="N10" i="11"/>
  <c r="M10" i="11"/>
  <c r="Q10" i="11" s="1"/>
  <c r="Q9" i="11"/>
  <c r="M68" i="11" l="1"/>
  <c r="Q36" i="11"/>
  <c r="P92" i="11"/>
  <c r="Q39" i="11"/>
  <c r="Q33" i="11"/>
  <c r="N43" i="11"/>
  <c r="Q43" i="11" s="1"/>
  <c r="N65" i="11"/>
  <c r="P21" i="11"/>
  <c r="Q40" i="11"/>
  <c r="N71" i="11"/>
  <c r="N91" i="11" s="1"/>
  <c r="N72" i="11"/>
  <c r="N74" i="11"/>
  <c r="N78" i="11"/>
  <c r="N75" i="11"/>
  <c r="N77" i="11"/>
  <c r="H92" i="11"/>
  <c r="N80" i="11"/>
  <c r="N69" i="11"/>
  <c r="Q52" i="11"/>
  <c r="P124" i="11"/>
  <c r="N31" i="11"/>
  <c r="Q34" i="11"/>
  <c r="Q47" i="11"/>
  <c r="H53" i="11"/>
  <c r="H58" i="11" s="1"/>
  <c r="Q107" i="11"/>
  <c r="P109" i="11" s="1"/>
  <c r="J58" i="11"/>
  <c r="J95" i="11" s="1"/>
  <c r="O31" i="11"/>
  <c r="P31" i="11"/>
  <c r="P58" i="11" s="1"/>
  <c r="Q49" i="11"/>
  <c r="K114" i="11"/>
  <c r="P53" i="11"/>
  <c r="Q19" i="11"/>
  <c r="Q29" i="11"/>
  <c r="P91" i="11"/>
  <c r="M75" i="11"/>
  <c r="M78" i="11"/>
  <c r="G92" i="11"/>
  <c r="M80" i="11"/>
  <c r="M69" i="11"/>
  <c r="M77" i="11"/>
  <c r="M71" i="11"/>
  <c r="M74" i="11"/>
  <c r="M72" i="11"/>
  <c r="Q13" i="11"/>
  <c r="O53" i="11"/>
  <c r="N83" i="11"/>
  <c r="M83" i="11"/>
  <c r="O21" i="11"/>
  <c r="M31" i="11"/>
  <c r="Q30" i="11"/>
  <c r="N23" i="11"/>
  <c r="N24" i="11" s="1"/>
  <c r="M23" i="11"/>
  <c r="M24" i="11" s="1"/>
  <c r="N109" i="11"/>
  <c r="Q12" i="11"/>
  <c r="M16" i="11"/>
  <c r="M41" i="11"/>
  <c r="Q41" i="11" s="1"/>
  <c r="G53" i="11"/>
  <c r="Q27" i="11"/>
  <c r="M37" i="11"/>
  <c r="Q37" i="11" s="1"/>
  <c r="N16" i="11"/>
  <c r="N21" i="11" s="1"/>
  <c r="P95" i="11" l="1"/>
  <c r="N53" i="11"/>
  <c r="N58" i="11" s="1"/>
  <c r="N95" i="11" s="1"/>
  <c r="M91" i="11"/>
  <c r="G91" i="11"/>
  <c r="O109" i="11"/>
  <c r="N66" i="11"/>
  <c r="N92" i="11" s="1"/>
  <c r="M66" i="11"/>
  <c r="M92" i="11" s="1"/>
  <c r="K53" i="11"/>
  <c r="Q31" i="11"/>
  <c r="O78" i="11"/>
  <c r="O75" i="11"/>
  <c r="O74" i="11"/>
  <c r="O77" i="11"/>
  <c r="O80" i="11"/>
  <c r="H91" i="11"/>
  <c r="H95" i="11" s="1"/>
  <c r="G58" i="11"/>
  <c r="G95" i="11" s="1"/>
  <c r="Q16" i="11"/>
  <c r="Q21" i="11" s="1"/>
  <c r="M21" i="11"/>
  <c r="M53" i="11"/>
  <c r="Q53" i="11" l="1"/>
  <c r="M58" i="11"/>
  <c r="M95" i="11" l="1"/>
  <c r="I114" i="1" l="1"/>
  <c r="M63" i="6" l="1"/>
  <c r="O63" i="6"/>
  <c r="G116" i="6"/>
  <c r="K111" i="6"/>
  <c r="K108" i="7"/>
  <c r="K111" i="7"/>
  <c r="K152" i="5"/>
  <c r="H180" i="5"/>
  <c r="H181" i="5" s="1"/>
  <c r="K19" i="5"/>
  <c r="K170" i="5"/>
  <c r="I116" i="7"/>
  <c r="H116" i="7"/>
  <c r="L93" i="7"/>
  <c r="J90" i="7"/>
  <c r="J89" i="7"/>
  <c r="Q87" i="7"/>
  <c r="P87" i="7"/>
  <c r="Q85" i="7"/>
  <c r="P85" i="7"/>
  <c r="O85" i="7"/>
  <c r="N85" i="7"/>
  <c r="Q84" i="7"/>
  <c r="P84" i="7"/>
  <c r="O84" i="7"/>
  <c r="N84" i="7"/>
  <c r="Q82" i="7"/>
  <c r="P82" i="7"/>
  <c r="O82" i="7"/>
  <c r="N82" i="7"/>
  <c r="M82" i="7"/>
  <c r="Q81" i="7"/>
  <c r="P81" i="7"/>
  <c r="O81" i="7"/>
  <c r="N81" i="7"/>
  <c r="Q79" i="7"/>
  <c r="P79" i="7"/>
  <c r="O79" i="7"/>
  <c r="N79" i="7"/>
  <c r="Q78" i="7"/>
  <c r="P78" i="7"/>
  <c r="O78" i="7"/>
  <c r="N78" i="7"/>
  <c r="Q76" i="7"/>
  <c r="P76" i="7"/>
  <c r="O76" i="7"/>
  <c r="N76" i="7"/>
  <c r="Q75" i="7"/>
  <c r="P75" i="7"/>
  <c r="O75" i="7"/>
  <c r="N75" i="7"/>
  <c r="Q73" i="7"/>
  <c r="P73" i="7"/>
  <c r="O73" i="7"/>
  <c r="N73" i="7"/>
  <c r="Q72" i="7"/>
  <c r="P72" i="7"/>
  <c r="O72" i="7"/>
  <c r="N72" i="7"/>
  <c r="Q70" i="7"/>
  <c r="P70" i="7"/>
  <c r="O70" i="7"/>
  <c r="N70" i="7"/>
  <c r="Q69" i="7"/>
  <c r="P69" i="7"/>
  <c r="O69" i="7"/>
  <c r="N69" i="7"/>
  <c r="Q67" i="7"/>
  <c r="P67" i="7"/>
  <c r="O67" i="7"/>
  <c r="N67" i="7"/>
  <c r="Q66" i="7"/>
  <c r="P66" i="7"/>
  <c r="Q64" i="7"/>
  <c r="P64" i="7"/>
  <c r="Q63" i="7"/>
  <c r="P63" i="7"/>
  <c r="Q61" i="7"/>
  <c r="P61" i="7"/>
  <c r="N61" i="7"/>
  <c r="M61" i="7"/>
  <c r="I61" i="7"/>
  <c r="O61" i="7" s="1"/>
  <c r="P60" i="7"/>
  <c r="N60" i="7"/>
  <c r="M60" i="7"/>
  <c r="Q53" i="7"/>
  <c r="K53" i="7"/>
  <c r="J51" i="7"/>
  <c r="I51" i="7"/>
  <c r="G51" i="7"/>
  <c r="K110" i="7" s="1"/>
  <c r="G115" i="7" s="1"/>
  <c r="P50" i="7"/>
  <c r="O50" i="7"/>
  <c r="N50" i="7"/>
  <c r="M50" i="7"/>
  <c r="K50" i="7"/>
  <c r="P47" i="7"/>
  <c r="O47" i="7"/>
  <c r="N47" i="7"/>
  <c r="M47" i="7"/>
  <c r="Q47" i="7" s="1"/>
  <c r="K47" i="7"/>
  <c r="P45" i="7"/>
  <c r="O45" i="7"/>
  <c r="N45" i="7"/>
  <c r="M45" i="7"/>
  <c r="K45" i="7"/>
  <c r="P43" i="7"/>
  <c r="O43" i="7"/>
  <c r="N43" i="7"/>
  <c r="M43" i="7"/>
  <c r="K43" i="7"/>
  <c r="P41" i="7"/>
  <c r="O41" i="7"/>
  <c r="M41" i="7"/>
  <c r="H41" i="7"/>
  <c r="K41" i="7" s="1"/>
  <c r="P39" i="7"/>
  <c r="O39" i="7"/>
  <c r="N39" i="7"/>
  <c r="M39" i="7"/>
  <c r="K39" i="7"/>
  <c r="P38" i="7"/>
  <c r="O38" i="7"/>
  <c r="N38" i="7"/>
  <c r="M38" i="7"/>
  <c r="K38" i="7"/>
  <c r="P37" i="7"/>
  <c r="O37" i="7"/>
  <c r="N37" i="7"/>
  <c r="M37" i="7"/>
  <c r="K37" i="7"/>
  <c r="P36" i="7"/>
  <c r="O36" i="7"/>
  <c r="N36" i="7"/>
  <c r="M36" i="7"/>
  <c r="K36" i="7"/>
  <c r="P34" i="7"/>
  <c r="O34" i="7"/>
  <c r="N34" i="7"/>
  <c r="M34" i="7"/>
  <c r="K34" i="7"/>
  <c r="P33" i="7"/>
  <c r="O33" i="7"/>
  <c r="N33" i="7"/>
  <c r="M33" i="7"/>
  <c r="K33" i="7"/>
  <c r="J31" i="7"/>
  <c r="I31" i="7"/>
  <c r="H31" i="7"/>
  <c r="G31" i="7"/>
  <c r="P30" i="7"/>
  <c r="O30" i="7"/>
  <c r="N30" i="7"/>
  <c r="M30" i="7"/>
  <c r="K30" i="7"/>
  <c r="P29" i="7"/>
  <c r="O29" i="7"/>
  <c r="N29" i="7"/>
  <c r="M29" i="7"/>
  <c r="K29" i="7"/>
  <c r="Q28" i="7"/>
  <c r="K28" i="7"/>
  <c r="P27" i="7"/>
  <c r="O27" i="7"/>
  <c r="N27" i="7"/>
  <c r="M27" i="7"/>
  <c r="K27" i="7"/>
  <c r="Q26" i="7"/>
  <c r="K26" i="7"/>
  <c r="P24" i="7"/>
  <c r="J24" i="7"/>
  <c r="I24" i="7"/>
  <c r="H24" i="7"/>
  <c r="G24" i="7"/>
  <c r="J21" i="7"/>
  <c r="I21" i="7"/>
  <c r="H21" i="7"/>
  <c r="G21" i="7"/>
  <c r="X20" i="7"/>
  <c r="Q20" i="7"/>
  <c r="K20" i="7"/>
  <c r="P19" i="7"/>
  <c r="O19" i="7"/>
  <c r="N19" i="7"/>
  <c r="M19" i="7"/>
  <c r="K19" i="7"/>
  <c r="Q18" i="7"/>
  <c r="K18" i="7"/>
  <c r="X17" i="7"/>
  <c r="Q17" i="7"/>
  <c r="K17" i="7"/>
  <c r="P16" i="7"/>
  <c r="O16" i="7"/>
  <c r="N16" i="7"/>
  <c r="M16" i="7"/>
  <c r="K16" i="7"/>
  <c r="Q15" i="7"/>
  <c r="K15" i="7"/>
  <c r="O13" i="7"/>
  <c r="N13" i="7"/>
  <c r="M13" i="7"/>
  <c r="K13" i="7"/>
  <c r="P12" i="7"/>
  <c r="O12" i="7"/>
  <c r="N12" i="7"/>
  <c r="M12" i="7"/>
  <c r="K12" i="7"/>
  <c r="O10" i="7"/>
  <c r="N10" i="7"/>
  <c r="M10" i="7"/>
  <c r="K10" i="7"/>
  <c r="Q9" i="7"/>
  <c r="K9" i="7"/>
  <c r="I116" i="6"/>
  <c r="H116" i="6"/>
  <c r="I115" i="6"/>
  <c r="K109" i="6"/>
  <c r="K108" i="6"/>
  <c r="L93" i="6"/>
  <c r="J90" i="6"/>
  <c r="K89" i="6"/>
  <c r="J89" i="6"/>
  <c r="Q87" i="6"/>
  <c r="P87" i="6"/>
  <c r="Q85" i="6"/>
  <c r="P85" i="6"/>
  <c r="N85" i="6"/>
  <c r="M85" i="6"/>
  <c r="I85" i="6"/>
  <c r="O85" i="6" s="1"/>
  <c r="Q84" i="6"/>
  <c r="P84" i="6"/>
  <c r="N84" i="6"/>
  <c r="M84" i="6"/>
  <c r="I84" i="6"/>
  <c r="O84" i="6" s="1"/>
  <c r="I83" i="6"/>
  <c r="Q82" i="6"/>
  <c r="P82" i="6"/>
  <c r="N82" i="6"/>
  <c r="M82" i="6"/>
  <c r="I82" i="6"/>
  <c r="O82" i="6" s="1"/>
  <c r="Q81" i="6"/>
  <c r="P81" i="6"/>
  <c r="N81" i="6"/>
  <c r="M81" i="6"/>
  <c r="I81" i="6"/>
  <c r="O81" i="6" s="1"/>
  <c r="I80" i="6"/>
  <c r="Q79" i="6"/>
  <c r="P79" i="6"/>
  <c r="O79" i="6"/>
  <c r="N79" i="6"/>
  <c r="M79" i="6"/>
  <c r="I79" i="6"/>
  <c r="Q78" i="6"/>
  <c r="P78" i="6"/>
  <c r="N78" i="6"/>
  <c r="M78" i="6"/>
  <c r="I78" i="6"/>
  <c r="O78" i="6" s="1"/>
  <c r="I77" i="6"/>
  <c r="Q76" i="6"/>
  <c r="P76" i="6"/>
  <c r="N76" i="6"/>
  <c r="M76" i="6"/>
  <c r="I76" i="6"/>
  <c r="O76" i="6" s="1"/>
  <c r="Q75" i="6"/>
  <c r="P75" i="6"/>
  <c r="N75" i="6"/>
  <c r="M75" i="6"/>
  <c r="I75" i="6"/>
  <c r="O75" i="6" s="1"/>
  <c r="I74" i="6"/>
  <c r="Q73" i="6"/>
  <c r="P73" i="6"/>
  <c r="N73" i="6"/>
  <c r="M73" i="6"/>
  <c r="I73" i="6"/>
  <c r="O73" i="6" s="1"/>
  <c r="Q72" i="6"/>
  <c r="P72" i="6"/>
  <c r="N72" i="6"/>
  <c r="M72" i="6"/>
  <c r="I72" i="6"/>
  <c r="O72" i="6" s="1"/>
  <c r="I71" i="6"/>
  <c r="Q70" i="6"/>
  <c r="P70" i="6"/>
  <c r="N70" i="6"/>
  <c r="M70" i="6"/>
  <c r="I70" i="6"/>
  <c r="O70" i="6" s="1"/>
  <c r="Q69" i="6"/>
  <c r="P69" i="6"/>
  <c r="N69" i="6"/>
  <c r="M69" i="6"/>
  <c r="I69" i="6"/>
  <c r="O69" i="6" s="1"/>
  <c r="I68" i="6"/>
  <c r="Q67" i="6"/>
  <c r="P67" i="6"/>
  <c r="N67" i="6"/>
  <c r="M67" i="6"/>
  <c r="I67" i="6"/>
  <c r="O67" i="6" s="1"/>
  <c r="Q66" i="6"/>
  <c r="P66" i="6"/>
  <c r="P89" i="6" s="1"/>
  <c r="I66" i="6"/>
  <c r="Q64" i="6"/>
  <c r="P64" i="6"/>
  <c r="Q63" i="6"/>
  <c r="P63" i="6"/>
  <c r="X61" i="6"/>
  <c r="Q61" i="6"/>
  <c r="P61" i="6"/>
  <c r="P90" i="6" s="1"/>
  <c r="N61" i="6"/>
  <c r="M61" i="6"/>
  <c r="I61" i="6"/>
  <c r="O61" i="6" s="1"/>
  <c r="Q60" i="6"/>
  <c r="O60" i="6" s="1"/>
  <c r="P60" i="6"/>
  <c r="N60" i="6"/>
  <c r="M60" i="6"/>
  <c r="I60" i="6"/>
  <c r="Q53" i="6"/>
  <c r="K53" i="6"/>
  <c r="J51" i="6"/>
  <c r="I51" i="6"/>
  <c r="G51" i="6"/>
  <c r="K110" i="6" s="1"/>
  <c r="G115" i="6" s="1"/>
  <c r="P50" i="6"/>
  <c r="O50" i="6"/>
  <c r="N50" i="6"/>
  <c r="M50" i="6"/>
  <c r="K50" i="6"/>
  <c r="P47" i="6"/>
  <c r="O47" i="6"/>
  <c r="N47" i="6"/>
  <c r="M47" i="6"/>
  <c r="K47" i="6"/>
  <c r="P45" i="6"/>
  <c r="O45" i="6"/>
  <c r="N45" i="6"/>
  <c r="M45" i="6"/>
  <c r="K45" i="6"/>
  <c r="P43" i="6"/>
  <c r="O43" i="6"/>
  <c r="N43" i="6"/>
  <c r="M43" i="6"/>
  <c r="K43" i="6"/>
  <c r="P41" i="6"/>
  <c r="O41" i="6"/>
  <c r="M41" i="6"/>
  <c r="H41" i="6"/>
  <c r="H51" i="6" s="1"/>
  <c r="K51" i="6" s="1"/>
  <c r="P39" i="6"/>
  <c r="O39" i="6"/>
  <c r="N39" i="6"/>
  <c r="M39" i="6"/>
  <c r="Q39" i="6" s="1"/>
  <c r="K39" i="6"/>
  <c r="P38" i="6"/>
  <c r="O38" i="6"/>
  <c r="O51" i="6" s="1"/>
  <c r="N38" i="6"/>
  <c r="M38" i="6"/>
  <c r="K38" i="6"/>
  <c r="P37" i="6"/>
  <c r="O37" i="6"/>
  <c r="N37" i="6"/>
  <c r="M37" i="6"/>
  <c r="Q37" i="6" s="1"/>
  <c r="K37" i="6"/>
  <c r="P36" i="6"/>
  <c r="O36" i="6"/>
  <c r="N36" i="6"/>
  <c r="M36" i="6"/>
  <c r="K36" i="6"/>
  <c r="P34" i="6"/>
  <c r="O34" i="6"/>
  <c r="N34" i="6"/>
  <c r="M34" i="6"/>
  <c r="Q34" i="6" s="1"/>
  <c r="K34" i="6"/>
  <c r="P33" i="6"/>
  <c r="O33" i="6"/>
  <c r="N33" i="6"/>
  <c r="M33" i="6"/>
  <c r="M51" i="6" s="1"/>
  <c r="K33" i="6"/>
  <c r="J31" i="6"/>
  <c r="I31" i="6"/>
  <c r="H31" i="6"/>
  <c r="G31" i="6"/>
  <c r="P30" i="6"/>
  <c r="O30" i="6"/>
  <c r="N30" i="6"/>
  <c r="M30" i="6"/>
  <c r="K30" i="6"/>
  <c r="P29" i="6"/>
  <c r="O29" i="6"/>
  <c r="N29" i="6"/>
  <c r="M29" i="6"/>
  <c r="K29" i="6"/>
  <c r="Q28" i="6"/>
  <c r="K28" i="6"/>
  <c r="P27" i="6"/>
  <c r="P31" i="6" s="1"/>
  <c r="O27" i="6"/>
  <c r="O31" i="6" s="1"/>
  <c r="N27" i="6"/>
  <c r="M27" i="6"/>
  <c r="K27" i="6"/>
  <c r="Q26" i="6"/>
  <c r="K26" i="6"/>
  <c r="P24" i="6"/>
  <c r="J24" i="6"/>
  <c r="I24" i="6"/>
  <c r="K24" i="6" s="1"/>
  <c r="H24" i="6"/>
  <c r="G24" i="6"/>
  <c r="K23" i="6"/>
  <c r="J21" i="6"/>
  <c r="J56" i="6" s="1"/>
  <c r="J93" i="6" s="1"/>
  <c r="I21" i="6"/>
  <c r="H21" i="6"/>
  <c r="G21" i="6"/>
  <c r="G56" i="6" s="1"/>
  <c r="X20" i="6"/>
  <c r="X23" i="6" s="1"/>
  <c r="Q20" i="6"/>
  <c r="P19" i="6"/>
  <c r="O19" i="6"/>
  <c r="N19" i="6"/>
  <c r="M19" i="6"/>
  <c r="Q18" i="6"/>
  <c r="K18" i="6"/>
  <c r="Q17" i="6"/>
  <c r="K17" i="6"/>
  <c r="P16" i="6"/>
  <c r="Q16" i="6" s="1"/>
  <c r="O16" i="6"/>
  <c r="N16" i="6"/>
  <c r="M16" i="6"/>
  <c r="K16" i="6"/>
  <c r="Q15" i="6"/>
  <c r="K15" i="6"/>
  <c r="O13" i="6"/>
  <c r="N13" i="6"/>
  <c r="M13" i="6"/>
  <c r="K13" i="6"/>
  <c r="P12" i="6"/>
  <c r="Q12" i="6" s="1"/>
  <c r="O12" i="6"/>
  <c r="N12" i="6"/>
  <c r="M12" i="6"/>
  <c r="M21" i="6" s="1"/>
  <c r="K12" i="6"/>
  <c r="O10" i="6"/>
  <c r="N10" i="6"/>
  <c r="M10" i="6"/>
  <c r="Q10" i="6" s="1"/>
  <c r="K10" i="6"/>
  <c r="Q9" i="6"/>
  <c r="K9" i="6"/>
  <c r="K19" i="4"/>
  <c r="H117" i="4"/>
  <c r="I116" i="4"/>
  <c r="Q63" i="1"/>
  <c r="I115" i="1"/>
  <c r="I116" i="1" s="1"/>
  <c r="H115" i="1"/>
  <c r="Q19" i="6" l="1"/>
  <c r="Q21" i="6" s="1"/>
  <c r="K112" i="6"/>
  <c r="Q30" i="6"/>
  <c r="P51" i="6"/>
  <c r="O21" i="6"/>
  <c r="N31" i="6"/>
  <c r="K31" i="6"/>
  <c r="Q36" i="6"/>
  <c r="Q45" i="6"/>
  <c r="Q47" i="6"/>
  <c r="Q50" i="6"/>
  <c r="H56" i="6"/>
  <c r="Q27" i="6"/>
  <c r="Q38" i="6"/>
  <c r="P21" i="6"/>
  <c r="P56" i="6" s="1"/>
  <c r="P93" i="6" s="1"/>
  <c r="Q13" i="6"/>
  <c r="I56" i="6"/>
  <c r="Q23" i="6"/>
  <c r="K41" i="6"/>
  <c r="N21" i="6"/>
  <c r="M31" i="6"/>
  <c r="Q29" i="6"/>
  <c r="P21" i="7"/>
  <c r="G56" i="7"/>
  <c r="Q43" i="7"/>
  <c r="M31" i="7"/>
  <c r="O31" i="7"/>
  <c r="X23" i="7"/>
  <c r="Q23" i="7" s="1"/>
  <c r="Q16" i="7"/>
  <c r="Q38" i="7"/>
  <c r="Q33" i="7"/>
  <c r="Q36" i="7"/>
  <c r="O21" i="7"/>
  <c r="Q37" i="7"/>
  <c r="I56" i="7"/>
  <c r="Q13" i="7"/>
  <c r="G116" i="7"/>
  <c r="K112" i="7"/>
  <c r="I117" i="7" s="1"/>
  <c r="I103" i="7" s="1"/>
  <c r="O63" i="7" s="1"/>
  <c r="N31" i="7"/>
  <c r="Q31" i="7" s="1"/>
  <c r="Q39" i="7"/>
  <c r="Q10" i="7"/>
  <c r="J56" i="7"/>
  <c r="J93" i="7" s="1"/>
  <c r="P31" i="7"/>
  <c r="Q30" i="7"/>
  <c r="Q34" i="7"/>
  <c r="P89" i="7"/>
  <c r="K24" i="7"/>
  <c r="K31" i="7"/>
  <c r="Q50" i="7"/>
  <c r="Q19" i="7"/>
  <c r="Q45" i="7"/>
  <c r="Q29" i="7"/>
  <c r="N41" i="7"/>
  <c r="N51" i="7" s="1"/>
  <c r="N21" i="7"/>
  <c r="P90" i="7"/>
  <c r="O51" i="7"/>
  <c r="P51" i="7"/>
  <c r="Q12" i="7"/>
  <c r="M21" i="7"/>
  <c r="P56" i="7"/>
  <c r="P93" i="7" s="1"/>
  <c r="H51" i="7"/>
  <c r="K51" i="7" s="1"/>
  <c r="Q27" i="7"/>
  <c r="M51" i="7"/>
  <c r="K21" i="7"/>
  <c r="Q31" i="6"/>
  <c r="K21" i="6"/>
  <c r="N41" i="6"/>
  <c r="Q41" i="6" s="1"/>
  <c r="Q33" i="6"/>
  <c r="Q43" i="6"/>
  <c r="K56" i="6" l="1"/>
  <c r="K93" i="6" s="1"/>
  <c r="N51" i="6"/>
  <c r="Q51" i="6" s="1"/>
  <c r="H117" i="6"/>
  <c r="H103" i="6" s="1"/>
  <c r="G117" i="6"/>
  <c r="I117" i="6"/>
  <c r="G117" i="7"/>
  <c r="H117" i="7"/>
  <c r="N23" i="7" s="1"/>
  <c r="N24" i="7" s="1"/>
  <c r="N56" i="7" s="1"/>
  <c r="Q41" i="7"/>
  <c r="Q21" i="7"/>
  <c r="Q51" i="7"/>
  <c r="I64" i="7"/>
  <c r="I90" i="7" s="1"/>
  <c r="I87" i="7"/>
  <c r="O87" i="7" s="1"/>
  <c r="G103" i="7"/>
  <c r="G72" i="7" s="1"/>
  <c r="M72" i="7" s="1"/>
  <c r="O23" i="7"/>
  <c r="O24" i="7" s="1"/>
  <c r="O56" i="7" s="1"/>
  <c r="O66" i="7"/>
  <c r="H56" i="7"/>
  <c r="N23" i="6"/>
  <c r="N24" i="6" s="1"/>
  <c r="N56" i="6" s="1"/>
  <c r="I103" i="6" l="1"/>
  <c r="O23" i="6"/>
  <c r="O24" i="6" s="1"/>
  <c r="O56" i="6" s="1"/>
  <c r="H103" i="7"/>
  <c r="H87" i="7" s="1"/>
  <c r="N63" i="7"/>
  <c r="N66" i="7"/>
  <c r="H64" i="7"/>
  <c r="N64" i="7" s="1"/>
  <c r="N90" i="7" s="1"/>
  <c r="O64" i="7"/>
  <c r="O90" i="7" s="1"/>
  <c r="G64" i="7"/>
  <c r="M64" i="7" s="1"/>
  <c r="G75" i="7"/>
  <c r="M75" i="7" s="1"/>
  <c r="G85" i="7"/>
  <c r="M85" i="7" s="1"/>
  <c r="G78" i="7"/>
  <c r="M78" i="7" s="1"/>
  <c r="G67" i="7"/>
  <c r="M67" i="7" s="1"/>
  <c r="G70" i="7"/>
  <c r="M70" i="7" s="1"/>
  <c r="G81" i="7"/>
  <c r="M81" i="7" s="1"/>
  <c r="G79" i="7"/>
  <c r="M79" i="7" s="1"/>
  <c r="G73" i="7"/>
  <c r="M73" i="7" s="1"/>
  <c r="G76" i="7"/>
  <c r="M76" i="7" s="1"/>
  <c r="G87" i="7"/>
  <c r="M87" i="7" s="1"/>
  <c r="G84" i="7"/>
  <c r="M84" i="7" s="1"/>
  <c r="G66" i="7"/>
  <c r="M66" i="7"/>
  <c r="G69" i="7"/>
  <c r="M69" i="7" s="1"/>
  <c r="M63" i="7"/>
  <c r="M23" i="7"/>
  <c r="M24" i="7" s="1"/>
  <c r="K56" i="7"/>
  <c r="H89" i="7"/>
  <c r="H93" i="7" s="1"/>
  <c r="N87" i="7"/>
  <c r="G103" i="6"/>
  <c r="M23" i="6"/>
  <c r="M24" i="6" s="1"/>
  <c r="H87" i="6"/>
  <c r="H64" i="6"/>
  <c r="N66" i="6"/>
  <c r="I87" i="6" l="1"/>
  <c r="I64" i="6"/>
  <c r="O66" i="6"/>
  <c r="H90" i="7"/>
  <c r="N89" i="7"/>
  <c r="N93" i="7" s="1"/>
  <c r="M90" i="7"/>
  <c r="Q90" i="7" s="1"/>
  <c r="M89" i="7"/>
  <c r="Q24" i="7"/>
  <c r="M56" i="7"/>
  <c r="Q56" i="7" s="1"/>
  <c r="G89" i="7"/>
  <c r="G93" i="7" s="1"/>
  <c r="G90" i="7"/>
  <c r="G87" i="6"/>
  <c r="G64" i="6"/>
  <c r="M66" i="6"/>
  <c r="N64" i="6"/>
  <c r="N90" i="6" s="1"/>
  <c r="H90" i="6"/>
  <c r="H89" i="6"/>
  <c r="H93" i="6" s="1"/>
  <c r="N87" i="6"/>
  <c r="N89" i="6" s="1"/>
  <c r="N93" i="6" s="1"/>
  <c r="Q24" i="6"/>
  <c r="M56" i="6"/>
  <c r="O64" i="6" l="1"/>
  <c r="O90" i="6" s="1"/>
  <c r="I90" i="6"/>
  <c r="O87" i="6"/>
  <c r="I89" i="6"/>
  <c r="I93" i="6" s="1"/>
  <c r="O89" i="6"/>
  <c r="O93" i="6" s="1"/>
  <c r="H13" i="8" s="1"/>
  <c r="K13" i="8" s="1"/>
  <c r="K90" i="7"/>
  <c r="M93" i="7"/>
  <c r="M87" i="6"/>
  <c r="M89" i="6" s="1"/>
  <c r="G89" i="6"/>
  <c r="G93" i="6" s="1"/>
  <c r="M64" i="6"/>
  <c r="M90" i="6" s="1"/>
  <c r="G90" i="6"/>
  <c r="K90" i="6" s="1"/>
  <c r="Q56" i="6"/>
  <c r="Q90" i="6" l="1"/>
  <c r="Q89" i="6"/>
  <c r="Q93" i="6" s="1"/>
  <c r="M93" i="6"/>
  <c r="K173" i="5" l="1"/>
  <c r="L158" i="5"/>
  <c r="J155" i="5"/>
  <c r="J154" i="5"/>
  <c r="P152" i="5"/>
  <c r="Q150" i="5"/>
  <c r="P150" i="5"/>
  <c r="Q149" i="5"/>
  <c r="P149" i="5"/>
  <c r="Q147" i="5"/>
  <c r="P147" i="5"/>
  <c r="N147" i="5"/>
  <c r="M147" i="5"/>
  <c r="Q146" i="5"/>
  <c r="P146" i="5"/>
  <c r="Q144" i="5"/>
  <c r="P144" i="5"/>
  <c r="Q143" i="5"/>
  <c r="P143" i="5"/>
  <c r="Q141" i="5"/>
  <c r="P141" i="5"/>
  <c r="P140" i="5"/>
  <c r="O140" i="5"/>
  <c r="N140" i="5"/>
  <c r="M140" i="5"/>
  <c r="K140" i="5"/>
  <c r="Q140" i="5" s="1"/>
  <c r="Q138" i="5"/>
  <c r="P138" i="5"/>
  <c r="Q137" i="5"/>
  <c r="P137" i="5"/>
  <c r="Q135" i="5"/>
  <c r="P135" i="5"/>
  <c r="Q134" i="5"/>
  <c r="P134" i="5"/>
  <c r="Q132" i="5"/>
  <c r="P132" i="5"/>
  <c r="Q131" i="5"/>
  <c r="P131" i="5"/>
  <c r="Q129" i="5"/>
  <c r="P129" i="5"/>
  <c r="Q128" i="5"/>
  <c r="P128" i="5"/>
  <c r="Q126" i="5"/>
  <c r="P126" i="5"/>
  <c r="Q125" i="5"/>
  <c r="P125" i="5"/>
  <c r="Q123" i="5"/>
  <c r="P123" i="5"/>
  <c r="Q122" i="5"/>
  <c r="P122" i="5"/>
  <c r="Q120" i="5"/>
  <c r="P120" i="5"/>
  <c r="Q119" i="5"/>
  <c r="P119" i="5"/>
  <c r="O119" i="5"/>
  <c r="N119" i="5"/>
  <c r="M119" i="5"/>
  <c r="Q117" i="5"/>
  <c r="P117" i="5"/>
  <c r="P116" i="5"/>
  <c r="K116" i="5"/>
  <c r="Q114" i="5"/>
  <c r="P114" i="5"/>
  <c r="Q113" i="5"/>
  <c r="P113" i="5"/>
  <c r="Q111" i="5"/>
  <c r="P111" i="5"/>
  <c r="Q110" i="5"/>
  <c r="P110" i="5"/>
  <c r="Q108" i="5"/>
  <c r="P108" i="5"/>
  <c r="Q107" i="5"/>
  <c r="P107" i="5"/>
  <c r="Q105" i="5"/>
  <c r="P105" i="5"/>
  <c r="Q104" i="5"/>
  <c r="P104" i="5"/>
  <c r="Q102" i="5"/>
  <c r="P102" i="5"/>
  <c r="Q101" i="5"/>
  <c r="P101" i="5"/>
  <c r="Q99" i="5"/>
  <c r="P99" i="5"/>
  <c r="Q98" i="5"/>
  <c r="P98" i="5"/>
  <c r="Q96" i="5"/>
  <c r="P96" i="5"/>
  <c r="Q95" i="5"/>
  <c r="P95" i="5"/>
  <c r="Q93" i="5"/>
  <c r="P93" i="5"/>
  <c r="Q92" i="5"/>
  <c r="P92" i="5"/>
  <c r="Q90" i="5"/>
  <c r="P90" i="5"/>
  <c r="Q89" i="5"/>
  <c r="P89" i="5"/>
  <c r="Q87" i="5"/>
  <c r="P87" i="5"/>
  <c r="Q86" i="5"/>
  <c r="P86" i="5"/>
  <c r="Q84" i="5"/>
  <c r="P84" i="5"/>
  <c r="Q83" i="5"/>
  <c r="P83" i="5"/>
  <c r="Q81" i="5"/>
  <c r="P81" i="5"/>
  <c r="Q80" i="5"/>
  <c r="P80" i="5"/>
  <c r="Q78" i="5"/>
  <c r="P78" i="5"/>
  <c r="Q77" i="5"/>
  <c r="P77" i="5"/>
  <c r="Q75" i="5"/>
  <c r="P75" i="5"/>
  <c r="Q74" i="5"/>
  <c r="P74" i="5"/>
  <c r="Q72" i="5"/>
  <c r="P72" i="5"/>
  <c r="Q71" i="5"/>
  <c r="P71" i="5"/>
  <c r="Q69" i="5"/>
  <c r="P69" i="5"/>
  <c r="P68" i="5"/>
  <c r="Q66" i="5"/>
  <c r="P66" i="5"/>
  <c r="O66" i="5"/>
  <c r="N66" i="5"/>
  <c r="M66" i="5"/>
  <c r="Q65" i="5"/>
  <c r="P65" i="5"/>
  <c r="X63" i="5"/>
  <c r="Q63" i="5"/>
  <c r="P63" i="5"/>
  <c r="N63" i="5"/>
  <c r="M63" i="5"/>
  <c r="I63" i="5"/>
  <c r="Q62" i="5"/>
  <c r="P62" i="5"/>
  <c r="O62" i="5"/>
  <c r="N62" i="5"/>
  <c r="M62" i="5"/>
  <c r="I62" i="5"/>
  <c r="Q55" i="5"/>
  <c r="K55" i="5"/>
  <c r="J53" i="5"/>
  <c r="I53" i="5"/>
  <c r="P52" i="5"/>
  <c r="O52" i="5"/>
  <c r="N52" i="5"/>
  <c r="M52" i="5"/>
  <c r="K52" i="5"/>
  <c r="P49" i="5"/>
  <c r="O49" i="5"/>
  <c r="N49" i="5"/>
  <c r="M49" i="5"/>
  <c r="Q49" i="5" s="1"/>
  <c r="K49" i="5"/>
  <c r="P47" i="5"/>
  <c r="O47" i="5"/>
  <c r="N47" i="5"/>
  <c r="M47" i="5"/>
  <c r="K47" i="5"/>
  <c r="P45" i="5"/>
  <c r="O45" i="5"/>
  <c r="N45" i="5"/>
  <c r="M45" i="5"/>
  <c r="K45" i="5"/>
  <c r="P43" i="5"/>
  <c r="O43" i="5"/>
  <c r="M43" i="5"/>
  <c r="H43" i="5"/>
  <c r="K43" i="5" s="1"/>
  <c r="P41" i="5"/>
  <c r="O41" i="5"/>
  <c r="N41" i="5"/>
  <c r="M41" i="5"/>
  <c r="K41" i="5"/>
  <c r="P40" i="5"/>
  <c r="O40" i="5"/>
  <c r="N40" i="5"/>
  <c r="M40" i="5"/>
  <c r="K40" i="5"/>
  <c r="P39" i="5"/>
  <c r="O39" i="5"/>
  <c r="N39" i="5"/>
  <c r="M39" i="5"/>
  <c r="K39" i="5"/>
  <c r="P38" i="5"/>
  <c r="O38" i="5"/>
  <c r="N38" i="5"/>
  <c r="M38" i="5"/>
  <c r="K38" i="5"/>
  <c r="P37" i="5"/>
  <c r="O37" i="5"/>
  <c r="N37" i="5"/>
  <c r="G37" i="5"/>
  <c r="G53" i="5" s="1"/>
  <c r="P36" i="5"/>
  <c r="O36" i="5"/>
  <c r="N36" i="5"/>
  <c r="M36" i="5"/>
  <c r="K36" i="5"/>
  <c r="P34" i="5"/>
  <c r="O34" i="5"/>
  <c r="N34" i="5"/>
  <c r="M34" i="5"/>
  <c r="K34" i="5"/>
  <c r="P33" i="5"/>
  <c r="O33" i="5"/>
  <c r="N33" i="5"/>
  <c r="M33" i="5"/>
  <c r="K33" i="5"/>
  <c r="J31" i="5"/>
  <c r="P30" i="5"/>
  <c r="P29" i="5"/>
  <c r="Q28" i="5"/>
  <c r="P27" i="5"/>
  <c r="Q26" i="5"/>
  <c r="P24" i="5"/>
  <c r="J24" i="5"/>
  <c r="J21" i="5"/>
  <c r="X20" i="5"/>
  <c r="Q20" i="5"/>
  <c r="P19" i="5"/>
  <c r="O19" i="5"/>
  <c r="N19" i="5"/>
  <c r="M19" i="5"/>
  <c r="K176" i="5"/>
  <c r="Q18" i="5"/>
  <c r="X17" i="5"/>
  <c r="Q17" i="5"/>
  <c r="P16" i="5"/>
  <c r="Q15" i="5"/>
  <c r="P12" i="5"/>
  <c r="Q9" i="5"/>
  <c r="I117" i="4"/>
  <c r="I118" i="4" s="1"/>
  <c r="K111" i="4"/>
  <c r="K110" i="4"/>
  <c r="L95" i="4"/>
  <c r="J92" i="4"/>
  <c r="K91" i="4"/>
  <c r="J91" i="4"/>
  <c r="Q89" i="4"/>
  <c r="P89" i="4"/>
  <c r="Q87" i="4"/>
  <c r="P87" i="4"/>
  <c r="Q86" i="4"/>
  <c r="P86" i="4"/>
  <c r="Q84" i="4"/>
  <c r="P84" i="4"/>
  <c r="Q83" i="4"/>
  <c r="P83" i="4"/>
  <c r="Q81" i="4"/>
  <c r="P81" i="4"/>
  <c r="Q80" i="4"/>
  <c r="P80" i="4"/>
  <c r="Q78" i="4"/>
  <c r="P78" i="4"/>
  <c r="Q77" i="4"/>
  <c r="P77" i="4"/>
  <c r="O77" i="4"/>
  <c r="N77" i="4"/>
  <c r="M77" i="4"/>
  <c r="Q75" i="4"/>
  <c r="P75" i="4"/>
  <c r="Q74" i="4"/>
  <c r="P74" i="4"/>
  <c r="Q72" i="4"/>
  <c r="P72" i="4"/>
  <c r="Q71" i="4"/>
  <c r="P71" i="4"/>
  <c r="Q69" i="4"/>
  <c r="P69" i="4"/>
  <c r="Q68" i="4"/>
  <c r="P68" i="4"/>
  <c r="Q66" i="4"/>
  <c r="P66" i="4"/>
  <c r="Q65" i="4"/>
  <c r="P65" i="4"/>
  <c r="X63" i="4"/>
  <c r="Q63" i="4"/>
  <c r="P63" i="4"/>
  <c r="N63" i="4"/>
  <c r="M63" i="4"/>
  <c r="I63" i="4"/>
  <c r="O63" i="4" s="1"/>
  <c r="Q62" i="4"/>
  <c r="O62" i="4" s="1"/>
  <c r="P62" i="4"/>
  <c r="N62" i="4"/>
  <c r="M62" i="4"/>
  <c r="I62" i="4"/>
  <c r="Q55" i="4"/>
  <c r="K55" i="4"/>
  <c r="J53" i="4"/>
  <c r="I53" i="4"/>
  <c r="P52" i="4"/>
  <c r="O52" i="4"/>
  <c r="N52" i="4"/>
  <c r="M52" i="4"/>
  <c r="K52" i="4"/>
  <c r="P49" i="4"/>
  <c r="O49" i="4"/>
  <c r="N49" i="4"/>
  <c r="M49" i="4"/>
  <c r="K49" i="4"/>
  <c r="P47" i="4"/>
  <c r="O47" i="4"/>
  <c r="N47" i="4"/>
  <c r="M47" i="4"/>
  <c r="K47" i="4"/>
  <c r="P45" i="4"/>
  <c r="O45" i="4"/>
  <c r="N45" i="4"/>
  <c r="M45" i="4"/>
  <c r="K45" i="4"/>
  <c r="P43" i="4"/>
  <c r="O43" i="4"/>
  <c r="M43" i="4"/>
  <c r="H43" i="4"/>
  <c r="H53" i="4" s="1"/>
  <c r="P41" i="4"/>
  <c r="O41" i="4"/>
  <c r="N41" i="4"/>
  <c r="M41" i="4"/>
  <c r="K41" i="4"/>
  <c r="P40" i="4"/>
  <c r="O40" i="4"/>
  <c r="N40" i="4"/>
  <c r="M40" i="4"/>
  <c r="K40" i="4"/>
  <c r="P39" i="4"/>
  <c r="O39" i="4"/>
  <c r="N39" i="4"/>
  <c r="M39" i="4"/>
  <c r="K39" i="4"/>
  <c r="P38" i="4"/>
  <c r="O38" i="4"/>
  <c r="N38" i="4"/>
  <c r="M38" i="4"/>
  <c r="K38" i="4"/>
  <c r="P37" i="4"/>
  <c r="O37" i="4"/>
  <c r="N37" i="4"/>
  <c r="G37" i="4"/>
  <c r="K37" i="4" s="1"/>
  <c r="P36" i="4"/>
  <c r="O36" i="4"/>
  <c r="N36" i="4"/>
  <c r="M36" i="4"/>
  <c r="K36" i="4"/>
  <c r="P34" i="4"/>
  <c r="O34" i="4"/>
  <c r="N34" i="4"/>
  <c r="M34" i="4"/>
  <c r="K34" i="4"/>
  <c r="P33" i="4"/>
  <c r="O33" i="4"/>
  <c r="N33" i="4"/>
  <c r="M33" i="4"/>
  <c r="K33" i="4"/>
  <c r="J31" i="4"/>
  <c r="P30" i="4"/>
  <c r="P29" i="4"/>
  <c r="Q28" i="4"/>
  <c r="P27" i="4"/>
  <c r="Q26" i="4"/>
  <c r="P24" i="4"/>
  <c r="J24" i="4"/>
  <c r="J21" i="4"/>
  <c r="X20" i="4"/>
  <c r="X23" i="4" s="1"/>
  <c r="Q20" i="4"/>
  <c r="P19" i="4"/>
  <c r="O19" i="4"/>
  <c r="K113" i="4"/>
  <c r="Q18" i="4"/>
  <c r="Q17" i="4"/>
  <c r="P16" i="4"/>
  <c r="Q15" i="4"/>
  <c r="P12" i="4"/>
  <c r="Q9" i="4"/>
  <c r="K111" i="1"/>
  <c r="I87" i="3"/>
  <c r="H87" i="3"/>
  <c r="G87" i="3"/>
  <c r="I84" i="3"/>
  <c r="H84" i="3"/>
  <c r="G84" i="3"/>
  <c r="I81" i="3"/>
  <c r="H81" i="3"/>
  <c r="G81" i="3"/>
  <c r="I82" i="3"/>
  <c r="H82" i="3"/>
  <c r="N82" i="3" s="1"/>
  <c r="G82" i="3"/>
  <c r="M82" i="3" s="1"/>
  <c r="I72" i="3"/>
  <c r="H72" i="3"/>
  <c r="G72" i="3"/>
  <c r="I69" i="3"/>
  <c r="H69" i="3"/>
  <c r="G69" i="3"/>
  <c r="I66" i="3"/>
  <c r="H66" i="3"/>
  <c r="G66" i="3"/>
  <c r="I63" i="3"/>
  <c r="H63" i="3"/>
  <c r="G63" i="3"/>
  <c r="I30" i="3"/>
  <c r="H30" i="3"/>
  <c r="G30" i="3"/>
  <c r="I29" i="3"/>
  <c r="H29" i="3"/>
  <c r="G29" i="3"/>
  <c r="I28" i="3"/>
  <c r="H28" i="3"/>
  <c r="G28" i="3"/>
  <c r="I27" i="3"/>
  <c r="H27" i="3"/>
  <c r="G27" i="3"/>
  <c r="I26" i="3"/>
  <c r="H26" i="3"/>
  <c r="G26" i="3"/>
  <c r="I23" i="3"/>
  <c r="H23" i="3"/>
  <c r="G23" i="3"/>
  <c r="M19" i="3"/>
  <c r="N19" i="3"/>
  <c r="O19" i="3"/>
  <c r="G20" i="3"/>
  <c r="H20" i="3"/>
  <c r="I20" i="3"/>
  <c r="I18" i="3"/>
  <c r="H18" i="3"/>
  <c r="G18" i="3"/>
  <c r="I13" i="3"/>
  <c r="H13" i="3"/>
  <c r="G13" i="3"/>
  <c r="I12" i="3"/>
  <c r="H12" i="3"/>
  <c r="G12" i="3"/>
  <c r="I10" i="3"/>
  <c r="H10" i="3"/>
  <c r="G10" i="3"/>
  <c r="I9" i="3"/>
  <c r="H9" i="3"/>
  <c r="G9" i="3"/>
  <c r="I114" i="3"/>
  <c r="H114" i="3"/>
  <c r="G114" i="3"/>
  <c r="I113" i="3"/>
  <c r="I112" i="3"/>
  <c r="H112" i="3"/>
  <c r="G112" i="3"/>
  <c r="K110" i="3"/>
  <c r="K109" i="3"/>
  <c r="K108" i="3"/>
  <c r="L93" i="3"/>
  <c r="J90" i="3"/>
  <c r="K89" i="3"/>
  <c r="J89" i="3"/>
  <c r="Q87" i="3"/>
  <c r="P87" i="3"/>
  <c r="Q85" i="3"/>
  <c r="P85" i="3"/>
  <c r="Q84" i="3"/>
  <c r="P84" i="3"/>
  <c r="Q82" i="3"/>
  <c r="P82" i="3"/>
  <c r="Q81" i="3"/>
  <c r="P81" i="3"/>
  <c r="Q79" i="3"/>
  <c r="P79" i="3"/>
  <c r="Q78" i="3"/>
  <c r="P78" i="3"/>
  <c r="Q76" i="3"/>
  <c r="P76" i="3"/>
  <c r="Q75" i="3"/>
  <c r="P75" i="3"/>
  <c r="Q73" i="3"/>
  <c r="P73" i="3"/>
  <c r="Q72" i="3"/>
  <c r="P72" i="3"/>
  <c r="Q70" i="3"/>
  <c r="P70" i="3"/>
  <c r="Q69" i="3"/>
  <c r="P69" i="3"/>
  <c r="Q67" i="3"/>
  <c r="P67" i="3"/>
  <c r="Q66" i="3"/>
  <c r="P66" i="3"/>
  <c r="Q64" i="3"/>
  <c r="P64" i="3"/>
  <c r="Q63" i="3"/>
  <c r="P63" i="3"/>
  <c r="X61" i="3"/>
  <c r="Q61" i="3"/>
  <c r="P61" i="3"/>
  <c r="P90" i="3" s="1"/>
  <c r="N61" i="3"/>
  <c r="M61" i="3"/>
  <c r="I61" i="3"/>
  <c r="O61" i="3" s="1"/>
  <c r="Q60" i="3"/>
  <c r="P60" i="3"/>
  <c r="P89" i="3" s="1"/>
  <c r="O60" i="3"/>
  <c r="N60" i="3"/>
  <c r="M60" i="3"/>
  <c r="I60" i="3"/>
  <c r="Q53" i="3"/>
  <c r="K53" i="3"/>
  <c r="J51" i="3"/>
  <c r="I51" i="3"/>
  <c r="H51" i="3"/>
  <c r="P50" i="3"/>
  <c r="O50" i="3"/>
  <c r="N50" i="3"/>
  <c r="Q50" i="3" s="1"/>
  <c r="M50" i="3"/>
  <c r="K50" i="3"/>
  <c r="G50" i="3"/>
  <c r="P47" i="3"/>
  <c r="O47" i="3"/>
  <c r="N47" i="3"/>
  <c r="Q47" i="3" s="1"/>
  <c r="M47" i="3"/>
  <c r="K47" i="3"/>
  <c r="P45" i="3"/>
  <c r="O45" i="3"/>
  <c r="N45" i="3"/>
  <c r="M45" i="3"/>
  <c r="Q45" i="3" s="1"/>
  <c r="K45" i="3"/>
  <c r="P43" i="3"/>
  <c r="O43" i="3"/>
  <c r="N43" i="3"/>
  <c r="Q43" i="3" s="1"/>
  <c r="M43" i="3"/>
  <c r="K43" i="3"/>
  <c r="P41" i="3"/>
  <c r="O41" i="3"/>
  <c r="M41" i="3"/>
  <c r="H41" i="3"/>
  <c r="K41" i="3" s="1"/>
  <c r="P39" i="3"/>
  <c r="O39" i="3"/>
  <c r="Q39" i="3" s="1"/>
  <c r="N39" i="3"/>
  <c r="M39" i="3"/>
  <c r="G39" i="3"/>
  <c r="G51" i="3" s="1"/>
  <c r="K51" i="3" s="1"/>
  <c r="P38" i="3"/>
  <c r="O38" i="3"/>
  <c r="N38" i="3"/>
  <c r="M38" i="3"/>
  <c r="Q38" i="3" s="1"/>
  <c r="K38" i="3"/>
  <c r="P37" i="3"/>
  <c r="Q37" i="3" s="1"/>
  <c r="O37" i="3"/>
  <c r="N37" i="3"/>
  <c r="M37" i="3"/>
  <c r="K37" i="3"/>
  <c r="P36" i="3"/>
  <c r="O36" i="3"/>
  <c r="N36" i="3"/>
  <c r="M36" i="3"/>
  <c r="Q36" i="3" s="1"/>
  <c r="K36" i="3"/>
  <c r="P34" i="3"/>
  <c r="P51" i="3" s="1"/>
  <c r="O34" i="3"/>
  <c r="N34" i="3"/>
  <c r="M34" i="3"/>
  <c r="K34" i="3"/>
  <c r="P33" i="3"/>
  <c r="O33" i="3"/>
  <c r="O51" i="3" s="1"/>
  <c r="N33" i="3"/>
  <c r="M33" i="3"/>
  <c r="M51" i="3" s="1"/>
  <c r="K33" i="3"/>
  <c r="P31" i="3"/>
  <c r="J31" i="3"/>
  <c r="P30" i="3"/>
  <c r="P29" i="3"/>
  <c r="Q28" i="3"/>
  <c r="P27" i="3"/>
  <c r="Q26" i="3"/>
  <c r="P24" i="3"/>
  <c r="J24" i="3"/>
  <c r="J56" i="3" s="1"/>
  <c r="J93" i="3" s="1"/>
  <c r="P21" i="3"/>
  <c r="P56" i="3" s="1"/>
  <c r="P93" i="3" s="1"/>
  <c r="J21" i="3"/>
  <c r="X20" i="3"/>
  <c r="X23" i="3" s="1"/>
  <c r="Q23" i="3" s="1"/>
  <c r="Q20" i="3"/>
  <c r="P19" i="3"/>
  <c r="Q18" i="3"/>
  <c r="X17" i="3"/>
  <c r="Q17" i="3"/>
  <c r="K17" i="3"/>
  <c r="P16" i="3"/>
  <c r="O16" i="3"/>
  <c r="N16" i="3"/>
  <c r="Q16" i="3" s="1"/>
  <c r="M16" i="3"/>
  <c r="K16" i="3"/>
  <c r="Q15" i="3"/>
  <c r="K15" i="3"/>
  <c r="K21" i="3" s="1"/>
  <c r="P12" i="3"/>
  <c r="Q9" i="3"/>
  <c r="I98" i="2"/>
  <c r="H98" i="2"/>
  <c r="G98" i="2"/>
  <c r="H97" i="2"/>
  <c r="G97" i="2"/>
  <c r="I97" i="2"/>
  <c r="I56" i="2"/>
  <c r="I93" i="2"/>
  <c r="G50" i="2"/>
  <c r="K50" i="2" s="1"/>
  <c r="K16" i="2"/>
  <c r="K17" i="2"/>
  <c r="K15" i="2"/>
  <c r="K21" i="2" s="1"/>
  <c r="I100" i="2"/>
  <c r="H100" i="2"/>
  <c r="I99" i="2"/>
  <c r="I115" i="2"/>
  <c r="H99" i="2"/>
  <c r="G99" i="2"/>
  <c r="H114" i="2"/>
  <c r="H115" i="2" s="1"/>
  <c r="I113" i="2"/>
  <c r="I112" i="2"/>
  <c r="I114" i="2" s="1"/>
  <c r="I103" i="2" s="1"/>
  <c r="H112" i="2"/>
  <c r="G112" i="2"/>
  <c r="G114" i="2" s="1"/>
  <c r="K110" i="2"/>
  <c r="K109" i="2"/>
  <c r="K108" i="2"/>
  <c r="L93" i="2"/>
  <c r="J90" i="2"/>
  <c r="K89" i="2"/>
  <c r="J89" i="2"/>
  <c r="Q87" i="2"/>
  <c r="P87" i="2"/>
  <c r="Q85" i="2"/>
  <c r="P85" i="2"/>
  <c r="Q84" i="2"/>
  <c r="P84" i="2"/>
  <c r="Q82" i="2"/>
  <c r="P82" i="2"/>
  <c r="N82" i="2"/>
  <c r="M82" i="2"/>
  <c r="Q81" i="2"/>
  <c r="P81" i="2"/>
  <c r="Q79" i="2"/>
  <c r="P79" i="2"/>
  <c r="Q78" i="2"/>
  <c r="P78" i="2"/>
  <c r="Q76" i="2"/>
  <c r="P76" i="2"/>
  <c r="Q75" i="2"/>
  <c r="P75" i="2"/>
  <c r="Q73" i="2"/>
  <c r="P73" i="2"/>
  <c r="Q72" i="2"/>
  <c r="P72" i="2"/>
  <c r="Q70" i="2"/>
  <c r="P70" i="2"/>
  <c r="Q69" i="2"/>
  <c r="P69" i="2"/>
  <c r="Q67" i="2"/>
  <c r="P67" i="2"/>
  <c r="Q66" i="2"/>
  <c r="P66" i="2"/>
  <c r="P89" i="2" s="1"/>
  <c r="Q64" i="2"/>
  <c r="P64" i="2"/>
  <c r="P90" i="2" s="1"/>
  <c r="Q63" i="2"/>
  <c r="P63" i="2"/>
  <c r="X61" i="2"/>
  <c r="Q61" i="2"/>
  <c r="P61" i="2"/>
  <c r="N61" i="2"/>
  <c r="M61" i="2"/>
  <c r="I61" i="2"/>
  <c r="O61" i="2" s="1"/>
  <c r="Q60" i="2"/>
  <c r="P60" i="2"/>
  <c r="O60" i="2"/>
  <c r="N60" i="2"/>
  <c r="M60" i="2"/>
  <c r="I60" i="2"/>
  <c r="Q53" i="2"/>
  <c r="K53" i="2"/>
  <c r="J51" i="2"/>
  <c r="I51" i="2"/>
  <c r="H51" i="2"/>
  <c r="G51" i="2"/>
  <c r="G100" i="2" s="1"/>
  <c r="J100" i="2" s="1"/>
  <c r="H101" i="2" s="1"/>
  <c r="P50" i="2"/>
  <c r="O50" i="2"/>
  <c r="N50" i="2"/>
  <c r="M50" i="2"/>
  <c r="P47" i="2"/>
  <c r="O47" i="2"/>
  <c r="N47" i="2"/>
  <c r="M47" i="2"/>
  <c r="Q47" i="2" s="1"/>
  <c r="K47" i="2"/>
  <c r="Q45" i="2"/>
  <c r="P45" i="2"/>
  <c r="O45" i="2"/>
  <c r="N45" i="2"/>
  <c r="M45" i="2"/>
  <c r="K45" i="2"/>
  <c r="P43" i="2"/>
  <c r="O43" i="2"/>
  <c r="N43" i="2"/>
  <c r="M43" i="2"/>
  <c r="Q43" i="2" s="1"/>
  <c r="K43" i="2"/>
  <c r="P41" i="2"/>
  <c r="O41" i="2"/>
  <c r="M41" i="2"/>
  <c r="H41" i="2"/>
  <c r="N41" i="2" s="1"/>
  <c r="Q41" i="2" s="1"/>
  <c r="P39" i="2"/>
  <c r="O39" i="2"/>
  <c r="N39" i="2"/>
  <c r="Q39" i="2" s="1"/>
  <c r="M39" i="2"/>
  <c r="K39" i="2"/>
  <c r="G39" i="2"/>
  <c r="Q38" i="2"/>
  <c r="P38" i="2"/>
  <c r="O38" i="2"/>
  <c r="N38" i="2"/>
  <c r="M38" i="2"/>
  <c r="K38" i="2"/>
  <c r="P37" i="2"/>
  <c r="O37" i="2"/>
  <c r="N37" i="2"/>
  <c r="M37" i="2"/>
  <c r="Q37" i="2" s="1"/>
  <c r="K37" i="2"/>
  <c r="Q36" i="2"/>
  <c r="P36" i="2"/>
  <c r="O36" i="2"/>
  <c r="N36" i="2"/>
  <c r="M36" i="2"/>
  <c r="K36" i="2"/>
  <c r="P34" i="2"/>
  <c r="O34" i="2"/>
  <c r="N34" i="2"/>
  <c r="M34" i="2"/>
  <c r="Q34" i="2" s="1"/>
  <c r="K34" i="2"/>
  <c r="Q33" i="2"/>
  <c r="P33" i="2"/>
  <c r="P51" i="2" s="1"/>
  <c r="O33" i="2"/>
  <c r="O51" i="2" s="1"/>
  <c r="N33" i="2"/>
  <c r="M33" i="2"/>
  <c r="M51" i="2" s="1"/>
  <c r="K33" i="2"/>
  <c r="J31" i="2"/>
  <c r="P30" i="2"/>
  <c r="P31" i="2" s="1"/>
  <c r="P29" i="2"/>
  <c r="Q28" i="2"/>
  <c r="P27" i="2"/>
  <c r="Q26" i="2"/>
  <c r="P24" i="2"/>
  <c r="J24" i="2"/>
  <c r="X23" i="2"/>
  <c r="Q23" i="2" s="1"/>
  <c r="J21" i="2"/>
  <c r="J56" i="2" s="1"/>
  <c r="J93" i="2" s="1"/>
  <c r="X20" i="2"/>
  <c r="Q20" i="2"/>
  <c r="P19" i="2"/>
  <c r="O19" i="2"/>
  <c r="N19" i="2"/>
  <c r="Q19" i="2" s="1"/>
  <c r="M19" i="2"/>
  <c r="Q18" i="2"/>
  <c r="X17" i="2"/>
  <c r="Q17" i="2"/>
  <c r="P16" i="2"/>
  <c r="Q15" i="2"/>
  <c r="P12" i="2"/>
  <c r="P21" i="2" s="1"/>
  <c r="Q9" i="2"/>
  <c r="X23" i="5" l="1"/>
  <c r="Q23" i="5" s="1"/>
  <c r="Q116" i="5"/>
  <c r="K154" i="5"/>
  <c r="K174" i="5"/>
  <c r="I180" i="5" s="1"/>
  <c r="I181" i="5" s="1"/>
  <c r="G180" i="5"/>
  <c r="K175" i="5"/>
  <c r="K177" i="5"/>
  <c r="H182" i="5" s="1"/>
  <c r="H53" i="5"/>
  <c r="K53" i="5" s="1"/>
  <c r="P21" i="5"/>
  <c r="P31" i="5"/>
  <c r="N43" i="4"/>
  <c r="Q38" i="4"/>
  <c r="J58" i="5"/>
  <c r="J158" i="5" s="1"/>
  <c r="Q36" i="5"/>
  <c r="Q39" i="5"/>
  <c r="Q152" i="5"/>
  <c r="Q154" i="5" s="1"/>
  <c r="P154" i="5"/>
  <c r="O53" i="5"/>
  <c r="Q47" i="5"/>
  <c r="Q33" i="5"/>
  <c r="Q19" i="5"/>
  <c r="N43" i="5"/>
  <c r="Q43" i="5" s="1"/>
  <c r="Q34" i="5"/>
  <c r="P155" i="5"/>
  <c r="Q52" i="5"/>
  <c r="Q40" i="5"/>
  <c r="Q41" i="5"/>
  <c r="Q45" i="5"/>
  <c r="Q38" i="5"/>
  <c r="O63" i="5"/>
  <c r="K37" i="5"/>
  <c r="M37" i="5"/>
  <c r="Q37" i="5" s="1"/>
  <c r="P53" i="5"/>
  <c r="Q52" i="4"/>
  <c r="Q34" i="4"/>
  <c r="J58" i="4"/>
  <c r="J95" i="4" s="1"/>
  <c r="Q49" i="4"/>
  <c r="P21" i="4"/>
  <c r="Q36" i="4"/>
  <c r="Q33" i="4"/>
  <c r="O53" i="4"/>
  <c r="Q40" i="4"/>
  <c r="Q43" i="4"/>
  <c r="N53" i="4"/>
  <c r="P53" i="4"/>
  <c r="P31" i="4"/>
  <c r="Q45" i="4"/>
  <c r="P91" i="4"/>
  <c r="Q41" i="4"/>
  <c r="Q39" i="4"/>
  <c r="K43" i="4"/>
  <c r="Q47" i="4"/>
  <c r="P92" i="4"/>
  <c r="M37" i="4"/>
  <c r="Q37" i="4" s="1"/>
  <c r="G53" i="4"/>
  <c r="G117" i="4" s="1"/>
  <c r="Q19" i="3"/>
  <c r="N23" i="3"/>
  <c r="N24" i="3" s="1"/>
  <c r="N41" i="3"/>
  <c r="Q41" i="3" s="1"/>
  <c r="Q34" i="3"/>
  <c r="Q33" i="3"/>
  <c r="K39" i="3"/>
  <c r="Q50" i="2"/>
  <c r="K51" i="2"/>
  <c r="H81" i="2"/>
  <c r="H12" i="2"/>
  <c r="H30" i="2"/>
  <c r="H87" i="2"/>
  <c r="H69" i="2"/>
  <c r="H28" i="2"/>
  <c r="H23" i="2"/>
  <c r="H18" i="2"/>
  <c r="H10" i="2"/>
  <c r="H27" i="2"/>
  <c r="H63" i="2"/>
  <c r="H84" i="2"/>
  <c r="H66" i="2"/>
  <c r="H29" i="2"/>
  <c r="H20" i="2"/>
  <c r="H9" i="2"/>
  <c r="H13" i="2"/>
  <c r="H72" i="2"/>
  <c r="H26" i="2"/>
  <c r="I101" i="2"/>
  <c r="G101" i="2"/>
  <c r="P56" i="2"/>
  <c r="P93" i="2" s="1"/>
  <c r="I78" i="2"/>
  <c r="O78" i="2" s="1"/>
  <c r="I73" i="2"/>
  <c r="O73" i="2" s="1"/>
  <c r="I64" i="2"/>
  <c r="O66" i="2"/>
  <c r="I82" i="2"/>
  <c r="O82" i="2" s="1"/>
  <c r="O63" i="2"/>
  <c r="I76" i="2"/>
  <c r="O76" i="2" s="1"/>
  <c r="I79" i="2"/>
  <c r="O79" i="2" s="1"/>
  <c r="I75" i="2"/>
  <c r="O75" i="2" s="1"/>
  <c r="I70" i="2"/>
  <c r="O70" i="2" s="1"/>
  <c r="I67" i="2"/>
  <c r="O67" i="2" s="1"/>
  <c r="I85" i="2"/>
  <c r="O85" i="2" s="1"/>
  <c r="N51" i="2"/>
  <c r="Q51" i="2" s="1"/>
  <c r="O23" i="2"/>
  <c r="O24" i="2" s="1"/>
  <c r="N23" i="2"/>
  <c r="N24" i="2" s="1"/>
  <c r="G115" i="2"/>
  <c r="G103" i="2" s="1"/>
  <c r="H103" i="2"/>
  <c r="K41" i="2"/>
  <c r="H114" i="1"/>
  <c r="H116" i="1" s="1"/>
  <c r="G114" i="1"/>
  <c r="K109" i="1"/>
  <c r="K108" i="1"/>
  <c r="L93" i="1"/>
  <c r="J90" i="1"/>
  <c r="K89" i="1"/>
  <c r="J89" i="1"/>
  <c r="Q87" i="1"/>
  <c r="P87" i="1"/>
  <c r="Q85" i="1"/>
  <c r="P85" i="1"/>
  <c r="Q84" i="1"/>
  <c r="P84" i="1"/>
  <c r="Q82" i="1"/>
  <c r="P82" i="1"/>
  <c r="N82" i="1"/>
  <c r="M82" i="1"/>
  <c r="Q81" i="1"/>
  <c r="P81" i="1"/>
  <c r="Q79" i="1"/>
  <c r="P79" i="1"/>
  <c r="Q78" i="1"/>
  <c r="P78" i="1"/>
  <c r="Q76" i="1"/>
  <c r="P76" i="1"/>
  <c r="Q75" i="1"/>
  <c r="P75" i="1"/>
  <c r="Q73" i="1"/>
  <c r="P73" i="1"/>
  <c r="Q72" i="1"/>
  <c r="P72" i="1"/>
  <c r="Q70" i="1"/>
  <c r="P70" i="1"/>
  <c r="Q69" i="1"/>
  <c r="P69" i="1"/>
  <c r="Q67" i="1"/>
  <c r="P67" i="1"/>
  <c r="Q66" i="1"/>
  <c r="P66" i="1"/>
  <c r="Q64" i="1"/>
  <c r="P64" i="1"/>
  <c r="P63" i="1"/>
  <c r="X61" i="1"/>
  <c r="Q61" i="1"/>
  <c r="P61" i="1"/>
  <c r="N61" i="1"/>
  <c r="M61" i="1"/>
  <c r="I61" i="1"/>
  <c r="O61" i="1" s="1"/>
  <c r="Q60" i="1"/>
  <c r="O60" i="1" s="1"/>
  <c r="P60" i="1"/>
  <c r="N60" i="1"/>
  <c r="M60" i="1"/>
  <c r="I60" i="1"/>
  <c r="Q53" i="1"/>
  <c r="K53" i="1"/>
  <c r="J51" i="1"/>
  <c r="I51" i="1"/>
  <c r="P50" i="1"/>
  <c r="O50" i="1"/>
  <c r="N50" i="1"/>
  <c r="M50" i="1"/>
  <c r="K50" i="1"/>
  <c r="P47" i="1"/>
  <c r="O47" i="1"/>
  <c r="N47" i="1"/>
  <c r="M47" i="1"/>
  <c r="K47" i="1"/>
  <c r="P45" i="1"/>
  <c r="O45" i="1"/>
  <c r="N45" i="1"/>
  <c r="M45" i="1"/>
  <c r="K45" i="1"/>
  <c r="P43" i="1"/>
  <c r="O43" i="1"/>
  <c r="N43" i="1"/>
  <c r="M43" i="1"/>
  <c r="K43" i="1"/>
  <c r="P41" i="1"/>
  <c r="O41" i="1"/>
  <c r="M41" i="1"/>
  <c r="H41" i="1"/>
  <c r="N41" i="1" s="1"/>
  <c r="P39" i="1"/>
  <c r="O39" i="1"/>
  <c r="N39" i="1"/>
  <c r="G39" i="1"/>
  <c r="K39" i="1" s="1"/>
  <c r="P38" i="1"/>
  <c r="O38" i="1"/>
  <c r="N38" i="1"/>
  <c r="M38" i="1"/>
  <c r="K38" i="1"/>
  <c r="P37" i="1"/>
  <c r="O37" i="1"/>
  <c r="N37" i="1"/>
  <c r="M37" i="1"/>
  <c r="Q37" i="1" s="1"/>
  <c r="K37" i="1"/>
  <c r="P36" i="1"/>
  <c r="O36" i="1"/>
  <c r="N36" i="1"/>
  <c r="M36" i="1"/>
  <c r="K36" i="1"/>
  <c r="P34" i="1"/>
  <c r="O34" i="1"/>
  <c r="N34" i="1"/>
  <c r="M34" i="1"/>
  <c r="Q34" i="1" s="1"/>
  <c r="K34" i="1"/>
  <c r="P33" i="1"/>
  <c r="O33" i="1"/>
  <c r="N33" i="1"/>
  <c r="M33" i="1"/>
  <c r="K33" i="1"/>
  <c r="J31" i="1"/>
  <c r="P30" i="1"/>
  <c r="P29" i="1"/>
  <c r="Q28" i="1"/>
  <c r="P27" i="1"/>
  <c r="Q26" i="1"/>
  <c r="P24" i="1"/>
  <c r="J24" i="1"/>
  <c r="X23" i="1"/>
  <c r="Q23" i="1" s="1"/>
  <c r="K21" i="1"/>
  <c r="J21" i="1"/>
  <c r="X20" i="1"/>
  <c r="Q20" i="1"/>
  <c r="P19" i="1"/>
  <c r="O19" i="1"/>
  <c r="N19" i="1"/>
  <c r="M19" i="1"/>
  <c r="Q18" i="1"/>
  <c r="X17" i="1"/>
  <c r="Q17" i="1"/>
  <c r="P16" i="1"/>
  <c r="Q15" i="1"/>
  <c r="P12" i="1"/>
  <c r="Q9" i="1"/>
  <c r="Q47" i="1" l="1"/>
  <c r="Q41" i="1"/>
  <c r="G116" i="1"/>
  <c r="P58" i="5"/>
  <c r="I182" i="5"/>
  <c r="P58" i="4"/>
  <c r="P95" i="4" s="1"/>
  <c r="Q50" i="1"/>
  <c r="Q45" i="1"/>
  <c r="H51" i="1"/>
  <c r="Q19" i="1"/>
  <c r="P31" i="1"/>
  <c r="P56" i="1" s="1"/>
  <c r="Q38" i="1"/>
  <c r="Q43" i="1"/>
  <c r="J56" i="1"/>
  <c r="J93" i="1" s="1"/>
  <c r="Q36" i="1"/>
  <c r="K41" i="1"/>
  <c r="Q33" i="1"/>
  <c r="P90" i="1"/>
  <c r="P158" i="5"/>
  <c r="N53" i="5"/>
  <c r="M53" i="5"/>
  <c r="Q53" i="5" s="1"/>
  <c r="K53" i="4"/>
  <c r="K112" i="4"/>
  <c r="K114" i="4" s="1"/>
  <c r="I119" i="4" s="1"/>
  <c r="I105" i="4" s="1"/>
  <c r="M53" i="4"/>
  <c r="Q53" i="4" s="1"/>
  <c r="N51" i="1"/>
  <c r="O51" i="1"/>
  <c r="P89" i="1"/>
  <c r="P51" i="1"/>
  <c r="P21" i="1"/>
  <c r="I79" i="3"/>
  <c r="O79" i="3" s="1"/>
  <c r="I75" i="3"/>
  <c r="O75" i="3" s="1"/>
  <c r="I70" i="3"/>
  <c r="O70" i="3" s="1"/>
  <c r="O63" i="3"/>
  <c r="I76" i="3"/>
  <c r="O76" i="3" s="1"/>
  <c r="I67" i="3"/>
  <c r="O67" i="3" s="1"/>
  <c r="I85" i="3"/>
  <c r="O85" i="3" s="1"/>
  <c r="O66" i="3"/>
  <c r="I78" i="3"/>
  <c r="O78" i="3" s="1"/>
  <c r="I73" i="3"/>
  <c r="O73" i="3" s="1"/>
  <c r="I64" i="3"/>
  <c r="O82" i="3"/>
  <c r="H79" i="3"/>
  <c r="N79" i="3" s="1"/>
  <c r="H75" i="3"/>
  <c r="N75" i="3" s="1"/>
  <c r="H70" i="3"/>
  <c r="N70" i="3" s="1"/>
  <c r="H76" i="3"/>
  <c r="N76" i="3" s="1"/>
  <c r="H67" i="3"/>
  <c r="N67" i="3" s="1"/>
  <c r="H85" i="3"/>
  <c r="N85" i="3" s="1"/>
  <c r="H78" i="3"/>
  <c r="N78" i="3" s="1"/>
  <c r="H73" i="3"/>
  <c r="N73" i="3" s="1"/>
  <c r="H64" i="3"/>
  <c r="N63" i="3"/>
  <c r="N66" i="3"/>
  <c r="N51" i="3"/>
  <c r="Q51" i="3" s="1"/>
  <c r="I24" i="3"/>
  <c r="O27" i="3"/>
  <c r="O81" i="3"/>
  <c r="O72" i="3"/>
  <c r="O30" i="3"/>
  <c r="I31" i="3"/>
  <c r="O13" i="3"/>
  <c r="O29" i="3"/>
  <c r="O69" i="3"/>
  <c r="O10" i="3"/>
  <c r="O87" i="3"/>
  <c r="O84" i="3"/>
  <c r="H24" i="3"/>
  <c r="N84" i="3"/>
  <c r="N81" i="3"/>
  <c r="N72" i="3"/>
  <c r="N27" i="3"/>
  <c r="N29" i="3"/>
  <c r="N30" i="3"/>
  <c r="N13" i="3"/>
  <c r="N69" i="3"/>
  <c r="N10" i="3"/>
  <c r="N87" i="3"/>
  <c r="G79" i="3"/>
  <c r="M79" i="3" s="1"/>
  <c r="G70" i="3"/>
  <c r="M70" i="3" s="1"/>
  <c r="G75" i="3"/>
  <c r="M75" i="3" s="1"/>
  <c r="G76" i="3"/>
  <c r="M76" i="3" s="1"/>
  <c r="G67" i="3"/>
  <c r="M67" i="3" s="1"/>
  <c r="M63" i="3"/>
  <c r="G85" i="3"/>
  <c r="M85" i="3" s="1"/>
  <c r="G78" i="3"/>
  <c r="M78" i="3" s="1"/>
  <c r="G73" i="3"/>
  <c r="M73" i="3" s="1"/>
  <c r="G64" i="3"/>
  <c r="M66" i="3"/>
  <c r="M23" i="3"/>
  <c r="M24" i="3" s="1"/>
  <c r="G24" i="3"/>
  <c r="M87" i="3"/>
  <c r="M29" i="3"/>
  <c r="M12" i="3"/>
  <c r="M84" i="3"/>
  <c r="M27" i="3"/>
  <c r="M81" i="3"/>
  <c r="M72" i="3"/>
  <c r="M13" i="3"/>
  <c r="M30" i="3"/>
  <c r="M69" i="3"/>
  <c r="M10" i="3"/>
  <c r="O23" i="3"/>
  <c r="O24" i="3" s="1"/>
  <c r="G72" i="2"/>
  <c r="M72" i="2" s="1"/>
  <c r="G26" i="2"/>
  <c r="G12" i="2"/>
  <c r="G28" i="2"/>
  <c r="G18" i="2"/>
  <c r="G66" i="2"/>
  <c r="G20" i="2"/>
  <c r="G87" i="2"/>
  <c r="M87" i="2" s="1"/>
  <c r="G69" i="2"/>
  <c r="M69" i="2" s="1"/>
  <c r="G23" i="2"/>
  <c r="G10" i="2"/>
  <c r="M10" i="2" s="1"/>
  <c r="G29" i="2"/>
  <c r="M29" i="2" s="1"/>
  <c r="G9" i="2"/>
  <c r="G27" i="2"/>
  <c r="M27" i="2" s="1"/>
  <c r="G84" i="2"/>
  <c r="G13" i="2"/>
  <c r="G30" i="2"/>
  <c r="M30" i="2" s="1"/>
  <c r="M16" i="2"/>
  <c r="G81" i="2"/>
  <c r="G63" i="2"/>
  <c r="I27" i="2"/>
  <c r="O27" i="2" s="1"/>
  <c r="I29" i="2"/>
  <c r="O29" i="2" s="1"/>
  <c r="I72" i="2"/>
  <c r="O72" i="2" s="1"/>
  <c r="I87" i="2"/>
  <c r="O87" i="2" s="1"/>
  <c r="I69" i="2"/>
  <c r="O69" i="2" s="1"/>
  <c r="I23" i="2"/>
  <c r="I24" i="2" s="1"/>
  <c r="I10" i="2"/>
  <c r="O10" i="2" s="1"/>
  <c r="I28" i="2"/>
  <c r="I18" i="2"/>
  <c r="I26" i="2"/>
  <c r="I84" i="2"/>
  <c r="O84" i="2" s="1"/>
  <c r="I66" i="2"/>
  <c r="I20" i="2"/>
  <c r="I9" i="2"/>
  <c r="I81" i="2"/>
  <c r="O81" i="2" s="1"/>
  <c r="I63" i="2"/>
  <c r="I13" i="2"/>
  <c r="O13" i="2" s="1"/>
  <c r="I30" i="2"/>
  <c r="O30" i="2" s="1"/>
  <c r="O16" i="2"/>
  <c r="I12" i="2"/>
  <c r="O12" i="2" s="1"/>
  <c r="M23" i="2"/>
  <c r="M24" i="2" s="1"/>
  <c r="Q24" i="2" s="1"/>
  <c r="H85" i="2"/>
  <c r="N85" i="2" s="1"/>
  <c r="H78" i="2"/>
  <c r="N78" i="2" s="1"/>
  <c r="H73" i="2"/>
  <c r="N73" i="2" s="1"/>
  <c r="N69" i="2"/>
  <c r="H64" i="2"/>
  <c r="N66" i="2"/>
  <c r="N87" i="2"/>
  <c r="H24" i="2"/>
  <c r="H79" i="2"/>
  <c r="N79" i="2" s="1"/>
  <c r="H75" i="2"/>
  <c r="N75" i="2" s="1"/>
  <c r="H70" i="2"/>
  <c r="N70" i="2" s="1"/>
  <c r="N13" i="2"/>
  <c r="N16" i="2"/>
  <c r="N63" i="2"/>
  <c r="N29" i="2"/>
  <c r="N27" i="2"/>
  <c r="N10" i="2"/>
  <c r="N84" i="2"/>
  <c r="N81" i="2"/>
  <c r="H76" i="2"/>
  <c r="N76" i="2" s="1"/>
  <c r="N72" i="2"/>
  <c r="H67" i="2"/>
  <c r="N67" i="2" s="1"/>
  <c r="N30" i="2"/>
  <c r="I90" i="2"/>
  <c r="O64" i="2"/>
  <c r="O90" i="2" s="1"/>
  <c r="G85" i="2"/>
  <c r="M85" i="2" s="1"/>
  <c r="G78" i="2"/>
  <c r="M78" i="2" s="1"/>
  <c r="G73" i="2"/>
  <c r="M73" i="2" s="1"/>
  <c r="G64" i="2"/>
  <c r="M66" i="2"/>
  <c r="G24" i="2"/>
  <c r="M13" i="2"/>
  <c r="G79" i="2"/>
  <c r="M79" i="2" s="1"/>
  <c r="G75" i="2"/>
  <c r="M75" i="2" s="1"/>
  <c r="G70" i="2"/>
  <c r="M70" i="2" s="1"/>
  <c r="M63" i="2"/>
  <c r="M84" i="2"/>
  <c r="M81" i="2"/>
  <c r="G76" i="2"/>
  <c r="M76" i="2" s="1"/>
  <c r="G67" i="2"/>
  <c r="M67" i="2" s="1"/>
  <c r="M39" i="1"/>
  <c r="Q39" i="1" s="1"/>
  <c r="G51" i="1"/>
  <c r="G115" i="1" s="1"/>
  <c r="P93" i="1" l="1"/>
  <c r="I66" i="4"/>
  <c r="O66" i="4" s="1"/>
  <c r="I13" i="4"/>
  <c r="I15" i="4"/>
  <c r="I10" i="4"/>
  <c r="O10" i="4" s="1"/>
  <c r="I17" i="4"/>
  <c r="I16" i="4"/>
  <c r="O16" i="4" s="1"/>
  <c r="K51" i="1"/>
  <c r="K110" i="1"/>
  <c r="K112" i="1" s="1"/>
  <c r="I73" i="4"/>
  <c r="I27" i="4"/>
  <c r="O27" i="4" s="1"/>
  <c r="I74" i="4"/>
  <c r="O74" i="4" s="1"/>
  <c r="I12" i="4"/>
  <c r="I28" i="4"/>
  <c r="I70" i="4"/>
  <c r="I69" i="4"/>
  <c r="O69" i="4" s="1"/>
  <c r="I65" i="4"/>
  <c r="O68" i="4"/>
  <c r="I26" i="4"/>
  <c r="I72" i="4"/>
  <c r="O72" i="4" s="1"/>
  <c r="I87" i="4"/>
  <c r="O87" i="4" s="1"/>
  <c r="I81" i="4"/>
  <c r="O81" i="4" s="1"/>
  <c r="I85" i="4"/>
  <c r="I86" i="4"/>
  <c r="O86" i="4" s="1"/>
  <c r="O13" i="4"/>
  <c r="O65" i="4"/>
  <c r="I30" i="4"/>
  <c r="O30" i="4" s="1"/>
  <c r="I18" i="4"/>
  <c r="I83" i="4"/>
  <c r="O83" i="4" s="1"/>
  <c r="I20" i="4"/>
  <c r="I88" i="4"/>
  <c r="I29" i="4"/>
  <c r="O29" i="4" s="1"/>
  <c r="I84" i="4"/>
  <c r="O84" i="4" s="1"/>
  <c r="I9" i="4"/>
  <c r="I82" i="4"/>
  <c r="I71" i="4"/>
  <c r="O71" i="4" s="1"/>
  <c r="I75" i="4"/>
  <c r="O75" i="4" s="1"/>
  <c r="I80" i="4"/>
  <c r="O80" i="4" s="1"/>
  <c r="I68" i="4"/>
  <c r="I78" i="4"/>
  <c r="O78" i="4" s="1"/>
  <c r="I89" i="4"/>
  <c r="O89" i="4" s="1"/>
  <c r="I67" i="4"/>
  <c r="Q10" i="3"/>
  <c r="H31" i="3"/>
  <c r="I89" i="3"/>
  <c r="Q29" i="3"/>
  <c r="G89" i="3"/>
  <c r="I90" i="3"/>
  <c r="O64" i="3"/>
  <c r="O90" i="3" s="1"/>
  <c r="H90" i="3"/>
  <c r="N64" i="3"/>
  <c r="N90" i="3" s="1"/>
  <c r="M21" i="3"/>
  <c r="M89" i="3"/>
  <c r="Q89" i="3" s="1"/>
  <c r="G31" i="3"/>
  <c r="K31" i="3" s="1"/>
  <c r="H21" i="3"/>
  <c r="N12" i="3"/>
  <c r="N21" i="3" s="1"/>
  <c r="O31" i="3"/>
  <c r="Q30" i="3"/>
  <c r="G90" i="3"/>
  <c r="M64" i="3"/>
  <c r="M90" i="3" s="1"/>
  <c r="Q13" i="3"/>
  <c r="N31" i="3"/>
  <c r="O89" i="3"/>
  <c r="N89" i="3"/>
  <c r="G21" i="3"/>
  <c r="K24" i="3"/>
  <c r="Q24" i="3"/>
  <c r="I21" i="3"/>
  <c r="I56" i="3" s="1"/>
  <c r="O12" i="3"/>
  <c r="O21" i="3" s="1"/>
  <c r="O56" i="3" s="1"/>
  <c r="M31" i="3"/>
  <c r="Q27" i="3"/>
  <c r="H89" i="3"/>
  <c r="K24" i="2"/>
  <c r="I89" i="2"/>
  <c r="O89" i="2"/>
  <c r="O31" i="2"/>
  <c r="I31" i="2"/>
  <c r="O21" i="2"/>
  <c r="O56" i="2" s="1"/>
  <c r="G31" i="2"/>
  <c r="I21" i="2"/>
  <c r="N89" i="2"/>
  <c r="Q10" i="2"/>
  <c r="H89" i="2"/>
  <c r="G21" i="2"/>
  <c r="G56" i="2" s="1"/>
  <c r="M12" i="2"/>
  <c r="H21" i="2"/>
  <c r="N12" i="2"/>
  <c r="N21" i="2" s="1"/>
  <c r="Q13" i="2"/>
  <c r="H31" i="2"/>
  <c r="Q27" i="2"/>
  <c r="M31" i="2"/>
  <c r="Q29" i="2"/>
  <c r="G89" i="2"/>
  <c r="Q30" i="2"/>
  <c r="M89" i="2"/>
  <c r="G90" i="2"/>
  <c r="M64" i="2"/>
  <c r="M90" i="2" s="1"/>
  <c r="H90" i="2"/>
  <c r="N64" i="2"/>
  <c r="N90" i="2" s="1"/>
  <c r="Q16" i="2"/>
  <c r="N31" i="2"/>
  <c r="M51" i="1"/>
  <c r="Q51" i="1" s="1"/>
  <c r="O12" i="4" l="1"/>
  <c r="O21" i="4" s="1"/>
  <c r="I21" i="4"/>
  <c r="O91" i="4"/>
  <c r="I117" i="1"/>
  <c r="H117" i="1"/>
  <c r="O31" i="4"/>
  <c r="O92" i="4"/>
  <c r="I31" i="4"/>
  <c r="I91" i="4"/>
  <c r="I92" i="4"/>
  <c r="H56" i="3"/>
  <c r="H93" i="3" s="1"/>
  <c r="K90" i="3"/>
  <c r="I93" i="3"/>
  <c r="O93" i="3"/>
  <c r="N56" i="3"/>
  <c r="N93" i="3" s="1"/>
  <c r="Q31" i="3"/>
  <c r="G56" i="3"/>
  <c r="G93" i="3" s="1"/>
  <c r="M56" i="3"/>
  <c r="Q12" i="3"/>
  <c r="Q21" i="3" s="1"/>
  <c r="Q90" i="3"/>
  <c r="I95" i="2"/>
  <c r="Q89" i="2"/>
  <c r="O93" i="2"/>
  <c r="K31" i="2"/>
  <c r="Q31" i="2"/>
  <c r="H56" i="2"/>
  <c r="H93" i="2" s="1"/>
  <c r="H95" i="2" s="1"/>
  <c r="K90" i="2"/>
  <c r="M21" i="2"/>
  <c r="M56" i="2" s="1"/>
  <c r="Q12" i="2"/>
  <c r="Q21" i="2" s="1"/>
  <c r="N56" i="2"/>
  <c r="N93" i="2" s="1"/>
  <c r="Q90" i="2"/>
  <c r="G93" i="2"/>
  <c r="G95" i="2" s="1"/>
  <c r="H103" i="1" l="1"/>
  <c r="G117" i="1"/>
  <c r="I103" i="1"/>
  <c r="K56" i="3"/>
  <c r="K93" i="3" s="1"/>
  <c r="M93" i="3"/>
  <c r="Q56" i="3"/>
  <c r="Q93" i="3" s="1"/>
  <c r="K56" i="2"/>
  <c r="K93" i="2" s="1"/>
  <c r="Q56" i="2"/>
  <c r="Q93" i="2" s="1"/>
  <c r="M93" i="2"/>
  <c r="I15" i="1" l="1"/>
  <c r="I17" i="1"/>
  <c r="I16" i="1"/>
  <c r="O16" i="1" s="1"/>
  <c r="I18" i="1"/>
  <c r="O23" i="1"/>
  <c r="O24" i="1" s="1"/>
  <c r="H16" i="1"/>
  <c r="N16" i="1" s="1"/>
  <c r="H15" i="1"/>
  <c r="H18" i="1"/>
  <c r="H17" i="1"/>
  <c r="N23" i="1"/>
  <c r="N24" i="1" s="1"/>
  <c r="I87" i="1"/>
  <c r="O87" i="1" s="1"/>
  <c r="I78" i="1"/>
  <c r="O78" i="1" s="1"/>
  <c r="I30" i="1"/>
  <c r="O30" i="1" s="1"/>
  <c r="I73" i="1"/>
  <c r="O73" i="1" s="1"/>
  <c r="I28" i="1"/>
  <c r="I13" i="1"/>
  <c r="O13" i="1" s="1"/>
  <c r="I23" i="1"/>
  <c r="I24" i="1" s="1"/>
  <c r="I84" i="1"/>
  <c r="O84" i="1" s="1"/>
  <c r="I26" i="1"/>
  <c r="I12" i="1"/>
  <c r="O12" i="1" s="1"/>
  <c r="O21" i="1" s="1"/>
  <c r="I9" i="1"/>
  <c r="I75" i="1"/>
  <c r="O75" i="1" s="1"/>
  <c r="I85" i="1"/>
  <c r="O85" i="1" s="1"/>
  <c r="I72" i="1"/>
  <c r="O72" i="1" s="1"/>
  <c r="I67" i="1"/>
  <c r="O67" i="1" s="1"/>
  <c r="I63" i="1"/>
  <c r="I64" i="1"/>
  <c r="I82" i="1"/>
  <c r="O82" i="1" s="1"/>
  <c r="I79" i="1"/>
  <c r="O79" i="1" s="1"/>
  <c r="I70" i="1"/>
  <c r="O70" i="1" s="1"/>
  <c r="I66" i="1"/>
  <c r="I76" i="1"/>
  <c r="O76" i="1" s="1"/>
  <c r="O63" i="1"/>
  <c r="O66" i="1"/>
  <c r="I20" i="1"/>
  <c r="I10" i="1"/>
  <c r="O10" i="1" s="1"/>
  <c r="I69" i="1"/>
  <c r="O69" i="1" s="1"/>
  <c r="I81" i="1"/>
  <c r="O81" i="1" s="1"/>
  <c r="I29" i="1"/>
  <c r="O29" i="1" s="1"/>
  <c r="I27" i="1"/>
  <c r="O27" i="1" s="1"/>
  <c r="O31" i="1" s="1"/>
  <c r="G103" i="1"/>
  <c r="H75" i="1"/>
  <c r="N75" i="1" s="1"/>
  <c r="H9" i="1"/>
  <c r="H70" i="1"/>
  <c r="N70" i="1" s="1"/>
  <c r="H85" i="1"/>
  <c r="N85" i="1" s="1"/>
  <c r="H66" i="1"/>
  <c r="H81" i="1"/>
  <c r="N81" i="1" s="1"/>
  <c r="N63" i="1"/>
  <c r="H67" i="1"/>
  <c r="N67" i="1" s="1"/>
  <c r="N66" i="1"/>
  <c r="H87" i="1"/>
  <c r="N87" i="1" s="1"/>
  <c r="H26" i="1"/>
  <c r="H73" i="1"/>
  <c r="N73" i="1" s="1"/>
  <c r="H69" i="1"/>
  <c r="N69" i="1" s="1"/>
  <c r="H63" i="1"/>
  <c r="H28" i="1"/>
  <c r="H23" i="1"/>
  <c r="H24" i="1" s="1"/>
  <c r="H20" i="1"/>
  <c r="H78" i="1"/>
  <c r="N78" i="1" s="1"/>
  <c r="H13" i="1"/>
  <c r="N13" i="1" s="1"/>
  <c r="H72" i="1"/>
  <c r="N72" i="1" s="1"/>
  <c r="H64" i="1"/>
  <c r="H12" i="1"/>
  <c r="N12" i="1" s="1"/>
  <c r="N21" i="1" s="1"/>
  <c r="H76" i="1"/>
  <c r="N76" i="1" s="1"/>
  <c r="H29" i="1"/>
  <c r="N29" i="1" s="1"/>
  <c r="H27" i="1"/>
  <c r="N27" i="1" s="1"/>
  <c r="H10" i="1"/>
  <c r="N10" i="1" s="1"/>
  <c r="H84" i="1"/>
  <c r="N84" i="1" s="1"/>
  <c r="H30" i="1"/>
  <c r="N30" i="1" s="1"/>
  <c r="H79" i="1"/>
  <c r="N79" i="1" s="1"/>
  <c r="O56" i="1" l="1"/>
  <c r="I31" i="1"/>
  <c r="I89" i="1"/>
  <c r="G18" i="1"/>
  <c r="G17" i="1"/>
  <c r="G15" i="1"/>
  <c r="G16" i="1"/>
  <c r="M16" i="1" s="1"/>
  <c r="Q16" i="1" s="1"/>
  <c r="M23" i="1"/>
  <c r="M24" i="1" s="1"/>
  <c r="Q24" i="1" s="1"/>
  <c r="O89" i="1"/>
  <c r="N31" i="1"/>
  <c r="N56" i="1" s="1"/>
  <c r="H31" i="1"/>
  <c r="N64" i="1"/>
  <c r="N90" i="1" s="1"/>
  <c r="H90" i="1"/>
  <c r="G85" i="1"/>
  <c r="M85" i="1" s="1"/>
  <c r="G79" i="1"/>
  <c r="M79" i="1" s="1"/>
  <c r="G81" i="1"/>
  <c r="M81" i="1" s="1"/>
  <c r="G78" i="1"/>
  <c r="M78" i="1" s="1"/>
  <c r="G75" i="1"/>
  <c r="M75" i="1" s="1"/>
  <c r="G76" i="1"/>
  <c r="M76" i="1" s="1"/>
  <c r="G70" i="1"/>
  <c r="M70" i="1" s="1"/>
  <c r="G72" i="1"/>
  <c r="M72" i="1" s="1"/>
  <c r="G28" i="1"/>
  <c r="G13" i="1"/>
  <c r="M13" i="1" s="1"/>
  <c r="Q13" i="1" s="1"/>
  <c r="G84" i="1"/>
  <c r="M84" i="1" s="1"/>
  <c r="M63" i="1"/>
  <c r="G73" i="1"/>
  <c r="M73" i="1" s="1"/>
  <c r="G12" i="1"/>
  <c r="M12" i="1" s="1"/>
  <c r="G20" i="1"/>
  <c r="G30" i="1"/>
  <c r="M30" i="1" s="1"/>
  <c r="Q30" i="1" s="1"/>
  <c r="G69" i="1"/>
  <c r="M69" i="1" s="1"/>
  <c r="G66" i="1"/>
  <c r="G67" i="1"/>
  <c r="M67" i="1" s="1"/>
  <c r="G64" i="1"/>
  <c r="G63" i="1"/>
  <c r="M66" i="1"/>
  <c r="G10" i="1"/>
  <c r="M10" i="1" s="1"/>
  <c r="Q10" i="1" s="1"/>
  <c r="G87" i="1"/>
  <c r="M87" i="1" s="1"/>
  <c r="G23" i="1"/>
  <c r="G24" i="1" s="1"/>
  <c r="K24" i="1" s="1"/>
  <c r="G29" i="1"/>
  <c r="M29" i="1" s="1"/>
  <c r="Q29" i="1" s="1"/>
  <c r="G27" i="1"/>
  <c r="M27" i="1" s="1"/>
  <c r="G9" i="1"/>
  <c r="G26" i="1"/>
  <c r="H89" i="1"/>
  <c r="O64" i="1"/>
  <c r="O90" i="1" s="1"/>
  <c r="I90" i="1"/>
  <c r="H21" i="1"/>
  <c r="I21" i="1"/>
  <c r="N89" i="1"/>
  <c r="G21" i="1" l="1"/>
  <c r="I56" i="1"/>
  <c r="I93" i="1" s="1"/>
  <c r="O93" i="1"/>
  <c r="H9" i="8" s="1"/>
  <c r="G90" i="1"/>
  <c r="K90" i="1" s="1"/>
  <c r="M64" i="1"/>
  <c r="M90" i="1" s="1"/>
  <c r="Q90" i="1" s="1"/>
  <c r="N93" i="1"/>
  <c r="H56" i="1"/>
  <c r="H93" i="1" s="1"/>
  <c r="G89" i="1"/>
  <c r="G31" i="1"/>
  <c r="K31" i="1" s="1"/>
  <c r="M31" i="1"/>
  <c r="Q31" i="1" s="1"/>
  <c r="Q27" i="1"/>
  <c r="Q12" i="1"/>
  <c r="Q21" i="1" s="1"/>
  <c r="M21" i="1"/>
  <c r="M56" i="1" s="1"/>
  <c r="M89" i="1"/>
  <c r="Q89" i="1" s="1"/>
  <c r="K9" i="8" l="1"/>
  <c r="M93" i="1"/>
  <c r="Q56" i="1"/>
  <c r="Q93" i="1" s="1"/>
  <c r="G56" i="1"/>
  <c r="K56" i="1" l="1"/>
  <c r="K93" i="1" s="1"/>
  <c r="G93" i="1"/>
  <c r="N19" i="4" l="1"/>
  <c r="M19" i="4"/>
  <c r="H118" i="4"/>
  <c r="H119" i="4" s="1"/>
  <c r="G118" i="4"/>
  <c r="G119" i="4" s="1"/>
  <c r="G105" i="4" s="1"/>
  <c r="G16" i="4" l="1"/>
  <c r="M16" i="4" s="1"/>
  <c r="G17" i="4"/>
  <c r="G15" i="4"/>
  <c r="Q19" i="4"/>
  <c r="G80" i="4"/>
  <c r="M80" i="4" s="1"/>
  <c r="G65" i="4"/>
  <c r="G27" i="4"/>
  <c r="G86" i="4"/>
  <c r="M86" i="4" s="1"/>
  <c r="G74" i="4"/>
  <c r="M74" i="4" s="1"/>
  <c r="G30" i="4"/>
  <c r="M30" i="4" s="1"/>
  <c r="G26" i="4"/>
  <c r="G89" i="4"/>
  <c r="M89" i="4" s="1"/>
  <c r="G71" i="4"/>
  <c r="G29" i="4"/>
  <c r="M29" i="4" s="1"/>
  <c r="G20" i="4"/>
  <c r="G83" i="4"/>
  <c r="M83" i="4" s="1"/>
  <c r="G68" i="4"/>
  <c r="G28" i="4"/>
  <c r="G18" i="4"/>
  <c r="G13" i="4"/>
  <c r="M13" i="4" s="1"/>
  <c r="G70" i="4"/>
  <c r="G84" i="4"/>
  <c r="M84" i="4" s="1"/>
  <c r="G12" i="4"/>
  <c r="M12" i="4" s="1"/>
  <c r="G9" i="4"/>
  <c r="G78" i="4"/>
  <c r="M78" i="4" s="1"/>
  <c r="G73" i="4"/>
  <c r="G69" i="4"/>
  <c r="M69" i="4" s="1"/>
  <c r="M68" i="4"/>
  <c r="M65" i="4"/>
  <c r="G66" i="4"/>
  <c r="G82" i="4"/>
  <c r="G81" i="4"/>
  <c r="M81" i="4" s="1"/>
  <c r="G10" i="4"/>
  <c r="M10" i="4" s="1"/>
  <c r="G67" i="4"/>
  <c r="G85" i="4"/>
  <c r="G72" i="4"/>
  <c r="M72" i="4" s="1"/>
  <c r="G87" i="4"/>
  <c r="M87" i="4" s="1"/>
  <c r="G88" i="4"/>
  <c r="G75" i="4"/>
  <c r="M75" i="4" s="1"/>
  <c r="H105" i="4"/>
  <c r="H17" i="4" l="1"/>
  <c r="H13" i="4"/>
  <c r="H15" i="4"/>
  <c r="H10" i="4"/>
  <c r="N10" i="4" s="1"/>
  <c r="Q10" i="4" s="1"/>
  <c r="H16" i="4"/>
  <c r="N16" i="4" s="1"/>
  <c r="Q16" i="4" s="1"/>
  <c r="G21" i="4"/>
  <c r="G31" i="4"/>
  <c r="M27" i="4"/>
  <c r="H65" i="4"/>
  <c r="H86" i="4"/>
  <c r="N86" i="4" s="1"/>
  <c r="H74" i="4"/>
  <c r="N74" i="4" s="1"/>
  <c r="H30" i="4"/>
  <c r="N30" i="4" s="1"/>
  <c r="Q30" i="4" s="1"/>
  <c r="H26" i="4"/>
  <c r="H89" i="4"/>
  <c r="N89" i="4" s="1"/>
  <c r="H71" i="4"/>
  <c r="H29" i="4"/>
  <c r="N29" i="4" s="1"/>
  <c r="Q29" i="4" s="1"/>
  <c r="H20" i="4"/>
  <c r="H27" i="4"/>
  <c r="H80" i="4"/>
  <c r="N80" i="4" s="1"/>
  <c r="H83" i="4"/>
  <c r="N83" i="4" s="1"/>
  <c r="H68" i="4"/>
  <c r="H28" i="4"/>
  <c r="H18" i="4"/>
  <c r="M66" i="4"/>
  <c r="M92" i="4" s="1"/>
  <c r="G92" i="4"/>
  <c r="H73" i="4"/>
  <c r="N13" i="4"/>
  <c r="Q13" i="4" s="1"/>
  <c r="H81" i="4"/>
  <c r="N81" i="4" s="1"/>
  <c r="H85" i="4"/>
  <c r="H66" i="4"/>
  <c r="H72" i="4"/>
  <c r="N72" i="4" s="1"/>
  <c r="H69" i="4"/>
  <c r="N69" i="4" s="1"/>
  <c r="N68" i="4"/>
  <c r="N65" i="4"/>
  <c r="H88" i="4"/>
  <c r="H67" i="4"/>
  <c r="H75" i="4"/>
  <c r="N75" i="4" s="1"/>
  <c r="H12" i="4"/>
  <c r="N12" i="4" s="1"/>
  <c r="N21" i="4" s="1"/>
  <c r="H82" i="4"/>
  <c r="H84" i="4"/>
  <c r="N84" i="4" s="1"/>
  <c r="H78" i="4"/>
  <c r="N78" i="4" s="1"/>
  <c r="H9" i="4"/>
  <c r="H87" i="4"/>
  <c r="N87" i="4" s="1"/>
  <c r="H70" i="4"/>
  <c r="M21" i="4"/>
  <c r="M71" i="4"/>
  <c r="M91" i="4" s="1"/>
  <c r="G91" i="4"/>
  <c r="H21" i="4" l="1"/>
  <c r="K21" i="4" s="1"/>
  <c r="H31" i="4"/>
  <c r="N27" i="4"/>
  <c r="N31" i="4" s="1"/>
  <c r="M31" i="4"/>
  <c r="Q31" i="4" s="1"/>
  <c r="K31" i="4"/>
  <c r="H92" i="4"/>
  <c r="K92" i="4" s="1"/>
  <c r="N66" i="4"/>
  <c r="N92" i="4" s="1"/>
  <c r="Q92" i="4" s="1"/>
  <c r="H91" i="4"/>
  <c r="N71" i="4"/>
  <c r="N91" i="4" s="1"/>
  <c r="Q12" i="4"/>
  <c r="Q21" i="4" s="1"/>
  <c r="Q27" i="4" l="1"/>
  <c r="Q91" i="4"/>
  <c r="G23" i="4"/>
  <c r="G24" i="4" s="1"/>
  <c r="G58" i="4" s="1"/>
  <c r="Q23" i="4"/>
  <c r="I23" i="4"/>
  <c r="I24" i="4" s="1"/>
  <c r="I58" i="4" s="1"/>
  <c r="I95" i="4" s="1"/>
  <c r="H23" i="4"/>
  <c r="H24" i="4" s="1"/>
  <c r="H58" i="4" s="1"/>
  <c r="H95" i="4" s="1"/>
  <c r="N23" i="4" l="1"/>
  <c r="O23" i="4"/>
  <c r="M23" i="4"/>
  <c r="M24" i="4" s="1"/>
  <c r="O24" i="4"/>
  <c r="O58" i="4" s="1"/>
  <c r="O95" i="4" s="1"/>
  <c r="H11" i="8" s="1"/>
  <c r="N24" i="4"/>
  <c r="N58" i="4" s="1"/>
  <c r="N95" i="4" s="1"/>
  <c r="K58" i="4"/>
  <c r="K95" i="4" s="1"/>
  <c r="G95" i="4"/>
  <c r="K24" i="4"/>
  <c r="K11" i="8" l="1"/>
  <c r="Q24" i="4"/>
  <c r="M58" i="4"/>
  <c r="M95" i="4" s="1"/>
  <c r="Q58" i="4"/>
  <c r="Q95" i="4" s="1"/>
  <c r="G181" i="5"/>
  <c r="G182" i="5" s="1"/>
  <c r="M23" i="5" l="1"/>
  <c r="M24" i="5" s="1"/>
  <c r="G168" i="5"/>
  <c r="H168" i="5"/>
  <c r="N23" i="5"/>
  <c r="N24" i="5" s="1"/>
  <c r="O23" i="5"/>
  <c r="O24" i="5" s="1"/>
  <c r="I168" i="5"/>
  <c r="I15" i="5" l="1"/>
  <c r="I16" i="5"/>
  <c r="I17" i="5"/>
  <c r="O65" i="5"/>
  <c r="H16" i="5"/>
  <c r="H17" i="5"/>
  <c r="H15" i="5"/>
  <c r="G15" i="5"/>
  <c r="G16" i="5"/>
  <c r="G17" i="5"/>
  <c r="I27" i="5"/>
  <c r="O27" i="5" s="1"/>
  <c r="I149" i="5"/>
  <c r="O149" i="5" s="1"/>
  <c r="I101" i="5"/>
  <c r="O101" i="5" s="1"/>
  <c r="O16" i="5"/>
  <c r="I12" i="5"/>
  <c r="O12" i="5" s="1"/>
  <c r="O21" i="5" s="1"/>
  <c r="I123" i="5"/>
  <c r="O123" i="5" s="1"/>
  <c r="I72" i="5"/>
  <c r="O72" i="5" s="1"/>
  <c r="I106" i="5"/>
  <c r="I29" i="5"/>
  <c r="O29" i="5" s="1"/>
  <c r="O68" i="5"/>
  <c r="I85" i="5"/>
  <c r="I90" i="5"/>
  <c r="O90" i="5" s="1"/>
  <c r="I134" i="5"/>
  <c r="O134" i="5" s="1"/>
  <c r="I124" i="5"/>
  <c r="I82" i="5"/>
  <c r="I102" i="5"/>
  <c r="O102" i="5" s="1"/>
  <c r="I103" i="5"/>
  <c r="I13" i="5"/>
  <c r="O13" i="5" s="1"/>
  <c r="I127" i="5"/>
  <c r="I113" i="5"/>
  <c r="O113" i="5" s="1"/>
  <c r="I135" i="5"/>
  <c r="O135" i="5" s="1"/>
  <c r="I26" i="5"/>
  <c r="I131" i="5"/>
  <c r="O131" i="5" s="1"/>
  <c r="I89" i="5"/>
  <c r="O89" i="5" s="1"/>
  <c r="I9" i="5"/>
  <c r="I84" i="5"/>
  <c r="O84" i="5" s="1"/>
  <c r="I150" i="5"/>
  <c r="O150" i="5" s="1"/>
  <c r="I88" i="5"/>
  <c r="I76" i="5"/>
  <c r="I86" i="5"/>
  <c r="O86" i="5" s="1"/>
  <c r="I137" i="5"/>
  <c r="O137" i="5" s="1"/>
  <c r="I105" i="5"/>
  <c r="O105" i="5" s="1"/>
  <c r="I18" i="5"/>
  <c r="I128" i="5"/>
  <c r="O128" i="5" s="1"/>
  <c r="I91" i="5"/>
  <c r="I28" i="5"/>
  <c r="I116" i="5"/>
  <c r="O116" i="5" s="1"/>
  <c r="I77" i="5"/>
  <c r="O77" i="5" s="1"/>
  <c r="I133" i="5"/>
  <c r="I96" i="5"/>
  <c r="O96" i="5" s="1"/>
  <c r="I112" i="5"/>
  <c r="I114" i="5"/>
  <c r="O114" i="5" s="1"/>
  <c r="I130" i="5"/>
  <c r="I75" i="5"/>
  <c r="O75" i="5" s="1"/>
  <c r="I92" i="5"/>
  <c r="O92" i="5" s="1"/>
  <c r="I138" i="5"/>
  <c r="O138" i="5" s="1"/>
  <c r="I100" i="5"/>
  <c r="I10" i="5"/>
  <c r="O10" i="5" s="1"/>
  <c r="I98" i="5"/>
  <c r="O98" i="5" s="1"/>
  <c r="I69" i="5"/>
  <c r="I83" i="5"/>
  <c r="O83" i="5" s="1"/>
  <c r="I111" i="5"/>
  <c r="O111" i="5" s="1"/>
  <c r="I78" i="5"/>
  <c r="O78" i="5" s="1"/>
  <c r="I23" i="5"/>
  <c r="I24" i="5" s="1"/>
  <c r="I104" i="5"/>
  <c r="O104" i="5" s="1"/>
  <c r="I65" i="5"/>
  <c r="I129" i="5"/>
  <c r="O129" i="5" s="1"/>
  <c r="I99" i="5"/>
  <c r="O99" i="5" s="1"/>
  <c r="I73" i="5"/>
  <c r="I117" i="5"/>
  <c r="O117" i="5" s="1"/>
  <c r="I97" i="5"/>
  <c r="I147" i="5"/>
  <c r="O147" i="5" s="1"/>
  <c r="I68" i="5"/>
  <c r="I79" i="5"/>
  <c r="I136" i="5"/>
  <c r="I120" i="5"/>
  <c r="O120" i="5" s="1"/>
  <c r="I146" i="5"/>
  <c r="O146" i="5" s="1"/>
  <c r="I81" i="5"/>
  <c r="O81" i="5" s="1"/>
  <c r="O71" i="5"/>
  <c r="I20" i="5"/>
  <c r="I152" i="5"/>
  <c r="O152" i="5" s="1"/>
  <c r="I80" i="5"/>
  <c r="O80" i="5" s="1"/>
  <c r="I125" i="5"/>
  <c r="O125" i="5" s="1"/>
  <c r="I93" i="5"/>
  <c r="O93" i="5" s="1"/>
  <c r="I115" i="5"/>
  <c r="I141" i="5"/>
  <c r="O141" i="5" s="1"/>
  <c r="I108" i="5"/>
  <c r="O108" i="5" s="1"/>
  <c r="I109" i="5"/>
  <c r="I122" i="5"/>
  <c r="O122" i="5" s="1"/>
  <c r="I110" i="5"/>
  <c r="O110" i="5" s="1"/>
  <c r="I74" i="5"/>
  <c r="O74" i="5" s="1"/>
  <c r="I126" i="5"/>
  <c r="O126" i="5" s="1"/>
  <c r="I87" i="5"/>
  <c r="O87" i="5" s="1"/>
  <c r="I70" i="5"/>
  <c r="I94" i="5"/>
  <c r="I95" i="5"/>
  <c r="O95" i="5" s="1"/>
  <c r="I143" i="5"/>
  <c r="O143" i="5" s="1"/>
  <c r="I132" i="5"/>
  <c r="O132" i="5" s="1"/>
  <c r="I71" i="5"/>
  <c r="I144" i="5"/>
  <c r="O144" i="5" s="1"/>
  <c r="I107" i="5"/>
  <c r="O107" i="5" s="1"/>
  <c r="I30" i="5"/>
  <c r="O30" i="5" s="1"/>
  <c r="H27" i="5"/>
  <c r="N27" i="5" s="1"/>
  <c r="H149" i="5"/>
  <c r="N149" i="5" s="1"/>
  <c r="H77" i="5"/>
  <c r="N77" i="5" s="1"/>
  <c r="H70" i="5"/>
  <c r="H87" i="5"/>
  <c r="N87" i="5" s="1"/>
  <c r="H133" i="5"/>
  <c r="H69" i="5"/>
  <c r="H73" i="5"/>
  <c r="H152" i="5"/>
  <c r="N152" i="5" s="1"/>
  <c r="H135" i="5"/>
  <c r="N135" i="5" s="1"/>
  <c r="H85" i="5"/>
  <c r="H74" i="5"/>
  <c r="N74" i="5" s="1"/>
  <c r="H123" i="5"/>
  <c r="N123" i="5" s="1"/>
  <c r="N68" i="5"/>
  <c r="H75" i="5"/>
  <c r="N75" i="5" s="1"/>
  <c r="N16" i="5"/>
  <c r="H26" i="5"/>
  <c r="H131" i="5"/>
  <c r="N131" i="5" s="1"/>
  <c r="H65" i="5"/>
  <c r="H10" i="5"/>
  <c r="N10" i="5" s="1"/>
  <c r="N65" i="5"/>
  <c r="H109" i="5"/>
  <c r="H97" i="5"/>
  <c r="H105" i="5"/>
  <c r="N105" i="5" s="1"/>
  <c r="H9" i="5"/>
  <c r="H98" i="5"/>
  <c r="N98" i="5" s="1"/>
  <c r="H138" i="5"/>
  <c r="N138" i="5" s="1"/>
  <c r="H126" i="5"/>
  <c r="N126" i="5" s="1"/>
  <c r="H114" i="5"/>
  <c r="N114" i="5" s="1"/>
  <c r="H117" i="5"/>
  <c r="N117" i="5" s="1"/>
  <c r="H136" i="5"/>
  <c r="H146" i="5"/>
  <c r="N146" i="5" s="1"/>
  <c r="H128" i="5"/>
  <c r="N128" i="5" s="1"/>
  <c r="H112" i="5"/>
  <c r="H100" i="5"/>
  <c r="H23" i="5"/>
  <c r="H24" i="5" s="1"/>
  <c r="H116" i="5"/>
  <c r="N116" i="5" s="1"/>
  <c r="H137" i="5"/>
  <c r="N137" i="5" s="1"/>
  <c r="H84" i="5"/>
  <c r="N84" i="5" s="1"/>
  <c r="H102" i="5"/>
  <c r="N102" i="5" s="1"/>
  <c r="H96" i="5"/>
  <c r="N96" i="5" s="1"/>
  <c r="H127" i="5"/>
  <c r="H80" i="5"/>
  <c r="N80" i="5" s="1"/>
  <c r="H108" i="5"/>
  <c r="N108" i="5" s="1"/>
  <c r="H82" i="5"/>
  <c r="H86" i="5"/>
  <c r="N86" i="5" s="1"/>
  <c r="H122" i="5"/>
  <c r="N122" i="5" s="1"/>
  <c r="H88" i="5"/>
  <c r="H18" i="5"/>
  <c r="H71" i="5"/>
  <c r="H129" i="5"/>
  <c r="N129" i="5" s="1"/>
  <c r="H28" i="5"/>
  <c r="H104" i="5"/>
  <c r="N104" i="5" s="1"/>
  <c r="H125" i="5"/>
  <c r="N125" i="5" s="1"/>
  <c r="H143" i="5"/>
  <c r="N143" i="5" s="1"/>
  <c r="H103" i="5"/>
  <c r="H68" i="5"/>
  <c r="H72" i="5"/>
  <c r="N72" i="5" s="1"/>
  <c r="H107" i="5"/>
  <c r="N107" i="5" s="1"/>
  <c r="H29" i="5"/>
  <c r="N29" i="5" s="1"/>
  <c r="H92" i="5"/>
  <c r="N92" i="5" s="1"/>
  <c r="H110" i="5"/>
  <c r="N110" i="5" s="1"/>
  <c r="H150" i="5"/>
  <c r="N150" i="5" s="1"/>
  <c r="H132" i="5"/>
  <c r="N132" i="5" s="1"/>
  <c r="H141" i="5"/>
  <c r="N141" i="5" s="1"/>
  <c r="H90" i="5"/>
  <c r="N90" i="5" s="1"/>
  <c r="H134" i="5"/>
  <c r="N134" i="5" s="1"/>
  <c r="H111" i="5"/>
  <c r="N111" i="5" s="1"/>
  <c r="H91" i="5"/>
  <c r="H78" i="5"/>
  <c r="N78" i="5" s="1"/>
  <c r="H144" i="5"/>
  <c r="N144" i="5" s="1"/>
  <c r="H115" i="5"/>
  <c r="H79" i="5"/>
  <c r="H89" i="5"/>
  <c r="N89" i="5" s="1"/>
  <c r="H95" i="5"/>
  <c r="N95" i="5" s="1"/>
  <c r="H113" i="5"/>
  <c r="N113" i="5" s="1"/>
  <c r="H20" i="5"/>
  <c r="H130" i="5"/>
  <c r="H124" i="5"/>
  <c r="H94" i="5"/>
  <c r="N71" i="5"/>
  <c r="H99" i="5"/>
  <c r="N99" i="5" s="1"/>
  <c r="H120" i="5"/>
  <c r="N120" i="5" s="1"/>
  <c r="H12" i="5"/>
  <c r="N12" i="5" s="1"/>
  <c r="H93" i="5"/>
  <c r="N93" i="5" s="1"/>
  <c r="H13" i="5"/>
  <c r="N13" i="5" s="1"/>
  <c r="H83" i="5"/>
  <c r="N83" i="5" s="1"/>
  <c r="H101" i="5"/>
  <c r="N101" i="5" s="1"/>
  <c r="H106" i="5"/>
  <c r="H81" i="5"/>
  <c r="N81" i="5" s="1"/>
  <c r="H76" i="5"/>
  <c r="H30" i="5"/>
  <c r="G28" i="5"/>
  <c r="G111" i="5"/>
  <c r="M111" i="5" s="1"/>
  <c r="G112" i="5"/>
  <c r="G108" i="5"/>
  <c r="M108" i="5" s="1"/>
  <c r="G74" i="5"/>
  <c r="M74" i="5" s="1"/>
  <c r="G78" i="5"/>
  <c r="M78" i="5" s="1"/>
  <c r="G98" i="5"/>
  <c r="M98" i="5" s="1"/>
  <c r="G80" i="5"/>
  <c r="M80" i="5" s="1"/>
  <c r="G96" i="5"/>
  <c r="M96" i="5" s="1"/>
  <c r="G76" i="5"/>
  <c r="G144" i="5"/>
  <c r="M144" i="5" s="1"/>
  <c r="G26" i="5"/>
  <c r="G124" i="5"/>
  <c r="G107" i="5"/>
  <c r="M107" i="5" s="1"/>
  <c r="G110" i="5"/>
  <c r="M110" i="5" s="1"/>
  <c r="G18" i="5"/>
  <c r="G102" i="5"/>
  <c r="M102" i="5" s="1"/>
  <c r="G86" i="5"/>
  <c r="M86" i="5" s="1"/>
  <c r="G103" i="5"/>
  <c r="G69" i="5"/>
  <c r="G122" i="5"/>
  <c r="M122" i="5" s="1"/>
  <c r="G89" i="5"/>
  <c r="M89" i="5" s="1"/>
  <c r="G65" i="5"/>
  <c r="G127" i="5"/>
  <c r="G109" i="5"/>
  <c r="G138" i="5"/>
  <c r="M138" i="5" s="1"/>
  <c r="G99" i="5"/>
  <c r="M99" i="5" s="1"/>
  <c r="G104" i="5"/>
  <c r="M104" i="5" s="1"/>
  <c r="G101" i="5"/>
  <c r="M101" i="5" s="1"/>
  <c r="G77" i="5"/>
  <c r="M77" i="5" s="1"/>
  <c r="G70" i="5"/>
  <c r="G13" i="5"/>
  <c r="M13" i="5" s="1"/>
  <c r="G120" i="5"/>
  <c r="M120" i="5" s="1"/>
  <c r="G143" i="5"/>
  <c r="M143" i="5" s="1"/>
  <c r="G27" i="5"/>
  <c r="M27" i="5" s="1"/>
  <c r="G129" i="5"/>
  <c r="M129" i="5" s="1"/>
  <c r="G9" i="5"/>
  <c r="G130" i="5"/>
  <c r="G106" i="5"/>
  <c r="G100" i="5"/>
  <c r="G116" i="5"/>
  <c r="M116" i="5" s="1"/>
  <c r="G72" i="5"/>
  <c r="M72" i="5" s="1"/>
  <c r="G152" i="5"/>
  <c r="M152" i="5" s="1"/>
  <c r="G105" i="5"/>
  <c r="M105" i="5" s="1"/>
  <c r="G117" i="5"/>
  <c r="M117" i="5" s="1"/>
  <c r="G136" i="5"/>
  <c r="G81" i="5"/>
  <c r="M81" i="5" s="1"/>
  <c r="G85" i="5"/>
  <c r="G87" i="5"/>
  <c r="M87" i="5" s="1"/>
  <c r="G12" i="5"/>
  <c r="M12" i="5" s="1"/>
  <c r="G79" i="5"/>
  <c r="G135" i="5"/>
  <c r="M135" i="5" s="1"/>
  <c r="G125" i="5"/>
  <c r="M125" i="5" s="1"/>
  <c r="G123" i="5"/>
  <c r="M123" i="5" s="1"/>
  <c r="G29" i="5"/>
  <c r="M29" i="5" s="1"/>
  <c r="G146" i="5"/>
  <c r="M146" i="5" s="1"/>
  <c r="G23" i="5"/>
  <c r="G24" i="5" s="1"/>
  <c r="G134" i="5"/>
  <c r="M134" i="5" s="1"/>
  <c r="G114" i="5"/>
  <c r="M114" i="5" s="1"/>
  <c r="G10" i="5"/>
  <c r="M10" i="5" s="1"/>
  <c r="Q10" i="5" s="1"/>
  <c r="G131" i="5"/>
  <c r="M131" i="5" s="1"/>
  <c r="G93" i="5"/>
  <c r="M93" i="5" s="1"/>
  <c r="M65" i="5"/>
  <c r="G30" i="5"/>
  <c r="M30" i="5" s="1"/>
  <c r="G126" i="5"/>
  <c r="M126" i="5" s="1"/>
  <c r="G113" i="5"/>
  <c r="M113" i="5" s="1"/>
  <c r="G141" i="5"/>
  <c r="M141" i="5" s="1"/>
  <c r="G73" i="5"/>
  <c r="G95" i="5"/>
  <c r="M95" i="5" s="1"/>
  <c r="G94" i="5"/>
  <c r="G115" i="5"/>
  <c r="G91" i="5"/>
  <c r="M68" i="5"/>
  <c r="G88" i="5"/>
  <c r="G20" i="5"/>
  <c r="G149" i="5"/>
  <c r="M149" i="5" s="1"/>
  <c r="G133" i="5"/>
  <c r="G75" i="5"/>
  <c r="M75" i="5" s="1"/>
  <c r="G90" i="5"/>
  <c r="M90" i="5" s="1"/>
  <c r="M16" i="5"/>
  <c r="G68" i="5"/>
  <c r="G150" i="5"/>
  <c r="M150" i="5" s="1"/>
  <c r="G71" i="5"/>
  <c r="G132" i="5"/>
  <c r="M132" i="5" s="1"/>
  <c r="G82" i="5"/>
  <c r="G128" i="5"/>
  <c r="M128" i="5" s="1"/>
  <c r="G97" i="5"/>
  <c r="G83" i="5"/>
  <c r="M83" i="5" s="1"/>
  <c r="G92" i="5"/>
  <c r="M92" i="5" s="1"/>
  <c r="G84" i="5"/>
  <c r="M84" i="5" s="1"/>
  <c r="M71" i="5"/>
  <c r="G137" i="5"/>
  <c r="M137" i="5" s="1"/>
  <c r="Q24" i="5"/>
  <c r="O154" i="5" l="1"/>
  <c r="N154" i="5"/>
  <c r="O31" i="5"/>
  <c r="O58" i="5" s="1"/>
  <c r="I154" i="5"/>
  <c r="M154" i="5"/>
  <c r="G154" i="5"/>
  <c r="H154" i="5"/>
  <c r="I21" i="5"/>
  <c r="K24" i="5"/>
  <c r="Q13" i="5"/>
  <c r="Q16" i="5"/>
  <c r="N21" i="5"/>
  <c r="M31" i="5"/>
  <c r="Q27" i="5"/>
  <c r="I31" i="5"/>
  <c r="G21" i="5"/>
  <c r="G31" i="5"/>
  <c r="H155" i="5"/>
  <c r="N69" i="5"/>
  <c r="N155" i="5" s="1"/>
  <c r="O69" i="5"/>
  <c r="O155" i="5" s="1"/>
  <c r="I155" i="5"/>
  <c r="M21" i="5"/>
  <c r="M58" i="5" s="1"/>
  <c r="Q12" i="5"/>
  <c r="Q21" i="5" s="1"/>
  <c r="H21" i="5"/>
  <c r="H31" i="5"/>
  <c r="N30" i="5"/>
  <c r="N31" i="5" s="1"/>
  <c r="Q29" i="5"/>
  <c r="M69" i="5"/>
  <c r="M155" i="5" s="1"/>
  <c r="G155" i="5"/>
  <c r="N58" i="5" l="1"/>
  <c r="I58" i="5"/>
  <c r="I158" i="5" s="1"/>
  <c r="N158" i="5"/>
  <c r="H58" i="5"/>
  <c r="H158" i="5" s="1"/>
  <c r="Q155" i="5"/>
  <c r="O158" i="5"/>
  <c r="H15" i="8" s="1"/>
  <c r="K21" i="5"/>
  <c r="G58" i="5"/>
  <c r="G158" i="5" s="1"/>
  <c r="Q30" i="5"/>
  <c r="K31" i="5"/>
  <c r="Q58" i="5"/>
  <c r="Q158" i="5" s="1"/>
  <c r="M158" i="5"/>
  <c r="K155" i="5"/>
  <c r="Q31" i="5"/>
  <c r="K15" i="8" l="1"/>
  <c r="K58" i="5"/>
  <c r="K158" i="5" s="1"/>
  <c r="I89" i="7"/>
  <c r="I93" i="7" s="1"/>
  <c r="O60" i="7"/>
  <c r="O89" i="7" s="1"/>
  <c r="X61" i="7"/>
  <c r="Q89" i="7" l="1"/>
  <c r="Q93" i="7" s="1"/>
  <c r="O93" i="7"/>
  <c r="H17" i="8" s="1"/>
  <c r="K89" i="7"/>
  <c r="K93" i="7" s="1"/>
  <c r="Q60" i="7"/>
  <c r="K17" i="8" l="1"/>
  <c r="K26" i="8" s="1"/>
  <c r="K35" i="8" s="1"/>
  <c r="H26" i="8"/>
  <c r="H35" i="8" s="1"/>
  <c r="H30" i="8" l="1"/>
  <c r="O68" i="11"/>
  <c r="O72" i="11"/>
  <c r="I89" i="11"/>
  <c r="O89" i="11" s="1"/>
  <c r="O86" i="11"/>
  <c r="O87" i="11"/>
  <c r="O71" i="11"/>
  <c r="O23" i="11"/>
  <c r="O24" i="11" s="1"/>
  <c r="O58" i="11" s="1"/>
  <c r="Q58" i="11" s="1"/>
  <c r="O65" i="11"/>
  <c r="O83" i="11"/>
  <c r="O84" i="11"/>
  <c r="O81" i="11"/>
  <c r="O66" i="11"/>
  <c r="K31" i="11"/>
  <c r="O69" i="11"/>
  <c r="Q24" i="11" l="1"/>
  <c r="T24" i="11" s="1"/>
  <c r="I91" i="11"/>
  <c r="O91" i="11"/>
  <c r="Q91" i="11" s="1"/>
  <c r="Q95" i="11" s="1"/>
  <c r="O92" i="11"/>
  <c r="Q92" i="11" s="1"/>
  <c r="I92" i="11"/>
  <c r="K92" i="11" s="1"/>
  <c r="I58" i="11"/>
  <c r="I95" i="11" l="1"/>
  <c r="K58" i="11"/>
  <c r="K95" i="11" s="1"/>
  <c r="O95" i="11"/>
</calcChain>
</file>

<file path=xl/comments1.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1"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2.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1"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3.xml><?xml version="1.0" encoding="utf-8"?>
<comments xmlns="http://schemas.openxmlformats.org/spreadsheetml/2006/main">
  <authors>
    <author>Lloyd E. Keyser</author>
  </authors>
  <commentList>
    <comment ref="Y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3"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4.xml><?xml version="1.0" encoding="utf-8"?>
<comments xmlns="http://schemas.openxmlformats.org/spreadsheetml/2006/main">
  <authors>
    <author>Lloyd E. Keyser</author>
  </authors>
  <commentList>
    <comment ref="Y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3"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5.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1"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6.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7.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1"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8.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3"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9.xml><?xml version="1.0" encoding="utf-8"?>
<comments xmlns="http://schemas.openxmlformats.org/spreadsheetml/2006/main">
  <authors>
    <author>Lloyd E. Keyser</author>
  </authors>
  <commentList>
    <comment ref="X14" authorId="0" shape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X61" authorId="0" shapeId="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sharedStrings.xml><?xml version="1.0" encoding="utf-8"?>
<sst xmlns="http://schemas.openxmlformats.org/spreadsheetml/2006/main" count="1398" uniqueCount="203">
  <si>
    <t>Kentucky Power</t>
  </si>
  <si>
    <t>01/11/2020 Wind STORM TOTAL COST</t>
  </si>
  <si>
    <t>01/11/2020 Wind STORM INCREMENTAL COST</t>
  </si>
  <si>
    <t>Major Event Cost Recap</t>
  </si>
  <si>
    <t>Wind Storm:  01/11/2020</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</si>
  <si>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</si>
  <si>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</si>
  <si>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</si>
  <si>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</si>
  <si>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</si>
  <si>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</si>
  <si>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</si>
  <si>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</si>
  <si>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</si>
  <si>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</si>
  <si>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</si>
  <si>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</si>
  <si>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</si>
  <si>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</si>
  <si>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</si>
  <si>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</si>
  <si>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</si>
  <si>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</si>
  <si>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</si>
  <si>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</si>
  <si>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</si>
  <si>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</si>
  <si>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</si>
  <si>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</si>
  <si>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</si>
  <si>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</si>
  <si>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</si>
  <si>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</si>
  <si>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</si>
  <si>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</si>
  <si>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</si>
  <si>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</si>
  <si>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</si>
  <si>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</si>
  <si>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</si>
  <si>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</si>
  <si>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</si>
  <si>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</si>
  <si>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</si>
  <si>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</si>
  <si>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</si>
  <si>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</si>
  <si>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</si>
  <si>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</si>
  <si>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</si>
  <si>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</si>
  <si>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</si>
  <si>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</si>
  <si>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</si>
  <si>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</si>
  <si>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</si>
  <si>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</si>
  <si>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</si>
  <si>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</si>
  <si>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</si>
  <si>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</si>
  <si>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</si>
  <si>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</si>
  <si>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</si>
  <si>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</si>
  <si>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</si>
  <si>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</si>
  <si>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</si>
  <si>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</si>
  <si>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</si>
  <si>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</si>
  <si>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</si>
  <si>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Asplundh Tree Expert</t>
  </si>
  <si>
    <t>see comment R62 for previous calc of Asplundh incremental O&amp;M</t>
  </si>
  <si>
    <t>D.H. Elliot</t>
  </si>
  <si>
    <t>Area Wide Protective</t>
  </si>
  <si>
    <t>DTS Excavating</t>
  </si>
  <si>
    <t>Roadsafe Traffic Systems Inc</t>
  </si>
  <si>
    <t>Wright Tree Service</t>
  </si>
  <si>
    <t>Broadway Electric Serv Corp (BESCO)</t>
  </si>
  <si>
    <t>Five Star</t>
  </si>
  <si>
    <t>Enviro-Pro</t>
  </si>
  <si>
    <t>Other Contractor</t>
  </si>
  <si>
    <t>TOTAL OUTSIDE CONTRACTED SERVICES</t>
  </si>
  <si>
    <t>Total Restoration Costs</t>
  </si>
  <si>
    <t>Less: Accrual not yet reversed</t>
  </si>
  <si>
    <t>Less: Asplundh (all O&amp;M)</t>
  </si>
  <si>
    <t>Other Bud Cat</t>
  </si>
  <si>
    <t>Less: Asplundh (All O&amp;M)</t>
  </si>
  <si>
    <t>Total for Splits</t>
  </si>
  <si>
    <t>% Split</t>
  </si>
  <si>
    <t>Capital</t>
  </si>
  <si>
    <t>Removal</t>
  </si>
  <si>
    <t>O&amp;M</t>
  </si>
  <si>
    <t>Project</t>
  </si>
  <si>
    <t>DMS20KK01</t>
  </si>
  <si>
    <t>Work Orders/WR #'s</t>
  </si>
  <si>
    <t>Ashland</t>
  </si>
  <si>
    <t>DKY0095992 / 75539719</t>
  </si>
  <si>
    <t>Hazard</t>
  </si>
  <si>
    <t>Pikeville</t>
  </si>
  <si>
    <t>Original Split</t>
  </si>
  <si>
    <t>Cap 31% / Rem 06% / O&amp;M 63%</t>
  </si>
  <si>
    <t>Wind Storm definition</t>
  </si>
  <si>
    <t>Business Objects</t>
  </si>
  <si>
    <t xml:space="preserve"> Bus Obj</t>
  </si>
  <si>
    <t xml:space="preserve">Total </t>
  </si>
  <si>
    <t>Total  for Splits</t>
  </si>
  <si>
    <t>Less: Materials (all Captial)</t>
  </si>
  <si>
    <t>Less: Construct/Retire (no O&amp;M)</t>
  </si>
  <si>
    <t>Less: Above items</t>
  </si>
  <si>
    <t>04/9/2020 THUNDERSTORM TOTAL COST</t>
  </si>
  <si>
    <t>04/09/2020 THUNDERSTORM INCREMENTAL COST</t>
  </si>
  <si>
    <t>Thunderstorm:  04/09/2020</t>
  </si>
  <si>
    <t>Transformer</t>
  </si>
  <si>
    <t>Insulator</t>
  </si>
  <si>
    <t>Lane Logix</t>
  </si>
  <si>
    <t>Less: Asplundh &amp; Wright Tree(all O&amp;M)</t>
  </si>
  <si>
    <t>04/12/2020 Wind STORM TOTAL COST</t>
  </si>
  <si>
    <t>04/12/2020 Wind STORM INCREMENTAL COST</t>
  </si>
  <si>
    <t>Wind Storm:  04/12/2020</t>
  </si>
  <si>
    <t>Asplundh Construction LLC</t>
  </si>
  <si>
    <t>AMPP Construction</t>
  </si>
  <si>
    <t>Bullworx Inc</t>
  </si>
  <si>
    <t>Cornetts Mechanical Contracting</t>
  </si>
  <si>
    <t>C&amp;T of Hazard</t>
  </si>
  <si>
    <t>Davey Resource Group</t>
  </si>
  <si>
    <t>Darins Unlimited</t>
  </si>
  <si>
    <t>Elevated Services</t>
  </si>
  <si>
    <t>Enviro Pro</t>
  </si>
  <si>
    <t>Frankart Power Line Services LLC</t>
  </si>
  <si>
    <t>Good-One Excavating</t>
  </si>
  <si>
    <t>Greg Hale LLC</t>
  </si>
  <si>
    <t>JF Electric, INC</t>
  </si>
  <si>
    <t>JIGSAW Enterprises LLC</t>
  </si>
  <si>
    <t>Nelson Tree Service LLC</t>
  </si>
  <si>
    <t>Overhead Door of Eastern</t>
  </si>
  <si>
    <t>Pike Electric</t>
  </si>
  <si>
    <t>Powergrid Services LLC</t>
  </si>
  <si>
    <t>Robert Henry Corp</t>
  </si>
  <si>
    <t>Thayer Power and Communication</t>
  </si>
  <si>
    <t>New River</t>
  </si>
  <si>
    <t>Other Contractors</t>
  </si>
  <si>
    <t>Bus Obj</t>
  </si>
  <si>
    <t>Transmission Project KEPCS2001 for Kentucky Power Thunderstorm 04/09/2020</t>
  </si>
  <si>
    <t>Transmission Project KEPCS2002 for Kentucky Power Wind Storm 04/12/2020</t>
  </si>
  <si>
    <t>2020 Storms - Total Fleet Cost</t>
  </si>
  <si>
    <t>Transmission Contractors</t>
  </si>
  <si>
    <t>KENTUCKY POWER COMPANY</t>
  </si>
  <si>
    <t>EXPENSE DEFERRAL REQUEST</t>
  </si>
  <si>
    <t>Incremental</t>
  </si>
  <si>
    <t>Major Storms</t>
  </si>
  <si>
    <t>Storm Dates</t>
  </si>
  <si>
    <t>2020 Thunderstorm  Transmission (Storm 3)</t>
  </si>
  <si>
    <t>2020 Windstorm Transmission (Storm 4)</t>
  </si>
  <si>
    <t>BASE CASE STORM EXPENSE</t>
  </si>
  <si>
    <t>MAJOR STORM DEFERRAL REQUEST</t>
  </si>
  <si>
    <t>Amount in base</t>
  </si>
  <si>
    <t>Amount over base</t>
  </si>
  <si>
    <t>Less: Asplundh, Nelson &amp; Wright Tree(all O&amp;M)</t>
  </si>
  <si>
    <t xml:space="preserve">   </t>
  </si>
  <si>
    <t>Cognos</t>
  </si>
  <si>
    <t>Campbell Designs</t>
  </si>
  <si>
    <t>Amount over Base</t>
  </si>
  <si>
    <t>Jurisdictional Incremental O&amp;M Percentage</t>
  </si>
  <si>
    <t>12/24/2020-12/25/2020</t>
  </si>
  <si>
    <t>2020 MAJOR STORMS</t>
  </si>
  <si>
    <t>Snow Storm: 12/24/2020 - 12/25/2020</t>
  </si>
  <si>
    <t>2020 Wind Distribution (Storm 1)</t>
  </si>
  <si>
    <t xml:space="preserve">2020 Thunderstorm Distribution (Storm 3) </t>
  </si>
  <si>
    <t>2020 Windstorm Distribution (Storm 4)</t>
  </si>
  <si>
    <t>2020 Snow Storm Distribution (Storm 11)</t>
  </si>
  <si>
    <t>2020 Snow Storm Transmission (Storm 11)</t>
  </si>
  <si>
    <t>Transmission 12/24/2020 - 12/25/2020 Snow Storm TOTAL COST</t>
  </si>
  <si>
    <t>Transmission 12/24/2020 - 12/25/2020 Snow Storm INCREMENTAL COST</t>
  </si>
  <si>
    <t>Distribution 12/24/2020 - 12/25/2020 Snow Storm TOTAL COST</t>
  </si>
  <si>
    <t>Distribution 12/24/2020 - 12/25/2020 Snow Storm INCREMENTAL COST</t>
  </si>
  <si>
    <t>DMS20KK11</t>
  </si>
  <si>
    <t>KEPCS2003</t>
  </si>
  <si>
    <t>Ex. 2a</t>
  </si>
  <si>
    <t>Ex. 2b</t>
  </si>
  <si>
    <t>(1) Case No. 2017-00179 Allocation Factor GP-Dist</t>
  </si>
  <si>
    <t>(2) Case No. 2017-00179 Allocation Factor GP-T&amp;D</t>
  </si>
  <si>
    <t>(1)</t>
  </si>
  <si>
    <t>(2)</t>
  </si>
  <si>
    <t>Total for Major Events in 2020 Included in First Deferral Filing (Case No. 2020-00368 filed November 13, 2020)</t>
  </si>
  <si>
    <t>12/24/2020-12/25/20 Snow Storm</t>
  </si>
  <si>
    <t>Total Major Storm Cost</t>
  </si>
  <si>
    <t>Less:</t>
  </si>
  <si>
    <t>ST Labor</t>
  </si>
  <si>
    <t>ST Fringes and Overheads</t>
  </si>
  <si>
    <t>DHE Internal Labor</t>
  </si>
  <si>
    <t>Incremental Major Storm Cost</t>
  </si>
  <si>
    <t>O&amp;M Percentage</t>
  </si>
  <si>
    <t>Incremental O&amp;M Major Storm Cost</t>
  </si>
  <si>
    <t>Jurisdictional Incremental O&amp;M</t>
  </si>
  <si>
    <t>Jurisdictional Major O&amp;M Storm Cost in Base Rates</t>
  </si>
  <si>
    <t>Major O&amp;M Storm Cost exceeding Base Rates</t>
  </si>
  <si>
    <t>Incremental Requested Deferral</t>
  </si>
  <si>
    <t>*All incremental given restoration efforts occurred over a Holiday weekend. The Company does not pay DHE for weekend and Holiday time.</t>
  </si>
  <si>
    <t>*</t>
  </si>
  <si>
    <t>**</t>
  </si>
  <si>
    <t>**May not foot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</si>
</sst>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quot;$&quot;* #,##0_);_(&quot;$&quot;* \(#,##0\);_(&quot;$&quot;* &quot;-&quot;_);_(@_)"/>
    <numFmt numFmtId="41" formatCode="_(* #,##0_);_(* \(#,##0\);_(* &quot;-&quot;_);_(@_)"/>
    <numFmt numFmtId="44" formatCode="_(&quot;$&quot;* #,##0.00_);_(&quot;$&quot;* \(#,##0.00\);_(&quot;$&quot;* &quot;-&quot;??_);_(@_)"/>
    <numFmt numFmtId="164" formatCode="#,##0.0_);[Red]\(#,##0.0\)"/>
    <numFmt numFmtId="165" formatCode="&quot;$&quot;#,##0"/>
    <numFmt numFmtId="166" formatCode="0.00000%"/>
    <numFmt numFmtId="167" formatCode="#,##0.0_);\(#,##0.0\)"/>
    <numFmt numFmtId="168" formatCode="0.000000%"/>
    <numFmt numFmtId="169" formatCode="0.000%"/>
    <numFmt numFmtId="170" formatCode="&quot;$&quot;#,##0.00"/>
    <numFmt numFmtId="171" formatCode="0.0000%"/>
    <numFmt numFmtId="172" formatCode="0.000000000000000%"/>
    <numFmt numFmtId="173" formatCode="_(&quot;$&quot;* #,##0_);_(&quot;$&quot;* \(#,##0\);_(&quot;$&quot;* &quot;-&quot;??_);_(@_)"/>
    <numFmt numFmtId="174" formatCode="#,##0.00000"/>
    <numFmt numFmtId="175" formatCode="&quot;$&quot;#,##0.0000"/>
    <numFmt numFmtId="176" formatCode="0.000"/>
  </numFmts>
  <fonts count="24" x14ac:knownFonts="1">
    <font>
      <sz val="11"/>
      <color theme="1"/>
      <name val="Calibri"/>
      <family val="2"/>
      <scheme val="minor"/>
    </font>
    <font>
      <sz val="10"/>
      <name val="Tahoma"/>
      <family val="2"/>
    </font>
    <font>
      <b/>
      <sz val="10"/>
      <name val="Tahoma"/>
      <family val="2"/>
    </font>
    <font>
      <b/>
      <sz val="16"/>
      <name val="Tahoma"/>
      <family val="2"/>
    </font>
    <font>
      <b/>
      <sz val="12"/>
      <name val="Tahoma"/>
      <family val="2"/>
    </font>
    <font>
      <b/>
      <i/>
      <sz val="8"/>
      <name val="Tahoma"/>
      <family val="2"/>
    </font>
    <font>
      <b/>
      <sz val="11"/>
      <name val="Tahoma"/>
      <family val="2"/>
    </font>
    <font>
      <sz val="10"/>
      <color theme="0"/>
      <name val="Tahoma"/>
      <family val="2"/>
    </font>
    <font>
      <b/>
      <i/>
      <sz val="10"/>
      <color theme="0"/>
      <name val="Tahoma"/>
      <family val="2"/>
    </font>
    <font>
      <b/>
      <sz val="10"/>
      <color theme="0"/>
      <name val="Tahoma"/>
      <family val="2"/>
    </font>
    <font>
      <b/>
      <i/>
      <sz val="10"/>
      <name val="Tahoma"/>
      <family val="2"/>
    </font>
    <font>
      <i/>
      <sz val="8"/>
      <name val="Tahoma"/>
      <family val="2"/>
    </font>
    <font>
      <strike/>
      <sz val="10"/>
      <name val="Tahoma"/>
      <family val="2"/>
    </font>
    <font>
      <i/>
      <sz val="10"/>
      <name val="Tahoma"/>
      <family val="2"/>
    </font>
    <font>
      <b/>
      <sz val="8"/>
      <color indexed="81"/>
      <name val="Tahoma"/>
      <family val="2"/>
    </font>
    <font>
      <sz val="8"/>
      <color indexed="81"/>
      <name val="Tahoma"/>
      <family val="2"/>
    </font>
    <font>
      <u/>
      <sz val="8"/>
      <color indexed="81"/>
      <name val="Tahoma"/>
      <family val="2"/>
    </font>
    <font>
      <sz val="10"/>
      <color indexed="8"/>
      <name val="Tahoma"/>
      <family val="2"/>
    </font>
    <font>
      <u/>
      <sz val="10"/>
      <name val="Tahoma"/>
      <family val="2"/>
    </font>
    <font>
      <sz val="11"/>
      <color theme="1"/>
      <name val="Calibri"/>
      <family val="2"/>
      <scheme val="minor"/>
    </font>
    <font>
      <b/>
      <u/>
      <sz val="10"/>
      <name val="Tahoma"/>
      <family val="2"/>
    </font>
    <font>
      <sz val="10"/>
      <color rgb="FFFF0000"/>
      <name val="Tahoma"/>
      <family val="2"/>
    </font>
    <font>
      <b/>
      <i/>
      <sz val="10"/>
      <color rgb="FFFF0000"/>
      <name val="Tahoma"/>
      <family val="2"/>
    </font>
    <font>
      <b/>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
      <patternFill patternType="solid">
        <fgColor theme="2"/>
        <bgColor indexed="64"/>
      </patternFill>
    </fill>
  </fills>
  <borders count="20">
    <border>
      <left/>
      <right/>
      <top/>
      <bottom/>
      <diagonal/>
    </border>
    <border>
      <left/>
      <right/>
      <top/>
      <bottom style="medium">
        <color indexed="64"/>
      </bottom>
      <diagonal/>
    </border>
    <border>
      <left/>
      <right/>
      <top style="mediumDashDotDot">
        <color indexed="64"/>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dashed">
        <color indexed="64"/>
      </bottom>
      <diagonal/>
    </border>
  </borders>
  <cellStyleXfs count="5">
    <xf numFmtId="0" fontId="0" fillId="0" borderId="0"/>
    <xf numFmtId="0" fontId="1" fillId="0" borderId="0"/>
    <xf numFmtId="44" fontId="1"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196">
    <xf numFmtId="0" fontId="0" fillId="0" borderId="0" xfId="0"/>
    <xf numFmtId="0" fontId="1" fillId="0" borderId="0" xfId="1" applyProtection="1"/>
    <xf numFmtId="0" fontId="2" fillId="0" borderId="0" xfId="1" applyFont="1" applyProtection="1"/>
    <xf numFmtId="0" fontId="3" fillId="0" borderId="0" xfId="1" applyFont="1" applyProtection="1"/>
    <xf numFmtId="0" fontId="2" fillId="0" borderId="1" xfId="1" applyFont="1" applyFill="1" applyBorder="1" applyAlignment="1" applyProtection="1">
      <alignment horizontal="center"/>
    </xf>
    <xf numFmtId="0" fontId="1" fillId="2" borderId="0" xfId="1" applyFill="1" applyProtection="1"/>
    <xf numFmtId="0" fontId="2" fillId="0" borderId="1"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0" xfId="1" applyFont="1" applyAlignment="1" applyProtection="1">
      <alignment horizontal="center"/>
    </xf>
    <xf numFmtId="0" fontId="4" fillId="0" borderId="0" xfId="1" applyFont="1" applyProtection="1"/>
    <xf numFmtId="0" fontId="5" fillId="0" borderId="0" xfId="1" applyFont="1" applyFill="1" applyAlignment="1" applyProtection="1">
      <alignment horizontal="right"/>
    </xf>
    <xf numFmtId="0" fontId="1" fillId="0" borderId="0" xfId="1" applyFill="1" applyProtection="1"/>
    <xf numFmtId="0" fontId="2" fillId="0" borderId="1" xfId="1" applyFont="1" applyBorder="1" applyAlignment="1" applyProtection="1">
      <alignment horizontal="center"/>
    </xf>
    <xf numFmtId="0" fontId="2" fillId="0" borderId="0" xfId="1" applyFont="1" applyBorder="1" applyAlignment="1" applyProtection="1">
      <alignment horizontal="center"/>
    </xf>
    <xf numFmtId="0" fontId="2" fillId="2" borderId="0" xfId="1" applyFont="1" applyFill="1" applyAlignment="1" applyProtection="1">
      <alignment horizontal="center"/>
    </xf>
    <xf numFmtId="0" fontId="2" fillId="0" borderId="0" xfId="1" applyFont="1" applyFill="1" applyAlignment="1" applyProtection="1">
      <alignment horizontal="center"/>
    </xf>
    <xf numFmtId="0" fontId="6" fillId="0" borderId="0" xfId="1" applyFont="1" applyProtection="1"/>
    <xf numFmtId="0" fontId="1" fillId="0" borderId="0" xfId="1" applyFill="1" applyAlignment="1" applyProtection="1">
      <alignment horizontal="right"/>
    </xf>
    <xf numFmtId="42" fontId="1" fillId="0" borderId="0" xfId="1" applyNumberFormat="1" applyFill="1" applyProtection="1"/>
    <xf numFmtId="42" fontId="1" fillId="0" borderId="0" xfId="1" applyNumberFormat="1" applyProtection="1"/>
    <xf numFmtId="164" fontId="1" fillId="0" borderId="2" xfId="1" applyNumberFormat="1" applyFill="1" applyBorder="1" applyProtection="1"/>
    <xf numFmtId="164" fontId="1" fillId="0" borderId="2" xfId="1" applyNumberFormat="1" applyBorder="1" applyProtection="1"/>
    <xf numFmtId="164" fontId="1" fillId="0" borderId="0" xfId="1" applyNumberFormat="1" applyBorder="1" applyProtection="1"/>
    <xf numFmtId="0" fontId="7" fillId="0" borderId="0" xfId="1" applyFont="1" applyFill="1" applyBorder="1" applyProtection="1"/>
    <xf numFmtId="0" fontId="8" fillId="0" borderId="0" xfId="1" applyFont="1" applyFill="1" applyBorder="1" applyAlignment="1" applyProtection="1">
      <alignment horizontal="center"/>
    </xf>
    <xf numFmtId="165" fontId="7" fillId="0" borderId="0" xfId="1" applyNumberFormat="1" applyFont="1" applyFill="1" applyBorder="1" applyAlignment="1" applyProtection="1">
      <alignment horizontal="center"/>
    </xf>
    <xf numFmtId="42" fontId="1" fillId="0" borderId="3" xfId="1" applyNumberFormat="1" applyBorder="1" applyProtection="1"/>
    <xf numFmtId="42" fontId="1" fillId="0" borderId="3" xfId="1" applyNumberFormat="1" applyFill="1" applyBorder="1" applyProtection="1"/>
    <xf numFmtId="42" fontId="2" fillId="0" borderId="0" xfId="1" applyNumberFormat="1" applyFont="1" applyFill="1" applyProtection="1"/>
    <xf numFmtId="42" fontId="2" fillId="0" borderId="0" xfId="1" applyNumberFormat="1" applyFont="1" applyProtection="1"/>
    <xf numFmtId="42" fontId="2" fillId="0" borderId="4" xfId="1" applyNumberFormat="1" applyFont="1" applyFill="1" applyBorder="1" applyProtection="1"/>
    <xf numFmtId="42" fontId="2" fillId="0" borderId="4" xfId="1" applyNumberFormat="1" applyFont="1" applyBorder="1" applyProtection="1"/>
    <xf numFmtId="42" fontId="2" fillId="0" borderId="0" xfId="1" applyNumberFormat="1" applyFont="1" applyBorder="1" applyProtection="1"/>
    <xf numFmtId="0" fontId="1" fillId="0" borderId="0" xfId="1" applyNumberFormat="1" applyFill="1" applyProtection="1"/>
    <xf numFmtId="42" fontId="1" fillId="0" borderId="0" xfId="1" applyNumberFormat="1" applyFill="1" applyBorder="1" applyProtection="1"/>
    <xf numFmtId="166" fontId="9" fillId="0" borderId="0" xfId="1" applyNumberFormat="1" applyFont="1" applyFill="1" applyBorder="1" applyAlignment="1" applyProtection="1">
      <alignment horizontal="center"/>
    </xf>
    <xf numFmtId="0" fontId="1" fillId="0" borderId="0" xfId="1" applyAlignment="1" applyProtection="1">
      <alignment horizontal="right"/>
    </xf>
    <xf numFmtId="42" fontId="1" fillId="0" borderId="0" xfId="1" applyNumberFormat="1" applyBorder="1" applyProtection="1"/>
    <xf numFmtId="42" fontId="1" fillId="0" borderId="1" xfId="1" applyNumberFormat="1" applyFont="1" applyBorder="1" applyProtection="1"/>
    <xf numFmtId="42" fontId="1" fillId="0" borderId="0" xfId="1" applyNumberFormat="1" applyFont="1" applyBorder="1" applyProtection="1"/>
    <xf numFmtId="42" fontId="2" fillId="0" borderId="5" xfId="1" applyNumberFormat="1" applyFont="1" applyBorder="1" applyProtection="1"/>
    <xf numFmtId="0" fontId="2" fillId="2" borderId="5" xfId="1" applyFont="1" applyFill="1" applyBorder="1" applyProtection="1"/>
    <xf numFmtId="164" fontId="1" fillId="0" borderId="0" xfId="1" applyNumberFormat="1" applyProtection="1"/>
    <xf numFmtId="164" fontId="1" fillId="0" borderId="0" xfId="1" applyNumberFormat="1" applyFill="1" applyProtection="1"/>
    <xf numFmtId="42" fontId="7" fillId="0" borderId="0" xfId="1" applyNumberFormat="1" applyFont="1" applyFill="1" applyBorder="1" applyProtection="1"/>
    <xf numFmtId="37" fontId="1" fillId="0" borderId="0" xfId="1" applyNumberFormat="1" applyProtection="1"/>
    <xf numFmtId="164" fontId="1" fillId="0" borderId="0" xfId="1" applyNumberFormat="1" applyFill="1" applyBorder="1" applyProtection="1"/>
    <xf numFmtId="0" fontId="1" fillId="3" borderId="0" xfId="1" applyFont="1" applyFill="1" applyProtection="1"/>
    <xf numFmtId="0" fontId="1" fillId="0" borderId="0" xfId="1" applyBorder="1" applyProtection="1"/>
    <xf numFmtId="167" fontId="2" fillId="0" borderId="5" xfId="1" applyNumberFormat="1" applyFont="1" applyBorder="1" applyProtection="1"/>
    <xf numFmtId="0" fontId="2" fillId="2" borderId="0" xfId="1" applyFont="1" applyFill="1" applyBorder="1" applyProtection="1"/>
    <xf numFmtId="167" fontId="2" fillId="0" borderId="0" xfId="1" applyNumberFormat="1" applyFont="1" applyBorder="1" applyProtection="1"/>
    <xf numFmtId="42" fontId="2" fillId="0" borderId="6" xfId="1" applyNumberFormat="1" applyFont="1" applyBorder="1" applyProtection="1"/>
    <xf numFmtId="42" fontId="2" fillId="2" borderId="6" xfId="1" applyNumberFormat="1" applyFont="1" applyFill="1" applyBorder="1" applyProtection="1"/>
    <xf numFmtId="42" fontId="2" fillId="0" borderId="6" xfId="1" applyNumberFormat="1" applyFont="1" applyFill="1" applyBorder="1" applyProtection="1"/>
    <xf numFmtId="165" fontId="1" fillId="0" borderId="0" xfId="1" applyNumberFormat="1" applyFill="1" applyAlignment="1" applyProtection="1">
      <alignment horizontal="right"/>
    </xf>
    <xf numFmtId="0" fontId="10" fillId="0" borderId="0" xfId="1" applyFont="1" applyFill="1" applyProtection="1"/>
    <xf numFmtId="10" fontId="1" fillId="0" borderId="0" xfId="1" applyNumberFormat="1" applyProtection="1"/>
    <xf numFmtId="10" fontId="1" fillId="0" borderId="0" xfId="1" applyNumberFormat="1" applyFill="1" applyAlignment="1" applyProtection="1">
      <alignment horizontal="right"/>
    </xf>
    <xf numFmtId="44" fontId="1" fillId="0" borderId="0" xfId="1" applyNumberFormat="1" applyProtection="1"/>
    <xf numFmtId="165" fontId="1" fillId="0" borderId="0" xfId="1" applyNumberFormat="1" applyProtection="1"/>
    <xf numFmtId="10" fontId="10" fillId="0" borderId="0" xfId="1" applyNumberFormat="1" applyFont="1" applyFill="1" applyProtection="1"/>
    <xf numFmtId="9" fontId="1" fillId="0" borderId="0" xfId="1" applyNumberFormat="1" applyProtection="1"/>
    <xf numFmtId="0" fontId="1" fillId="0" borderId="7" xfId="1" applyBorder="1" applyProtection="1"/>
    <xf numFmtId="0" fontId="1" fillId="0" borderId="8" xfId="1" applyBorder="1" applyProtection="1"/>
    <xf numFmtId="168" fontId="1" fillId="0" borderId="8" xfId="1" applyNumberFormat="1" applyBorder="1" applyProtection="1"/>
    <xf numFmtId="0" fontId="1" fillId="0" borderId="9" xfId="1" applyBorder="1" applyProtection="1"/>
    <xf numFmtId="169" fontId="1" fillId="0" borderId="0" xfId="1" applyNumberFormat="1" applyProtection="1"/>
    <xf numFmtId="0" fontId="1" fillId="0" borderId="10" xfId="1" applyBorder="1" applyProtection="1"/>
    <xf numFmtId="0" fontId="1" fillId="0" borderId="11" xfId="1" applyBorder="1" applyProtection="1"/>
    <xf numFmtId="0" fontId="1" fillId="0" borderId="0" xfId="1" quotePrefix="1" applyFill="1" applyBorder="1" applyAlignment="1" applyProtection="1">
      <alignment horizontal="center"/>
    </xf>
    <xf numFmtId="38" fontId="1" fillId="0" borderId="11" xfId="1" applyNumberFormat="1" applyBorder="1" applyProtection="1"/>
    <xf numFmtId="38" fontId="1" fillId="0" borderId="0" xfId="1" applyNumberFormat="1" applyFill="1" applyBorder="1" applyProtection="1"/>
    <xf numFmtId="38" fontId="1" fillId="0" borderId="12" xfId="1" applyNumberFormat="1" applyBorder="1" applyProtection="1"/>
    <xf numFmtId="4" fontId="1" fillId="0" borderId="0" xfId="1" applyNumberFormat="1" applyProtection="1"/>
    <xf numFmtId="38" fontId="1" fillId="0" borderId="13" xfId="1" applyNumberFormat="1" applyBorder="1" applyProtection="1"/>
    <xf numFmtId="0" fontId="11" fillId="0" borderId="0" xfId="1" applyFont="1" applyBorder="1" applyAlignment="1" applyProtection="1">
      <alignment horizontal="center"/>
    </xf>
    <xf numFmtId="2" fontId="1" fillId="0" borderId="0" xfId="1" applyNumberFormat="1" applyProtection="1"/>
    <xf numFmtId="0" fontId="1" fillId="4" borderId="10" xfId="1" applyFill="1" applyBorder="1" applyProtection="1"/>
    <xf numFmtId="38" fontId="1" fillId="4" borderId="0" xfId="1" applyNumberFormat="1" applyFill="1" applyBorder="1" applyProtection="1"/>
    <xf numFmtId="38" fontId="1" fillId="0" borderId="0" xfId="1" applyNumberFormat="1" applyBorder="1" applyProtection="1"/>
    <xf numFmtId="38" fontId="1" fillId="0" borderId="3" xfId="1" applyNumberFormat="1" applyBorder="1" applyProtection="1"/>
    <xf numFmtId="38" fontId="1" fillId="0" borderId="14" xfId="1" applyNumberFormat="1" applyBorder="1" applyProtection="1"/>
    <xf numFmtId="0" fontId="1" fillId="0" borderId="0" xfId="1" applyFill="1" applyBorder="1" applyAlignment="1" applyProtection="1">
      <alignment horizontal="center"/>
    </xf>
    <xf numFmtId="168" fontId="1" fillId="0" borderId="15" xfId="1" applyNumberFormat="1" applyBorder="1" applyProtection="1"/>
    <xf numFmtId="0" fontId="1" fillId="0" borderId="16" xfId="1" applyBorder="1" applyProtection="1"/>
    <xf numFmtId="0" fontId="1" fillId="0" borderId="17" xfId="1" applyBorder="1" applyProtection="1"/>
    <xf numFmtId="38" fontId="1" fillId="0" borderId="17" xfId="1" applyNumberFormat="1" applyFont="1" applyBorder="1" applyAlignment="1" applyProtection="1">
      <alignment horizontal="center"/>
    </xf>
    <xf numFmtId="38" fontId="1" fillId="0" borderId="18" xfId="1" applyNumberFormat="1" applyBorder="1" applyProtection="1"/>
    <xf numFmtId="38" fontId="1" fillId="0" borderId="8" xfId="1" applyNumberFormat="1" applyBorder="1" applyProtection="1"/>
    <xf numFmtId="14" fontId="1" fillId="0" borderId="0" xfId="1" applyNumberFormat="1" applyFill="1" applyBorder="1" applyProtection="1"/>
    <xf numFmtId="0" fontId="1" fillId="0" borderId="0" xfId="1" applyFill="1" applyBorder="1" applyProtection="1"/>
    <xf numFmtId="38" fontId="12" fillId="0" borderId="0" xfId="1" applyNumberFormat="1" applyFont="1" applyFill="1" applyBorder="1" applyProtection="1"/>
    <xf numFmtId="0" fontId="12" fillId="0" borderId="0" xfId="1" applyFont="1" applyBorder="1" applyProtection="1"/>
    <xf numFmtId="38" fontId="12" fillId="0" borderId="0" xfId="1" applyNumberFormat="1" applyFont="1" applyBorder="1" applyProtection="1"/>
    <xf numFmtId="38" fontId="1" fillId="0" borderId="0" xfId="1" applyNumberFormat="1" applyProtection="1"/>
    <xf numFmtId="168" fontId="1" fillId="0" borderId="0" xfId="1" applyNumberFormat="1" applyFill="1" applyBorder="1" applyProtection="1"/>
    <xf numFmtId="38" fontId="1" fillId="0" borderId="0" xfId="1" applyNumberFormat="1" applyFont="1" applyFill="1" applyBorder="1" applyAlignment="1" applyProtection="1">
      <alignment horizontal="center"/>
    </xf>
    <xf numFmtId="0" fontId="13" fillId="0" borderId="0" xfId="1" applyFont="1" applyProtection="1"/>
    <xf numFmtId="44" fontId="1" fillId="0" borderId="0" xfId="1" applyNumberFormat="1" applyFill="1" applyProtection="1"/>
    <xf numFmtId="44" fontId="1" fillId="0" borderId="3" xfId="1" applyNumberFormat="1" applyBorder="1" applyProtection="1"/>
    <xf numFmtId="44" fontId="12" fillId="0" borderId="0" xfId="1" applyNumberFormat="1" applyFont="1" applyBorder="1" applyProtection="1"/>
    <xf numFmtId="171" fontId="1" fillId="0" borderId="0" xfId="1" applyNumberFormat="1" applyProtection="1"/>
    <xf numFmtId="171" fontId="1" fillId="0" borderId="0" xfId="1" applyNumberFormat="1" applyFill="1" applyAlignment="1" applyProtection="1">
      <alignment horizontal="right"/>
    </xf>
    <xf numFmtId="42" fontId="17" fillId="0" borderId="0" xfId="1" applyNumberFormat="1" applyFont="1" applyFill="1" applyProtection="1"/>
    <xf numFmtId="170" fontId="10" fillId="0" borderId="0" xfId="1" applyNumberFormat="1" applyFont="1" applyFill="1" applyProtection="1"/>
    <xf numFmtId="172" fontId="1" fillId="0" borderId="0" xfId="1" applyNumberFormat="1" applyProtection="1"/>
    <xf numFmtId="171" fontId="1" fillId="0" borderId="8" xfId="1" applyNumberFormat="1" applyBorder="1" applyProtection="1"/>
    <xf numFmtId="0" fontId="7" fillId="0" borderId="0" xfId="1" applyFont="1" applyFill="1" applyProtection="1"/>
    <xf numFmtId="44" fontId="2" fillId="0" borderId="0" xfId="1" applyNumberFormat="1" applyFont="1" applyProtection="1"/>
    <xf numFmtId="42" fontId="7" fillId="0" borderId="0" xfId="1" applyNumberFormat="1" applyFont="1" applyFill="1" applyProtection="1"/>
    <xf numFmtId="42" fontId="1" fillId="0" borderId="0" xfId="1" applyNumberFormat="1" applyFill="1" applyAlignment="1" applyProtection="1">
      <alignment horizontal="right"/>
    </xf>
    <xf numFmtId="0" fontId="7" fillId="5" borderId="0" xfId="1" applyFont="1" applyFill="1" applyBorder="1" applyProtection="1"/>
    <xf numFmtId="0" fontId="8" fillId="5" borderId="0" xfId="1" applyFont="1" applyFill="1" applyBorder="1" applyAlignment="1" applyProtection="1">
      <alignment horizontal="center"/>
    </xf>
    <xf numFmtId="165" fontId="7" fillId="5" borderId="0" xfId="1" applyNumberFormat="1" applyFont="1" applyFill="1" applyBorder="1" applyAlignment="1" applyProtection="1">
      <alignment horizontal="center"/>
    </xf>
    <xf numFmtId="166" fontId="9" fillId="5" borderId="0" xfId="1" applyNumberFormat="1" applyFont="1" applyFill="1" applyBorder="1" applyAlignment="1" applyProtection="1">
      <alignment horizontal="center"/>
    </xf>
    <xf numFmtId="42" fontId="7" fillId="5" borderId="0" xfId="1" applyNumberFormat="1" applyFont="1" applyFill="1" applyBorder="1" applyProtection="1"/>
    <xf numFmtId="0" fontId="1" fillId="0" borderId="0" xfId="1"/>
    <xf numFmtId="0" fontId="1" fillId="0" borderId="0" xfId="1" applyAlignment="1">
      <alignment horizontal="center"/>
    </xf>
    <xf numFmtId="1" fontId="1" fillId="0" borderId="0" xfId="1" applyNumberFormat="1" applyFill="1" applyProtection="1"/>
    <xf numFmtId="1" fontId="2" fillId="0" borderId="0" xfId="1" applyNumberFormat="1" applyFont="1" applyFill="1" applyProtection="1"/>
    <xf numFmtId="38" fontId="1" fillId="0" borderId="0" xfId="1" applyNumberFormat="1" applyFill="1" applyBorder="1" applyAlignment="1" applyProtection="1">
      <alignment horizontal="center"/>
    </xf>
    <xf numFmtId="174" fontId="1" fillId="0" borderId="0" xfId="1" applyNumberFormat="1" applyProtection="1"/>
    <xf numFmtId="166" fontId="1" fillId="0" borderId="8" xfId="1" applyNumberFormat="1" applyBorder="1" applyProtection="1"/>
    <xf numFmtId="44" fontId="1" fillId="0" borderId="0" xfId="1" applyNumberFormat="1" applyFill="1" applyAlignment="1" applyProtection="1">
      <alignment horizontal="right"/>
    </xf>
    <xf numFmtId="38" fontId="1" fillId="0" borderId="0" xfId="1" applyNumberFormat="1" applyAlignment="1" applyProtection="1">
      <alignment horizontal="right"/>
    </xf>
    <xf numFmtId="0" fontId="1" fillId="6" borderId="0" xfId="1" applyFill="1"/>
    <xf numFmtId="0" fontId="1" fillId="6" borderId="0" xfId="1" applyFill="1" applyAlignment="1">
      <alignment horizontal="center"/>
    </xf>
    <xf numFmtId="0" fontId="18" fillId="6" borderId="0" xfId="1" applyFont="1" applyFill="1" applyBorder="1" applyAlignment="1">
      <alignment horizontal="center"/>
    </xf>
    <xf numFmtId="0" fontId="1" fillId="6" borderId="0" xfId="1" applyFont="1" applyFill="1"/>
    <xf numFmtId="14" fontId="1" fillId="6" borderId="0" xfId="1" applyNumberFormat="1" applyFont="1" applyFill="1"/>
    <xf numFmtId="42" fontId="1" fillId="6" borderId="0" xfId="1" applyNumberFormat="1" applyFill="1"/>
    <xf numFmtId="14" fontId="1" fillId="6" borderId="0" xfId="1" applyNumberFormat="1" applyFill="1"/>
    <xf numFmtId="14" fontId="1" fillId="6" borderId="0" xfId="1" applyNumberFormat="1" applyFont="1" applyFill="1" applyAlignment="1">
      <alignment horizontal="right"/>
    </xf>
    <xf numFmtId="0" fontId="0" fillId="6" borderId="0" xfId="0" applyFill="1"/>
    <xf numFmtId="173" fontId="0" fillId="6" borderId="3" xfId="2" applyNumberFormat="1" applyFont="1" applyFill="1" applyBorder="1"/>
    <xf numFmtId="42" fontId="1" fillId="6" borderId="15" xfId="1" applyNumberFormat="1" applyFill="1" applyBorder="1"/>
    <xf numFmtId="0" fontId="1" fillId="0" borderId="0" xfId="1" applyFill="1"/>
    <xf numFmtId="0" fontId="20" fillId="0" borderId="0" xfId="1" applyFont="1" applyFill="1" applyBorder="1" applyAlignment="1">
      <alignment horizontal="center"/>
    </xf>
    <xf numFmtId="0" fontId="2" fillId="0" borderId="0" xfId="1" applyFont="1" applyFill="1"/>
    <xf numFmtId="0" fontId="2" fillId="0" borderId="0" xfId="1" applyFont="1"/>
    <xf numFmtId="14" fontId="2" fillId="0" borderId="0" xfId="1" applyNumberFormat="1" applyFont="1"/>
    <xf numFmtId="42" fontId="2" fillId="0" borderId="0" xfId="1" applyNumberFormat="1" applyFont="1"/>
    <xf numFmtId="175" fontId="1" fillId="0" borderId="0" xfId="1" applyNumberFormat="1" applyFill="1" applyAlignment="1" applyProtection="1">
      <alignment horizontal="right"/>
    </xf>
    <xf numFmtId="44" fontId="7" fillId="0" borderId="0" xfId="3" applyFont="1" applyProtection="1"/>
    <xf numFmtId="44" fontId="7" fillId="0" borderId="0" xfId="1" applyNumberFormat="1" applyFont="1" applyProtection="1"/>
    <xf numFmtId="0" fontId="7" fillId="0" borderId="0" xfId="1" applyFont="1" applyProtection="1"/>
    <xf numFmtId="4" fontId="7" fillId="0" borderId="0" xfId="1" applyNumberFormat="1" applyFont="1" applyProtection="1"/>
    <xf numFmtId="42" fontId="7" fillId="0" borderId="0" xfId="1" applyNumberFormat="1" applyFont="1" applyProtection="1"/>
    <xf numFmtId="10" fontId="7" fillId="0" borderId="0" xfId="1" applyNumberFormat="1" applyFont="1" applyProtection="1"/>
    <xf numFmtId="171" fontId="7" fillId="0" borderId="0" xfId="1" applyNumberFormat="1" applyFont="1" applyProtection="1"/>
    <xf numFmtId="0" fontId="21" fillId="0" borderId="0" xfId="1" applyFont="1" applyProtection="1"/>
    <xf numFmtId="0" fontId="22" fillId="0" borderId="0" xfId="1" applyFont="1" applyFill="1" applyProtection="1"/>
    <xf numFmtId="169" fontId="21" fillId="0" borderId="0" xfId="1" applyNumberFormat="1" applyFont="1" applyProtection="1"/>
    <xf numFmtId="0" fontId="21" fillId="0" borderId="0" xfId="1" quotePrefix="1" applyFont="1" applyFill="1" applyBorder="1" applyAlignment="1" applyProtection="1">
      <alignment horizontal="center"/>
    </xf>
    <xf numFmtId="38" fontId="21" fillId="0" borderId="0" xfId="1" applyNumberFormat="1" applyFont="1" applyFill="1" applyBorder="1" applyProtection="1"/>
    <xf numFmtId="38" fontId="21" fillId="0" borderId="0" xfId="1" applyNumberFormat="1" applyFont="1" applyProtection="1"/>
    <xf numFmtId="10" fontId="1" fillId="0" borderId="8" xfId="1" applyNumberFormat="1" applyBorder="1" applyProtection="1"/>
    <xf numFmtId="164" fontId="7" fillId="0" borderId="0" xfId="1" applyNumberFormat="1" applyFont="1" applyBorder="1" applyProtection="1"/>
    <xf numFmtId="42" fontId="9" fillId="0" borderId="0" xfId="1" applyNumberFormat="1" applyFont="1" applyBorder="1" applyProtection="1"/>
    <xf numFmtId="0" fontId="2" fillId="0" borderId="0" xfId="1" applyFont="1" applyFill="1" applyBorder="1" applyAlignment="1" applyProtection="1">
      <alignment horizontal="center"/>
    </xf>
    <xf numFmtId="176" fontId="1" fillId="6" borderId="0" xfId="1" applyNumberFormat="1" applyFill="1"/>
    <xf numFmtId="176" fontId="2" fillId="0" borderId="0" xfId="1" applyNumberFormat="1" applyFont="1" applyFill="1"/>
    <xf numFmtId="173" fontId="2" fillId="0" borderId="0" xfId="1" applyNumberFormat="1" applyFont="1"/>
    <xf numFmtId="0" fontId="2" fillId="0" borderId="0" xfId="1" applyFont="1" applyFill="1" applyBorder="1" applyAlignment="1" applyProtection="1">
      <alignment horizontal="center"/>
    </xf>
    <xf numFmtId="0" fontId="2" fillId="0" borderId="0" xfId="1" applyFont="1" applyAlignment="1">
      <alignment horizontal="center"/>
    </xf>
    <xf numFmtId="0" fontId="1" fillId="6" borderId="0" xfId="1" applyFill="1" applyAlignment="1">
      <alignment horizontal="center" wrapText="1"/>
    </xf>
    <xf numFmtId="0" fontId="1" fillId="0" borderId="0" xfId="1" applyFont="1" applyProtection="1"/>
    <xf numFmtId="176" fontId="1" fillId="6" borderId="0" xfId="1" applyNumberFormat="1" applyFill="1" applyAlignment="1">
      <alignment horizontal="center"/>
    </xf>
    <xf numFmtId="176" fontId="1" fillId="6" borderId="0" xfId="1" quotePrefix="1" applyNumberFormat="1" applyFill="1" applyAlignment="1">
      <alignment horizontal="center"/>
    </xf>
    <xf numFmtId="42" fontId="1" fillId="6" borderId="0" xfId="1" applyNumberFormat="1" applyFill="1" applyAlignment="1">
      <alignment horizontal="center"/>
    </xf>
    <xf numFmtId="0" fontId="0" fillId="6" borderId="0" xfId="0" applyFill="1" applyAlignment="1">
      <alignment horizontal="center"/>
    </xf>
    <xf numFmtId="173" fontId="0" fillId="6" borderId="3" xfId="2" applyNumberFormat="1" applyFont="1" applyFill="1" applyBorder="1" applyAlignment="1">
      <alignment horizontal="center"/>
    </xf>
    <xf numFmtId="42" fontId="1" fillId="6" borderId="15" xfId="1" applyNumberFormat="1" applyFill="1" applyBorder="1" applyAlignment="1">
      <alignment horizontal="center"/>
    </xf>
    <xf numFmtId="0" fontId="2" fillId="0" borderId="0" xfId="1" applyFont="1" applyFill="1" applyAlignment="1">
      <alignment horizontal="center"/>
    </xf>
    <xf numFmtId="176" fontId="2" fillId="0" borderId="0" xfId="1" applyNumberFormat="1" applyFont="1" applyFill="1" applyAlignment="1">
      <alignment horizontal="center"/>
    </xf>
    <xf numFmtId="176" fontId="2" fillId="0" borderId="0" xfId="1" quotePrefix="1" applyNumberFormat="1" applyFont="1" applyFill="1" applyAlignment="1">
      <alignment horizontal="center"/>
    </xf>
    <xf numFmtId="173" fontId="19" fillId="0" borderId="0" xfId="3" applyNumberFormat="1" applyFont="1"/>
    <xf numFmtId="41" fontId="19" fillId="0" borderId="0" xfId="3" applyNumberFormat="1" applyFont="1"/>
    <xf numFmtId="41" fontId="19" fillId="0" borderId="3" xfId="3" applyNumberFormat="1" applyFont="1" applyBorder="1"/>
    <xf numFmtId="10" fontId="19" fillId="0" borderId="3" xfId="4" applyNumberFormat="1" applyFont="1" applyBorder="1"/>
    <xf numFmtId="173" fontId="19" fillId="0" borderId="19" xfId="3" applyNumberFormat="1" applyFont="1" applyBorder="1"/>
    <xf numFmtId="176" fontId="19" fillId="0" borderId="0" xfId="3" applyNumberFormat="1" applyFont="1"/>
    <xf numFmtId="41" fontId="0" fillId="0" borderId="3" xfId="0" applyNumberFormat="1" applyBorder="1"/>
    <xf numFmtId="173" fontId="0" fillId="0" borderId="14" xfId="0" applyNumberFormat="1" applyBorder="1"/>
    <xf numFmtId="0" fontId="23" fillId="0" borderId="0" xfId="0" applyFont="1"/>
    <xf numFmtId="0" fontId="2" fillId="0" borderId="1" xfId="1" applyFont="1" applyFill="1" applyBorder="1" applyAlignment="1" applyProtection="1">
      <alignment horizontal="center"/>
    </xf>
    <xf numFmtId="0" fontId="2" fillId="0" borderId="0" xfId="1" applyFont="1" applyAlignment="1" applyProtection="1">
      <alignment horizontal="left" vertical="center"/>
    </xf>
    <xf numFmtId="0" fontId="1" fillId="0" borderId="0" xfId="1" applyAlignment="1">
      <alignment vertical="top" wrapText="1"/>
    </xf>
    <xf numFmtId="0" fontId="0" fillId="0" borderId="0" xfId="0" applyAlignment="1">
      <alignment vertical="top" wrapText="1"/>
    </xf>
    <xf numFmtId="0" fontId="2" fillId="0" borderId="0" xfId="1" applyFont="1" applyAlignment="1">
      <alignment horizontal="center"/>
    </xf>
    <xf numFmtId="0" fontId="1" fillId="6" borderId="0" xfId="1" applyFill="1" applyAlignment="1">
      <alignment horizontal="center" wrapText="1"/>
    </xf>
    <xf numFmtId="0" fontId="2" fillId="0" borderId="0" xfId="1" applyFont="1" applyFill="1" applyBorder="1" applyAlignment="1" applyProtection="1">
      <alignment horizontal="center"/>
    </xf>
    <xf numFmtId="0" fontId="4" fillId="0" borderId="0" xfId="1" applyFont="1" applyAlignment="1" applyProtection="1">
      <alignment horizontal="center"/>
    </xf>
    <xf numFmtId="0" fontId="1" fillId="0" borderId="10" xfId="1" applyFill="1" applyBorder="1" applyProtection="1"/>
    <xf numFmtId="38" fontId="1" fillId="0" borderId="11" xfId="1" applyNumberFormat="1" applyFill="1" applyBorder="1" applyProtection="1"/>
  </cellXfs>
  <cellStyles count="5">
    <cellStyle name="Currency" xfId="3" builtinId="4"/>
    <cellStyle name="Currency 2" xfId="2"/>
    <cellStyle name="Normal" xfId="0" builtinId="0"/>
    <cellStyle name="Normal 2" xfId="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27"/>
  <sheetViews>
    <sheetView topLeftCell="A82" zoomScaleNormal="100" workbookViewId="0">
      <selection activeCell="G115" sqref="G115"/>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14.7109375" style="1" customWidth="1"/>
    <col min="8" max="8" width="16"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1" hidden="1" customWidth="1"/>
    <col min="25" max="16384" width="9.140625" style="1"/>
  </cols>
  <sheetData>
    <row r="1" spans="2:24" ht="15" x14ac:dyDescent="0.25">
      <c r="E1" s="2"/>
      <c r="F1" s="2"/>
      <c r="I1"/>
    </row>
    <row r="2" spans="2:24" ht="20.25" thickBot="1" x14ac:dyDescent="0.3">
      <c r="B2" s="3" t="s">
        <v>0</v>
      </c>
      <c r="C2" s="2"/>
      <c r="D2" s="2"/>
      <c r="E2" s="2"/>
      <c r="F2" s="2"/>
      <c r="G2" s="6" t="s">
        <v>1</v>
      </c>
      <c r="H2" s="6"/>
      <c r="J2" s="6"/>
      <c r="K2" s="6"/>
      <c r="L2" s="5"/>
      <c r="M2" s="186" t="s">
        <v>2</v>
      </c>
      <c r="N2" s="186"/>
      <c r="O2" s="186"/>
      <c r="P2" s="186"/>
      <c r="Q2" s="186"/>
      <c r="R2" s="7"/>
      <c r="S2" s="7"/>
      <c r="T2" s="7"/>
      <c r="U2" s="7"/>
      <c r="V2" s="7"/>
    </row>
    <row r="3" spans="2:24" ht="19.5" x14ac:dyDescent="0.25">
      <c r="B3" s="3" t="s">
        <v>3</v>
      </c>
      <c r="C3" s="2"/>
      <c r="D3" s="2"/>
      <c r="L3" s="5"/>
    </row>
    <row r="4" spans="2:24" x14ac:dyDescent="0.2">
      <c r="B4" s="2" t="s">
        <v>4</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99">
        <f>K9*$G$103</f>
        <v>3545.9944704638028</v>
      </c>
      <c r="H9" s="99">
        <f>K9*$H$103</f>
        <v>444.65132856863858</v>
      </c>
      <c r="I9" s="99">
        <f>$I$103*K9</f>
        <v>17868.426704446883</v>
      </c>
      <c r="J9" s="19">
        <v>0</v>
      </c>
      <c r="K9" s="18">
        <v>21859</v>
      </c>
      <c r="L9" s="5"/>
      <c r="M9" s="18">
        <v>0</v>
      </c>
      <c r="N9" s="18">
        <v>0</v>
      </c>
      <c r="O9" s="18">
        <v>0</v>
      </c>
      <c r="P9" s="19">
        <v>0</v>
      </c>
      <c r="Q9" s="19">
        <f>SUM(M9:P9)</f>
        <v>0</v>
      </c>
      <c r="R9" s="19"/>
      <c r="S9" s="19"/>
      <c r="T9" s="19"/>
      <c r="U9" s="19"/>
      <c r="V9" s="19"/>
    </row>
    <row r="10" spans="2:24" x14ac:dyDescent="0.2">
      <c r="B10" s="2" t="s">
        <v>24</v>
      </c>
      <c r="E10" s="17" t="s">
        <v>25</v>
      </c>
      <c r="G10" s="20">
        <f>K10*$G$103</f>
        <v>79.391083482546549</v>
      </c>
      <c r="H10" s="20">
        <f>K10*$H$103</f>
        <v>9.9552751819155354</v>
      </c>
      <c r="I10" s="20">
        <f>K10*$I$103</f>
        <v>400.05526461211883</v>
      </c>
      <c r="J10" s="21"/>
      <c r="K10" s="20">
        <v>489.4</v>
      </c>
      <c r="L10" s="5"/>
      <c r="M10" s="20">
        <f>G10</f>
        <v>79.391083482546549</v>
      </c>
      <c r="N10" s="20">
        <f>H10</f>
        <v>9.9552751819155354</v>
      </c>
      <c r="O10" s="20">
        <f>I10</f>
        <v>400.05526461211883</v>
      </c>
      <c r="P10" s="21">
        <v>0</v>
      </c>
      <c r="Q10" s="21">
        <f>SUM(M10:P10)</f>
        <v>489.40162327658095</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99">
        <f>K12*$G$103</f>
        <v>29031.440707403955</v>
      </c>
      <c r="H12" s="99">
        <f>K12*$H$103</f>
        <v>3640.4085760236376</v>
      </c>
      <c r="I12" s="99">
        <f>$I$103*K12</f>
        <v>146290.74431040869</v>
      </c>
      <c r="J12" s="19">
        <v>0</v>
      </c>
      <c r="K12" s="18">
        <v>178962</v>
      </c>
      <c r="L12" s="5"/>
      <c r="M12" s="18">
        <f t="shared" ref="M12:P13" si="0">G12</f>
        <v>29031.440707403955</v>
      </c>
      <c r="N12" s="18">
        <f t="shared" si="0"/>
        <v>3640.4085760236376</v>
      </c>
      <c r="O12" s="18">
        <f t="shared" si="0"/>
        <v>146290.74431040869</v>
      </c>
      <c r="P12" s="18">
        <f t="shared" si="0"/>
        <v>0</v>
      </c>
      <c r="Q12" s="19">
        <f>SUM(M12:P12)</f>
        <v>178962.59359383627</v>
      </c>
      <c r="R12" s="19"/>
      <c r="S12" s="19"/>
      <c r="T12" s="19"/>
      <c r="U12" s="19"/>
      <c r="V12" s="19"/>
    </row>
    <row r="13" spans="2:24" x14ac:dyDescent="0.2">
      <c r="E13" s="17" t="s">
        <v>25</v>
      </c>
      <c r="G13" s="20">
        <f>K13*$G$103</f>
        <v>471.43119678918782</v>
      </c>
      <c r="H13" s="20">
        <f>K13*$H$103</f>
        <v>59.115294659102453</v>
      </c>
      <c r="I13" s="20">
        <f>K13*$I$103</f>
        <v>2375.5631477100092</v>
      </c>
      <c r="J13" s="21">
        <v>0</v>
      </c>
      <c r="K13" s="20">
        <v>2906.1</v>
      </c>
      <c r="L13" s="5"/>
      <c r="M13" s="20">
        <f t="shared" si="0"/>
        <v>471.43119678918782</v>
      </c>
      <c r="N13" s="20">
        <f t="shared" si="0"/>
        <v>59.115294659102453</v>
      </c>
      <c r="O13" s="20">
        <f t="shared" si="0"/>
        <v>2375.5631477100092</v>
      </c>
      <c r="P13" s="21">
        <v>0</v>
      </c>
      <c r="Q13" s="21">
        <f>SUM(M13:P13)</f>
        <v>2906.1096391582996</v>
      </c>
      <c r="R13" s="22"/>
      <c r="S13" s="22"/>
      <c r="T13" s="22"/>
      <c r="U13" s="22"/>
      <c r="V13" s="22"/>
      <c r="X13" s="23"/>
    </row>
    <row r="14" spans="2:24" x14ac:dyDescent="0.2">
      <c r="E14" s="11"/>
      <c r="G14" s="11"/>
      <c r="H14" s="11"/>
      <c r="I14" s="11"/>
      <c r="K14" s="11"/>
      <c r="L14" s="5"/>
      <c r="M14" s="11"/>
      <c r="N14" s="11"/>
      <c r="O14" s="11"/>
      <c r="X14" s="24" t="s">
        <v>27</v>
      </c>
    </row>
    <row r="15" spans="2:24" x14ac:dyDescent="0.2">
      <c r="D15" s="1" t="s">
        <v>28</v>
      </c>
      <c r="E15" s="17" t="s">
        <v>29</v>
      </c>
      <c r="G15" s="99">
        <v>2563</v>
      </c>
      <c r="H15" s="99">
        <v>496</v>
      </c>
      <c r="I15" s="99">
        <v>7</v>
      </c>
      <c r="J15" s="19">
        <v>5202</v>
      </c>
      <c r="K15" s="18">
        <f>G15+H15+I15+J15</f>
        <v>8268</v>
      </c>
      <c r="L15" s="5"/>
      <c r="M15" s="18">
        <v>0</v>
      </c>
      <c r="N15" s="18">
        <v>0</v>
      </c>
      <c r="O15" s="18">
        <v>0</v>
      </c>
      <c r="P15" s="19">
        <v>0</v>
      </c>
      <c r="Q15" s="19">
        <f t="shared" ref="Q15:Q20" si="1">SUM(M15:P15)</f>
        <v>0</v>
      </c>
      <c r="R15" s="19"/>
      <c r="S15" s="19"/>
      <c r="T15" s="19"/>
      <c r="U15" s="19"/>
      <c r="V15" s="19"/>
      <c r="X15" s="23"/>
    </row>
    <row r="16" spans="2:24" x14ac:dyDescent="0.2">
      <c r="D16" s="1" t="s">
        <v>30</v>
      </c>
      <c r="E16" s="17" t="s">
        <v>31</v>
      </c>
      <c r="G16" s="99">
        <v>6252</v>
      </c>
      <c r="H16" s="99">
        <v>1210</v>
      </c>
      <c r="I16" s="99">
        <v>0</v>
      </c>
      <c r="J16" s="19">
        <v>12760</v>
      </c>
      <c r="K16" s="18">
        <f t="shared" ref="K16:K17" si="2">G16+H16+I16+J16</f>
        <v>20222</v>
      </c>
      <c r="L16" s="5"/>
      <c r="M16" s="18">
        <f>G16</f>
        <v>6252</v>
      </c>
      <c r="N16" s="18">
        <f>H16</f>
        <v>1210</v>
      </c>
      <c r="O16" s="18">
        <f>I16</f>
        <v>0</v>
      </c>
      <c r="P16" s="18">
        <f>J16</f>
        <v>12760</v>
      </c>
      <c r="Q16" s="19">
        <f t="shared" si="1"/>
        <v>20222</v>
      </c>
      <c r="R16" s="19"/>
      <c r="S16" s="19"/>
      <c r="T16" s="19"/>
      <c r="U16" s="19"/>
      <c r="V16" s="19"/>
      <c r="X16" s="23" t="s">
        <v>32</v>
      </c>
    </row>
    <row r="17" spans="2:24" x14ac:dyDescent="0.2">
      <c r="E17" s="17" t="s">
        <v>33</v>
      </c>
      <c r="G17" s="99">
        <v>1557</v>
      </c>
      <c r="H17" s="99">
        <v>301</v>
      </c>
      <c r="I17" s="99">
        <v>0</v>
      </c>
      <c r="J17" s="19">
        <v>3164</v>
      </c>
      <c r="K17" s="18">
        <f t="shared" si="2"/>
        <v>5022</v>
      </c>
      <c r="L17" s="5"/>
      <c r="M17" s="18">
        <v>0</v>
      </c>
      <c r="N17" s="18">
        <v>0</v>
      </c>
      <c r="O17" s="18">
        <v>0</v>
      </c>
      <c r="P17" s="19">
        <v>0</v>
      </c>
      <c r="Q17" s="19">
        <f t="shared" si="1"/>
        <v>0</v>
      </c>
      <c r="R17" s="19"/>
      <c r="S17" s="19"/>
      <c r="T17" s="19"/>
      <c r="U17" s="19"/>
      <c r="V17" s="19"/>
      <c r="X17" s="25">
        <f>395196+21379</f>
        <v>416575</v>
      </c>
    </row>
    <row r="18" spans="2:24" x14ac:dyDescent="0.2">
      <c r="E18" s="17" t="s">
        <v>34</v>
      </c>
      <c r="G18" s="99">
        <f>K18*$G$103</f>
        <v>7538.5727076860994</v>
      </c>
      <c r="H18" s="99">
        <f>K18*$H$103</f>
        <v>945.30219883435666</v>
      </c>
      <c r="I18" s="99">
        <f>K18*$I$103</f>
        <v>37987.209231551395</v>
      </c>
      <c r="J18" s="19">
        <v>0</v>
      </c>
      <c r="K18" s="18">
        <v>46470.93</v>
      </c>
      <c r="L18" s="5"/>
      <c r="M18" s="18">
        <v>0</v>
      </c>
      <c r="N18" s="18">
        <v>0</v>
      </c>
      <c r="O18" s="18">
        <v>0</v>
      </c>
      <c r="P18" s="19">
        <v>0</v>
      </c>
      <c r="Q18" s="19">
        <f t="shared" si="1"/>
        <v>0</v>
      </c>
      <c r="R18" s="19"/>
      <c r="S18" s="19"/>
      <c r="T18" s="19"/>
      <c r="U18" s="19"/>
      <c r="V18" s="19"/>
      <c r="X18" s="23"/>
    </row>
    <row r="19" spans="2:24" x14ac:dyDescent="0.2">
      <c r="E19" s="17" t="s">
        <v>35</v>
      </c>
      <c r="G19" s="99">
        <v>65032</v>
      </c>
      <c r="H19" s="99">
        <v>10561</v>
      </c>
      <c r="I19" s="99">
        <v>0</v>
      </c>
      <c r="J19" s="19">
        <v>0</v>
      </c>
      <c r="K19" s="18">
        <v>75593</v>
      </c>
      <c r="L19" s="5"/>
      <c r="M19" s="18">
        <f>G19</f>
        <v>65032</v>
      </c>
      <c r="N19" s="18">
        <f>H19</f>
        <v>10561</v>
      </c>
      <c r="O19" s="18">
        <f>I19</f>
        <v>0</v>
      </c>
      <c r="P19" s="18">
        <f>J19</f>
        <v>0</v>
      </c>
      <c r="Q19" s="19">
        <f t="shared" si="1"/>
        <v>75593</v>
      </c>
      <c r="R19" s="19"/>
      <c r="S19" s="19"/>
      <c r="T19" s="19"/>
      <c r="U19" s="19"/>
      <c r="V19" s="19"/>
      <c r="X19" s="23" t="s">
        <v>36</v>
      </c>
    </row>
    <row r="20" spans="2:24" x14ac:dyDescent="0.2">
      <c r="E20" s="17" t="s">
        <v>37</v>
      </c>
      <c r="G20" s="100">
        <f t="shared" ref="G20" si="3">K20*$G$103</f>
        <v>685.99314318924951</v>
      </c>
      <c r="H20" s="100">
        <f t="shared" ref="H20" si="4">K20*$H$103</f>
        <v>86.020371731764044</v>
      </c>
      <c r="I20" s="100">
        <f t="shared" ref="I20" si="5">K20*$I$103</f>
        <v>3456.7505112964805</v>
      </c>
      <c r="J20" s="26">
        <v>0</v>
      </c>
      <c r="K20" s="27">
        <v>4228.75</v>
      </c>
      <c r="L20" s="5"/>
      <c r="M20" s="18">
        <v>0</v>
      </c>
      <c r="N20" s="18">
        <v>0</v>
      </c>
      <c r="O20" s="18">
        <v>0</v>
      </c>
      <c r="P20" s="19">
        <v>0</v>
      </c>
      <c r="Q20" s="19">
        <f t="shared" si="1"/>
        <v>0</v>
      </c>
      <c r="R20" s="19"/>
      <c r="S20" s="19"/>
      <c r="T20" s="19"/>
      <c r="U20" s="19"/>
      <c r="V20" s="19"/>
      <c r="X20" s="25">
        <f>31030+1679</f>
        <v>32709</v>
      </c>
    </row>
    <row r="21" spans="2:24" x14ac:dyDescent="0.2">
      <c r="D21" s="2" t="s">
        <v>38</v>
      </c>
      <c r="E21" s="17"/>
      <c r="G21" s="28">
        <f>G9+G12+SUM(G15:G20)</f>
        <v>116206.00102874311</v>
      </c>
      <c r="H21" s="28">
        <f>SUM(H15:H20)+H12+H9</f>
        <v>17684.382475158396</v>
      </c>
      <c r="I21" s="28">
        <f>SUM(I15:I20)+I12+I9</f>
        <v>205610.13075770342</v>
      </c>
      <c r="J21" s="29">
        <f>J9+J12+SUM(J15:J20)</f>
        <v>21126</v>
      </c>
      <c r="K21" s="28">
        <f>SUM(K15:K20)+K12+K9</f>
        <v>360625.68</v>
      </c>
      <c r="L21" s="5"/>
      <c r="M21" s="30">
        <f>M9+M12+SUM(M15:M20)</f>
        <v>100315.44070740396</v>
      </c>
      <c r="N21" s="30">
        <f>N9+N12+SUM(N15:N20)</f>
        <v>15411.408576023638</v>
      </c>
      <c r="O21" s="30">
        <f>O9+O12+SUM(O15:O20)</f>
        <v>146290.74431040869</v>
      </c>
      <c r="P21" s="31">
        <f>P9+P12+SUM(P15:P20)</f>
        <v>12760</v>
      </c>
      <c r="Q21" s="31">
        <f>Q9+Q12+SUM(Q15:Q20)</f>
        <v>274777.5935938363</v>
      </c>
      <c r="R21" s="32"/>
      <c r="S21" s="32"/>
      <c r="T21" s="32"/>
      <c r="U21" s="32"/>
      <c r="V21" s="32"/>
      <c r="X21" s="23"/>
    </row>
    <row r="22" spans="2:24" x14ac:dyDescent="0.2">
      <c r="E22" s="17"/>
      <c r="G22" s="18"/>
      <c r="H22" s="18"/>
      <c r="I22" s="18"/>
      <c r="J22" s="19"/>
      <c r="K22" s="18"/>
      <c r="L22" s="5"/>
      <c r="M22" s="33"/>
      <c r="N22" s="18"/>
      <c r="O22" s="18"/>
      <c r="P22" s="19"/>
      <c r="Q22" s="19"/>
      <c r="R22" s="19"/>
      <c r="S22" s="19"/>
      <c r="T22" s="19"/>
      <c r="U22" s="19"/>
      <c r="V22" s="19"/>
      <c r="X22" s="23" t="s">
        <v>39</v>
      </c>
    </row>
    <row r="23" spans="2:24" x14ac:dyDescent="0.2">
      <c r="B23" s="2" t="s">
        <v>40</v>
      </c>
      <c r="E23" s="17" t="s">
        <v>41</v>
      </c>
      <c r="G23" s="100">
        <f>K23*$G$103</f>
        <v>11201.377839129218</v>
      </c>
      <c r="H23" s="100">
        <f>K23*$H$103</f>
        <v>1404.6010447716956</v>
      </c>
      <c r="I23" s="100">
        <f>K23*$I$103</f>
        <v>56444.250146029437</v>
      </c>
      <c r="J23" s="26">
        <v>0</v>
      </c>
      <c r="K23" s="27">
        <v>69050</v>
      </c>
      <c r="L23" s="5"/>
      <c r="M23" s="27">
        <f>$Q$23*G$115</f>
        <v>879.51957688310063</v>
      </c>
      <c r="N23" s="27">
        <f>$Q$23*H$115</f>
        <v>110.28769266863684</v>
      </c>
      <c r="O23" s="27">
        <f>$Q$23*I$115</f>
        <v>4431.9389738377886</v>
      </c>
      <c r="P23" s="27">
        <v>0</v>
      </c>
      <c r="Q23" s="27">
        <f>K23*X23</f>
        <v>5421.7282602172481</v>
      </c>
      <c r="R23" s="34"/>
      <c r="S23" s="34"/>
      <c r="T23" s="34"/>
      <c r="U23" s="34"/>
      <c r="V23" s="34"/>
      <c r="X23" s="35">
        <f>X20/X17</f>
        <v>7.8518874152313511E-2</v>
      </c>
    </row>
    <row r="24" spans="2:24" x14ac:dyDescent="0.2">
      <c r="B24" s="2"/>
      <c r="D24" s="2" t="s">
        <v>42</v>
      </c>
      <c r="E24" s="17"/>
      <c r="G24" s="28">
        <f>SUM(G23)</f>
        <v>11201.377839129218</v>
      </c>
      <c r="H24" s="28">
        <f>SUM(H23)</f>
        <v>1404.6010447716956</v>
      </c>
      <c r="I24" s="28">
        <f>SUM(I23)</f>
        <v>56444.250146029437</v>
      </c>
      <c r="J24" s="29">
        <f>SUM(J23)</f>
        <v>0</v>
      </c>
      <c r="K24" s="28">
        <f>SUM(G24:J24)</f>
        <v>69050.229029930357</v>
      </c>
      <c r="L24" s="5"/>
      <c r="M24" s="28">
        <f>SUM(M23)</f>
        <v>879.51957688310063</v>
      </c>
      <c r="N24" s="28">
        <f>SUM(N23)</f>
        <v>110.28769266863684</v>
      </c>
      <c r="O24" s="28">
        <f>SUM(O23)</f>
        <v>4431.9389738377886</v>
      </c>
      <c r="P24" s="29">
        <f>SUM(P23)</f>
        <v>0</v>
      </c>
      <c r="Q24" s="29">
        <f>SUM(M24:P24)</f>
        <v>5421.7462433895262</v>
      </c>
      <c r="R24" s="29"/>
      <c r="S24" s="29"/>
      <c r="T24" s="29"/>
      <c r="U24" s="29"/>
      <c r="V24" s="29"/>
      <c r="X24" s="23"/>
    </row>
    <row r="25" spans="2:24" x14ac:dyDescent="0.2">
      <c r="B25" s="2"/>
      <c r="E25" s="11"/>
      <c r="G25" s="11"/>
      <c r="H25" s="11"/>
      <c r="I25" s="11"/>
      <c r="K25" s="11"/>
      <c r="L25" s="5"/>
      <c r="M25" s="11"/>
      <c r="N25" s="11"/>
      <c r="O25" s="11"/>
      <c r="X25" s="23"/>
    </row>
    <row r="26" spans="2:24" x14ac:dyDescent="0.2">
      <c r="B26" s="2" t="s">
        <v>43</v>
      </c>
      <c r="E26" s="17" t="s">
        <v>44</v>
      </c>
      <c r="F26" s="11"/>
      <c r="G26" s="99">
        <f>K26*$G$103</f>
        <v>378.23346207002601</v>
      </c>
      <c r="H26" s="99">
        <f>K26*$H$103</f>
        <v>47.428729181451672</v>
      </c>
      <c r="I26" s="99">
        <f>K26*$I$103</f>
        <v>1905.9355423313652</v>
      </c>
      <c r="J26" s="19">
        <v>0</v>
      </c>
      <c r="K26" s="18">
        <v>2331.59</v>
      </c>
      <c r="L26" s="5"/>
      <c r="M26" s="34">
        <v>0</v>
      </c>
      <c r="N26" s="34">
        <v>0</v>
      </c>
      <c r="O26" s="34">
        <v>0</v>
      </c>
      <c r="P26" s="19">
        <v>0</v>
      </c>
      <c r="Q26" s="19">
        <f t="shared" ref="Q26:Q31" si="6">SUM(M26:P26)</f>
        <v>0</v>
      </c>
      <c r="R26" s="19"/>
      <c r="S26" s="19"/>
      <c r="T26" s="19"/>
      <c r="U26" s="19"/>
      <c r="V26" s="19"/>
      <c r="X26" s="23"/>
    </row>
    <row r="27" spans="2:24" x14ac:dyDescent="0.2">
      <c r="B27" s="2"/>
      <c r="E27" s="17" t="s">
        <v>45</v>
      </c>
      <c r="G27" s="99">
        <f>K27*$G$103</f>
        <v>577.59527663045833</v>
      </c>
      <c r="H27" s="99">
        <f>K27*$H$103</f>
        <v>72.427779926885052</v>
      </c>
      <c r="I27" s="99">
        <f>K27*$I$103</f>
        <v>2910.5287532938978</v>
      </c>
      <c r="J27" s="19">
        <v>0</v>
      </c>
      <c r="K27" s="18">
        <v>3560.54</v>
      </c>
      <c r="L27" s="5"/>
      <c r="M27" s="18">
        <f>G27</f>
        <v>577.59527663045833</v>
      </c>
      <c r="N27" s="18">
        <f>H27</f>
        <v>72.427779926885052</v>
      </c>
      <c r="O27" s="18">
        <f>I27</f>
        <v>2910.5287532938978</v>
      </c>
      <c r="P27" s="18">
        <f>J27</f>
        <v>0</v>
      </c>
      <c r="Q27" s="19">
        <f>SUM(M27:P27)</f>
        <v>3560.5518098512412</v>
      </c>
      <c r="R27" s="19"/>
      <c r="S27" s="19"/>
      <c r="T27" s="19"/>
      <c r="U27" s="19"/>
      <c r="V27" s="19"/>
      <c r="X27" s="23"/>
    </row>
    <row r="28" spans="2:24" x14ac:dyDescent="0.2">
      <c r="B28" s="2"/>
      <c r="E28" s="11" t="s">
        <v>46</v>
      </c>
      <c r="G28" s="99">
        <f>K28*$G$103</f>
        <v>0</v>
      </c>
      <c r="H28" s="99">
        <f>K28*$H$103</f>
        <v>0</v>
      </c>
      <c r="I28" s="99">
        <f>K28*$I$103</f>
        <v>0</v>
      </c>
      <c r="J28" s="19">
        <v>0</v>
      </c>
      <c r="K28" s="18">
        <v>0</v>
      </c>
      <c r="L28" s="5"/>
      <c r="M28" s="18">
        <v>0</v>
      </c>
      <c r="N28" s="18">
        <v>0</v>
      </c>
      <c r="O28" s="18">
        <v>0</v>
      </c>
      <c r="P28" s="19">
        <v>0</v>
      </c>
      <c r="Q28" s="19">
        <f t="shared" si="6"/>
        <v>0</v>
      </c>
      <c r="R28" s="19"/>
      <c r="S28" s="19"/>
      <c r="T28" s="19"/>
      <c r="U28" s="19"/>
      <c r="V28" s="19"/>
      <c r="X28" s="23"/>
    </row>
    <row r="29" spans="2:24" x14ac:dyDescent="0.2">
      <c r="B29" s="2"/>
      <c r="E29" s="17" t="s">
        <v>47</v>
      </c>
      <c r="G29" s="99">
        <f>K29*$G$103</f>
        <v>416.37979080096346</v>
      </c>
      <c r="H29" s="99">
        <f>K29*$H$103</f>
        <v>52.212102616325872</v>
      </c>
      <c r="I29" s="99">
        <f>K29*$I$103</f>
        <v>2098.1566201277274</v>
      </c>
      <c r="J29" s="19">
        <v>0</v>
      </c>
      <c r="K29" s="18">
        <v>2566.7399999999998</v>
      </c>
      <c r="L29" s="5"/>
      <c r="M29" s="18">
        <f t="shared" ref="M29:P30" si="7">G29</f>
        <v>416.37979080096346</v>
      </c>
      <c r="N29" s="18">
        <f t="shared" si="7"/>
        <v>52.212102616325872</v>
      </c>
      <c r="O29" s="18">
        <f t="shared" si="7"/>
        <v>2098.1566201277274</v>
      </c>
      <c r="P29" s="18">
        <f t="shared" si="7"/>
        <v>0</v>
      </c>
      <c r="Q29" s="19">
        <f t="shared" si="6"/>
        <v>2566.7485135450165</v>
      </c>
      <c r="R29" s="19"/>
      <c r="S29" s="19"/>
      <c r="T29" s="19"/>
      <c r="U29" s="19"/>
      <c r="V29" s="19"/>
      <c r="X29" s="23"/>
    </row>
    <row r="30" spans="2:24" x14ac:dyDescent="0.2">
      <c r="B30" s="2"/>
      <c r="E30" s="36" t="s">
        <v>48</v>
      </c>
      <c r="G30" s="100">
        <f>K30*$G$103</f>
        <v>5.0288589864302065</v>
      </c>
      <c r="H30" s="100">
        <f>K30*$H$103</f>
        <v>0.63059568990474379</v>
      </c>
      <c r="I30" s="100">
        <f>K30*$I$103</f>
        <v>25.34064814666057</v>
      </c>
      <c r="J30" s="26">
        <v>0</v>
      </c>
      <c r="K30" s="27">
        <v>31</v>
      </c>
      <c r="L30" s="5"/>
      <c r="M30" s="27">
        <f t="shared" si="7"/>
        <v>5.0288589864302065</v>
      </c>
      <c r="N30" s="27">
        <f t="shared" si="7"/>
        <v>0.63059568990474379</v>
      </c>
      <c r="O30" s="27">
        <f t="shared" si="7"/>
        <v>25.34064814666057</v>
      </c>
      <c r="P30" s="27">
        <f>J30</f>
        <v>0</v>
      </c>
      <c r="Q30" s="26">
        <f t="shared" si="6"/>
        <v>31.000102822995519</v>
      </c>
      <c r="R30" s="37"/>
      <c r="S30" s="37"/>
      <c r="T30" s="37"/>
      <c r="U30" s="37"/>
      <c r="V30" s="37"/>
      <c r="X30" s="23"/>
    </row>
    <row r="31" spans="2:24" x14ac:dyDescent="0.2">
      <c r="B31" s="2"/>
      <c r="D31" s="2" t="s">
        <v>49</v>
      </c>
      <c r="G31" s="29">
        <f>SUM(G26:G30)</f>
        <v>1377.237388487878</v>
      </c>
      <c r="H31" s="29">
        <f>SUM(H26:H30)</f>
        <v>172.69920741456733</v>
      </c>
      <c r="I31" s="29">
        <f>SUM(I26:I30)</f>
        <v>6939.9615638996511</v>
      </c>
      <c r="J31" s="29">
        <f>SUM(J26:J30)</f>
        <v>0</v>
      </c>
      <c r="K31" s="28">
        <f t="shared" ref="K31" si="8">SUM(G31:J31)</f>
        <v>8489.8981598020964</v>
      </c>
      <c r="L31" s="5"/>
      <c r="M31" s="28">
        <f>SUM(M26:M30)</f>
        <v>999.00392641785209</v>
      </c>
      <c r="N31" s="28">
        <f>SUM(N26:N30)</f>
        <v>125.27047823311565</v>
      </c>
      <c r="O31" s="28">
        <f>SUM(O26:O30)</f>
        <v>5034.0260215682865</v>
      </c>
      <c r="P31" s="29">
        <f>SUM(P26:P30)</f>
        <v>0</v>
      </c>
      <c r="Q31" s="29">
        <f t="shared" si="6"/>
        <v>6158.3004262192544</v>
      </c>
      <c r="R31" s="29"/>
      <c r="S31" s="29"/>
      <c r="T31" s="29"/>
      <c r="U31" s="29"/>
      <c r="V31" s="29"/>
      <c r="X31" s="23"/>
    </row>
    <row r="32" spans="2:24" x14ac:dyDescent="0.2">
      <c r="B32" s="2"/>
      <c r="K32" s="11"/>
      <c r="L32" s="5"/>
      <c r="X32" s="23"/>
    </row>
    <row r="33" spans="2:24" x14ac:dyDescent="0.2">
      <c r="B33" s="2" t="s">
        <v>50</v>
      </c>
      <c r="D33" s="2" t="s">
        <v>51</v>
      </c>
      <c r="E33" s="1" t="s">
        <v>52</v>
      </c>
      <c r="G33" s="18">
        <v>5093</v>
      </c>
      <c r="H33" s="18">
        <v>0</v>
      </c>
      <c r="I33" s="18">
        <v>0</v>
      </c>
      <c r="J33" s="18">
        <v>0</v>
      </c>
      <c r="K33" s="18">
        <f>SUM(G33:J33)</f>
        <v>5093</v>
      </c>
      <c r="L33" s="5"/>
      <c r="M33" s="19">
        <f t="shared" ref="M33:P34" si="9">G33</f>
        <v>5093</v>
      </c>
      <c r="N33" s="19">
        <f t="shared" si="9"/>
        <v>0</v>
      </c>
      <c r="O33" s="19">
        <f t="shared" si="9"/>
        <v>0</v>
      </c>
      <c r="P33" s="19">
        <f t="shared" si="9"/>
        <v>0</v>
      </c>
      <c r="Q33" s="19">
        <f>SUM(M33:P33)</f>
        <v>5093</v>
      </c>
      <c r="R33" s="19"/>
      <c r="S33" s="19"/>
      <c r="T33" s="19"/>
      <c r="U33" s="19"/>
      <c r="V33" s="19"/>
      <c r="X33" s="23"/>
    </row>
    <row r="34" spans="2:24" x14ac:dyDescent="0.2">
      <c r="B34" s="2" t="s">
        <v>53</v>
      </c>
      <c r="D34" s="2" t="s">
        <v>54</v>
      </c>
      <c r="E34" s="1" t="s">
        <v>55</v>
      </c>
      <c r="G34" s="18"/>
      <c r="H34" s="18">
        <v>0</v>
      </c>
      <c r="I34" s="18">
        <v>0</v>
      </c>
      <c r="J34" s="18">
        <v>0</v>
      </c>
      <c r="K34" s="18">
        <f>SUM(G34:J34)</f>
        <v>0</v>
      </c>
      <c r="L34" s="5"/>
      <c r="M34" s="19">
        <f t="shared" si="9"/>
        <v>0</v>
      </c>
      <c r="N34" s="19">
        <f t="shared" si="9"/>
        <v>0</v>
      </c>
      <c r="O34" s="19">
        <f t="shared" si="9"/>
        <v>0</v>
      </c>
      <c r="P34" s="19">
        <f t="shared" si="9"/>
        <v>0</v>
      </c>
      <c r="Q34" s="19">
        <f>SUM(M34:P34)</f>
        <v>0</v>
      </c>
      <c r="R34" s="19"/>
      <c r="S34" s="19"/>
      <c r="T34" s="19"/>
      <c r="U34" s="19"/>
      <c r="V34" s="19"/>
      <c r="X34" s="23"/>
    </row>
    <row r="35" spans="2:24" x14ac:dyDescent="0.2">
      <c r="D35" s="2"/>
      <c r="G35" s="11"/>
      <c r="H35" s="11"/>
      <c r="I35" s="11"/>
      <c r="J35" s="11"/>
      <c r="K35" s="11"/>
      <c r="L35" s="5"/>
      <c r="Q35" s="19"/>
      <c r="R35" s="19"/>
      <c r="S35" s="19"/>
      <c r="T35" s="19"/>
      <c r="U35" s="19"/>
      <c r="V35" s="19"/>
      <c r="X35" s="23"/>
    </row>
    <row r="36" spans="2:24" x14ac:dyDescent="0.2">
      <c r="D36" s="2" t="s">
        <v>56</v>
      </c>
      <c r="E36" s="1" t="s">
        <v>57</v>
      </c>
      <c r="G36" s="18">
        <v>3160</v>
      </c>
      <c r="H36" s="18"/>
      <c r="I36" s="18">
        <v>0</v>
      </c>
      <c r="J36" s="18">
        <v>0</v>
      </c>
      <c r="K36" s="18">
        <f>SUM(G36:J36)</f>
        <v>3160</v>
      </c>
      <c r="L36" s="5"/>
      <c r="M36" s="19">
        <f t="shared" ref="M36:P39" si="10">G36</f>
        <v>3160</v>
      </c>
      <c r="N36" s="19">
        <f t="shared" si="10"/>
        <v>0</v>
      </c>
      <c r="O36" s="19">
        <f t="shared" si="10"/>
        <v>0</v>
      </c>
      <c r="P36" s="19">
        <f t="shared" si="10"/>
        <v>0</v>
      </c>
      <c r="Q36" s="19">
        <f>SUM(M36:P36)</f>
        <v>3160</v>
      </c>
      <c r="R36" s="19"/>
      <c r="S36" s="19"/>
      <c r="T36" s="19"/>
      <c r="U36" s="19"/>
      <c r="V36" s="19"/>
      <c r="X36" s="23"/>
    </row>
    <row r="37" spans="2:24" x14ac:dyDescent="0.2">
      <c r="D37" s="2" t="s">
        <v>58</v>
      </c>
      <c r="E37" s="1" t="s">
        <v>59</v>
      </c>
      <c r="G37" s="18">
        <v>4068</v>
      </c>
      <c r="H37" s="18">
        <v>0</v>
      </c>
      <c r="I37" s="18">
        <v>0</v>
      </c>
      <c r="J37" s="18">
        <v>0</v>
      </c>
      <c r="K37" s="18">
        <f>SUM(G37:J37)</f>
        <v>4068</v>
      </c>
      <c r="L37" s="5"/>
      <c r="M37" s="19">
        <f t="shared" si="10"/>
        <v>4068</v>
      </c>
      <c r="N37" s="19">
        <f t="shared" si="10"/>
        <v>0</v>
      </c>
      <c r="O37" s="19">
        <f t="shared" si="10"/>
        <v>0</v>
      </c>
      <c r="P37" s="19">
        <f t="shared" si="10"/>
        <v>0</v>
      </c>
      <c r="Q37" s="19">
        <f>SUM(M37:P37)</f>
        <v>4068</v>
      </c>
      <c r="R37" s="19"/>
      <c r="S37" s="19"/>
      <c r="T37" s="19"/>
      <c r="U37" s="19"/>
      <c r="V37" s="19"/>
      <c r="X37" s="23"/>
    </row>
    <row r="38" spans="2:24" x14ac:dyDescent="0.2">
      <c r="D38" s="2"/>
      <c r="E38" s="1" t="s">
        <v>60</v>
      </c>
      <c r="G38" s="18">
        <v>305</v>
      </c>
      <c r="H38" s="18">
        <v>0</v>
      </c>
      <c r="I38" s="18">
        <v>0</v>
      </c>
      <c r="J38" s="18">
        <v>0</v>
      </c>
      <c r="K38" s="18">
        <f>SUM(G38:J38)</f>
        <v>305</v>
      </c>
      <c r="L38" s="5"/>
      <c r="M38" s="19">
        <f t="shared" si="10"/>
        <v>305</v>
      </c>
      <c r="N38" s="19">
        <f t="shared" si="10"/>
        <v>0</v>
      </c>
      <c r="O38" s="19">
        <f t="shared" si="10"/>
        <v>0</v>
      </c>
      <c r="P38" s="19">
        <f t="shared" si="10"/>
        <v>0</v>
      </c>
      <c r="Q38" s="19">
        <f>SUM(M38:P38)</f>
        <v>305</v>
      </c>
      <c r="R38" s="19"/>
      <c r="S38" s="19"/>
      <c r="T38" s="19"/>
      <c r="U38" s="19"/>
      <c r="V38" s="19"/>
      <c r="X38" s="23"/>
    </row>
    <row r="39" spans="2:24" x14ac:dyDescent="0.2">
      <c r="D39" s="2"/>
      <c r="E39" s="1" t="s">
        <v>61</v>
      </c>
      <c r="G39" s="18">
        <f>12448+462+1770</f>
        <v>14680</v>
      </c>
      <c r="H39" s="18">
        <v>0</v>
      </c>
      <c r="I39" s="18"/>
      <c r="J39" s="18">
        <v>0</v>
      </c>
      <c r="K39" s="18">
        <f>SUM(G39:J39)</f>
        <v>14680</v>
      </c>
      <c r="L39" s="5"/>
      <c r="M39" s="19">
        <f t="shared" si="10"/>
        <v>14680</v>
      </c>
      <c r="N39" s="19">
        <f t="shared" si="10"/>
        <v>0</v>
      </c>
      <c r="O39" s="19">
        <f t="shared" si="10"/>
        <v>0</v>
      </c>
      <c r="P39" s="19">
        <f t="shared" si="10"/>
        <v>0</v>
      </c>
      <c r="Q39" s="19">
        <f>SUM(M39:P39)</f>
        <v>14680</v>
      </c>
      <c r="R39" s="19"/>
      <c r="S39" s="19"/>
      <c r="T39" s="19"/>
      <c r="U39" s="19"/>
      <c r="V39" s="19"/>
      <c r="X39" s="23"/>
    </row>
    <row r="40" spans="2:24" x14ac:dyDescent="0.2">
      <c r="D40" s="2"/>
      <c r="G40" s="11"/>
      <c r="H40" s="11"/>
      <c r="I40" s="11"/>
      <c r="J40" s="11"/>
      <c r="K40" s="11"/>
      <c r="L40" s="5"/>
      <c r="Q40" s="19"/>
      <c r="R40" s="19"/>
      <c r="S40" s="19"/>
      <c r="T40" s="19"/>
      <c r="U40" s="19"/>
      <c r="V40" s="19"/>
      <c r="X40" s="23"/>
    </row>
    <row r="41" spans="2:24" x14ac:dyDescent="0.2">
      <c r="D41" s="2" t="s">
        <v>62</v>
      </c>
      <c r="G41" s="18"/>
      <c r="H41" s="18">
        <f>H11</f>
        <v>0</v>
      </c>
      <c r="I41" s="18">
        <v>0</v>
      </c>
      <c r="J41" s="18">
        <v>0</v>
      </c>
      <c r="K41" s="18">
        <f>SUM(G41:J41)</f>
        <v>0</v>
      </c>
      <c r="L41" s="5"/>
      <c r="M41" s="19">
        <f>G41</f>
        <v>0</v>
      </c>
      <c r="N41" s="19">
        <f>H41</f>
        <v>0</v>
      </c>
      <c r="O41" s="19">
        <f>I41</f>
        <v>0</v>
      </c>
      <c r="P41" s="19">
        <f>J41</f>
        <v>0</v>
      </c>
      <c r="Q41" s="19">
        <f>SUM(M41:P41)</f>
        <v>0</v>
      </c>
      <c r="R41" s="19"/>
      <c r="S41" s="19"/>
      <c r="T41" s="19"/>
      <c r="U41" s="19"/>
      <c r="V41" s="19"/>
      <c r="X41" s="23"/>
    </row>
    <row r="42" spans="2:24" x14ac:dyDescent="0.2">
      <c r="D42" s="2"/>
      <c r="G42" s="11"/>
      <c r="H42" s="11"/>
      <c r="I42" s="11"/>
      <c r="J42" s="11"/>
      <c r="L42" s="5"/>
      <c r="X42" s="23"/>
    </row>
    <row r="43" spans="2:24" x14ac:dyDescent="0.2">
      <c r="D43" s="2" t="s">
        <v>63</v>
      </c>
      <c r="G43" s="18"/>
      <c r="H43" s="18"/>
      <c r="I43" s="18">
        <v>0</v>
      </c>
      <c r="J43" s="18">
        <v>0</v>
      </c>
      <c r="K43" s="19">
        <f>SUM(G43:J43)</f>
        <v>0</v>
      </c>
      <c r="L43" s="5"/>
      <c r="M43" s="19">
        <f>G43</f>
        <v>0</v>
      </c>
      <c r="N43" s="19">
        <f>H43</f>
        <v>0</v>
      </c>
      <c r="O43" s="19">
        <f>I43</f>
        <v>0</v>
      </c>
      <c r="P43" s="19">
        <f>J43</f>
        <v>0</v>
      </c>
      <c r="Q43" s="19">
        <f>SUM(M43:P43)</f>
        <v>0</v>
      </c>
      <c r="R43" s="19"/>
      <c r="S43" s="19"/>
      <c r="T43" s="19"/>
      <c r="U43" s="19"/>
      <c r="V43" s="19"/>
      <c r="X43" s="23"/>
    </row>
    <row r="44" spans="2:24" x14ac:dyDescent="0.2">
      <c r="D44" s="2"/>
      <c r="G44" s="11"/>
      <c r="H44" s="11"/>
      <c r="I44" s="11"/>
      <c r="J44" s="11"/>
      <c r="L44" s="5"/>
      <c r="X44" s="23"/>
    </row>
    <row r="45" spans="2:24" x14ac:dyDescent="0.2">
      <c r="D45" s="2" t="s">
        <v>64</v>
      </c>
      <c r="G45" s="18"/>
      <c r="H45" s="18"/>
      <c r="I45" s="18">
        <v>0</v>
      </c>
      <c r="J45" s="18">
        <v>0</v>
      </c>
      <c r="K45" s="19">
        <f>SUM(G45:J45)</f>
        <v>0</v>
      </c>
      <c r="L45" s="5"/>
      <c r="M45" s="19">
        <f>G45</f>
        <v>0</v>
      </c>
      <c r="N45" s="19">
        <f>H45</f>
        <v>0</v>
      </c>
      <c r="O45" s="19">
        <f>I45</f>
        <v>0</v>
      </c>
      <c r="P45" s="19">
        <f>J45</f>
        <v>0</v>
      </c>
      <c r="Q45" s="19">
        <f>SUM(M45:P45)</f>
        <v>0</v>
      </c>
      <c r="R45" s="19"/>
      <c r="S45" s="19"/>
      <c r="T45" s="19"/>
      <c r="U45" s="19"/>
      <c r="V45" s="19"/>
      <c r="X45" s="23"/>
    </row>
    <row r="46" spans="2:24" x14ac:dyDescent="0.2">
      <c r="D46" s="2"/>
      <c r="G46" s="11"/>
      <c r="H46" s="11"/>
      <c r="I46" s="11"/>
      <c r="J46" s="11"/>
      <c r="L46" s="5"/>
      <c r="X46" s="23"/>
    </row>
    <row r="47" spans="2:24" x14ac:dyDescent="0.2">
      <c r="D47" s="2" t="s">
        <v>65</v>
      </c>
      <c r="G47" s="18"/>
      <c r="H47" s="18">
        <v>0</v>
      </c>
      <c r="I47" s="18">
        <v>0</v>
      </c>
      <c r="J47" s="18">
        <v>0</v>
      </c>
      <c r="K47" s="19">
        <f>SUM(G47:J47)</f>
        <v>0</v>
      </c>
      <c r="L47" s="5"/>
      <c r="M47" s="19">
        <f>G47</f>
        <v>0</v>
      </c>
      <c r="N47" s="19">
        <f>H47</f>
        <v>0</v>
      </c>
      <c r="O47" s="19">
        <f>I47</f>
        <v>0</v>
      </c>
      <c r="P47" s="19">
        <f>J47</f>
        <v>0</v>
      </c>
      <c r="Q47" s="19">
        <f>SUM(M47:P47)</f>
        <v>0</v>
      </c>
      <c r="R47" s="19"/>
      <c r="S47" s="19"/>
      <c r="T47" s="19"/>
      <c r="U47" s="19"/>
      <c r="V47" s="19"/>
      <c r="X47" s="23"/>
    </row>
    <row r="48" spans="2:24" x14ac:dyDescent="0.2">
      <c r="D48" s="2" t="s">
        <v>66</v>
      </c>
      <c r="G48" s="11"/>
      <c r="H48" s="11"/>
      <c r="I48" s="11"/>
      <c r="J48" s="11"/>
      <c r="L48" s="5"/>
      <c r="X48" s="23"/>
    </row>
    <row r="49" spans="2:24" x14ac:dyDescent="0.2">
      <c r="D49" s="2"/>
      <c r="G49" s="11"/>
      <c r="H49" s="11"/>
      <c r="I49" s="11"/>
      <c r="J49" s="11"/>
      <c r="L49" s="5"/>
      <c r="X49" s="23"/>
    </row>
    <row r="50" spans="2:24" x14ac:dyDescent="0.2">
      <c r="B50" s="2"/>
      <c r="D50" s="2" t="s">
        <v>61</v>
      </c>
      <c r="G50" s="27">
        <f>5243-1009</f>
        <v>4234</v>
      </c>
      <c r="H50" s="27">
        <v>0</v>
      </c>
      <c r="I50" s="27">
        <v>1009</v>
      </c>
      <c r="J50" s="27">
        <v>0</v>
      </c>
      <c r="K50" s="27">
        <f>SUM(G50:J50)</f>
        <v>5243</v>
      </c>
      <c r="L50" s="5"/>
      <c r="M50" s="26">
        <f>G50</f>
        <v>4234</v>
      </c>
      <c r="N50" s="26">
        <f>H50</f>
        <v>0</v>
      </c>
      <c r="O50" s="26">
        <f>I50</f>
        <v>1009</v>
      </c>
      <c r="P50" s="26">
        <f>J50</f>
        <v>0</v>
      </c>
      <c r="Q50" s="26">
        <f>SUM(M50:P50)</f>
        <v>5243</v>
      </c>
      <c r="R50" s="37"/>
      <c r="S50" s="37"/>
      <c r="T50" s="37"/>
      <c r="U50" s="37"/>
      <c r="V50" s="37"/>
      <c r="X50" s="23"/>
    </row>
    <row r="51" spans="2:24" x14ac:dyDescent="0.2">
      <c r="D51" s="2" t="s">
        <v>67</v>
      </c>
      <c r="G51" s="29">
        <f>SUM(G33:G50)</f>
        <v>31540</v>
      </c>
      <c r="H51" s="29">
        <f>SUM(H33:H50)</f>
        <v>0</v>
      </c>
      <c r="I51" s="29">
        <f>SUM(I33:I50)</f>
        <v>1009</v>
      </c>
      <c r="J51" s="29">
        <f>SUM(J33:J50)</f>
        <v>0</v>
      </c>
      <c r="K51" s="29">
        <f>SUM(G51:J51)</f>
        <v>32549</v>
      </c>
      <c r="L51" s="5"/>
      <c r="M51" s="29">
        <f>SUM(M33:M50)</f>
        <v>31540</v>
      </c>
      <c r="N51" s="29">
        <f>SUM(N33:N50)</f>
        <v>0</v>
      </c>
      <c r="O51" s="29">
        <f>SUM(O33:O50)</f>
        <v>1009</v>
      </c>
      <c r="P51" s="29">
        <f>SUM(P33:P50)</f>
        <v>0</v>
      </c>
      <c r="Q51" s="29">
        <f>SUM(M51:P51)</f>
        <v>32549</v>
      </c>
      <c r="R51" s="29"/>
      <c r="S51" s="29"/>
      <c r="T51" s="29"/>
      <c r="U51" s="29"/>
      <c r="V51" s="29"/>
      <c r="X51" s="23"/>
    </row>
    <row r="52" spans="2:24" x14ac:dyDescent="0.2">
      <c r="B52" s="2"/>
      <c r="L52" s="5"/>
      <c r="X52" s="23"/>
    </row>
    <row r="53" spans="2:24" x14ac:dyDescent="0.2">
      <c r="B53" s="2" t="s">
        <v>68</v>
      </c>
      <c r="G53" s="19">
        <v>0</v>
      </c>
      <c r="H53" s="19">
        <v>0</v>
      </c>
      <c r="I53" s="19">
        <v>0</v>
      </c>
      <c r="J53" s="19">
        <v>0</v>
      </c>
      <c r="K53" s="19">
        <f>SUM(G53:J53)</f>
        <v>0</v>
      </c>
      <c r="L53" s="5"/>
      <c r="M53" s="19">
        <v>0</v>
      </c>
      <c r="N53" s="19">
        <v>0</v>
      </c>
      <c r="O53" s="19">
        <v>0</v>
      </c>
      <c r="P53" s="19">
        <v>0</v>
      </c>
      <c r="Q53" s="19">
        <f>SUM(M53:P53)</f>
        <v>0</v>
      </c>
      <c r="R53" s="19"/>
      <c r="S53" s="19"/>
      <c r="T53" s="19"/>
      <c r="U53" s="19"/>
      <c r="V53" s="19"/>
      <c r="X53" s="23"/>
    </row>
    <row r="54" spans="2:24" x14ac:dyDescent="0.2">
      <c r="B54" s="2" t="s">
        <v>69</v>
      </c>
      <c r="L54" s="5"/>
      <c r="X54" s="23"/>
    </row>
    <row r="55" spans="2:24" ht="13.5" thickBot="1" x14ac:dyDescent="0.25">
      <c r="K55" s="19"/>
      <c r="L55" s="5"/>
      <c r="Q55" s="38"/>
      <c r="R55" s="39"/>
      <c r="S55" s="39"/>
      <c r="T55" s="39"/>
      <c r="U55" s="39"/>
      <c r="V55" s="39"/>
      <c r="X55" s="23"/>
    </row>
    <row r="56" spans="2:24" x14ac:dyDescent="0.2">
      <c r="B56" s="2" t="s">
        <v>70</v>
      </c>
      <c r="G56" s="40">
        <f>G21+G24+G31+G51+G53</f>
        <v>160324.6162563602</v>
      </c>
      <c r="H56" s="40">
        <f>H21+H24+H31+H51+H53</f>
        <v>19261.682727344658</v>
      </c>
      <c r="I56" s="40">
        <f>I21+I24+I31+I51+I53</f>
        <v>270003.34246763249</v>
      </c>
      <c r="J56" s="40">
        <f>J21+J24+J31+J51+J53</f>
        <v>21126</v>
      </c>
      <c r="K56" s="40">
        <f>SUM(G56:J56)</f>
        <v>470715.64145133737</v>
      </c>
      <c r="L56" s="41"/>
      <c r="M56" s="40">
        <f>M21+M24+M31+M51+M53</f>
        <v>133733.9642107049</v>
      </c>
      <c r="N56" s="40">
        <f>N21+N24+N31+N51+N53</f>
        <v>15646.966746925389</v>
      </c>
      <c r="O56" s="40">
        <f>O21+O24+O31+O51+O53</f>
        <v>156765.70930581476</v>
      </c>
      <c r="P56" s="40">
        <f>P21+P24+P31+P51+P53</f>
        <v>12760</v>
      </c>
      <c r="Q56" s="40">
        <f>SUM(M56:P56)</f>
        <v>318906.64026344504</v>
      </c>
      <c r="R56" s="32"/>
      <c r="S56" s="32"/>
      <c r="T56" s="32"/>
      <c r="U56" s="32"/>
      <c r="V56" s="32"/>
      <c r="X56" s="23"/>
    </row>
    <row r="57" spans="2:24" x14ac:dyDescent="0.2">
      <c r="L57" s="5"/>
      <c r="X57" s="23"/>
    </row>
    <row r="58" spans="2:24" x14ac:dyDescent="0.2">
      <c r="L58" s="5"/>
      <c r="X58" s="23"/>
    </row>
    <row r="59" spans="2:24" ht="14.25" x14ac:dyDescent="0.2">
      <c r="B59" s="16" t="s">
        <v>71</v>
      </c>
      <c r="K59" s="11"/>
      <c r="L59" s="5"/>
      <c r="X59" s="23"/>
    </row>
    <row r="60" spans="2:24" x14ac:dyDescent="0.2">
      <c r="D60" s="11" t="s">
        <v>72</v>
      </c>
      <c r="E60" s="36" t="s">
        <v>23</v>
      </c>
      <c r="G60" s="19">
        <v>0</v>
      </c>
      <c r="H60" s="19">
        <v>0</v>
      </c>
      <c r="I60" s="19">
        <f>K60</f>
        <v>171149</v>
      </c>
      <c r="J60" s="18">
        <v>0</v>
      </c>
      <c r="K60" s="18">
        <v>171149</v>
      </c>
      <c r="L60" s="5"/>
      <c r="M60" s="19">
        <f>G60</f>
        <v>0</v>
      </c>
      <c r="N60" s="19">
        <f>H60</f>
        <v>0</v>
      </c>
      <c r="O60" s="19">
        <f>Q60</f>
        <v>171149</v>
      </c>
      <c r="P60" s="18">
        <f>J60</f>
        <v>0</v>
      </c>
      <c r="Q60" s="18">
        <f>$K$60</f>
        <v>171149</v>
      </c>
      <c r="R60" s="18"/>
      <c r="S60" s="18"/>
      <c r="T60" s="18"/>
      <c r="U60" s="18"/>
      <c r="V60" s="18"/>
      <c r="X60" s="23" t="s">
        <v>73</v>
      </c>
    </row>
    <row r="61" spans="2:24" x14ac:dyDescent="0.2">
      <c r="D61" s="11"/>
      <c r="E61" s="36" t="s">
        <v>25</v>
      </c>
      <c r="G61" s="42">
        <v>0</v>
      </c>
      <c r="H61" s="42">
        <v>0</v>
      </c>
      <c r="I61" s="42">
        <f>K61</f>
        <v>0</v>
      </c>
      <c r="J61" s="43">
        <v>0</v>
      </c>
      <c r="K61" s="43">
        <v>0</v>
      </c>
      <c r="L61" s="5"/>
      <c r="M61" s="42">
        <f>G61</f>
        <v>0</v>
      </c>
      <c r="N61" s="42">
        <f>H61</f>
        <v>0</v>
      </c>
      <c r="O61" s="42">
        <f>I61</f>
        <v>0</v>
      </c>
      <c r="P61" s="43">
        <f>J61</f>
        <v>0</v>
      </c>
      <c r="Q61" s="42">
        <f>K61</f>
        <v>0</v>
      </c>
      <c r="R61" s="42"/>
      <c r="S61" s="42"/>
      <c r="T61" s="42"/>
      <c r="U61" s="42"/>
      <c r="V61" s="42"/>
      <c r="X61" s="44">
        <f>$K$60-(327*25.09*8)</f>
        <v>105513.56</v>
      </c>
    </row>
    <row r="62" spans="2:24" x14ac:dyDescent="0.2">
      <c r="D62" s="11"/>
      <c r="E62" s="36"/>
      <c r="J62" s="11"/>
      <c r="K62" s="11"/>
      <c r="L62" s="5"/>
      <c r="P62" s="11"/>
      <c r="X62" s="23"/>
    </row>
    <row r="63" spans="2:24" x14ac:dyDescent="0.2">
      <c r="D63" s="11" t="s">
        <v>74</v>
      </c>
      <c r="E63" s="36" t="s">
        <v>23</v>
      </c>
      <c r="G63" s="59">
        <f>K63*$G$103</f>
        <v>44657.890012076503</v>
      </c>
      <c r="H63" s="59">
        <f>K63*$H$103</f>
        <v>5599.8931443186111</v>
      </c>
      <c r="I63" s="59">
        <f>K63*$I$103</f>
        <v>225033.12994497383</v>
      </c>
      <c r="J63" s="18">
        <v>0</v>
      </c>
      <c r="K63" s="18">
        <v>275290</v>
      </c>
      <c r="L63" s="5"/>
      <c r="M63" s="19">
        <f>$G$103*Q63</f>
        <v>41434.229180517112</v>
      </c>
      <c r="N63" s="19">
        <f>$H$103*Q63</f>
        <v>5195.6609652932211</v>
      </c>
      <c r="O63" s="19">
        <f>$I$103*Q63</f>
        <v>208788.9570427016</v>
      </c>
      <c r="P63" s="18">
        <f t="shared" ref="P63:Q64" si="11">J63</f>
        <v>0</v>
      </c>
      <c r="Q63" s="18">
        <f>K63-(20*124.2*8)</f>
        <v>255418</v>
      </c>
      <c r="R63" s="18"/>
      <c r="S63" s="18"/>
      <c r="T63" s="18"/>
      <c r="U63" s="18"/>
      <c r="V63" s="18"/>
      <c r="X63" s="23"/>
    </row>
    <row r="64" spans="2:24" ht="12.75" customHeight="1" x14ac:dyDescent="0.2">
      <c r="D64" s="11"/>
      <c r="E64" s="36" t="s">
        <v>25</v>
      </c>
      <c r="G64" s="45">
        <f>$G$103*K64</f>
        <v>0</v>
      </c>
      <c r="H64" s="45">
        <f>$H$103*K64</f>
        <v>0</v>
      </c>
      <c r="I64" s="45">
        <f>$I$103*K64</f>
        <v>0</v>
      </c>
      <c r="J64" s="46">
        <v>0</v>
      </c>
      <c r="K64" s="43">
        <v>0</v>
      </c>
      <c r="L64" s="5"/>
      <c r="M64" s="42">
        <f>G64</f>
        <v>0</v>
      </c>
      <c r="N64" s="42">
        <f>H64</f>
        <v>0</v>
      </c>
      <c r="O64" s="42">
        <f>I64</f>
        <v>0</v>
      </c>
      <c r="P64" s="43">
        <f t="shared" si="11"/>
        <v>0</v>
      </c>
      <c r="Q64" s="42">
        <f t="shared" si="11"/>
        <v>0</v>
      </c>
      <c r="R64" s="42"/>
      <c r="S64" s="42"/>
      <c r="T64" s="42"/>
      <c r="U64" s="42"/>
      <c r="V64" s="42"/>
      <c r="X64" s="23"/>
    </row>
    <row r="65" spans="4:24" ht="12.75" customHeight="1" x14ac:dyDescent="0.2">
      <c r="D65" s="11"/>
      <c r="E65" s="36"/>
      <c r="J65" s="11"/>
      <c r="K65" s="11"/>
      <c r="L65" s="5"/>
      <c r="P65" s="11"/>
      <c r="X65" s="23"/>
    </row>
    <row r="66" spans="4:24" x14ac:dyDescent="0.2">
      <c r="D66" s="11" t="s">
        <v>75</v>
      </c>
      <c r="E66" s="36" t="s">
        <v>23</v>
      </c>
      <c r="G66" s="59">
        <f>K66*$G$103</f>
        <v>684.73592844264203</v>
      </c>
      <c r="H66" s="59">
        <f>K66*$H$103</f>
        <v>85.86272280928786</v>
      </c>
      <c r="I66" s="59">
        <f>K66*$I$103</f>
        <v>3450.4153492598152</v>
      </c>
      <c r="J66" s="18">
        <v>0</v>
      </c>
      <c r="K66" s="18">
        <v>4221</v>
      </c>
      <c r="L66" s="5"/>
      <c r="M66" s="19">
        <f>$G$103*Q$66</f>
        <v>684.73592844264203</v>
      </c>
      <c r="N66" s="19">
        <f>$H$103*Q$66</f>
        <v>85.86272280928786</v>
      </c>
      <c r="O66" s="19">
        <f>$I$103*Q$66</f>
        <v>3450.4153492598152</v>
      </c>
      <c r="P66" s="18">
        <f>J66</f>
        <v>0</v>
      </c>
      <c r="Q66" s="18">
        <f>K66</f>
        <v>4221</v>
      </c>
      <c r="R66" s="18"/>
      <c r="S66" s="18"/>
      <c r="T66" s="18"/>
      <c r="U66" s="18"/>
      <c r="V66" s="18"/>
      <c r="X66" s="23"/>
    </row>
    <row r="67" spans="4:24" x14ac:dyDescent="0.2">
      <c r="D67" s="11"/>
      <c r="E67" s="36" t="s">
        <v>25</v>
      </c>
      <c r="G67" s="45">
        <f>$G$103*K67</f>
        <v>0</v>
      </c>
      <c r="H67" s="45">
        <f>$H$103*K67</f>
        <v>0</v>
      </c>
      <c r="I67" s="45">
        <f>$I$103*K67</f>
        <v>0</v>
      </c>
      <c r="J67" s="43">
        <v>0</v>
      </c>
      <c r="K67" s="43">
        <v>0</v>
      </c>
      <c r="L67" s="5"/>
      <c r="M67" s="42">
        <f>G67</f>
        <v>0</v>
      </c>
      <c r="N67" s="42">
        <f>H67</f>
        <v>0</v>
      </c>
      <c r="O67" s="42">
        <f>I67</f>
        <v>0</v>
      </c>
      <c r="P67" s="43">
        <f>J67</f>
        <v>0</v>
      </c>
      <c r="Q67" s="42">
        <f>K67</f>
        <v>0</v>
      </c>
      <c r="R67" s="42"/>
      <c r="S67" s="42"/>
      <c r="T67" s="42"/>
      <c r="U67" s="42"/>
      <c r="V67" s="42"/>
      <c r="X67" s="23"/>
    </row>
    <row r="68" spans="4:24" x14ac:dyDescent="0.2">
      <c r="D68" s="11"/>
      <c r="E68" s="36"/>
      <c r="G68" s="42"/>
      <c r="H68" s="42"/>
      <c r="I68" s="42"/>
      <c r="J68" s="43"/>
      <c r="K68" s="43"/>
      <c r="L68" s="5"/>
      <c r="M68" s="42"/>
      <c r="N68" s="42"/>
      <c r="O68" s="42"/>
      <c r="P68" s="43"/>
      <c r="Q68" s="43"/>
      <c r="R68" s="43"/>
      <c r="S68" s="43"/>
      <c r="T68" s="43"/>
      <c r="U68" s="43"/>
      <c r="V68" s="43"/>
      <c r="X68" s="23"/>
    </row>
    <row r="69" spans="4:24" x14ac:dyDescent="0.2">
      <c r="D69" s="47" t="s">
        <v>76</v>
      </c>
      <c r="E69" s="36" t="s">
        <v>23</v>
      </c>
      <c r="G69" s="59">
        <f>K69*$G$103</f>
        <v>235.22082355883225</v>
      </c>
      <c r="H69" s="59">
        <f>K69*$H$103</f>
        <v>29.495604850383181</v>
      </c>
      <c r="I69" s="59">
        <f>K69*$I$103</f>
        <v>1185.2883810534784</v>
      </c>
      <c r="J69" s="18">
        <v>0</v>
      </c>
      <c r="K69" s="18">
        <v>1450</v>
      </c>
      <c r="L69" s="5"/>
      <c r="M69" s="19">
        <f t="shared" ref="M69:Q70" si="12">G69</f>
        <v>235.22082355883225</v>
      </c>
      <c r="N69" s="19">
        <f t="shared" si="12"/>
        <v>29.495604850383181</v>
      </c>
      <c r="O69" s="19">
        <f t="shared" si="12"/>
        <v>1185.2883810534784</v>
      </c>
      <c r="P69" s="18">
        <f t="shared" si="12"/>
        <v>0</v>
      </c>
      <c r="Q69" s="18">
        <f>K69</f>
        <v>1450</v>
      </c>
      <c r="R69" s="18"/>
      <c r="S69" s="18"/>
      <c r="T69" s="18"/>
      <c r="U69" s="18"/>
      <c r="V69" s="18"/>
      <c r="X69" s="23"/>
    </row>
    <row r="70" spans="4:24" x14ac:dyDescent="0.2">
      <c r="D70" s="11"/>
      <c r="E70" s="36" t="s">
        <v>25</v>
      </c>
      <c r="G70" s="45">
        <f>$G$103*K70</f>
        <v>0</v>
      </c>
      <c r="H70" s="45">
        <f>$H$103*K70</f>
        <v>0</v>
      </c>
      <c r="I70" s="45">
        <f>$I$103*K70</f>
        <v>0</v>
      </c>
      <c r="J70" s="43">
        <v>0</v>
      </c>
      <c r="K70" s="43">
        <v>0</v>
      </c>
      <c r="L70" s="5"/>
      <c r="M70" s="42">
        <f t="shared" si="12"/>
        <v>0</v>
      </c>
      <c r="N70" s="42">
        <f t="shared" si="12"/>
        <v>0</v>
      </c>
      <c r="O70" s="42">
        <f t="shared" si="12"/>
        <v>0</v>
      </c>
      <c r="P70" s="43">
        <f t="shared" si="12"/>
        <v>0</v>
      </c>
      <c r="Q70" s="42">
        <f t="shared" si="12"/>
        <v>0</v>
      </c>
      <c r="R70" s="42"/>
      <c r="S70" s="42"/>
      <c r="T70" s="42"/>
      <c r="U70" s="42"/>
      <c r="V70" s="42"/>
      <c r="X70" s="23"/>
    </row>
    <row r="71" spans="4:24" x14ac:dyDescent="0.2">
      <c r="D71" s="11"/>
      <c r="E71" s="36"/>
      <c r="G71" s="45"/>
      <c r="H71" s="45"/>
      <c r="I71" s="45"/>
      <c r="J71" s="43"/>
      <c r="K71" s="43"/>
      <c r="L71" s="5"/>
      <c r="M71" s="42"/>
      <c r="N71" s="42"/>
      <c r="O71" s="42"/>
      <c r="P71" s="43"/>
      <c r="Q71" s="42"/>
      <c r="R71" s="42"/>
      <c r="S71" s="42"/>
      <c r="T71" s="42"/>
      <c r="U71" s="42"/>
      <c r="V71" s="42"/>
      <c r="X71" s="23"/>
    </row>
    <row r="72" spans="4:24" x14ac:dyDescent="0.2">
      <c r="D72" s="11" t="s">
        <v>77</v>
      </c>
      <c r="E72" s="36" t="s">
        <v>23</v>
      </c>
      <c r="G72" s="59">
        <f>K72*$G$103</f>
        <v>5226.1200357043717</v>
      </c>
      <c r="H72" s="59">
        <f>K72*$H$103</f>
        <v>655.33131438616863</v>
      </c>
      <c r="I72" s="59">
        <f>K72*$I$103</f>
        <v>26334.6555062199</v>
      </c>
      <c r="J72" s="18">
        <v>0</v>
      </c>
      <c r="K72" s="18">
        <v>32216</v>
      </c>
      <c r="L72" s="5"/>
      <c r="M72" s="19">
        <f t="shared" ref="M72:Q73" si="13">G72</f>
        <v>5226.1200357043717</v>
      </c>
      <c r="N72" s="19">
        <f t="shared" si="13"/>
        <v>655.33131438616863</v>
      </c>
      <c r="O72" s="19">
        <f t="shared" si="13"/>
        <v>26334.6555062199</v>
      </c>
      <c r="P72" s="18">
        <f t="shared" si="13"/>
        <v>0</v>
      </c>
      <c r="Q72" s="18">
        <f>K72</f>
        <v>32216</v>
      </c>
      <c r="R72" s="42"/>
      <c r="S72" s="42"/>
      <c r="T72" s="42"/>
      <c r="U72" s="42"/>
      <c r="V72" s="42"/>
      <c r="X72" s="23"/>
    </row>
    <row r="73" spans="4:24" x14ac:dyDescent="0.2">
      <c r="D73" s="11"/>
      <c r="E73" s="36" t="s">
        <v>25</v>
      </c>
      <c r="G73" s="45">
        <f>$G$103*K73</f>
        <v>0</v>
      </c>
      <c r="H73" s="45">
        <f>$H$103*K73</f>
        <v>0</v>
      </c>
      <c r="I73" s="45">
        <f>$I$103*K73</f>
        <v>0</v>
      </c>
      <c r="J73" s="43">
        <v>0</v>
      </c>
      <c r="K73" s="43">
        <v>0</v>
      </c>
      <c r="L73" s="5"/>
      <c r="M73" s="42">
        <f t="shared" si="13"/>
        <v>0</v>
      </c>
      <c r="N73" s="42">
        <f t="shared" si="13"/>
        <v>0</v>
      </c>
      <c r="O73" s="42">
        <f t="shared" si="13"/>
        <v>0</v>
      </c>
      <c r="P73" s="43">
        <f t="shared" si="13"/>
        <v>0</v>
      </c>
      <c r="Q73" s="42">
        <f t="shared" si="13"/>
        <v>0</v>
      </c>
      <c r="R73" s="42"/>
      <c r="S73" s="42"/>
      <c r="T73" s="42"/>
      <c r="U73" s="42"/>
      <c r="V73" s="42"/>
      <c r="X73" s="23"/>
    </row>
    <row r="74" spans="4:24" x14ac:dyDescent="0.2">
      <c r="D74" s="11"/>
      <c r="E74" s="36"/>
      <c r="J74" s="11"/>
      <c r="K74" s="11"/>
      <c r="L74" s="5"/>
      <c r="P74" s="11"/>
      <c r="X74" s="23"/>
    </row>
    <row r="75" spans="4:24" x14ac:dyDescent="0.2">
      <c r="D75" s="47" t="s">
        <v>78</v>
      </c>
      <c r="E75" s="36" t="s">
        <v>23</v>
      </c>
      <c r="G75" s="19">
        <f>K75*$G$103</f>
        <v>0</v>
      </c>
      <c r="H75" s="19">
        <f>K75*$H$103</f>
        <v>0</v>
      </c>
      <c r="I75" s="19">
        <f>K75*$I$103</f>
        <v>0</v>
      </c>
      <c r="J75" s="18">
        <v>0</v>
      </c>
      <c r="K75" s="18">
        <v>0</v>
      </c>
      <c r="L75" s="5"/>
      <c r="M75" s="19">
        <f t="shared" ref="M75:Q76" si="14">G75</f>
        <v>0</v>
      </c>
      <c r="N75" s="19">
        <f t="shared" si="14"/>
        <v>0</v>
      </c>
      <c r="O75" s="19">
        <f t="shared" si="14"/>
        <v>0</v>
      </c>
      <c r="P75" s="18">
        <f t="shared" si="14"/>
        <v>0</v>
      </c>
      <c r="Q75" s="18">
        <f>K75</f>
        <v>0</v>
      </c>
      <c r="X75" s="23"/>
    </row>
    <row r="76" spans="4:24" x14ac:dyDescent="0.2">
      <c r="D76" s="11"/>
      <c r="E76" s="36" t="s">
        <v>25</v>
      </c>
      <c r="G76" s="45">
        <f>$G$103*K76</f>
        <v>0</v>
      </c>
      <c r="H76" s="45">
        <f>$H$103*K76</f>
        <v>0</v>
      </c>
      <c r="I76" s="45">
        <f>$I$103*K76</f>
        <v>0</v>
      </c>
      <c r="J76" s="43">
        <v>0</v>
      </c>
      <c r="K76" s="43">
        <v>0</v>
      </c>
      <c r="L76" s="5"/>
      <c r="M76" s="42">
        <f t="shared" si="14"/>
        <v>0</v>
      </c>
      <c r="N76" s="42">
        <f t="shared" si="14"/>
        <v>0</v>
      </c>
      <c r="O76" s="42">
        <f t="shared" si="14"/>
        <v>0</v>
      </c>
      <c r="P76" s="43">
        <f t="shared" si="14"/>
        <v>0</v>
      </c>
      <c r="Q76" s="42">
        <f t="shared" si="14"/>
        <v>0</v>
      </c>
      <c r="X76" s="23"/>
    </row>
    <row r="77" spans="4:24" x14ac:dyDescent="0.2">
      <c r="D77" s="11"/>
      <c r="E77" s="36"/>
      <c r="J77" s="11"/>
      <c r="K77" s="11"/>
      <c r="L77" s="5"/>
      <c r="P77" s="11"/>
      <c r="X77" s="23"/>
    </row>
    <row r="78" spans="4:24" x14ac:dyDescent="0.2">
      <c r="D78" s="47" t="s">
        <v>79</v>
      </c>
      <c r="E78" s="36" t="s">
        <v>23</v>
      </c>
      <c r="G78" s="19">
        <f>K78*$G$103</f>
        <v>0</v>
      </c>
      <c r="H78" s="19">
        <f>K78*$H$103</f>
        <v>0</v>
      </c>
      <c r="I78" s="19">
        <f>K78*$I$103</f>
        <v>0</v>
      </c>
      <c r="J78" s="18">
        <v>0</v>
      </c>
      <c r="K78" s="18">
        <v>0</v>
      </c>
      <c r="L78" s="5"/>
      <c r="M78" s="19">
        <f t="shared" ref="M78:Q79" si="15">G78</f>
        <v>0</v>
      </c>
      <c r="N78" s="19">
        <f t="shared" si="15"/>
        <v>0</v>
      </c>
      <c r="O78" s="19">
        <f t="shared" si="15"/>
        <v>0</v>
      </c>
      <c r="P78" s="18">
        <f t="shared" si="15"/>
        <v>0</v>
      </c>
      <c r="Q78" s="18">
        <f>K78</f>
        <v>0</v>
      </c>
      <c r="X78" s="23"/>
    </row>
    <row r="79" spans="4:24" x14ac:dyDescent="0.2">
      <c r="D79" s="11"/>
      <c r="E79" s="36" t="s">
        <v>25</v>
      </c>
      <c r="G79" s="45">
        <f>$G$103*K79</f>
        <v>0</v>
      </c>
      <c r="H79" s="45">
        <f>$H$103*K79</f>
        <v>0</v>
      </c>
      <c r="I79" s="45">
        <f>$I$103*K79</f>
        <v>0</v>
      </c>
      <c r="J79" s="43">
        <v>0</v>
      </c>
      <c r="K79" s="43">
        <v>0</v>
      </c>
      <c r="L79" s="5"/>
      <c r="M79" s="42">
        <f t="shared" si="15"/>
        <v>0</v>
      </c>
      <c r="N79" s="42">
        <f t="shared" si="15"/>
        <v>0</v>
      </c>
      <c r="O79" s="42">
        <f t="shared" si="15"/>
        <v>0</v>
      </c>
      <c r="P79" s="43">
        <f t="shared" si="15"/>
        <v>0</v>
      </c>
      <c r="Q79" s="42">
        <f t="shared" si="15"/>
        <v>0</v>
      </c>
      <c r="X79" s="23"/>
    </row>
    <row r="80" spans="4:24" x14ac:dyDescent="0.2">
      <c r="D80" s="11"/>
      <c r="E80" s="36"/>
      <c r="J80" s="11"/>
      <c r="K80" s="11"/>
      <c r="L80" s="5"/>
      <c r="P80" s="11"/>
      <c r="X80" s="23"/>
    </row>
    <row r="81" spans="2:24" x14ac:dyDescent="0.2">
      <c r="D81" s="47" t="s">
        <v>80</v>
      </c>
      <c r="E81" s="36" t="s">
        <v>23</v>
      </c>
      <c r="G81" s="59">
        <f>K81*$G$103</f>
        <v>12270.09148437445</v>
      </c>
      <c r="H81" s="59">
        <f>K81*$H$103</f>
        <v>1538.6127997746778</v>
      </c>
      <c r="I81" s="59">
        <f>K81*$I$103</f>
        <v>61829.546597326203</v>
      </c>
      <c r="J81" s="18">
        <v>0</v>
      </c>
      <c r="K81" s="18">
        <v>75638</v>
      </c>
      <c r="L81" s="5"/>
      <c r="M81" s="19">
        <f t="shared" ref="M81:Q82" si="16">G81</f>
        <v>12270.09148437445</v>
      </c>
      <c r="N81" s="19">
        <f t="shared" si="16"/>
        <v>1538.6127997746778</v>
      </c>
      <c r="O81" s="19">
        <f t="shared" si="16"/>
        <v>61829.546597326203</v>
      </c>
      <c r="P81" s="18">
        <f t="shared" si="16"/>
        <v>0</v>
      </c>
      <c r="Q81" s="18">
        <f>K81</f>
        <v>75638</v>
      </c>
      <c r="X81" s="23"/>
    </row>
    <row r="82" spans="2:24" x14ac:dyDescent="0.2">
      <c r="D82" s="11"/>
      <c r="E82" s="36" t="s">
        <v>25</v>
      </c>
      <c r="G82" s="59">
        <f>K82*$G$103</f>
        <v>0</v>
      </c>
      <c r="H82" s="59">
        <f>K82*$H$103</f>
        <v>0</v>
      </c>
      <c r="I82" s="59">
        <f>K82*$I$103</f>
        <v>0</v>
      </c>
      <c r="J82" s="43">
        <v>0</v>
      </c>
      <c r="K82" s="43"/>
      <c r="L82" s="5"/>
      <c r="M82" s="42">
        <f t="shared" si="16"/>
        <v>0</v>
      </c>
      <c r="N82" s="42">
        <f t="shared" si="16"/>
        <v>0</v>
      </c>
      <c r="O82" s="42">
        <f t="shared" si="16"/>
        <v>0</v>
      </c>
      <c r="P82" s="43">
        <f t="shared" si="16"/>
        <v>0</v>
      </c>
      <c r="Q82" s="42">
        <f t="shared" si="16"/>
        <v>0</v>
      </c>
      <c r="X82" s="23"/>
    </row>
    <row r="83" spans="2:24" x14ac:dyDescent="0.2">
      <c r="D83" s="11"/>
      <c r="E83" s="36"/>
      <c r="J83" s="11"/>
      <c r="K83" s="11"/>
      <c r="L83" s="5"/>
      <c r="P83" s="11"/>
      <c r="X83" s="23"/>
    </row>
    <row r="84" spans="2:24" x14ac:dyDescent="0.2">
      <c r="D84" s="47" t="s">
        <v>81</v>
      </c>
      <c r="E84" s="36" t="s">
        <v>23</v>
      </c>
      <c r="G84" s="59">
        <f>K84*$G$103</f>
        <v>1128.7355105671411</v>
      </c>
      <c r="H84" s="59">
        <f>K84*$H$103</f>
        <v>141.53821968894218</v>
      </c>
      <c r="I84" s="59">
        <f>K84*$I$103</f>
        <v>5687.7493485311052</v>
      </c>
      <c r="J84" s="18">
        <v>0</v>
      </c>
      <c r="K84" s="18">
        <v>6958</v>
      </c>
      <c r="L84" s="5"/>
      <c r="M84" s="19">
        <f t="shared" ref="M84:Q85" si="17">G84</f>
        <v>1128.7355105671411</v>
      </c>
      <c r="N84" s="19">
        <f t="shared" si="17"/>
        <v>141.53821968894218</v>
      </c>
      <c r="O84" s="19">
        <f t="shared" si="17"/>
        <v>5687.7493485311052</v>
      </c>
      <c r="P84" s="18">
        <f t="shared" si="17"/>
        <v>0</v>
      </c>
      <c r="Q84" s="19">
        <f>K84</f>
        <v>6958</v>
      </c>
      <c r="R84" s="19"/>
      <c r="S84" s="19"/>
      <c r="T84" s="19"/>
      <c r="U84" s="19"/>
      <c r="V84" s="19"/>
      <c r="X84" s="23"/>
    </row>
    <row r="85" spans="2:24" x14ac:dyDescent="0.2">
      <c r="E85" s="36" t="s">
        <v>25</v>
      </c>
      <c r="G85" s="45">
        <f>$G$103*K85</f>
        <v>0</v>
      </c>
      <c r="H85" s="45">
        <f>$H$103*K85</f>
        <v>0</v>
      </c>
      <c r="I85" s="45">
        <f>$I$103*K85</f>
        <v>0</v>
      </c>
      <c r="J85" s="43">
        <v>0</v>
      </c>
      <c r="K85" s="43">
        <v>0</v>
      </c>
      <c r="L85" s="5"/>
      <c r="M85" s="42">
        <f t="shared" si="17"/>
        <v>0</v>
      </c>
      <c r="N85" s="42">
        <f t="shared" si="17"/>
        <v>0</v>
      </c>
      <c r="O85" s="42">
        <f t="shared" si="17"/>
        <v>0</v>
      </c>
      <c r="P85" s="43">
        <f t="shared" si="17"/>
        <v>0</v>
      </c>
      <c r="Q85" s="42">
        <f t="shared" si="17"/>
        <v>0</v>
      </c>
      <c r="R85" s="42"/>
      <c r="S85" s="42"/>
      <c r="T85" s="42"/>
      <c r="U85" s="42"/>
      <c r="V85" s="42"/>
      <c r="X85" s="23"/>
    </row>
    <row r="86" spans="2:24" x14ac:dyDescent="0.2">
      <c r="E86" s="36"/>
      <c r="G86" s="45"/>
      <c r="H86" s="45"/>
      <c r="I86" s="45"/>
      <c r="J86" s="43"/>
      <c r="K86" s="43"/>
      <c r="L86" s="5"/>
      <c r="M86" s="42"/>
      <c r="N86" s="42"/>
      <c r="O86" s="42"/>
      <c r="P86" s="43"/>
      <c r="Q86" s="42"/>
      <c r="R86" s="42"/>
      <c r="S86" s="42"/>
      <c r="T86" s="42"/>
      <c r="U86" s="42"/>
      <c r="V86" s="42"/>
      <c r="X86" s="23"/>
    </row>
    <row r="87" spans="2:24" x14ac:dyDescent="0.2">
      <c r="D87" s="11" t="s">
        <v>82</v>
      </c>
      <c r="E87" s="36" t="s">
        <v>23</v>
      </c>
      <c r="G87" s="59">
        <f>K87*$G$103</f>
        <v>67.646264430367623</v>
      </c>
      <c r="H87" s="59">
        <f>K87*$H$103</f>
        <v>8.4825291190412315</v>
      </c>
      <c r="I87" s="59">
        <f>K87*$I$103</f>
        <v>340.87258958572448</v>
      </c>
      <c r="J87" s="18">
        <v>0</v>
      </c>
      <c r="K87" s="18">
        <v>417</v>
      </c>
      <c r="L87" s="5"/>
      <c r="M87" s="19">
        <f>G87</f>
        <v>67.646264430367623</v>
      </c>
      <c r="N87" s="19">
        <f>H87</f>
        <v>8.4825291190412315</v>
      </c>
      <c r="O87" s="19">
        <f>I87</f>
        <v>340.87258958572448</v>
      </c>
      <c r="P87" s="18">
        <f>J87</f>
        <v>0</v>
      </c>
      <c r="Q87" s="19">
        <f>K87</f>
        <v>417</v>
      </c>
      <c r="R87" s="19"/>
      <c r="S87" s="19"/>
      <c r="T87" s="19"/>
      <c r="U87" s="19"/>
      <c r="V87" s="19"/>
      <c r="X87" s="23"/>
    </row>
    <row r="88" spans="2:24" ht="13.5" thickBot="1" x14ac:dyDescent="0.25">
      <c r="D88" s="11"/>
      <c r="J88" s="11"/>
      <c r="L88" s="5"/>
      <c r="W88" s="48"/>
      <c r="X88" s="23"/>
    </row>
    <row r="89" spans="2:24" ht="13.5" thickBot="1" x14ac:dyDescent="0.25">
      <c r="B89" s="2" t="s">
        <v>83</v>
      </c>
      <c r="E89" s="36" t="s">
        <v>23</v>
      </c>
      <c r="G89" s="40">
        <f>G60+G63+G66+G69+G72+G75+G78+G81+G84+G87</f>
        <v>64270.440059154302</v>
      </c>
      <c r="H89" s="40">
        <f>H60+H63+H66+H69+H72+H75+H78+H81+H84+H87</f>
        <v>8059.216334947112</v>
      </c>
      <c r="I89" s="40">
        <f>I60+I63+I66+I69+I72+I75+I78+I81+I84+I87</f>
        <v>495010.65771695005</v>
      </c>
      <c r="J89" s="40">
        <f t="shared" ref="J89" si="18">J60+J63+J66+J69+J72+J75+J78+J81+J84+J87</f>
        <v>0</v>
      </c>
      <c r="K89" s="40">
        <f>K60+K63+K66+K69+K72+K75+K78+K81+K84+K87</f>
        <v>567339</v>
      </c>
      <c r="L89" s="41"/>
      <c r="M89" s="40">
        <f>M60+M63+M66+M69+M72+M75+M78+M81+M84+M87</f>
        <v>61046.77922759491</v>
      </c>
      <c r="N89" s="40">
        <f>N60+N63+N66+N69+N72+N75+N78+N81+N84+N87</f>
        <v>7654.984155921722</v>
      </c>
      <c r="O89" s="40">
        <f>O60+O63+O66+O69+O72+O75+O78+O81+O84+O87</f>
        <v>478766.48481467785</v>
      </c>
      <c r="P89" s="40">
        <f>P60+P63+P66+P69+P72+P75+P78+P81+P84+P87</f>
        <v>0</v>
      </c>
      <c r="Q89" s="40">
        <f>SUM(M89:P89)</f>
        <v>547468.24819819443</v>
      </c>
      <c r="R89" s="32"/>
      <c r="S89" s="32"/>
      <c r="T89" s="32"/>
      <c r="U89" s="32"/>
      <c r="V89" s="32"/>
      <c r="W89" s="39"/>
      <c r="X89" s="23"/>
    </row>
    <row r="90" spans="2:24" x14ac:dyDescent="0.2">
      <c r="B90" s="2"/>
      <c r="E90" s="36" t="s">
        <v>25</v>
      </c>
      <c r="G90" s="40">
        <f>G61+G64+G67+G70+G73+G76+G79+G82+G85</f>
        <v>0</v>
      </c>
      <c r="H90" s="40">
        <f>H61+H64+H67+H70+H73+H76+H79+H82+H85</f>
        <v>0</v>
      </c>
      <c r="I90" s="40">
        <f>I61+I64+I67+I70+I73+I76+I79+I82+I85</f>
        <v>0</v>
      </c>
      <c r="J90" s="40">
        <f>J61+J64+J67+J70+J73+J76+J79+J82+J85</f>
        <v>0</v>
      </c>
      <c r="K90" s="49">
        <f>SUM(G90:J90)</f>
        <v>0</v>
      </c>
      <c r="L90" s="50"/>
      <c r="M90" s="40">
        <f>M61+M64+M67+M70+M73+M76+M79+M82+M85</f>
        <v>0</v>
      </c>
      <c r="N90" s="40">
        <f>N61+N64+N67+N70+N73+N76+N79+N82+N85</f>
        <v>0</v>
      </c>
      <c r="O90" s="40">
        <f>O61+O64+O67+O70+O73+O76+O79+O82+O85</f>
        <v>0</v>
      </c>
      <c r="P90" s="40">
        <f>P61+P64+P67+P70+P73+P76+P79+P82+P85</f>
        <v>0</v>
      </c>
      <c r="Q90" s="49">
        <f>SUM(M90:P90)</f>
        <v>0</v>
      </c>
      <c r="R90" s="51"/>
      <c r="S90" s="51"/>
      <c r="T90" s="51"/>
      <c r="U90" s="51"/>
      <c r="V90" s="51"/>
      <c r="X90" s="23"/>
    </row>
    <row r="91" spans="2:24" x14ac:dyDescent="0.2">
      <c r="K91" s="19"/>
      <c r="L91" s="5"/>
      <c r="W91" s="19"/>
      <c r="X91" s="23"/>
    </row>
    <row r="92" spans="2:24" ht="13.5" thickBot="1" x14ac:dyDescent="0.25">
      <c r="L92" s="5"/>
      <c r="X92" s="23"/>
    </row>
    <row r="93" spans="2:24" ht="15" thickBot="1" x14ac:dyDescent="0.25">
      <c r="B93" s="16" t="s">
        <v>84</v>
      </c>
      <c r="G93" s="52">
        <f>G56+G89</f>
        <v>224595.05631551449</v>
      </c>
      <c r="H93" s="52">
        <f>H56+H89</f>
        <v>27320.89906229177</v>
      </c>
      <c r="I93" s="52">
        <f>I56+I89</f>
        <v>765014.00018458255</v>
      </c>
      <c r="J93" s="52">
        <f t="shared" ref="J93:Q93" si="19">J56+J89</f>
        <v>21126</v>
      </c>
      <c r="K93" s="52">
        <f>K56+K89</f>
        <v>1038054.6414513374</v>
      </c>
      <c r="L93" s="53">
        <f t="shared" si="19"/>
        <v>0</v>
      </c>
      <c r="M93" s="52">
        <f t="shared" si="19"/>
        <v>194780.7434382998</v>
      </c>
      <c r="N93" s="52">
        <f t="shared" si="19"/>
        <v>23301.950902847111</v>
      </c>
      <c r="O93" s="54">
        <f t="shared" si="19"/>
        <v>635532.19412049255</v>
      </c>
      <c r="P93" s="52">
        <f t="shared" si="19"/>
        <v>12760</v>
      </c>
      <c r="Q93" s="52">
        <f t="shared" si="19"/>
        <v>866374.88846163941</v>
      </c>
      <c r="R93" s="32"/>
      <c r="S93" s="32"/>
      <c r="T93" s="32"/>
      <c r="U93" s="32"/>
      <c r="V93" s="32"/>
      <c r="X93" s="23"/>
    </row>
    <row r="94" spans="2:24" ht="13.5" thickTop="1" x14ac:dyDescent="0.2">
      <c r="I94" s="55"/>
      <c r="L94" s="5"/>
      <c r="O94" s="56"/>
      <c r="X94" s="23"/>
    </row>
    <row r="95" spans="2:24" x14ac:dyDescent="0.2">
      <c r="G95" s="77"/>
      <c r="H95" s="77"/>
      <c r="I95" s="77"/>
      <c r="K95" s="19"/>
      <c r="L95" s="5"/>
      <c r="O95" s="56"/>
      <c r="X95" s="23"/>
    </row>
    <row r="96" spans="2:24" x14ac:dyDescent="0.2">
      <c r="K96" s="19"/>
      <c r="L96" s="5"/>
      <c r="O96" s="56"/>
      <c r="X96" s="23"/>
    </row>
    <row r="97" spans="5:24" x14ac:dyDescent="0.2">
      <c r="G97" s="59"/>
      <c r="H97" s="59"/>
      <c r="I97" s="55"/>
      <c r="J97" s="19"/>
      <c r="K97" s="59"/>
      <c r="L97" s="5"/>
      <c r="O97" s="56"/>
      <c r="X97" s="23"/>
    </row>
    <row r="98" spans="5:24" x14ac:dyDescent="0.2">
      <c r="G98" s="102"/>
      <c r="H98" s="102"/>
      <c r="I98" s="103"/>
      <c r="K98" s="19"/>
      <c r="L98" s="5"/>
      <c r="O98" s="56"/>
      <c r="X98" s="23"/>
    </row>
    <row r="99" spans="5:24" x14ac:dyDescent="0.2">
      <c r="G99" s="59"/>
      <c r="H99" s="59"/>
      <c r="I99" s="59"/>
      <c r="J99" s="60"/>
      <c r="L99" s="5"/>
      <c r="O99" s="56"/>
      <c r="X99" s="23"/>
    </row>
    <row r="100" spans="5:24" x14ac:dyDescent="0.2">
      <c r="E100" s="57"/>
      <c r="G100" s="55"/>
      <c r="H100" s="55"/>
      <c r="I100" s="55"/>
      <c r="J100" s="60"/>
      <c r="K100" s="57"/>
      <c r="L100" s="5"/>
      <c r="M100" s="19"/>
      <c r="N100" s="57"/>
      <c r="O100" s="61"/>
      <c r="P100" s="57"/>
      <c r="X100" s="23"/>
    </row>
    <row r="101" spans="5:24" x14ac:dyDescent="0.2">
      <c r="G101" s="62"/>
      <c r="H101" s="62"/>
      <c r="I101" s="62"/>
      <c r="J101" s="19"/>
      <c r="L101" s="5"/>
      <c r="O101" s="56"/>
      <c r="X101" s="23"/>
    </row>
    <row r="102" spans="5:24" ht="13.5" thickBot="1" x14ac:dyDescent="0.25">
      <c r="L102" s="5"/>
      <c r="X102" s="23"/>
    </row>
    <row r="103" spans="5:24" x14ac:dyDescent="0.2">
      <c r="E103" s="63"/>
      <c r="F103" s="64"/>
      <c r="G103" s="65">
        <v>0.16222125762678086</v>
      </c>
      <c r="H103" s="65">
        <v>2.0341796448540124E-2</v>
      </c>
      <c r="I103" s="65">
        <v>0.8174402627955023</v>
      </c>
      <c r="J103" s="64"/>
      <c r="K103" s="66"/>
      <c r="L103" s="5"/>
      <c r="M103" s="67"/>
      <c r="N103" s="67"/>
      <c r="O103" s="67"/>
      <c r="X103" s="23"/>
    </row>
    <row r="104" spans="5:24" x14ac:dyDescent="0.2">
      <c r="E104" s="68"/>
      <c r="F104" s="48"/>
      <c r="G104" s="48"/>
      <c r="H104" s="48"/>
      <c r="I104" s="48"/>
      <c r="J104" s="48"/>
      <c r="K104" s="69"/>
      <c r="L104" s="5"/>
      <c r="M104" s="70"/>
      <c r="X104" s="23"/>
    </row>
    <row r="105" spans="5:24" x14ac:dyDescent="0.2">
      <c r="E105" s="68" t="s">
        <v>105</v>
      </c>
      <c r="F105" s="48"/>
      <c r="G105" s="48"/>
      <c r="H105" s="48"/>
      <c r="I105" s="48"/>
      <c r="J105" s="48"/>
      <c r="K105" s="71">
        <v>1038056</v>
      </c>
      <c r="L105" s="5"/>
      <c r="M105" s="72"/>
      <c r="X105" s="23"/>
    </row>
    <row r="106" spans="5:24" x14ac:dyDescent="0.2">
      <c r="E106" s="68" t="s">
        <v>85</v>
      </c>
      <c r="F106" s="48"/>
      <c r="G106" s="48"/>
      <c r="H106" s="48"/>
      <c r="I106" s="48"/>
      <c r="J106" s="48"/>
      <c r="K106" s="71">
        <v>0</v>
      </c>
      <c r="L106" s="5"/>
      <c r="X106" s="23"/>
    </row>
    <row r="107" spans="5:24" x14ac:dyDescent="0.2">
      <c r="E107" s="68"/>
      <c r="F107" s="48"/>
      <c r="G107" s="48"/>
      <c r="H107" s="48"/>
      <c r="I107" s="48"/>
      <c r="J107" s="48"/>
      <c r="K107" s="71"/>
      <c r="L107" s="5"/>
      <c r="M107" s="72"/>
      <c r="X107" s="23"/>
    </row>
    <row r="108" spans="5:24" x14ac:dyDescent="0.2">
      <c r="E108" s="68" t="s">
        <v>106</v>
      </c>
      <c r="F108" s="48"/>
      <c r="G108" s="48"/>
      <c r="H108" s="48"/>
      <c r="I108" s="48"/>
      <c r="J108" s="48"/>
      <c r="K108" s="73">
        <f>SUM(K105:K107)</f>
        <v>1038056</v>
      </c>
      <c r="L108" s="5"/>
      <c r="M108" s="72"/>
      <c r="X108" s="23"/>
    </row>
    <row r="109" spans="5:24" x14ac:dyDescent="0.2">
      <c r="E109" s="68" t="s">
        <v>86</v>
      </c>
      <c r="F109" s="48"/>
      <c r="G109" s="48"/>
      <c r="H109" s="48"/>
      <c r="I109" s="48"/>
      <c r="J109" s="48"/>
      <c r="K109" s="71">
        <f>-K60</f>
        <v>-171149</v>
      </c>
      <c r="L109" s="5"/>
      <c r="M109" s="72"/>
      <c r="O109" s="74"/>
      <c r="P109" s="74"/>
      <c r="Q109" s="59"/>
      <c r="X109" s="23"/>
    </row>
    <row r="110" spans="5:24" ht="13.5" thickBot="1" x14ac:dyDescent="0.25">
      <c r="E110" s="68" t="s">
        <v>107</v>
      </c>
      <c r="F110" s="48"/>
      <c r="G110" s="48"/>
      <c r="H110" s="48"/>
      <c r="I110" s="48"/>
      <c r="J110" s="48"/>
      <c r="K110" s="75">
        <f>SUM(K108:K109)</f>
        <v>866907</v>
      </c>
      <c r="L110" s="5"/>
      <c r="M110" s="72"/>
      <c r="X110" s="23"/>
    </row>
    <row r="111" spans="5:24" ht="13.5" thickTop="1" x14ac:dyDescent="0.2">
      <c r="E111" s="68"/>
      <c r="F111" s="48"/>
      <c r="G111" s="48"/>
      <c r="H111" s="48"/>
      <c r="I111" s="48"/>
      <c r="J111" s="76" t="s">
        <v>87</v>
      </c>
      <c r="K111" s="71"/>
      <c r="L111" s="5"/>
      <c r="M111" s="72"/>
      <c r="O111" s="77"/>
      <c r="Q111" s="59"/>
      <c r="X111" s="23"/>
    </row>
    <row r="112" spans="5:24" x14ac:dyDescent="0.2">
      <c r="E112" s="78" t="s">
        <v>104</v>
      </c>
      <c r="F112" s="48"/>
      <c r="G112" s="79">
        <f>224449</f>
        <v>224449</v>
      </c>
      <c r="H112" s="79">
        <f>27290</f>
        <v>27290</v>
      </c>
      <c r="I112" s="79">
        <f>765191</f>
        <v>765191</v>
      </c>
      <c r="J112" s="79">
        <v>21127</v>
      </c>
      <c r="K112" s="71"/>
      <c r="L112" s="5"/>
      <c r="M112" s="72"/>
      <c r="O112" s="77"/>
      <c r="X112" s="23"/>
    </row>
    <row r="113" spans="2:24" x14ac:dyDescent="0.2">
      <c r="E113" s="68" t="s">
        <v>88</v>
      </c>
      <c r="F113" s="48"/>
      <c r="G113" s="80"/>
      <c r="H113" s="81"/>
      <c r="I113" s="81">
        <f>-K60</f>
        <v>-171149</v>
      </c>
      <c r="K113" s="69"/>
      <c r="L113" s="5"/>
      <c r="O113" s="77"/>
      <c r="X113" s="23"/>
    </row>
    <row r="114" spans="2:24" ht="13.5" thickBot="1" x14ac:dyDescent="0.25">
      <c r="E114" s="68" t="s">
        <v>89</v>
      </c>
      <c r="F114" s="48"/>
      <c r="G114" s="82">
        <f>G112</f>
        <v>224449</v>
      </c>
      <c r="H114" s="82">
        <f>SUM(H112:H113)</f>
        <v>27290</v>
      </c>
      <c r="I114" s="82">
        <f>SUM(I112:I113)</f>
        <v>594042</v>
      </c>
      <c r="J114" s="83"/>
      <c r="K114" s="71"/>
      <c r="L114" s="5"/>
      <c r="X114" s="23"/>
    </row>
    <row r="115" spans="2:24" ht="14.25" thickTop="1" thickBot="1" x14ac:dyDescent="0.25">
      <c r="E115" s="68" t="s">
        <v>90</v>
      </c>
      <c r="F115" s="48"/>
      <c r="G115" s="84">
        <v>0.16222125762678086</v>
      </c>
      <c r="H115" s="84">
        <v>2.0341796448540124E-2</v>
      </c>
      <c r="I115" s="84">
        <v>0.8174402627955023</v>
      </c>
      <c r="J115" s="72"/>
      <c r="K115" s="71"/>
      <c r="L115" s="5"/>
      <c r="X115" s="23"/>
    </row>
    <row r="116" spans="2:24" ht="14.25" thickTop="1" thickBot="1" x14ac:dyDescent="0.25">
      <c r="E116" s="85"/>
      <c r="F116" s="86"/>
      <c r="G116" s="87" t="s">
        <v>91</v>
      </c>
      <c r="H116" s="87" t="s">
        <v>92</v>
      </c>
      <c r="I116" s="87" t="s">
        <v>93</v>
      </c>
      <c r="J116" s="86"/>
      <c r="K116" s="88"/>
      <c r="L116" s="5"/>
      <c r="X116" s="23"/>
    </row>
    <row r="117" spans="2:24" x14ac:dyDescent="0.2">
      <c r="J117" s="64"/>
      <c r="K117" s="89"/>
      <c r="L117" s="11"/>
      <c r="X117" s="23"/>
    </row>
    <row r="118" spans="2:24" x14ac:dyDescent="0.2">
      <c r="J118" s="48"/>
      <c r="K118" s="80"/>
      <c r="L118" s="11"/>
    </row>
    <row r="119" spans="2:24" x14ac:dyDescent="0.2">
      <c r="B119" s="2" t="s">
        <v>94</v>
      </c>
      <c r="C119" s="2"/>
      <c r="D119" s="2" t="s">
        <v>95</v>
      </c>
      <c r="E119" s="90"/>
      <c r="F119" s="91"/>
      <c r="G119" s="72"/>
      <c r="H119" s="72"/>
      <c r="I119" s="92"/>
      <c r="J119" s="101"/>
      <c r="K119" s="94"/>
      <c r="L119" s="11"/>
    </row>
    <row r="120" spans="2:24" x14ac:dyDescent="0.2">
      <c r="B120" s="2" t="s">
        <v>96</v>
      </c>
      <c r="C120" s="2"/>
      <c r="D120" s="2"/>
      <c r="E120" s="91"/>
      <c r="F120" s="91"/>
      <c r="G120" s="91"/>
      <c r="H120" s="91"/>
      <c r="I120" s="92"/>
      <c r="J120" s="93"/>
      <c r="K120" s="93"/>
      <c r="M120" s="95"/>
    </row>
    <row r="121" spans="2:24" x14ac:dyDescent="0.2">
      <c r="B121" s="2" t="s">
        <v>97</v>
      </c>
      <c r="C121" s="2"/>
      <c r="D121" s="187" t="s">
        <v>98</v>
      </c>
      <c r="E121" s="91"/>
      <c r="F121" s="91"/>
      <c r="G121" s="91"/>
      <c r="H121" s="72"/>
      <c r="I121" s="72"/>
      <c r="J121" s="48"/>
      <c r="K121" s="48"/>
    </row>
    <row r="122" spans="2:24" x14ac:dyDescent="0.2">
      <c r="B122" s="2" t="s">
        <v>99</v>
      </c>
      <c r="C122" s="2"/>
      <c r="D122" s="187"/>
      <c r="E122" s="91"/>
      <c r="F122" s="91"/>
      <c r="G122" s="96"/>
      <c r="H122" s="96"/>
      <c r="I122" s="96"/>
    </row>
    <row r="123" spans="2:24" x14ac:dyDescent="0.2">
      <c r="B123" s="2" t="s">
        <v>100</v>
      </c>
      <c r="C123" s="2"/>
      <c r="D123" s="187"/>
      <c r="E123" s="91"/>
      <c r="F123" s="91"/>
      <c r="G123" s="72"/>
      <c r="H123" s="72"/>
      <c r="I123" s="72"/>
    </row>
    <row r="124" spans="2:24" x14ac:dyDescent="0.2">
      <c r="E124" s="91"/>
      <c r="F124" s="91"/>
      <c r="G124" s="96"/>
      <c r="H124" s="96"/>
      <c r="I124" s="96"/>
    </row>
    <row r="125" spans="2:24" x14ac:dyDescent="0.2">
      <c r="B125" s="2" t="s">
        <v>101</v>
      </c>
      <c r="D125" s="2" t="s">
        <v>102</v>
      </c>
      <c r="E125" s="91"/>
      <c r="F125" s="91"/>
      <c r="G125" s="97"/>
      <c r="H125" s="97"/>
      <c r="I125" s="97"/>
      <c r="J125" s="48"/>
    </row>
    <row r="126" spans="2:24" x14ac:dyDescent="0.2">
      <c r="D126" s="98" t="s">
        <v>103</v>
      </c>
      <c r="G126" s="80"/>
      <c r="H126" s="80"/>
      <c r="I126" s="80"/>
      <c r="J126" s="48"/>
    </row>
    <row r="127" spans="2:24" x14ac:dyDescent="0.2">
      <c r="G127" s="48"/>
      <c r="H127" s="48"/>
      <c r="I127" s="48"/>
      <c r="J127" s="48"/>
    </row>
  </sheetData>
  <mergeCells count="2">
    <mergeCell ref="M2:Q2"/>
    <mergeCell ref="D121:D123"/>
  </mergeCells>
  <printOptions horizontalCentered="1"/>
  <pageMargins left="0.25" right="0.25" top="0.25" bottom="0.25" header="0.25" footer="0"/>
  <pageSetup scale="34" orientation="landscape" copies="2" r:id="rId1"/>
  <headerFooter alignWithMargins="0"/>
  <rowBreaks count="1" manualBreakCount="1">
    <brk id="57" min="1" max="16"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29"/>
  <sheetViews>
    <sheetView topLeftCell="A76" zoomScaleNormal="100" workbookViewId="0">
      <selection activeCell="K93" sqref="K9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14.7109375" style="1" customWidth="1"/>
    <col min="8" max="8" width="16"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1" hidden="1" customWidth="1"/>
    <col min="25" max="16384" width="9.140625" style="1"/>
  </cols>
  <sheetData>
    <row r="1" spans="2:24" ht="15" x14ac:dyDescent="0.25">
      <c r="E1" s="2"/>
      <c r="F1" s="2"/>
      <c r="I1"/>
    </row>
    <row r="2" spans="2:24" ht="20.25" thickBot="1" x14ac:dyDescent="0.3">
      <c r="B2" s="3" t="s">
        <v>0</v>
      </c>
      <c r="C2" s="2"/>
      <c r="D2" s="2"/>
      <c r="E2" s="2"/>
      <c r="F2" s="2"/>
      <c r="G2" s="4" t="s">
        <v>1</v>
      </c>
      <c r="H2" s="4"/>
      <c r="J2" s="4"/>
      <c r="K2" s="4"/>
      <c r="L2" s="5"/>
      <c r="M2" s="186" t="s">
        <v>2</v>
      </c>
      <c r="N2" s="186"/>
      <c r="O2" s="186"/>
      <c r="P2" s="186"/>
      <c r="Q2" s="186"/>
      <c r="R2" s="7"/>
      <c r="S2" s="7"/>
      <c r="T2" s="7"/>
      <c r="U2" s="7"/>
      <c r="V2" s="7"/>
    </row>
    <row r="3" spans="2:24" ht="19.5" x14ac:dyDescent="0.25">
      <c r="B3" s="3" t="s">
        <v>3</v>
      </c>
      <c r="C3" s="2"/>
      <c r="D3" s="2"/>
      <c r="L3" s="5"/>
    </row>
    <row r="4" spans="2:24" x14ac:dyDescent="0.2">
      <c r="B4" s="2" t="s">
        <v>4</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18">
        <f>K9*$G$103</f>
        <v>3654.8677825150103</v>
      </c>
      <c r="H9" s="18">
        <f>K9*$H$103</f>
        <v>481.94000909372465</v>
      </c>
      <c r="I9" s="18">
        <f>$I$103*K9</f>
        <v>17722.192208391265</v>
      </c>
      <c r="J9" s="19">
        <v>0</v>
      </c>
      <c r="K9" s="18">
        <v>21859</v>
      </c>
      <c r="L9" s="5"/>
      <c r="M9" s="18">
        <v>0</v>
      </c>
      <c r="N9" s="18">
        <v>0</v>
      </c>
      <c r="O9" s="18">
        <v>0</v>
      </c>
      <c r="P9" s="19">
        <v>0</v>
      </c>
      <c r="Q9" s="19">
        <f>SUM(M9:P9)</f>
        <v>0</v>
      </c>
      <c r="R9" s="19"/>
      <c r="S9" s="19"/>
      <c r="T9" s="19"/>
      <c r="U9" s="19"/>
      <c r="V9" s="19"/>
    </row>
    <row r="10" spans="2:24" x14ac:dyDescent="0.2">
      <c r="B10" s="2" t="s">
        <v>24</v>
      </c>
      <c r="E10" s="17" t="s">
        <v>25</v>
      </c>
      <c r="G10" s="20">
        <f>K10*$G$103</f>
        <v>81.828642333265293</v>
      </c>
      <c r="H10" s="20">
        <f>K10*$H$103</f>
        <v>10.790129486731727</v>
      </c>
      <c r="I10" s="20">
        <f>K10*$I$103</f>
        <v>396.78122818000298</v>
      </c>
      <c r="J10" s="21"/>
      <c r="K10" s="20">
        <v>489.4</v>
      </c>
      <c r="L10" s="5"/>
      <c r="M10" s="20">
        <f>G10</f>
        <v>81.828642333265293</v>
      </c>
      <c r="N10" s="20">
        <f>H10</f>
        <v>10.790129486731727</v>
      </c>
      <c r="O10" s="20">
        <f>I10</f>
        <v>396.78122818000298</v>
      </c>
      <c r="P10" s="21">
        <v>0</v>
      </c>
      <c r="Q10" s="21">
        <f>SUM(M10:P10)</f>
        <v>489.4</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18">
        <f>K12*G103</f>
        <v>29922.798302504747</v>
      </c>
      <c r="H12" s="18">
        <f>K12*H103</f>
        <v>3945.695041284192</v>
      </c>
      <c r="I12" s="18">
        <f>K12*I103</f>
        <v>145093.50665621107</v>
      </c>
      <c r="J12" s="19">
        <v>0</v>
      </c>
      <c r="K12" s="18">
        <v>178962</v>
      </c>
      <c r="L12" s="5"/>
      <c r="M12" s="18">
        <f t="shared" ref="M12:P13" si="0">G12</f>
        <v>29922.798302504747</v>
      </c>
      <c r="N12" s="18">
        <f t="shared" si="0"/>
        <v>3945.695041284192</v>
      </c>
      <c r="O12" s="18">
        <f>I12</f>
        <v>145093.50665621107</v>
      </c>
      <c r="P12" s="18">
        <f t="shared" si="0"/>
        <v>0</v>
      </c>
      <c r="Q12" s="19">
        <f>SUM(M12:P12)</f>
        <v>178962</v>
      </c>
      <c r="R12" s="19"/>
      <c r="S12" s="19"/>
      <c r="T12" s="19"/>
      <c r="U12" s="19"/>
      <c r="V12" s="19"/>
    </row>
    <row r="13" spans="2:24" x14ac:dyDescent="0.2">
      <c r="E13" s="17" t="s">
        <v>25</v>
      </c>
      <c r="G13" s="20">
        <f>K13*$G$103</f>
        <v>485.90563441908921</v>
      </c>
      <c r="H13" s="20">
        <f>K13*$H$103</f>
        <v>64.072732532470525</v>
      </c>
      <c r="I13" s="20">
        <f>K13*$I$103</f>
        <v>2356.1216330484403</v>
      </c>
      <c r="J13" s="21">
        <v>0</v>
      </c>
      <c r="K13" s="20">
        <v>2906.1</v>
      </c>
      <c r="L13" s="5"/>
      <c r="M13" s="20">
        <f t="shared" si="0"/>
        <v>485.90563441908921</v>
      </c>
      <c r="N13" s="20">
        <f t="shared" si="0"/>
        <v>64.072732532470525</v>
      </c>
      <c r="O13" s="20">
        <f t="shared" si="0"/>
        <v>2356.1216330484403</v>
      </c>
      <c r="P13" s="21">
        <v>0</v>
      </c>
      <c r="Q13" s="21">
        <f>SUM(M13:P13)</f>
        <v>2906.1000000000004</v>
      </c>
      <c r="R13" s="22"/>
      <c r="S13" s="22"/>
      <c r="T13" s="22"/>
      <c r="U13" s="22"/>
      <c r="V13" s="22"/>
      <c r="X13" s="23"/>
    </row>
    <row r="14" spans="2:24" x14ac:dyDescent="0.2">
      <c r="E14" s="11"/>
      <c r="G14" s="11"/>
      <c r="H14" s="11"/>
      <c r="I14" s="11"/>
      <c r="K14" s="11"/>
      <c r="L14" s="5"/>
      <c r="M14" s="11"/>
      <c r="N14" s="11"/>
      <c r="O14" s="11"/>
      <c r="X14" s="24" t="s">
        <v>27</v>
      </c>
    </row>
    <row r="15" spans="2:24" x14ac:dyDescent="0.2">
      <c r="D15" s="1" t="s">
        <v>28</v>
      </c>
      <c r="E15" s="17" t="s">
        <v>29</v>
      </c>
      <c r="G15" s="18">
        <f>K15*$G$103</f>
        <v>1382.4258578084132</v>
      </c>
      <c r="H15" s="18">
        <f>K15*$H$103</f>
        <v>182.29013199080083</v>
      </c>
      <c r="I15" s="18">
        <f>K15*$I$103</f>
        <v>6703.2840102007867</v>
      </c>
      <c r="J15" s="19"/>
      <c r="K15" s="18">
        <v>8268</v>
      </c>
      <c r="L15" s="5"/>
      <c r="M15" s="18">
        <v>0</v>
      </c>
      <c r="N15" s="18">
        <v>0</v>
      </c>
      <c r="O15" s="18">
        <v>0</v>
      </c>
      <c r="P15" s="19">
        <v>0</v>
      </c>
      <c r="Q15" s="19">
        <f t="shared" ref="Q15:Q20" si="1">SUM(M15:P15)</f>
        <v>0</v>
      </c>
      <c r="R15" s="19"/>
      <c r="S15" s="19"/>
      <c r="T15" s="19"/>
      <c r="U15" s="19"/>
      <c r="V15" s="19"/>
      <c r="X15" s="23"/>
    </row>
    <row r="16" spans="2:24" x14ac:dyDescent="0.2">
      <c r="D16" s="1" t="s">
        <v>30</v>
      </c>
      <c r="E16" s="17" t="s">
        <v>31</v>
      </c>
      <c r="G16" s="18">
        <f t="shared" ref="G16:G18" si="2">K16*$G$103</f>
        <v>3381.1581635947909</v>
      </c>
      <c r="H16" s="18">
        <f t="shared" ref="H16:H18" si="3">K16*$H$103</f>
        <v>445.84797401039845</v>
      </c>
      <c r="I16" s="18">
        <f t="shared" ref="I16:I18" si="4">K16*$I$103</f>
        <v>16394.993862394811</v>
      </c>
      <c r="J16" s="19"/>
      <c r="K16" s="18">
        <v>20222</v>
      </c>
      <c r="L16" s="5"/>
      <c r="M16" s="18">
        <f>G16</f>
        <v>3381.1581635947909</v>
      </c>
      <c r="N16" s="18">
        <f>H16</f>
        <v>445.84797401039845</v>
      </c>
      <c r="O16" s="18">
        <f>I16</f>
        <v>16394.993862394811</v>
      </c>
      <c r="P16" s="18">
        <f>J16</f>
        <v>0</v>
      </c>
      <c r="Q16" s="19">
        <f t="shared" si="1"/>
        <v>20222</v>
      </c>
      <c r="R16" s="19"/>
      <c r="S16" s="19"/>
      <c r="T16" s="19"/>
      <c r="U16" s="19"/>
      <c r="V16" s="19"/>
      <c r="X16" s="23" t="s">
        <v>32</v>
      </c>
    </row>
    <row r="17" spans="2:24" x14ac:dyDescent="0.2">
      <c r="E17" s="17" t="s">
        <v>33</v>
      </c>
      <c r="G17" s="18">
        <f t="shared" si="2"/>
        <v>839.68827502586498</v>
      </c>
      <c r="H17" s="18">
        <f t="shared" si="3"/>
        <v>110.72339657206118</v>
      </c>
      <c r="I17" s="18">
        <f t="shared" si="4"/>
        <v>4071.5883284020742</v>
      </c>
      <c r="J17" s="19"/>
      <c r="K17" s="18">
        <v>5022</v>
      </c>
      <c r="L17" s="5"/>
      <c r="M17" s="18">
        <v>0</v>
      </c>
      <c r="N17" s="18">
        <v>0</v>
      </c>
      <c r="O17" s="18">
        <v>0</v>
      </c>
      <c r="P17" s="19">
        <v>0</v>
      </c>
      <c r="Q17" s="19">
        <f t="shared" si="1"/>
        <v>0</v>
      </c>
      <c r="R17" s="19"/>
      <c r="S17" s="19"/>
      <c r="T17" s="19"/>
      <c r="U17" s="19"/>
      <c r="V17" s="19"/>
      <c r="X17" s="25">
        <f>395196+21379</f>
        <v>416575</v>
      </c>
    </row>
    <row r="18" spans="2:24" x14ac:dyDescent="0.2">
      <c r="E18" s="17" t="s">
        <v>34</v>
      </c>
      <c r="G18" s="99">
        <f t="shared" si="2"/>
        <v>7770.0308742627876</v>
      </c>
      <c r="H18" s="99">
        <f t="shared" si="3"/>
        <v>1024.5757091721416</v>
      </c>
      <c r="I18" s="99">
        <f t="shared" si="4"/>
        <v>37676.323416565072</v>
      </c>
      <c r="J18" s="19">
        <v>0</v>
      </c>
      <c r="K18" s="18">
        <v>46470.93</v>
      </c>
      <c r="L18" s="5"/>
      <c r="M18" s="18">
        <v>0</v>
      </c>
      <c r="N18" s="18">
        <v>0</v>
      </c>
      <c r="O18" s="18">
        <v>0</v>
      </c>
      <c r="P18" s="19">
        <v>0</v>
      </c>
      <c r="Q18" s="19">
        <f t="shared" si="1"/>
        <v>0</v>
      </c>
      <c r="R18" s="19"/>
      <c r="S18" s="19"/>
      <c r="T18" s="19"/>
      <c r="U18" s="19"/>
      <c r="V18" s="19"/>
      <c r="X18" s="23"/>
    </row>
    <row r="19" spans="2:24" x14ac:dyDescent="0.2">
      <c r="E19" s="17" t="s">
        <v>35</v>
      </c>
      <c r="G19" s="18">
        <v>65032</v>
      </c>
      <c r="H19" s="18">
        <v>10561</v>
      </c>
      <c r="I19" s="18">
        <v>0</v>
      </c>
      <c r="J19" s="19">
        <v>0</v>
      </c>
      <c r="K19" s="18">
        <v>75593</v>
      </c>
      <c r="L19" s="5"/>
      <c r="M19" s="18">
        <f>G19</f>
        <v>65032</v>
      </c>
      <c r="N19" s="18">
        <f>H19</f>
        <v>10561</v>
      </c>
      <c r="O19" s="18">
        <f>I19</f>
        <v>0</v>
      </c>
      <c r="P19" s="18">
        <f>J19</f>
        <v>0</v>
      </c>
      <c r="Q19" s="19">
        <f t="shared" si="1"/>
        <v>75593</v>
      </c>
      <c r="R19" s="19"/>
      <c r="S19" s="19"/>
      <c r="T19" s="19"/>
      <c r="U19" s="19"/>
      <c r="V19" s="19"/>
      <c r="X19" s="23" t="s">
        <v>36</v>
      </c>
    </row>
    <row r="20" spans="2:24" x14ac:dyDescent="0.2">
      <c r="E20" s="17" t="s">
        <v>37</v>
      </c>
      <c r="G20" s="26">
        <f t="shared" ref="G20" si="5">K20*$G$103</f>
        <v>707.05531521617411</v>
      </c>
      <c r="H20" s="26">
        <f t="shared" ref="H20" si="6">K20*$H$103</f>
        <v>93.234082686997951</v>
      </c>
      <c r="I20" s="26">
        <f t="shared" ref="I20" si="7">K20*$I$103</f>
        <v>3428.4606020968281</v>
      </c>
      <c r="J20" s="26">
        <v>0</v>
      </c>
      <c r="K20" s="27">
        <v>4228.75</v>
      </c>
      <c r="L20" s="5"/>
      <c r="M20" s="18">
        <v>0</v>
      </c>
      <c r="N20" s="18">
        <v>0</v>
      </c>
      <c r="O20" s="18">
        <v>0</v>
      </c>
      <c r="P20" s="19">
        <v>0</v>
      </c>
      <c r="Q20" s="19">
        <f t="shared" si="1"/>
        <v>0</v>
      </c>
      <c r="R20" s="19"/>
      <c r="S20" s="19"/>
      <c r="T20" s="19"/>
      <c r="U20" s="19"/>
      <c r="V20" s="19"/>
      <c r="X20" s="25">
        <f>31030+1679</f>
        <v>32709</v>
      </c>
    </row>
    <row r="21" spans="2:24" x14ac:dyDescent="0.2">
      <c r="D21" s="2" t="s">
        <v>38</v>
      </c>
      <c r="E21" s="17"/>
      <c r="G21" s="28">
        <f>G9+G12+SUM(G15:G20)</f>
        <v>112690.02457092778</v>
      </c>
      <c r="H21" s="28">
        <f>SUM(H15:H20)+H12+H9</f>
        <v>16845.306344810317</v>
      </c>
      <c r="I21" s="28">
        <f>SUM(I15:I20)+I12+I9</f>
        <v>231090.34908426192</v>
      </c>
      <c r="J21" s="29">
        <f>J9+J12+SUM(J15:J20)</f>
        <v>0</v>
      </c>
      <c r="K21" s="28">
        <f>SUM(K15:K20)+K12+K9</f>
        <v>360625.68</v>
      </c>
      <c r="L21" s="5"/>
      <c r="M21" s="30">
        <f>M9+M12+SUM(M15:M20)</f>
        <v>98335.956466099538</v>
      </c>
      <c r="N21" s="30">
        <f>N9+N12+SUM(N15:N20)</f>
        <v>14952.54301529459</v>
      </c>
      <c r="O21" s="30">
        <f>O9+O12+SUM(O15:O20)</f>
        <v>161488.50051860587</v>
      </c>
      <c r="P21" s="31">
        <f>P9+P12+SUM(P15:P20)</f>
        <v>0</v>
      </c>
      <c r="Q21" s="31">
        <f>Q9+Q12+SUM(Q15:Q20)</f>
        <v>274777</v>
      </c>
      <c r="R21" s="32"/>
      <c r="S21" s="32"/>
      <c r="T21" s="32"/>
      <c r="U21" s="32"/>
      <c r="V21" s="32"/>
      <c r="X21" s="23"/>
    </row>
    <row r="22" spans="2:24" x14ac:dyDescent="0.2">
      <c r="E22" s="17"/>
      <c r="G22" s="18"/>
      <c r="H22" s="18"/>
      <c r="I22" s="18"/>
      <c r="J22" s="19"/>
      <c r="K22" s="18"/>
      <c r="L22" s="5"/>
      <c r="M22" s="33"/>
      <c r="N22" s="18"/>
      <c r="O22" s="18"/>
      <c r="P22" s="19"/>
      <c r="Q22" s="19"/>
      <c r="R22" s="19"/>
      <c r="S22" s="19"/>
      <c r="T22" s="19"/>
      <c r="U22" s="19"/>
      <c r="V22" s="19"/>
      <c r="X22" s="23" t="s">
        <v>39</v>
      </c>
    </row>
    <row r="23" spans="2:24" x14ac:dyDescent="0.2">
      <c r="B23" s="2" t="s">
        <v>40</v>
      </c>
      <c r="E23" s="17" t="s">
        <v>41</v>
      </c>
      <c r="G23" s="26">
        <f t="shared" ref="G23" si="8">K23*$G$103</f>
        <v>11545.29577668976</v>
      </c>
      <c r="H23" s="26">
        <f t="shared" ref="H23" si="9">K23*$H$103</f>
        <v>1522.3915836919205</v>
      </c>
      <c r="I23" s="26">
        <f t="shared" ref="I23" si="10">K23*$I$103</f>
        <v>55982.312639618322</v>
      </c>
      <c r="J23" s="26">
        <v>0</v>
      </c>
      <c r="K23" s="27">
        <v>69050</v>
      </c>
      <c r="L23" s="5"/>
      <c r="M23" s="27">
        <f>$Q$23*G$103</f>
        <v>906.52362614113997</v>
      </c>
      <c r="N23" s="27">
        <f>$Q$23*H$103</f>
        <v>119.53647317044717</v>
      </c>
      <c r="O23" s="27">
        <f>$Q$23*I$103</f>
        <v>4395.6681609056614</v>
      </c>
      <c r="P23" s="27">
        <v>0</v>
      </c>
      <c r="Q23" s="27">
        <f>K23*X23</f>
        <v>5421.7282602172481</v>
      </c>
      <c r="R23" s="34"/>
      <c r="S23" s="34"/>
      <c r="T23" s="34"/>
      <c r="U23" s="34"/>
      <c r="V23" s="34"/>
      <c r="X23" s="35">
        <f>X20/X17</f>
        <v>7.8518874152313511E-2</v>
      </c>
    </row>
    <row r="24" spans="2:24" x14ac:dyDescent="0.2">
      <c r="B24" s="2"/>
      <c r="D24" s="2" t="s">
        <v>42</v>
      </c>
      <c r="E24" s="17"/>
      <c r="G24" s="28">
        <f>SUM(G23)</f>
        <v>11545.29577668976</v>
      </c>
      <c r="H24" s="28">
        <f>SUM(H23)</f>
        <v>1522.3915836919205</v>
      </c>
      <c r="I24" s="28">
        <f>SUM(I23)</f>
        <v>55982.312639618322</v>
      </c>
      <c r="J24" s="29">
        <f>SUM(J23)</f>
        <v>0</v>
      </c>
      <c r="K24" s="28">
        <f>SUM(G24:J24)</f>
        <v>69050</v>
      </c>
      <c r="L24" s="5"/>
      <c r="M24" s="28">
        <f>SUM(M23)</f>
        <v>906.52362614113997</v>
      </c>
      <c r="N24" s="28">
        <f>SUM(N23)</f>
        <v>119.53647317044717</v>
      </c>
      <c r="O24" s="28">
        <f>SUM(O23)</f>
        <v>4395.6681609056614</v>
      </c>
      <c r="P24" s="29">
        <f>SUM(P23)</f>
        <v>0</v>
      </c>
      <c r="Q24" s="29">
        <f>SUM(M24:P24)</f>
        <v>5421.728260217249</v>
      </c>
      <c r="R24" s="29"/>
      <c r="S24" s="29"/>
      <c r="T24" s="29"/>
      <c r="U24" s="29"/>
      <c r="V24" s="29"/>
      <c r="X24" s="23"/>
    </row>
    <row r="25" spans="2:24" x14ac:dyDescent="0.2">
      <c r="B25" s="2"/>
      <c r="E25" s="11"/>
      <c r="G25" s="11"/>
      <c r="H25" s="11"/>
      <c r="I25" s="11"/>
      <c r="K25" s="11"/>
      <c r="L25" s="5"/>
      <c r="M25" s="11"/>
      <c r="N25" s="11"/>
      <c r="O25" s="11"/>
      <c r="X25" s="23"/>
    </row>
    <row r="26" spans="2:24" x14ac:dyDescent="0.2">
      <c r="B26" s="2" t="s">
        <v>43</v>
      </c>
      <c r="E26" s="17" t="s">
        <v>44</v>
      </c>
      <c r="F26" s="11"/>
      <c r="G26" s="18">
        <f t="shared" ref="G26:G30" si="11">K26*$G$103</f>
        <v>389.84643272950149</v>
      </c>
      <c r="H26" s="18">
        <f t="shared" ref="H26:H30" si="12">K26*$H$103</f>
        <v>51.406125888779798</v>
      </c>
      <c r="I26" s="18">
        <f t="shared" ref="I26:I30" si="13">K26*$I$103</f>
        <v>1890.3374413817189</v>
      </c>
      <c r="J26" s="19">
        <v>0</v>
      </c>
      <c r="K26" s="18">
        <v>2331.59</v>
      </c>
      <c r="L26" s="5"/>
      <c r="M26" s="34">
        <v>0</v>
      </c>
      <c r="N26" s="34">
        <v>0</v>
      </c>
      <c r="O26" s="34">
        <v>0</v>
      </c>
      <c r="P26" s="19">
        <v>0</v>
      </c>
      <c r="Q26" s="19">
        <f t="shared" ref="Q26:Q31" si="14">SUM(M26:P26)</f>
        <v>0</v>
      </c>
      <c r="R26" s="19"/>
      <c r="S26" s="19"/>
      <c r="T26" s="19"/>
      <c r="U26" s="19"/>
      <c r="V26" s="19"/>
      <c r="X26" s="23"/>
    </row>
    <row r="27" spans="2:24" x14ac:dyDescent="0.2">
      <c r="B27" s="2"/>
      <c r="E27" s="17" t="s">
        <v>45</v>
      </c>
      <c r="G27" s="18">
        <f t="shared" si="11"/>
        <v>595.3292892792897</v>
      </c>
      <c r="H27" s="18">
        <f t="shared" si="12"/>
        <v>78.501609404756408</v>
      </c>
      <c r="I27" s="18">
        <f t="shared" si="13"/>
        <v>2886.7091013159538</v>
      </c>
      <c r="J27" s="19">
        <v>0</v>
      </c>
      <c r="K27" s="18">
        <v>3560.54</v>
      </c>
      <c r="L27" s="5"/>
      <c r="M27" s="18">
        <f>G27</f>
        <v>595.3292892792897</v>
      </c>
      <c r="N27" s="18">
        <f>H27</f>
        <v>78.501609404756408</v>
      </c>
      <c r="O27" s="18">
        <f>I27</f>
        <v>2886.7091013159538</v>
      </c>
      <c r="P27" s="18">
        <f>J27</f>
        <v>0</v>
      </c>
      <c r="Q27" s="19">
        <f>SUM(M27:P27)</f>
        <v>3560.54</v>
      </c>
      <c r="R27" s="19"/>
      <c r="S27" s="19"/>
      <c r="T27" s="19"/>
      <c r="U27" s="19"/>
      <c r="V27" s="19"/>
      <c r="X27" s="23"/>
    </row>
    <row r="28" spans="2:24" x14ac:dyDescent="0.2">
      <c r="B28" s="2"/>
      <c r="E28" s="11" t="s">
        <v>46</v>
      </c>
      <c r="G28" s="18">
        <f t="shared" si="11"/>
        <v>0</v>
      </c>
      <c r="H28" s="18">
        <f t="shared" si="12"/>
        <v>0</v>
      </c>
      <c r="I28" s="18">
        <f t="shared" si="13"/>
        <v>0</v>
      </c>
      <c r="J28" s="19">
        <v>0</v>
      </c>
      <c r="K28" s="18">
        <v>0</v>
      </c>
      <c r="L28" s="5"/>
      <c r="M28" s="18">
        <v>0</v>
      </c>
      <c r="N28" s="18">
        <v>0</v>
      </c>
      <c r="O28" s="18">
        <v>0</v>
      </c>
      <c r="P28" s="19">
        <v>0</v>
      </c>
      <c r="Q28" s="19">
        <f t="shared" si="14"/>
        <v>0</v>
      </c>
      <c r="R28" s="19"/>
      <c r="S28" s="19"/>
      <c r="T28" s="19"/>
      <c r="U28" s="19"/>
      <c r="V28" s="19"/>
      <c r="X28" s="23"/>
    </row>
    <row r="29" spans="2:24" x14ac:dyDescent="0.2">
      <c r="B29" s="2"/>
      <c r="E29" s="17" t="s">
        <v>47</v>
      </c>
      <c r="G29" s="18">
        <f t="shared" si="11"/>
        <v>429.16397511746084</v>
      </c>
      <c r="H29" s="18">
        <f t="shared" si="12"/>
        <v>56.590635387768273</v>
      </c>
      <c r="I29" s="18">
        <f t="shared" si="13"/>
        <v>2080.985389494771</v>
      </c>
      <c r="J29" s="19">
        <v>0</v>
      </c>
      <c r="K29" s="18">
        <v>2566.7399999999998</v>
      </c>
      <c r="L29" s="5"/>
      <c r="M29" s="18">
        <f t="shared" ref="M29:P30" si="15">G29</f>
        <v>429.16397511746084</v>
      </c>
      <c r="N29" s="18">
        <f t="shared" si="15"/>
        <v>56.590635387768273</v>
      </c>
      <c r="O29" s="18">
        <f t="shared" si="15"/>
        <v>2080.985389494771</v>
      </c>
      <c r="P29" s="18">
        <f t="shared" si="15"/>
        <v>0</v>
      </c>
      <c r="Q29" s="19">
        <f t="shared" si="14"/>
        <v>2566.7400000000002</v>
      </c>
      <c r="R29" s="19"/>
      <c r="S29" s="19"/>
      <c r="T29" s="19"/>
      <c r="U29" s="19"/>
      <c r="V29" s="19"/>
      <c r="X29" s="23"/>
    </row>
    <row r="30" spans="2:24" x14ac:dyDescent="0.2">
      <c r="B30" s="2"/>
      <c r="E30" s="36" t="s">
        <v>48</v>
      </c>
      <c r="G30" s="26">
        <f t="shared" si="11"/>
        <v>5.1832609569497832</v>
      </c>
      <c r="H30" s="26">
        <f t="shared" si="12"/>
        <v>0.68347775661766164</v>
      </c>
      <c r="I30" s="26">
        <f t="shared" si="13"/>
        <v>25.133261286432557</v>
      </c>
      <c r="J30" s="26">
        <v>0</v>
      </c>
      <c r="K30" s="27">
        <v>31</v>
      </c>
      <c r="L30" s="5"/>
      <c r="M30" s="27">
        <f t="shared" si="15"/>
        <v>5.1832609569497832</v>
      </c>
      <c r="N30" s="27">
        <f t="shared" si="15"/>
        <v>0.68347775661766164</v>
      </c>
      <c r="O30" s="27">
        <f t="shared" si="15"/>
        <v>25.133261286432557</v>
      </c>
      <c r="P30" s="27">
        <f>J30</f>
        <v>0</v>
      </c>
      <c r="Q30" s="26">
        <f t="shared" si="14"/>
        <v>31</v>
      </c>
      <c r="R30" s="37"/>
      <c r="S30" s="37"/>
      <c r="T30" s="37"/>
      <c r="U30" s="37"/>
      <c r="V30" s="37"/>
      <c r="X30" s="23"/>
    </row>
    <row r="31" spans="2:24" x14ac:dyDescent="0.2">
      <c r="B31" s="2"/>
      <c r="D31" s="2" t="s">
        <v>49</v>
      </c>
      <c r="G31" s="29">
        <f>SUM(G26:G30)</f>
        <v>1419.5229580832017</v>
      </c>
      <c r="H31" s="29">
        <f>SUM(H26:H30)</f>
        <v>187.18184843792216</v>
      </c>
      <c r="I31" s="29">
        <f>SUM(I26:I30)</f>
        <v>6883.1651934788761</v>
      </c>
      <c r="J31" s="29">
        <f>SUM(J26:J30)</f>
        <v>0</v>
      </c>
      <c r="K31" s="28">
        <f t="shared" ref="K31" si="16">SUM(G31:J31)</f>
        <v>8489.869999999999</v>
      </c>
      <c r="L31" s="5"/>
      <c r="M31" s="28">
        <f>SUM(M26:M30)</f>
        <v>1029.6765253537003</v>
      </c>
      <c r="N31" s="28">
        <f>SUM(N26:N30)</f>
        <v>135.77572254914236</v>
      </c>
      <c r="O31" s="28">
        <f>SUM(O26:O30)</f>
        <v>4992.8277520971578</v>
      </c>
      <c r="P31" s="29">
        <f>SUM(P26:P30)</f>
        <v>0</v>
      </c>
      <c r="Q31" s="29">
        <f t="shared" si="14"/>
        <v>6158.2800000000007</v>
      </c>
      <c r="R31" s="29"/>
      <c r="S31" s="29"/>
      <c r="T31" s="29"/>
      <c r="U31" s="29"/>
      <c r="V31" s="29"/>
      <c r="X31" s="23"/>
    </row>
    <row r="32" spans="2:24" x14ac:dyDescent="0.2">
      <c r="B32" s="2"/>
      <c r="K32" s="11"/>
      <c r="L32" s="5"/>
      <c r="X32" s="23"/>
    </row>
    <row r="33" spans="2:24" x14ac:dyDescent="0.2">
      <c r="B33" s="2" t="s">
        <v>50</v>
      </c>
      <c r="D33" s="2" t="s">
        <v>51</v>
      </c>
      <c r="E33" s="1" t="s">
        <v>52</v>
      </c>
      <c r="G33" s="18">
        <v>5093</v>
      </c>
      <c r="H33" s="18">
        <v>0</v>
      </c>
      <c r="I33" s="18">
        <v>0</v>
      </c>
      <c r="J33" s="18">
        <v>0</v>
      </c>
      <c r="K33" s="18">
        <f>SUM(G33:J33)</f>
        <v>5093</v>
      </c>
      <c r="L33" s="5"/>
      <c r="M33" s="19">
        <f t="shared" ref="M33:P34" si="17">G33</f>
        <v>5093</v>
      </c>
      <c r="N33" s="19">
        <f t="shared" si="17"/>
        <v>0</v>
      </c>
      <c r="O33" s="19">
        <f t="shared" si="17"/>
        <v>0</v>
      </c>
      <c r="P33" s="19">
        <f t="shared" si="17"/>
        <v>0</v>
      </c>
      <c r="Q33" s="19">
        <f>SUM(M33:P33)</f>
        <v>5093</v>
      </c>
      <c r="R33" s="19"/>
      <c r="S33" s="19"/>
      <c r="T33" s="19"/>
      <c r="U33" s="19"/>
      <c r="V33" s="19"/>
      <c r="X33" s="23"/>
    </row>
    <row r="34" spans="2:24" x14ac:dyDescent="0.2">
      <c r="B34" s="2" t="s">
        <v>53</v>
      </c>
      <c r="D34" s="2" t="s">
        <v>54</v>
      </c>
      <c r="E34" s="1" t="s">
        <v>55</v>
      </c>
      <c r="G34" s="18"/>
      <c r="H34" s="18">
        <v>0</v>
      </c>
      <c r="I34" s="18">
        <v>0</v>
      </c>
      <c r="J34" s="18">
        <v>0</v>
      </c>
      <c r="K34" s="18">
        <f>SUM(G34:J34)</f>
        <v>0</v>
      </c>
      <c r="L34" s="5"/>
      <c r="M34" s="19">
        <f t="shared" si="17"/>
        <v>0</v>
      </c>
      <c r="N34" s="19">
        <f t="shared" si="17"/>
        <v>0</v>
      </c>
      <c r="O34" s="19">
        <f t="shared" si="17"/>
        <v>0</v>
      </c>
      <c r="P34" s="19">
        <f t="shared" si="17"/>
        <v>0</v>
      </c>
      <c r="Q34" s="19">
        <f>SUM(M34:P34)</f>
        <v>0</v>
      </c>
      <c r="R34" s="19"/>
      <c r="S34" s="19"/>
      <c r="T34" s="19"/>
      <c r="U34" s="19"/>
      <c r="V34" s="19"/>
      <c r="X34" s="23"/>
    </row>
    <row r="35" spans="2:24" x14ac:dyDescent="0.2">
      <c r="D35" s="2"/>
      <c r="G35" s="11"/>
      <c r="H35" s="11"/>
      <c r="I35" s="11"/>
      <c r="J35" s="11"/>
      <c r="K35" s="11"/>
      <c r="L35" s="5"/>
      <c r="Q35" s="19"/>
      <c r="R35" s="19"/>
      <c r="S35" s="19"/>
      <c r="T35" s="19"/>
      <c r="U35" s="19"/>
      <c r="V35" s="19"/>
      <c r="X35" s="23"/>
    </row>
    <row r="36" spans="2:24" x14ac:dyDescent="0.2">
      <c r="D36" s="2" t="s">
        <v>56</v>
      </c>
      <c r="E36" s="1" t="s">
        <v>57</v>
      </c>
      <c r="G36" s="18">
        <v>3160</v>
      </c>
      <c r="H36" s="18"/>
      <c r="I36" s="18">
        <v>0</v>
      </c>
      <c r="J36" s="18">
        <v>0</v>
      </c>
      <c r="K36" s="18">
        <f>SUM(G36:J36)</f>
        <v>3160</v>
      </c>
      <c r="L36" s="5"/>
      <c r="M36" s="19">
        <f t="shared" ref="M36:P39" si="18">G36</f>
        <v>3160</v>
      </c>
      <c r="N36" s="19">
        <f t="shared" si="18"/>
        <v>0</v>
      </c>
      <c r="O36" s="19">
        <f t="shared" si="18"/>
        <v>0</v>
      </c>
      <c r="P36" s="19">
        <f t="shared" si="18"/>
        <v>0</v>
      </c>
      <c r="Q36" s="19">
        <f>SUM(M36:P36)</f>
        <v>3160</v>
      </c>
      <c r="R36" s="19"/>
      <c r="S36" s="19"/>
      <c r="T36" s="19"/>
      <c r="U36" s="19"/>
      <c r="V36" s="19"/>
      <c r="X36" s="23"/>
    </row>
    <row r="37" spans="2:24" x14ac:dyDescent="0.2">
      <c r="D37" s="2" t="s">
        <v>58</v>
      </c>
      <c r="E37" s="1" t="s">
        <v>59</v>
      </c>
      <c r="G37" s="18">
        <v>4068</v>
      </c>
      <c r="H37" s="18">
        <v>0</v>
      </c>
      <c r="I37" s="18">
        <v>0</v>
      </c>
      <c r="J37" s="18">
        <v>0</v>
      </c>
      <c r="K37" s="18">
        <f>SUM(G37:J37)</f>
        <v>4068</v>
      </c>
      <c r="L37" s="5"/>
      <c r="M37" s="19">
        <f t="shared" si="18"/>
        <v>4068</v>
      </c>
      <c r="N37" s="19">
        <f t="shared" si="18"/>
        <v>0</v>
      </c>
      <c r="O37" s="19">
        <f t="shared" si="18"/>
        <v>0</v>
      </c>
      <c r="P37" s="19">
        <f t="shared" si="18"/>
        <v>0</v>
      </c>
      <c r="Q37" s="19">
        <f>SUM(M37:P37)</f>
        <v>4068</v>
      </c>
      <c r="R37" s="19"/>
      <c r="S37" s="19"/>
      <c r="T37" s="19"/>
      <c r="U37" s="19"/>
      <c r="V37" s="19"/>
      <c r="X37" s="23"/>
    </row>
    <row r="38" spans="2:24" x14ac:dyDescent="0.2">
      <c r="D38" s="2"/>
      <c r="E38" s="1" t="s">
        <v>60</v>
      </c>
      <c r="G38" s="18">
        <v>305</v>
      </c>
      <c r="H38" s="18">
        <v>0</v>
      </c>
      <c r="I38" s="18">
        <v>0</v>
      </c>
      <c r="J38" s="18">
        <v>0</v>
      </c>
      <c r="K38" s="18">
        <f>SUM(G38:J38)</f>
        <v>305</v>
      </c>
      <c r="L38" s="5"/>
      <c r="M38" s="19">
        <f t="shared" si="18"/>
        <v>305</v>
      </c>
      <c r="N38" s="19">
        <f t="shared" si="18"/>
        <v>0</v>
      </c>
      <c r="O38" s="19">
        <f t="shared" si="18"/>
        <v>0</v>
      </c>
      <c r="P38" s="19">
        <f t="shared" si="18"/>
        <v>0</v>
      </c>
      <c r="Q38" s="19">
        <f>SUM(M38:P38)</f>
        <v>305</v>
      </c>
      <c r="R38" s="19"/>
      <c r="S38" s="19"/>
      <c r="T38" s="19"/>
      <c r="U38" s="19"/>
      <c r="V38" s="19"/>
      <c r="X38" s="23"/>
    </row>
    <row r="39" spans="2:24" x14ac:dyDescent="0.2">
      <c r="D39" s="2"/>
      <c r="E39" s="1" t="s">
        <v>61</v>
      </c>
      <c r="G39" s="18">
        <f>12448+462+1770</f>
        <v>14680</v>
      </c>
      <c r="H39" s="18">
        <v>0</v>
      </c>
      <c r="I39" s="18"/>
      <c r="J39" s="18">
        <v>0</v>
      </c>
      <c r="K39" s="18">
        <f>SUM(G39:J39)</f>
        <v>14680</v>
      </c>
      <c r="L39" s="5"/>
      <c r="M39" s="19">
        <f t="shared" si="18"/>
        <v>14680</v>
      </c>
      <c r="N39" s="19">
        <f t="shared" si="18"/>
        <v>0</v>
      </c>
      <c r="O39" s="19">
        <f t="shared" si="18"/>
        <v>0</v>
      </c>
      <c r="P39" s="19">
        <f t="shared" si="18"/>
        <v>0</v>
      </c>
      <c r="Q39" s="19">
        <f>SUM(M39:P39)</f>
        <v>14680</v>
      </c>
      <c r="R39" s="19"/>
      <c r="S39" s="19"/>
      <c r="T39" s="19"/>
      <c r="U39" s="19"/>
      <c r="V39" s="19"/>
      <c r="X39" s="23"/>
    </row>
    <row r="40" spans="2:24" x14ac:dyDescent="0.2">
      <c r="D40" s="2"/>
      <c r="G40" s="11"/>
      <c r="H40" s="11"/>
      <c r="I40" s="11"/>
      <c r="J40" s="11"/>
      <c r="K40" s="11"/>
      <c r="L40" s="5"/>
      <c r="Q40" s="19"/>
      <c r="R40" s="19"/>
      <c r="S40" s="19"/>
      <c r="T40" s="19"/>
      <c r="U40" s="19"/>
      <c r="V40" s="19"/>
      <c r="X40" s="23"/>
    </row>
    <row r="41" spans="2:24" x14ac:dyDescent="0.2">
      <c r="D41" s="2" t="s">
        <v>62</v>
      </c>
      <c r="G41" s="18"/>
      <c r="H41" s="18">
        <f>H11</f>
        <v>0</v>
      </c>
      <c r="I41" s="18">
        <v>0</v>
      </c>
      <c r="J41" s="18">
        <v>0</v>
      </c>
      <c r="K41" s="18">
        <f>SUM(G41:J41)</f>
        <v>0</v>
      </c>
      <c r="L41" s="5"/>
      <c r="M41" s="19">
        <f>G41</f>
        <v>0</v>
      </c>
      <c r="N41" s="19">
        <f>H41</f>
        <v>0</v>
      </c>
      <c r="O41" s="19">
        <f>I41</f>
        <v>0</v>
      </c>
      <c r="P41" s="19">
        <f>J41</f>
        <v>0</v>
      </c>
      <c r="Q41" s="19">
        <f>SUM(M41:P41)</f>
        <v>0</v>
      </c>
      <c r="R41" s="19"/>
      <c r="S41" s="19"/>
      <c r="T41" s="19"/>
      <c r="U41" s="19"/>
      <c r="V41" s="19"/>
      <c r="X41" s="23"/>
    </row>
    <row r="42" spans="2:24" x14ac:dyDescent="0.2">
      <c r="D42" s="2"/>
      <c r="G42" s="11"/>
      <c r="H42" s="11"/>
      <c r="I42" s="11"/>
      <c r="J42" s="11"/>
      <c r="L42" s="5"/>
      <c r="X42" s="23"/>
    </row>
    <row r="43" spans="2:24" x14ac:dyDescent="0.2">
      <c r="D43" s="2" t="s">
        <v>63</v>
      </c>
      <c r="G43" s="18"/>
      <c r="H43" s="18"/>
      <c r="I43" s="18">
        <v>0</v>
      </c>
      <c r="J43" s="18">
        <v>0</v>
      </c>
      <c r="K43" s="19">
        <f>SUM(G43:J43)</f>
        <v>0</v>
      </c>
      <c r="L43" s="5"/>
      <c r="M43" s="19">
        <f>G43</f>
        <v>0</v>
      </c>
      <c r="N43" s="19">
        <f>H43</f>
        <v>0</v>
      </c>
      <c r="O43" s="19">
        <f>I43</f>
        <v>0</v>
      </c>
      <c r="P43" s="19">
        <f>J43</f>
        <v>0</v>
      </c>
      <c r="Q43" s="19">
        <f>SUM(M43:P43)</f>
        <v>0</v>
      </c>
      <c r="R43" s="19"/>
      <c r="S43" s="19"/>
      <c r="T43" s="19"/>
      <c r="U43" s="19"/>
      <c r="V43" s="19"/>
      <c r="X43" s="23"/>
    </row>
    <row r="44" spans="2:24" x14ac:dyDescent="0.2">
      <c r="D44" s="2"/>
      <c r="G44" s="11"/>
      <c r="H44" s="11"/>
      <c r="I44" s="11"/>
      <c r="J44" s="11"/>
      <c r="L44" s="5"/>
      <c r="X44" s="23"/>
    </row>
    <row r="45" spans="2:24" x14ac:dyDescent="0.2">
      <c r="D45" s="2" t="s">
        <v>64</v>
      </c>
      <c r="G45" s="18"/>
      <c r="H45" s="18"/>
      <c r="I45" s="18">
        <v>0</v>
      </c>
      <c r="J45" s="18">
        <v>0</v>
      </c>
      <c r="K45" s="19">
        <f>SUM(G45:J45)</f>
        <v>0</v>
      </c>
      <c r="L45" s="5"/>
      <c r="M45" s="19">
        <f>G45</f>
        <v>0</v>
      </c>
      <c r="N45" s="19">
        <f>H45</f>
        <v>0</v>
      </c>
      <c r="O45" s="19">
        <f>I45</f>
        <v>0</v>
      </c>
      <c r="P45" s="19">
        <f>J45</f>
        <v>0</v>
      </c>
      <c r="Q45" s="19">
        <f>SUM(M45:P45)</f>
        <v>0</v>
      </c>
      <c r="R45" s="19"/>
      <c r="S45" s="19"/>
      <c r="T45" s="19"/>
      <c r="U45" s="19"/>
      <c r="V45" s="19"/>
      <c r="X45" s="23"/>
    </row>
    <row r="46" spans="2:24" x14ac:dyDescent="0.2">
      <c r="D46" s="2"/>
      <c r="G46" s="11"/>
      <c r="H46" s="11"/>
      <c r="I46" s="11"/>
      <c r="J46" s="11"/>
      <c r="L46" s="5"/>
      <c r="X46" s="23"/>
    </row>
    <row r="47" spans="2:24" x14ac:dyDescent="0.2">
      <c r="D47" s="2" t="s">
        <v>65</v>
      </c>
      <c r="G47" s="18"/>
      <c r="H47" s="18">
        <v>0</v>
      </c>
      <c r="I47" s="18">
        <v>0</v>
      </c>
      <c r="J47" s="18">
        <v>0</v>
      </c>
      <c r="K47" s="19">
        <f>SUM(G47:J47)</f>
        <v>0</v>
      </c>
      <c r="L47" s="5"/>
      <c r="M47" s="19">
        <f>G47</f>
        <v>0</v>
      </c>
      <c r="N47" s="19">
        <f>H47</f>
        <v>0</v>
      </c>
      <c r="O47" s="19">
        <f>I47</f>
        <v>0</v>
      </c>
      <c r="P47" s="19">
        <f>J47</f>
        <v>0</v>
      </c>
      <c r="Q47" s="19">
        <f>SUM(M47:P47)</f>
        <v>0</v>
      </c>
      <c r="R47" s="19"/>
      <c r="S47" s="19"/>
      <c r="T47" s="19"/>
      <c r="U47" s="19"/>
      <c r="V47" s="19"/>
      <c r="X47" s="23"/>
    </row>
    <row r="48" spans="2:24" x14ac:dyDescent="0.2">
      <c r="D48" s="2" t="s">
        <v>66</v>
      </c>
      <c r="G48" s="11"/>
      <c r="H48" s="11"/>
      <c r="I48" s="11"/>
      <c r="J48" s="11"/>
      <c r="L48" s="5"/>
      <c r="X48" s="23"/>
    </row>
    <row r="49" spans="2:24" x14ac:dyDescent="0.2">
      <c r="D49" s="2"/>
      <c r="G49" s="11"/>
      <c r="H49" s="11"/>
      <c r="I49" s="11"/>
      <c r="J49" s="11"/>
      <c r="L49" s="5"/>
      <c r="X49" s="23"/>
    </row>
    <row r="50" spans="2:24" x14ac:dyDescent="0.2">
      <c r="B50" s="2"/>
      <c r="D50" s="2" t="s">
        <v>61</v>
      </c>
      <c r="G50" s="27">
        <v>5243</v>
      </c>
      <c r="H50" s="27">
        <v>0</v>
      </c>
      <c r="I50" s="27">
        <v>0</v>
      </c>
      <c r="J50" s="27">
        <v>0</v>
      </c>
      <c r="K50" s="27">
        <f>SUM(G50:J50)</f>
        <v>5243</v>
      </c>
      <c r="L50" s="5"/>
      <c r="M50" s="26">
        <f>G50</f>
        <v>5243</v>
      </c>
      <c r="N50" s="26">
        <f>H50</f>
        <v>0</v>
      </c>
      <c r="O50" s="26">
        <f>I50</f>
        <v>0</v>
      </c>
      <c r="P50" s="26">
        <f>J50</f>
        <v>0</v>
      </c>
      <c r="Q50" s="26">
        <f>SUM(M50:P50)</f>
        <v>5243</v>
      </c>
      <c r="R50" s="37"/>
      <c r="S50" s="37"/>
      <c r="T50" s="37"/>
      <c r="U50" s="37"/>
      <c r="V50" s="37"/>
      <c r="X50" s="23"/>
    </row>
    <row r="51" spans="2:24" x14ac:dyDescent="0.2">
      <c r="D51" s="2" t="s">
        <v>67</v>
      </c>
      <c r="G51" s="29">
        <f>SUM(G33:G50)</f>
        <v>32549</v>
      </c>
      <c r="H51" s="29">
        <f>SUM(H33:H50)</f>
        <v>0</v>
      </c>
      <c r="I51" s="29">
        <f>SUM(I33:I50)</f>
        <v>0</v>
      </c>
      <c r="J51" s="29">
        <f>SUM(J33:J50)</f>
        <v>0</v>
      </c>
      <c r="K51" s="29">
        <f>SUM(G51:J51)</f>
        <v>32549</v>
      </c>
      <c r="L51" s="5"/>
      <c r="M51" s="29">
        <f>SUM(M33:M50)</f>
        <v>32549</v>
      </c>
      <c r="N51" s="29">
        <f>SUM(N33:N50)</f>
        <v>0</v>
      </c>
      <c r="O51" s="29">
        <f>SUM(O33:O50)</f>
        <v>0</v>
      </c>
      <c r="P51" s="29">
        <f>SUM(P33:P50)</f>
        <v>0</v>
      </c>
      <c r="Q51" s="29">
        <f>SUM(M51:P51)</f>
        <v>32549</v>
      </c>
      <c r="R51" s="29"/>
      <c r="S51" s="29"/>
      <c r="T51" s="29"/>
      <c r="U51" s="29"/>
      <c r="V51" s="29"/>
      <c r="X51" s="23"/>
    </row>
    <row r="52" spans="2:24" x14ac:dyDescent="0.2">
      <c r="B52" s="2"/>
      <c r="L52" s="5"/>
      <c r="X52" s="23"/>
    </row>
    <row r="53" spans="2:24" x14ac:dyDescent="0.2">
      <c r="B53" s="2" t="s">
        <v>68</v>
      </c>
      <c r="G53" s="19">
        <v>0</v>
      </c>
      <c r="H53" s="19">
        <v>0</v>
      </c>
      <c r="I53" s="19">
        <v>0</v>
      </c>
      <c r="J53" s="19">
        <v>0</v>
      </c>
      <c r="K53" s="19">
        <f>SUM(G53:J53)</f>
        <v>0</v>
      </c>
      <c r="L53" s="5"/>
      <c r="M53" s="19">
        <v>0</v>
      </c>
      <c r="N53" s="19">
        <v>0</v>
      </c>
      <c r="O53" s="19">
        <v>0</v>
      </c>
      <c r="P53" s="19">
        <v>0</v>
      </c>
      <c r="Q53" s="19">
        <f>SUM(M53:P53)</f>
        <v>0</v>
      </c>
      <c r="R53" s="19"/>
      <c r="S53" s="19"/>
      <c r="T53" s="19"/>
      <c r="U53" s="19"/>
      <c r="V53" s="19"/>
      <c r="X53" s="23"/>
    </row>
    <row r="54" spans="2:24" x14ac:dyDescent="0.2">
      <c r="B54" s="2" t="s">
        <v>69</v>
      </c>
      <c r="L54" s="5"/>
      <c r="X54" s="23"/>
    </row>
    <row r="55" spans="2:24" ht="13.5" thickBot="1" x14ac:dyDescent="0.25">
      <c r="K55" s="19"/>
      <c r="L55" s="5"/>
      <c r="Q55" s="38"/>
      <c r="R55" s="39"/>
      <c r="S55" s="39"/>
      <c r="T55" s="39"/>
      <c r="U55" s="39"/>
      <c r="V55" s="39"/>
      <c r="X55" s="23"/>
    </row>
    <row r="56" spans="2:24" x14ac:dyDescent="0.2">
      <c r="B56" s="2" t="s">
        <v>70</v>
      </c>
      <c r="G56" s="40">
        <f>G21+G24+G31+G51+G53</f>
        <v>158203.84330570075</v>
      </c>
      <c r="H56" s="40">
        <f>H21+H24+H31+H51+H53</f>
        <v>18554.879776940161</v>
      </c>
      <c r="I56" s="40">
        <f>I21+I24+I31+I51+I53</f>
        <v>293955.82691735908</v>
      </c>
      <c r="J56" s="40">
        <f>J21+J24+J31+J51+J53</f>
        <v>0</v>
      </c>
      <c r="K56" s="40">
        <f>SUM(G56:J56)</f>
        <v>470714.55</v>
      </c>
      <c r="L56" s="41"/>
      <c r="M56" s="40">
        <f>M21+M24+M31+M51+M53</f>
        <v>132821.15661759436</v>
      </c>
      <c r="N56" s="40">
        <f>N21+N24+N31+N51+N53</f>
        <v>15207.855211014179</v>
      </c>
      <c r="O56" s="40">
        <f>O21+O24+O31+O51+O53</f>
        <v>170876.99643160868</v>
      </c>
      <c r="P56" s="40">
        <f>P21+P24+P31+P51+P53</f>
        <v>0</v>
      </c>
      <c r="Q56" s="40">
        <f>SUM(M56:P56)</f>
        <v>318906.00826021726</v>
      </c>
      <c r="R56" s="32"/>
      <c r="S56" s="32"/>
      <c r="T56" s="32"/>
      <c r="U56" s="32"/>
      <c r="V56" s="32"/>
      <c r="X56" s="23"/>
    </row>
    <row r="57" spans="2:24" x14ac:dyDescent="0.2">
      <c r="L57" s="5"/>
      <c r="X57" s="23"/>
    </row>
    <row r="58" spans="2:24" x14ac:dyDescent="0.2">
      <c r="L58" s="5"/>
      <c r="X58" s="23"/>
    </row>
    <row r="59" spans="2:24" ht="14.25" x14ac:dyDescent="0.2">
      <c r="B59" s="16" t="s">
        <v>71</v>
      </c>
      <c r="K59" s="11"/>
      <c r="L59" s="5"/>
      <c r="X59" s="23"/>
    </row>
    <row r="60" spans="2:24" x14ac:dyDescent="0.2">
      <c r="D60" s="11" t="s">
        <v>72</v>
      </c>
      <c r="E60" s="36" t="s">
        <v>23</v>
      </c>
      <c r="G60" s="19">
        <v>0</v>
      </c>
      <c r="H60" s="19">
        <v>0</v>
      </c>
      <c r="I60" s="19">
        <f>K60</f>
        <v>171149</v>
      </c>
      <c r="J60" s="18">
        <v>0</v>
      </c>
      <c r="K60" s="18">
        <v>171149</v>
      </c>
      <c r="L60" s="5"/>
      <c r="M60" s="19">
        <f>G60</f>
        <v>0</v>
      </c>
      <c r="N60" s="19">
        <f>H60</f>
        <v>0</v>
      </c>
      <c r="O60" s="19">
        <f>Q60</f>
        <v>171149</v>
      </c>
      <c r="P60" s="18">
        <f>J60</f>
        <v>0</v>
      </c>
      <c r="Q60" s="18">
        <f>$K$60</f>
        <v>171149</v>
      </c>
      <c r="R60" s="18"/>
      <c r="S60" s="18"/>
      <c r="T60" s="18"/>
      <c r="U60" s="18"/>
      <c r="V60" s="18"/>
      <c r="X60" s="23" t="s">
        <v>73</v>
      </c>
    </row>
    <row r="61" spans="2:24" x14ac:dyDescent="0.2">
      <c r="D61" s="11"/>
      <c r="E61" s="36" t="s">
        <v>25</v>
      </c>
      <c r="G61" s="42">
        <v>0</v>
      </c>
      <c r="H61" s="42">
        <v>0</v>
      </c>
      <c r="I61" s="42">
        <f>K61</f>
        <v>0</v>
      </c>
      <c r="J61" s="43">
        <v>0</v>
      </c>
      <c r="K61" s="43">
        <v>0</v>
      </c>
      <c r="L61" s="5"/>
      <c r="M61" s="42">
        <f>G61</f>
        <v>0</v>
      </c>
      <c r="N61" s="42">
        <f>H61</f>
        <v>0</v>
      </c>
      <c r="O61" s="42">
        <f>I61</f>
        <v>0</v>
      </c>
      <c r="P61" s="43">
        <f>J61</f>
        <v>0</v>
      </c>
      <c r="Q61" s="42">
        <f>K61</f>
        <v>0</v>
      </c>
      <c r="R61" s="42"/>
      <c r="S61" s="42"/>
      <c r="T61" s="42"/>
      <c r="U61" s="42"/>
      <c r="V61" s="42"/>
      <c r="X61" s="44">
        <f>$K$60-(327*25.09*8)</f>
        <v>105513.56</v>
      </c>
    </row>
    <row r="62" spans="2:24" x14ac:dyDescent="0.2">
      <c r="D62" s="11"/>
      <c r="E62" s="36"/>
      <c r="J62" s="11"/>
      <c r="K62" s="11"/>
      <c r="L62" s="5"/>
      <c r="P62" s="11"/>
      <c r="X62" s="23"/>
    </row>
    <row r="63" spans="2:24" x14ac:dyDescent="0.2">
      <c r="D63" s="11" t="s">
        <v>74</v>
      </c>
      <c r="E63" s="36" t="s">
        <v>23</v>
      </c>
      <c r="G63" s="19">
        <f>K63*$G$103</f>
        <v>46029.029317377608</v>
      </c>
      <c r="H63" s="19">
        <f>K63*$H$103</f>
        <v>6069.502955460518</v>
      </c>
      <c r="I63" s="19">
        <f>K63*$I$103</f>
        <v>223191.46772716189</v>
      </c>
      <c r="J63" s="18">
        <v>0</v>
      </c>
      <c r="K63" s="18">
        <v>275290</v>
      </c>
      <c r="L63" s="5"/>
      <c r="M63" s="19">
        <f>$G$103*Q63</f>
        <v>42706.391842006444</v>
      </c>
      <c r="N63" s="19">
        <f>$H$103*Q63</f>
        <v>5631.371665799029</v>
      </c>
      <c r="O63" s="19">
        <f>$I$103*Q63</f>
        <v>207080.23649219453</v>
      </c>
      <c r="P63" s="18">
        <f t="shared" ref="P63:Q64" si="19">J63</f>
        <v>0</v>
      </c>
      <c r="Q63" s="18">
        <f>K63-(20*124.2*8)</f>
        <v>255418</v>
      </c>
      <c r="R63" s="18"/>
      <c r="S63" s="18"/>
      <c r="T63" s="18"/>
      <c r="U63" s="18"/>
      <c r="V63" s="18"/>
      <c r="X63" s="23"/>
    </row>
    <row r="64" spans="2:24" ht="12.75" customHeight="1" x14ac:dyDescent="0.2">
      <c r="D64" s="11"/>
      <c r="E64" s="36" t="s">
        <v>25</v>
      </c>
      <c r="G64" s="45">
        <f>$G$103*K64</f>
        <v>0</v>
      </c>
      <c r="H64" s="45">
        <f>$H$103*K64</f>
        <v>0</v>
      </c>
      <c r="I64" s="45">
        <f>$I$103*K64</f>
        <v>0</v>
      </c>
      <c r="J64" s="46">
        <v>0</v>
      </c>
      <c r="K64" s="43">
        <v>0</v>
      </c>
      <c r="L64" s="5"/>
      <c r="M64" s="42">
        <f>G64</f>
        <v>0</v>
      </c>
      <c r="N64" s="42">
        <f>H64</f>
        <v>0</v>
      </c>
      <c r="O64" s="42">
        <f>I64</f>
        <v>0</v>
      </c>
      <c r="P64" s="43">
        <f t="shared" si="19"/>
        <v>0</v>
      </c>
      <c r="Q64" s="42">
        <f t="shared" si="19"/>
        <v>0</v>
      </c>
      <c r="R64" s="42"/>
      <c r="S64" s="42"/>
      <c r="T64" s="42"/>
      <c r="U64" s="42"/>
      <c r="V64" s="42"/>
      <c r="X64" s="23"/>
    </row>
    <row r="65" spans="4:24" ht="12.75" customHeight="1" x14ac:dyDescent="0.2">
      <c r="D65" s="11"/>
      <c r="E65" s="36"/>
      <c r="J65" s="11"/>
      <c r="K65" s="11"/>
      <c r="L65" s="5"/>
      <c r="P65" s="11"/>
      <c r="X65" s="23"/>
    </row>
    <row r="66" spans="4:24" x14ac:dyDescent="0.2">
      <c r="D66" s="11" t="s">
        <v>75</v>
      </c>
      <c r="E66" s="36" t="s">
        <v>23</v>
      </c>
      <c r="G66" s="19">
        <f>K66*$G$103</f>
        <v>705.7594999769367</v>
      </c>
      <c r="H66" s="19">
        <f>K66*$H$103</f>
        <v>93.063213247843535</v>
      </c>
      <c r="I66" s="19">
        <f>K66*$I$103</f>
        <v>3422.1772867752202</v>
      </c>
      <c r="J66" s="18">
        <v>0</v>
      </c>
      <c r="K66" s="18">
        <v>4221</v>
      </c>
      <c r="L66" s="5"/>
      <c r="M66" s="19">
        <f>$G$103*Q$66</f>
        <v>705.7594999769367</v>
      </c>
      <c r="N66" s="19">
        <f>$H$103*Q$66</f>
        <v>93.063213247843535</v>
      </c>
      <c r="O66" s="19">
        <f>$I$103*Q$66</f>
        <v>3422.1772867752202</v>
      </c>
      <c r="P66" s="18">
        <f>J66</f>
        <v>0</v>
      </c>
      <c r="Q66" s="18">
        <f>K66</f>
        <v>4221</v>
      </c>
      <c r="R66" s="18"/>
      <c r="S66" s="18"/>
      <c r="T66" s="18"/>
      <c r="U66" s="18"/>
      <c r="V66" s="18"/>
      <c r="X66" s="23"/>
    </row>
    <row r="67" spans="4:24" x14ac:dyDescent="0.2">
      <c r="D67" s="11"/>
      <c r="E67" s="36" t="s">
        <v>25</v>
      </c>
      <c r="G67" s="45">
        <f>$G$103*K67</f>
        <v>0</v>
      </c>
      <c r="H67" s="45">
        <f>$H$103*K67</f>
        <v>0</v>
      </c>
      <c r="I67" s="45">
        <f>$I$103*K67</f>
        <v>0</v>
      </c>
      <c r="J67" s="43">
        <v>0</v>
      </c>
      <c r="K67" s="43">
        <v>0</v>
      </c>
      <c r="L67" s="5"/>
      <c r="M67" s="42">
        <f>G67</f>
        <v>0</v>
      </c>
      <c r="N67" s="42">
        <f>H67</f>
        <v>0</v>
      </c>
      <c r="O67" s="42">
        <f>I67</f>
        <v>0</v>
      </c>
      <c r="P67" s="43">
        <f>J67</f>
        <v>0</v>
      </c>
      <c r="Q67" s="42">
        <f>K67</f>
        <v>0</v>
      </c>
      <c r="R67" s="42"/>
      <c r="S67" s="42"/>
      <c r="T67" s="42"/>
      <c r="U67" s="42"/>
      <c r="V67" s="42"/>
      <c r="X67" s="23"/>
    </row>
    <row r="68" spans="4:24" x14ac:dyDescent="0.2">
      <c r="D68" s="11"/>
      <c r="E68" s="36"/>
      <c r="G68" s="42"/>
      <c r="H68" s="42"/>
      <c r="I68" s="42"/>
      <c r="J68" s="43"/>
      <c r="K68" s="43"/>
      <c r="L68" s="5"/>
      <c r="M68" s="42"/>
      <c r="N68" s="42"/>
      <c r="O68" s="42"/>
      <c r="P68" s="43"/>
      <c r="Q68" s="43"/>
      <c r="R68" s="43"/>
      <c r="S68" s="43"/>
      <c r="T68" s="43"/>
      <c r="U68" s="43"/>
      <c r="V68" s="43"/>
      <c r="X68" s="23"/>
    </row>
    <row r="69" spans="4:24" x14ac:dyDescent="0.2">
      <c r="D69" s="47" t="s">
        <v>76</v>
      </c>
      <c r="E69" s="36" t="s">
        <v>23</v>
      </c>
      <c r="G69" s="19">
        <f>K69*$G$103</f>
        <v>242.44285121216728</v>
      </c>
      <c r="H69" s="19">
        <f>K69*$H$103</f>
        <v>31.969120874051914</v>
      </c>
      <c r="I69" s="19">
        <f>K69*$I$103</f>
        <v>1175.5880279137809</v>
      </c>
      <c r="J69" s="18">
        <v>0</v>
      </c>
      <c r="K69" s="18">
        <v>1450</v>
      </c>
      <c r="L69" s="5"/>
      <c r="M69" s="19">
        <f t="shared" ref="M69:Q70" si="20">G69</f>
        <v>242.44285121216728</v>
      </c>
      <c r="N69" s="19">
        <f t="shared" si="20"/>
        <v>31.969120874051914</v>
      </c>
      <c r="O69" s="19">
        <f t="shared" si="20"/>
        <v>1175.5880279137809</v>
      </c>
      <c r="P69" s="18">
        <f t="shared" si="20"/>
        <v>0</v>
      </c>
      <c r="Q69" s="18">
        <f>K69</f>
        <v>1450</v>
      </c>
      <c r="R69" s="18"/>
      <c r="S69" s="18"/>
      <c r="T69" s="18"/>
      <c r="U69" s="18"/>
      <c r="V69" s="18"/>
      <c r="X69" s="23"/>
    </row>
    <row r="70" spans="4:24" x14ac:dyDescent="0.2">
      <c r="D70" s="11"/>
      <c r="E70" s="36" t="s">
        <v>25</v>
      </c>
      <c r="G70" s="45">
        <f>$G$103*K70</f>
        <v>0</v>
      </c>
      <c r="H70" s="45">
        <f>$H$103*K70</f>
        <v>0</v>
      </c>
      <c r="I70" s="45">
        <f>$I$103*K70</f>
        <v>0</v>
      </c>
      <c r="J70" s="43">
        <v>0</v>
      </c>
      <c r="K70" s="43">
        <v>0</v>
      </c>
      <c r="L70" s="5"/>
      <c r="M70" s="42">
        <f t="shared" si="20"/>
        <v>0</v>
      </c>
      <c r="N70" s="42">
        <f t="shared" si="20"/>
        <v>0</v>
      </c>
      <c r="O70" s="42">
        <f t="shared" si="20"/>
        <v>0</v>
      </c>
      <c r="P70" s="43">
        <f t="shared" si="20"/>
        <v>0</v>
      </c>
      <c r="Q70" s="42">
        <f t="shared" si="20"/>
        <v>0</v>
      </c>
      <c r="R70" s="42"/>
      <c r="S70" s="42"/>
      <c r="T70" s="42"/>
      <c r="U70" s="42"/>
      <c r="V70" s="42"/>
      <c r="X70" s="23"/>
    </row>
    <row r="71" spans="4:24" x14ac:dyDescent="0.2">
      <c r="D71" s="11"/>
      <c r="E71" s="36"/>
      <c r="G71" s="45"/>
      <c r="H71" s="45"/>
      <c r="I71" s="45"/>
      <c r="J71" s="43"/>
      <c r="K71" s="43"/>
      <c r="L71" s="5"/>
      <c r="M71" s="42"/>
      <c r="N71" s="42"/>
      <c r="O71" s="42"/>
      <c r="P71" s="43"/>
      <c r="Q71" s="42"/>
      <c r="R71" s="42"/>
      <c r="S71" s="42"/>
      <c r="T71" s="42"/>
      <c r="U71" s="42"/>
      <c r="V71" s="42"/>
      <c r="X71" s="23"/>
    </row>
    <row r="72" spans="4:24" x14ac:dyDescent="0.2">
      <c r="D72" s="11" t="s">
        <v>77</v>
      </c>
      <c r="E72" s="36" t="s">
        <v>23</v>
      </c>
      <c r="G72" s="19">
        <f>K72*$G$103</f>
        <v>5386.5785480352979</v>
      </c>
      <c r="H72" s="19">
        <f>K72*$H$103</f>
        <v>710.28772281272859</v>
      </c>
      <c r="I72" s="19">
        <f>K72*$I$103</f>
        <v>26119.133729151974</v>
      </c>
      <c r="J72" s="18">
        <v>0</v>
      </c>
      <c r="K72" s="18">
        <v>32216</v>
      </c>
      <c r="L72" s="5"/>
      <c r="M72" s="19">
        <f t="shared" ref="M72:Q73" si="21">G72</f>
        <v>5386.5785480352979</v>
      </c>
      <c r="N72" s="19">
        <f t="shared" si="21"/>
        <v>710.28772281272859</v>
      </c>
      <c r="O72" s="19">
        <f t="shared" si="21"/>
        <v>26119.133729151974</v>
      </c>
      <c r="P72" s="18">
        <f t="shared" si="21"/>
        <v>0</v>
      </c>
      <c r="Q72" s="18">
        <f>K72</f>
        <v>32216</v>
      </c>
      <c r="R72" s="42"/>
      <c r="S72" s="42"/>
      <c r="T72" s="42"/>
      <c r="U72" s="42"/>
      <c r="V72" s="42"/>
      <c r="X72" s="23"/>
    </row>
    <row r="73" spans="4:24" x14ac:dyDescent="0.2">
      <c r="D73" s="11"/>
      <c r="E73" s="36" t="s">
        <v>25</v>
      </c>
      <c r="G73" s="45">
        <f>$G$103*K73</f>
        <v>0</v>
      </c>
      <c r="H73" s="45">
        <f>$H$103*K73</f>
        <v>0</v>
      </c>
      <c r="I73" s="45">
        <f>$I$103*K73</f>
        <v>0</v>
      </c>
      <c r="J73" s="43">
        <v>0</v>
      </c>
      <c r="K73" s="43">
        <v>0</v>
      </c>
      <c r="L73" s="5"/>
      <c r="M73" s="42">
        <f t="shared" si="21"/>
        <v>0</v>
      </c>
      <c r="N73" s="42">
        <f t="shared" si="21"/>
        <v>0</v>
      </c>
      <c r="O73" s="42">
        <f t="shared" si="21"/>
        <v>0</v>
      </c>
      <c r="P73" s="43">
        <f t="shared" si="21"/>
        <v>0</v>
      </c>
      <c r="Q73" s="42">
        <f t="shared" si="21"/>
        <v>0</v>
      </c>
      <c r="R73" s="42"/>
      <c r="S73" s="42"/>
      <c r="T73" s="42"/>
      <c r="U73" s="42"/>
      <c r="V73" s="42"/>
      <c r="X73" s="23"/>
    </row>
    <row r="74" spans="4:24" x14ac:dyDescent="0.2">
      <c r="D74" s="11"/>
      <c r="E74" s="36"/>
      <c r="J74" s="11"/>
      <c r="K74" s="11"/>
      <c r="L74" s="5"/>
      <c r="P74" s="11"/>
      <c r="X74" s="23"/>
    </row>
    <row r="75" spans="4:24" x14ac:dyDescent="0.2">
      <c r="D75" s="47" t="s">
        <v>78</v>
      </c>
      <c r="E75" s="36" t="s">
        <v>23</v>
      </c>
      <c r="G75" s="19">
        <f>K75*$G$103</f>
        <v>0</v>
      </c>
      <c r="H75" s="19">
        <f>K75*$H$103</f>
        <v>0</v>
      </c>
      <c r="I75" s="19">
        <f>K75*$I$103</f>
        <v>0</v>
      </c>
      <c r="J75" s="18">
        <v>0</v>
      </c>
      <c r="K75" s="18">
        <v>0</v>
      </c>
      <c r="L75" s="5"/>
      <c r="M75" s="19">
        <f t="shared" ref="M75:Q76" si="22">G75</f>
        <v>0</v>
      </c>
      <c r="N75" s="19">
        <f t="shared" si="22"/>
        <v>0</v>
      </c>
      <c r="O75" s="19">
        <f t="shared" si="22"/>
        <v>0</v>
      </c>
      <c r="P75" s="18">
        <f t="shared" si="22"/>
        <v>0</v>
      </c>
      <c r="Q75" s="18">
        <f>K75</f>
        <v>0</v>
      </c>
      <c r="X75" s="23"/>
    </row>
    <row r="76" spans="4:24" x14ac:dyDescent="0.2">
      <c r="D76" s="11"/>
      <c r="E76" s="36" t="s">
        <v>25</v>
      </c>
      <c r="G76" s="45">
        <f>$G$103*K76</f>
        <v>0</v>
      </c>
      <c r="H76" s="45">
        <f>$H$103*K76</f>
        <v>0</v>
      </c>
      <c r="I76" s="45">
        <f>$I$103*K76</f>
        <v>0</v>
      </c>
      <c r="J76" s="43">
        <v>0</v>
      </c>
      <c r="K76" s="43">
        <v>0</v>
      </c>
      <c r="L76" s="5"/>
      <c r="M76" s="42">
        <f t="shared" si="22"/>
        <v>0</v>
      </c>
      <c r="N76" s="42">
        <f t="shared" si="22"/>
        <v>0</v>
      </c>
      <c r="O76" s="42">
        <f t="shared" si="22"/>
        <v>0</v>
      </c>
      <c r="P76" s="43">
        <f t="shared" si="22"/>
        <v>0</v>
      </c>
      <c r="Q76" s="42">
        <f t="shared" si="22"/>
        <v>0</v>
      </c>
      <c r="X76" s="23"/>
    </row>
    <row r="77" spans="4:24" x14ac:dyDescent="0.2">
      <c r="D77" s="11"/>
      <c r="E77" s="36"/>
      <c r="J77" s="11"/>
      <c r="K77" s="11"/>
      <c r="L77" s="5"/>
      <c r="P77" s="11"/>
      <c r="X77" s="23"/>
    </row>
    <row r="78" spans="4:24" x14ac:dyDescent="0.2">
      <c r="D78" s="47" t="s">
        <v>79</v>
      </c>
      <c r="E78" s="36" t="s">
        <v>23</v>
      </c>
      <c r="G78" s="19">
        <f>K78*$G$103</f>
        <v>0</v>
      </c>
      <c r="H78" s="19">
        <f>K78*$H$103</f>
        <v>0</v>
      </c>
      <c r="I78" s="19">
        <f>K78*$I$103</f>
        <v>0</v>
      </c>
      <c r="J78" s="18">
        <v>0</v>
      </c>
      <c r="K78" s="18">
        <v>0</v>
      </c>
      <c r="L78" s="5"/>
      <c r="M78" s="19">
        <f t="shared" ref="M78:Q79" si="23">G78</f>
        <v>0</v>
      </c>
      <c r="N78" s="19">
        <f t="shared" si="23"/>
        <v>0</v>
      </c>
      <c r="O78" s="19">
        <f t="shared" si="23"/>
        <v>0</v>
      </c>
      <c r="P78" s="18">
        <f t="shared" si="23"/>
        <v>0</v>
      </c>
      <c r="Q78" s="18">
        <f>K78</f>
        <v>0</v>
      </c>
      <c r="X78" s="23"/>
    </row>
    <row r="79" spans="4:24" x14ac:dyDescent="0.2">
      <c r="D79" s="11"/>
      <c r="E79" s="36" t="s">
        <v>25</v>
      </c>
      <c r="G79" s="45">
        <f>$G$103*K79</f>
        <v>0</v>
      </c>
      <c r="H79" s="45">
        <f>$H$103*K79</f>
        <v>0</v>
      </c>
      <c r="I79" s="45">
        <f>$I$103*K79</f>
        <v>0</v>
      </c>
      <c r="J79" s="43">
        <v>0</v>
      </c>
      <c r="K79" s="43">
        <v>0</v>
      </c>
      <c r="L79" s="5"/>
      <c r="M79" s="42">
        <f t="shared" si="23"/>
        <v>0</v>
      </c>
      <c r="N79" s="42">
        <f t="shared" si="23"/>
        <v>0</v>
      </c>
      <c r="O79" s="42">
        <f t="shared" si="23"/>
        <v>0</v>
      </c>
      <c r="P79" s="43">
        <f t="shared" si="23"/>
        <v>0</v>
      </c>
      <c r="Q79" s="42">
        <f t="shared" si="23"/>
        <v>0</v>
      </c>
      <c r="X79" s="23"/>
    </row>
    <row r="80" spans="4:24" x14ac:dyDescent="0.2">
      <c r="D80" s="11"/>
      <c r="E80" s="36"/>
      <c r="J80" s="11"/>
      <c r="K80" s="11"/>
      <c r="L80" s="5"/>
      <c r="P80" s="11"/>
      <c r="X80" s="23"/>
    </row>
    <row r="81" spans="2:24" x14ac:dyDescent="0.2">
      <c r="D81" s="47" t="s">
        <v>80</v>
      </c>
      <c r="E81" s="36" t="s">
        <v>23</v>
      </c>
      <c r="G81" s="19">
        <f>K81*$G$103</f>
        <v>12646.822331024765</v>
      </c>
      <c r="H81" s="19">
        <f>K81*$H$103</f>
        <v>1667.6416308079577</v>
      </c>
      <c r="I81" s="19">
        <f>K81*$I$103</f>
        <v>61323.53603816728</v>
      </c>
      <c r="J81" s="18">
        <v>0</v>
      </c>
      <c r="K81" s="18">
        <v>75638</v>
      </c>
      <c r="L81" s="5"/>
      <c r="M81" s="19">
        <f t="shared" ref="M81:Q82" si="24">G81</f>
        <v>12646.822331024765</v>
      </c>
      <c r="N81" s="19">
        <f t="shared" si="24"/>
        <v>1667.6416308079577</v>
      </c>
      <c r="O81" s="19">
        <f t="shared" si="24"/>
        <v>61323.53603816728</v>
      </c>
      <c r="P81" s="18">
        <f t="shared" si="24"/>
        <v>0</v>
      </c>
      <c r="Q81" s="18">
        <f>K81</f>
        <v>75638</v>
      </c>
      <c r="X81" s="23"/>
    </row>
    <row r="82" spans="2:24" x14ac:dyDescent="0.2">
      <c r="D82" s="11"/>
      <c r="E82" s="36" t="s">
        <v>25</v>
      </c>
      <c r="G82" s="45"/>
      <c r="H82" s="45"/>
      <c r="I82" s="45">
        <f>$I$103*K82</f>
        <v>0</v>
      </c>
      <c r="J82" s="43">
        <v>0</v>
      </c>
      <c r="K82" s="43"/>
      <c r="L82" s="5"/>
      <c r="M82" s="42">
        <f t="shared" si="24"/>
        <v>0</v>
      </c>
      <c r="N82" s="42">
        <f t="shared" si="24"/>
        <v>0</v>
      </c>
      <c r="O82" s="42">
        <f t="shared" si="24"/>
        <v>0</v>
      </c>
      <c r="P82" s="43">
        <f t="shared" si="24"/>
        <v>0</v>
      </c>
      <c r="Q82" s="42">
        <f t="shared" si="24"/>
        <v>0</v>
      </c>
      <c r="X82" s="23"/>
    </row>
    <row r="83" spans="2:24" x14ac:dyDescent="0.2">
      <c r="D83" s="11"/>
      <c r="E83" s="36"/>
      <c r="J83" s="11"/>
      <c r="K83" s="11"/>
      <c r="L83" s="5"/>
      <c r="P83" s="11"/>
      <c r="X83" s="23"/>
    </row>
    <row r="84" spans="2:24" x14ac:dyDescent="0.2">
      <c r="D84" s="47" t="s">
        <v>81</v>
      </c>
      <c r="E84" s="36" t="s">
        <v>23</v>
      </c>
      <c r="G84" s="19">
        <f>K84*$G$103</f>
        <v>1163.3912818856966</v>
      </c>
      <c r="H84" s="19">
        <f>K84*$H$103</f>
        <v>153.40768485631256</v>
      </c>
      <c r="I84" s="19">
        <f>K84*$I$103</f>
        <v>5641.2010332579912</v>
      </c>
      <c r="J84" s="18">
        <v>0</v>
      </c>
      <c r="K84" s="18">
        <v>6958</v>
      </c>
      <c r="L84" s="5"/>
      <c r="M84" s="19">
        <f t="shared" ref="M84:Q85" si="25">G84</f>
        <v>1163.3912818856966</v>
      </c>
      <c r="N84" s="19">
        <f t="shared" si="25"/>
        <v>153.40768485631256</v>
      </c>
      <c r="O84" s="19">
        <f t="shared" si="25"/>
        <v>5641.2010332579912</v>
      </c>
      <c r="P84" s="18">
        <f t="shared" si="25"/>
        <v>0</v>
      </c>
      <c r="Q84" s="19">
        <f>K84</f>
        <v>6958</v>
      </c>
      <c r="R84" s="19"/>
      <c r="S84" s="19"/>
      <c r="T84" s="19"/>
      <c r="U84" s="19"/>
      <c r="V84" s="19"/>
      <c r="X84" s="23"/>
    </row>
    <row r="85" spans="2:24" x14ac:dyDescent="0.2">
      <c r="E85" s="36" t="s">
        <v>25</v>
      </c>
      <c r="G85" s="45">
        <f>$G$103*K85</f>
        <v>0</v>
      </c>
      <c r="H85" s="45">
        <f>$H$103*K85</f>
        <v>0</v>
      </c>
      <c r="I85" s="45">
        <f>$I$103*K85</f>
        <v>0</v>
      </c>
      <c r="J85" s="43">
        <v>0</v>
      </c>
      <c r="K85" s="43">
        <v>0</v>
      </c>
      <c r="L85" s="5"/>
      <c r="M85" s="42">
        <f t="shared" si="25"/>
        <v>0</v>
      </c>
      <c r="N85" s="42">
        <f t="shared" si="25"/>
        <v>0</v>
      </c>
      <c r="O85" s="42">
        <f t="shared" si="25"/>
        <v>0</v>
      </c>
      <c r="P85" s="43">
        <f t="shared" si="25"/>
        <v>0</v>
      </c>
      <c r="Q85" s="42">
        <f t="shared" si="25"/>
        <v>0</v>
      </c>
      <c r="R85" s="42"/>
      <c r="S85" s="42"/>
      <c r="T85" s="42"/>
      <c r="U85" s="42"/>
      <c r="V85" s="42"/>
      <c r="X85" s="23"/>
    </row>
    <row r="86" spans="2:24" x14ac:dyDescent="0.2">
      <c r="E86" s="36"/>
      <c r="G86" s="45"/>
      <c r="H86" s="45"/>
      <c r="I86" s="45"/>
      <c r="J86" s="43"/>
      <c r="K86" s="43"/>
      <c r="L86" s="5"/>
      <c r="M86" s="42"/>
      <c r="N86" s="42"/>
      <c r="O86" s="42"/>
      <c r="P86" s="43"/>
      <c r="Q86" s="42"/>
      <c r="R86" s="42"/>
      <c r="S86" s="42"/>
      <c r="T86" s="42"/>
      <c r="U86" s="42"/>
      <c r="V86" s="42"/>
      <c r="X86" s="23"/>
    </row>
    <row r="87" spans="2:24" x14ac:dyDescent="0.2">
      <c r="D87" s="11" t="s">
        <v>82</v>
      </c>
      <c r="E87" s="36" t="s">
        <v>23</v>
      </c>
      <c r="G87" s="19">
        <f>K87*$G$103</f>
        <v>69.723219969292245</v>
      </c>
      <c r="H87" s="19">
        <f>K87*$H$103</f>
        <v>9.1938782099859644</v>
      </c>
      <c r="I87" s="19">
        <f>K87*$I$103</f>
        <v>338.08290182072182</v>
      </c>
      <c r="J87" s="18">
        <v>0</v>
      </c>
      <c r="K87" s="18">
        <v>417</v>
      </c>
      <c r="L87" s="5"/>
      <c r="M87" s="19">
        <f>G87</f>
        <v>69.723219969292245</v>
      </c>
      <c r="N87" s="19">
        <f>H87</f>
        <v>9.1938782099859644</v>
      </c>
      <c r="O87" s="19">
        <f>I87</f>
        <v>338.08290182072182</v>
      </c>
      <c r="P87" s="18">
        <f>J87</f>
        <v>0</v>
      </c>
      <c r="Q87" s="19">
        <f>K87</f>
        <v>417</v>
      </c>
      <c r="R87" s="19"/>
      <c r="S87" s="19"/>
      <c r="T87" s="19"/>
      <c r="U87" s="19"/>
      <c r="V87" s="19"/>
      <c r="X87" s="23"/>
    </row>
    <row r="88" spans="2:24" ht="13.5" thickBot="1" x14ac:dyDescent="0.25">
      <c r="D88" s="11"/>
      <c r="J88" s="11"/>
      <c r="L88" s="5"/>
      <c r="W88" s="48"/>
      <c r="X88" s="23"/>
    </row>
    <row r="89" spans="2:24" ht="13.5" thickBot="1" x14ac:dyDescent="0.25">
      <c r="B89" s="2" t="s">
        <v>83</v>
      </c>
      <c r="E89" s="36" t="s">
        <v>23</v>
      </c>
      <c r="G89" s="40">
        <f>G60+G63+G66+G69+G72+G75+G78+G81+G84+G87</f>
        <v>66243.747049481768</v>
      </c>
      <c r="H89" s="40">
        <f>H60+H63+H66+H69+H72+H75+H78+H81+H84+H87</f>
        <v>8735.0662062693973</v>
      </c>
      <c r="I89" s="40">
        <f>I60+I63+I66+I69+I72+I75+I78+I81+I84+I87</f>
        <v>492360.18674424879</v>
      </c>
      <c r="J89" s="40">
        <f t="shared" ref="J89" si="26">J60+J63+J66+J69+J72+J75+J78+J81+J84+J87</f>
        <v>0</v>
      </c>
      <c r="K89" s="40">
        <f>K60+K63+K66+K69+K72+K75+K78+K81+K84+K87</f>
        <v>567339</v>
      </c>
      <c r="L89" s="41"/>
      <c r="M89" s="40">
        <f>M60+M63+M66+M69+M72+M75+M78+M81+M84+M87</f>
        <v>62921.109574110604</v>
      </c>
      <c r="N89" s="40">
        <f>N60+N63+N66+N69+N72+N75+N78+N81+N84+N87</f>
        <v>8296.9349166079082</v>
      </c>
      <c r="O89" s="40">
        <f>O60+O63+O66+O69+O72+O75+O78+O81+O84+O87</f>
        <v>476248.95550928143</v>
      </c>
      <c r="P89" s="40">
        <f>P60+P63+P66+P69+P72+P75+P78+P81+P84+P87</f>
        <v>0</v>
      </c>
      <c r="Q89" s="40">
        <f>SUM(M89:P89)</f>
        <v>547467</v>
      </c>
      <c r="R89" s="32"/>
      <c r="S89" s="32"/>
      <c r="T89" s="32"/>
      <c r="U89" s="32"/>
      <c r="V89" s="32"/>
      <c r="W89" s="39"/>
      <c r="X89" s="23"/>
    </row>
    <row r="90" spans="2:24" x14ac:dyDescent="0.2">
      <c r="B90" s="2"/>
      <c r="E90" s="36" t="s">
        <v>25</v>
      </c>
      <c r="G90" s="40">
        <f>G61+G64+G67+G70+G73+G76+G79+G82+G85</f>
        <v>0</v>
      </c>
      <c r="H90" s="40">
        <f>H61+H64+H67+H70+H73+H76+H79+H82+H85</f>
        <v>0</v>
      </c>
      <c r="I90" s="40">
        <f>I61+I64+I67+I70+I73+I76+I79+I82+I85</f>
        <v>0</v>
      </c>
      <c r="J90" s="40">
        <f>J61+J64+J67+J70+J73+J76+J79+J82+J85</f>
        <v>0</v>
      </c>
      <c r="K90" s="49">
        <f>SUM(G90:J90)</f>
        <v>0</v>
      </c>
      <c r="L90" s="50"/>
      <c r="M90" s="40">
        <f>M61+M64+M67+M70+M73+M76+M79+M82+M85</f>
        <v>0</v>
      </c>
      <c r="N90" s="40">
        <f>N61+N64+N67+N70+N73+N76+N79+N82+N85</f>
        <v>0</v>
      </c>
      <c r="O90" s="40">
        <f>O61+O64+O67+O70+O73+O76+O79+O82+O85</f>
        <v>0</v>
      </c>
      <c r="P90" s="40">
        <f>P61+P64+P67+P70+P73+P76+P79+P82+P85</f>
        <v>0</v>
      </c>
      <c r="Q90" s="49">
        <f>SUM(M90:P90)</f>
        <v>0</v>
      </c>
      <c r="R90" s="51"/>
      <c r="S90" s="51"/>
      <c r="T90" s="51"/>
      <c r="U90" s="51"/>
      <c r="V90" s="51"/>
      <c r="X90" s="23"/>
    </row>
    <row r="91" spans="2:24" x14ac:dyDescent="0.2">
      <c r="K91" s="19"/>
      <c r="L91" s="5"/>
      <c r="W91" s="19"/>
      <c r="X91" s="23"/>
    </row>
    <row r="92" spans="2:24" ht="13.5" thickBot="1" x14ac:dyDescent="0.25">
      <c r="L92" s="5"/>
      <c r="X92" s="23"/>
    </row>
    <row r="93" spans="2:24" ht="15" thickBot="1" x14ac:dyDescent="0.25">
      <c r="B93" s="16" t="s">
        <v>84</v>
      </c>
      <c r="G93" s="52">
        <f>G56+G89</f>
        <v>224447.59035518253</v>
      </c>
      <c r="H93" s="52">
        <f>H56+H89</f>
        <v>27289.94598320956</v>
      </c>
      <c r="I93" s="52">
        <f>I56+I89</f>
        <v>786316.01366160787</v>
      </c>
      <c r="J93" s="52">
        <f t="shared" ref="J93:Q93" si="27">J56+J89</f>
        <v>0</v>
      </c>
      <c r="K93" s="52">
        <f>K56+K89</f>
        <v>1038053.55</v>
      </c>
      <c r="L93" s="53">
        <f t="shared" si="27"/>
        <v>0</v>
      </c>
      <c r="M93" s="52">
        <f t="shared" si="27"/>
        <v>195742.26619170496</v>
      </c>
      <c r="N93" s="52">
        <f t="shared" si="27"/>
        <v>23504.790127622087</v>
      </c>
      <c r="O93" s="54">
        <f t="shared" si="27"/>
        <v>647125.95194089017</v>
      </c>
      <c r="P93" s="52">
        <f t="shared" si="27"/>
        <v>0</v>
      </c>
      <c r="Q93" s="52">
        <f t="shared" si="27"/>
        <v>866373.00826021726</v>
      </c>
      <c r="R93" s="32"/>
      <c r="S93" s="32"/>
      <c r="T93" s="32"/>
      <c r="U93" s="32"/>
      <c r="V93" s="32"/>
      <c r="X93" s="23"/>
    </row>
    <row r="94" spans="2:24" ht="13.5" thickTop="1" x14ac:dyDescent="0.2">
      <c r="I94" s="55"/>
      <c r="L94" s="5"/>
      <c r="O94" s="56"/>
      <c r="X94" s="23"/>
    </row>
    <row r="95" spans="2:24" x14ac:dyDescent="0.2">
      <c r="G95" s="57"/>
      <c r="H95" s="57"/>
      <c r="I95" s="58"/>
      <c r="K95" s="19"/>
      <c r="L95" s="5"/>
      <c r="O95" s="56"/>
      <c r="X95" s="23"/>
    </row>
    <row r="96" spans="2:24" x14ac:dyDescent="0.2">
      <c r="K96" s="19"/>
      <c r="L96" s="5"/>
      <c r="O96" s="56"/>
      <c r="X96" s="23"/>
    </row>
    <row r="97" spans="5:24" x14ac:dyDescent="0.2">
      <c r="G97" s="55"/>
      <c r="H97" s="55"/>
      <c r="I97" s="55"/>
      <c r="J97" s="19"/>
      <c r="K97" s="59"/>
      <c r="L97" s="5"/>
      <c r="O97" s="56"/>
      <c r="X97" s="23"/>
    </row>
    <row r="98" spans="5:24" x14ac:dyDescent="0.2">
      <c r="G98" s="59"/>
      <c r="H98" s="59"/>
      <c r="I98" s="59"/>
      <c r="K98" s="19"/>
      <c r="L98" s="5"/>
      <c r="O98" s="56"/>
      <c r="X98" s="23"/>
    </row>
    <row r="99" spans="5:24" x14ac:dyDescent="0.2">
      <c r="G99" s="59"/>
      <c r="H99" s="59"/>
      <c r="I99" s="55"/>
      <c r="J99" s="60"/>
      <c r="L99" s="5"/>
      <c r="O99" s="56"/>
      <c r="X99" s="23"/>
    </row>
    <row r="100" spans="5:24" x14ac:dyDescent="0.2">
      <c r="E100" s="57"/>
      <c r="G100" s="55"/>
      <c r="H100" s="55"/>
      <c r="I100" s="55"/>
      <c r="K100" s="57"/>
      <c r="L100" s="5"/>
      <c r="M100" s="19"/>
      <c r="N100" s="57"/>
      <c r="O100" s="61"/>
      <c r="P100" s="57"/>
      <c r="X100" s="23"/>
    </row>
    <row r="101" spans="5:24" x14ac:dyDescent="0.2">
      <c r="G101" s="62"/>
      <c r="H101" s="57"/>
      <c r="I101" s="62"/>
      <c r="J101" s="19"/>
      <c r="L101" s="5"/>
      <c r="O101" s="56"/>
      <c r="X101" s="23"/>
    </row>
    <row r="102" spans="5:24" ht="13.5" thickBot="1" x14ac:dyDescent="0.25">
      <c r="L102" s="5"/>
      <c r="X102" s="23"/>
    </row>
    <row r="103" spans="5:24" x14ac:dyDescent="0.2">
      <c r="E103" s="63"/>
      <c r="F103" s="64"/>
      <c r="G103" s="65">
        <f>G117</f>
        <v>0.16720196635321882</v>
      </c>
      <c r="H103" s="65">
        <f>H117</f>
        <v>2.2047669568311664E-2</v>
      </c>
      <c r="I103" s="65">
        <f>I117</f>
        <v>0.81075036407846957</v>
      </c>
      <c r="J103" s="64"/>
      <c r="K103" s="66"/>
      <c r="L103" s="5"/>
      <c r="M103" s="67"/>
      <c r="N103" s="67"/>
      <c r="O103" s="67"/>
      <c r="X103" s="23"/>
    </row>
    <row r="104" spans="5:24" x14ac:dyDescent="0.2">
      <c r="E104" s="68"/>
      <c r="F104" s="48"/>
      <c r="G104" s="48"/>
      <c r="H104" s="48"/>
      <c r="I104" s="48"/>
      <c r="J104" s="48"/>
      <c r="K104" s="69"/>
      <c r="L104" s="5"/>
      <c r="M104" s="70"/>
      <c r="X104" s="23"/>
    </row>
    <row r="105" spans="5:24" x14ac:dyDescent="0.2">
      <c r="E105" s="68" t="s">
        <v>105</v>
      </c>
      <c r="F105" s="48"/>
      <c r="G105" s="48"/>
      <c r="H105" s="48"/>
      <c r="I105" s="48"/>
      <c r="J105" s="48"/>
      <c r="K105" s="71">
        <v>1038056</v>
      </c>
      <c r="L105" s="5"/>
      <c r="M105" s="72"/>
      <c r="X105" s="23"/>
    </row>
    <row r="106" spans="5:24" x14ac:dyDescent="0.2">
      <c r="E106" s="68" t="s">
        <v>85</v>
      </c>
      <c r="F106" s="48"/>
      <c r="G106" s="48"/>
      <c r="H106" s="48"/>
      <c r="I106" s="48"/>
      <c r="J106" s="48"/>
      <c r="K106" s="71">
        <v>0</v>
      </c>
      <c r="L106" s="5"/>
      <c r="X106" s="23"/>
    </row>
    <row r="107" spans="5:24" x14ac:dyDescent="0.2">
      <c r="E107" s="68"/>
      <c r="F107" s="48"/>
      <c r="G107" s="48"/>
      <c r="H107" s="48"/>
      <c r="I107" s="48"/>
      <c r="J107" s="48"/>
      <c r="K107" s="71"/>
      <c r="L107" s="5"/>
      <c r="M107" s="72"/>
      <c r="X107" s="23"/>
    </row>
    <row r="108" spans="5:24" x14ac:dyDescent="0.2">
      <c r="E108" s="68" t="s">
        <v>106</v>
      </c>
      <c r="F108" s="48"/>
      <c r="G108" s="48"/>
      <c r="H108" s="48"/>
      <c r="I108" s="48"/>
      <c r="J108" s="48"/>
      <c r="K108" s="73">
        <f>SUM(K105:K107)</f>
        <v>1038056</v>
      </c>
      <c r="L108" s="5"/>
      <c r="M108" s="72"/>
      <c r="X108" s="23"/>
    </row>
    <row r="109" spans="5:24" x14ac:dyDescent="0.2">
      <c r="E109" s="68" t="s">
        <v>86</v>
      </c>
      <c r="F109" s="48"/>
      <c r="G109" s="48"/>
      <c r="H109" s="48"/>
      <c r="I109" s="48"/>
      <c r="J109" s="48"/>
      <c r="K109" s="71">
        <f>-K60</f>
        <v>-171149</v>
      </c>
      <c r="L109" s="5"/>
      <c r="M109" s="72"/>
      <c r="O109" s="74"/>
      <c r="P109" s="74"/>
      <c r="Q109" s="59"/>
      <c r="X109" s="23"/>
    </row>
    <row r="110" spans="5:24" x14ac:dyDescent="0.2">
      <c r="E110" s="68" t="s">
        <v>108</v>
      </c>
      <c r="F110" s="48"/>
      <c r="G110" s="48"/>
      <c r="H110" s="48"/>
      <c r="I110" s="48"/>
      <c r="J110" s="48"/>
      <c r="K110" s="71">
        <f>-G51</f>
        <v>-32549</v>
      </c>
      <c r="L110" s="5"/>
      <c r="M110" s="72"/>
      <c r="O110" s="74"/>
      <c r="P110" s="74"/>
      <c r="Q110" s="59"/>
      <c r="X110" s="23"/>
    </row>
    <row r="111" spans="5:24" x14ac:dyDescent="0.2">
      <c r="E111" s="68" t="s">
        <v>109</v>
      </c>
      <c r="F111" s="48"/>
      <c r="G111" s="48"/>
      <c r="H111" s="48"/>
      <c r="I111" s="48"/>
      <c r="J111" s="48"/>
      <c r="K111" s="71">
        <f>-K19</f>
        <v>-75593</v>
      </c>
      <c r="L111" s="5"/>
      <c r="M111" s="72"/>
      <c r="O111" s="74"/>
      <c r="P111" s="74"/>
      <c r="Q111" s="59"/>
      <c r="X111" s="23"/>
    </row>
    <row r="112" spans="5:24" ht="13.5" thickBot="1" x14ac:dyDescent="0.25">
      <c r="E112" s="68" t="s">
        <v>107</v>
      </c>
      <c r="F112" s="48"/>
      <c r="G112" s="48"/>
      <c r="H112" s="48"/>
      <c r="I112" s="48"/>
      <c r="J112" s="48"/>
      <c r="K112" s="75">
        <f>SUM(K108:K111)</f>
        <v>758765</v>
      </c>
      <c r="L112" s="5"/>
      <c r="M112" s="72"/>
      <c r="X112" s="23"/>
    </row>
    <row r="113" spans="5:24" ht="13.5" thickTop="1" x14ac:dyDescent="0.2">
      <c r="E113" s="68"/>
      <c r="F113" s="48"/>
      <c r="G113" s="48"/>
      <c r="H113" s="48"/>
      <c r="I113" s="48"/>
      <c r="J113" s="76" t="s">
        <v>87</v>
      </c>
      <c r="K113" s="71"/>
      <c r="L113" s="5"/>
      <c r="M113" s="72"/>
      <c r="O113" s="77"/>
      <c r="Q113" s="59"/>
      <c r="X113" s="23"/>
    </row>
    <row r="114" spans="5:24" x14ac:dyDescent="0.2">
      <c r="E114" s="78" t="s">
        <v>104</v>
      </c>
      <c r="F114" s="48"/>
      <c r="G114" s="79">
        <f>224449</f>
        <v>224449</v>
      </c>
      <c r="H114" s="79">
        <f>27290</f>
        <v>27290</v>
      </c>
      <c r="I114" s="79">
        <f>765191+21127</f>
        <v>786318</v>
      </c>
      <c r="J114" s="79"/>
      <c r="K114" s="71"/>
      <c r="L114" s="5"/>
      <c r="M114" s="72"/>
      <c r="O114" s="77"/>
      <c r="X114" s="23"/>
    </row>
    <row r="115" spans="5:24" x14ac:dyDescent="0.2">
      <c r="E115" s="68" t="s">
        <v>110</v>
      </c>
      <c r="F115" s="48"/>
      <c r="G115" s="80">
        <f>-G51-G19</f>
        <v>-97581</v>
      </c>
      <c r="H115" s="81">
        <f>-H19</f>
        <v>-10561</v>
      </c>
      <c r="I115" s="81">
        <f>-K60</f>
        <v>-171149</v>
      </c>
      <c r="K115" s="69"/>
      <c r="L115" s="5"/>
      <c r="O115" s="77"/>
      <c r="X115" s="23"/>
    </row>
    <row r="116" spans="5:24" ht="13.5" thickBot="1" x14ac:dyDescent="0.25">
      <c r="E116" s="68" t="s">
        <v>89</v>
      </c>
      <c r="F116" s="48"/>
      <c r="G116" s="82">
        <f>G114+G115</f>
        <v>126868</v>
      </c>
      <c r="H116" s="82">
        <f>SUM(H114:H115)</f>
        <v>16729</v>
      </c>
      <c r="I116" s="82">
        <f>SUM(I114:I115)</f>
        <v>615169</v>
      </c>
      <c r="J116" s="83"/>
      <c r="K116" s="71"/>
      <c r="L116" s="5"/>
      <c r="X116" s="23"/>
    </row>
    <row r="117" spans="5:24" ht="14.25" thickTop="1" thickBot="1" x14ac:dyDescent="0.25">
      <c r="E117" s="68" t="s">
        <v>90</v>
      </c>
      <c r="F117" s="48"/>
      <c r="G117" s="84">
        <f>1-(H117+I117)</f>
        <v>0.16720196635321882</v>
      </c>
      <c r="H117" s="84">
        <f>H$116/$K$112</f>
        <v>2.2047669568311664E-2</v>
      </c>
      <c r="I117" s="84">
        <f>I$116/$K$112</f>
        <v>0.81075036407846957</v>
      </c>
      <c r="J117" s="72"/>
      <c r="K117" s="71"/>
      <c r="L117" s="5"/>
      <c r="X117" s="23"/>
    </row>
    <row r="118" spans="5:24" ht="14.25" thickTop="1" thickBot="1" x14ac:dyDescent="0.25">
      <c r="E118" s="85"/>
      <c r="F118" s="86"/>
      <c r="G118" s="87" t="s">
        <v>91</v>
      </c>
      <c r="H118" s="87" t="s">
        <v>92</v>
      </c>
      <c r="I118" s="87" t="s">
        <v>93</v>
      </c>
      <c r="J118" s="86"/>
      <c r="K118" s="88"/>
      <c r="L118" s="5"/>
      <c r="X118" s="23"/>
    </row>
    <row r="119" spans="5:24" x14ac:dyDescent="0.2">
      <c r="J119" s="64"/>
      <c r="K119" s="89"/>
      <c r="L119" s="11"/>
      <c r="X119" s="23"/>
    </row>
    <row r="120" spans="5:24" x14ac:dyDescent="0.2">
      <c r="J120" s="48"/>
      <c r="K120" s="80"/>
      <c r="L120" s="11"/>
    </row>
    <row r="121" spans="5:24" x14ac:dyDescent="0.2">
      <c r="E121" s="90"/>
      <c r="F121" s="91"/>
      <c r="G121" s="72"/>
      <c r="H121" s="72"/>
      <c r="I121" s="92"/>
      <c r="J121" s="93"/>
      <c r="K121" s="94"/>
      <c r="L121" s="11"/>
    </row>
    <row r="122" spans="5:24" x14ac:dyDescent="0.2">
      <c r="E122" s="91"/>
      <c r="F122" s="91"/>
      <c r="G122" s="91"/>
      <c r="H122" s="91"/>
      <c r="I122" s="92"/>
      <c r="J122" s="93"/>
      <c r="K122" s="93"/>
      <c r="M122" s="95"/>
    </row>
    <row r="123" spans="5:24" x14ac:dyDescent="0.2">
      <c r="E123" s="91"/>
      <c r="F123" s="91"/>
      <c r="G123" s="91"/>
      <c r="H123" s="72"/>
      <c r="I123" s="72"/>
      <c r="J123" s="48"/>
      <c r="K123" s="48"/>
    </row>
    <row r="124" spans="5:24" x14ac:dyDescent="0.2">
      <c r="E124" s="91"/>
      <c r="F124" s="91"/>
      <c r="G124" s="96"/>
      <c r="H124" s="96"/>
      <c r="I124" s="96"/>
    </row>
    <row r="125" spans="5:24" x14ac:dyDescent="0.2">
      <c r="E125" s="91"/>
      <c r="F125" s="91"/>
      <c r="G125" s="72"/>
      <c r="H125" s="72"/>
      <c r="I125" s="72"/>
    </row>
    <row r="126" spans="5:24" x14ac:dyDescent="0.2">
      <c r="E126" s="91"/>
      <c r="F126" s="91"/>
      <c r="G126" s="96"/>
      <c r="H126" s="96"/>
      <c r="I126" s="96"/>
    </row>
    <row r="127" spans="5:24" x14ac:dyDescent="0.2">
      <c r="E127" s="91"/>
      <c r="F127" s="91"/>
      <c r="G127" s="97"/>
      <c r="H127" s="97"/>
      <c r="I127" s="97"/>
      <c r="J127" s="48"/>
    </row>
    <row r="128" spans="5:24" x14ac:dyDescent="0.2">
      <c r="G128" s="80"/>
      <c r="H128" s="80"/>
      <c r="I128" s="80"/>
      <c r="J128" s="48"/>
    </row>
    <row r="129" spans="7:10" x14ac:dyDescent="0.2">
      <c r="G129" s="48"/>
      <c r="H129" s="48"/>
      <c r="I129" s="48"/>
      <c r="J129" s="48"/>
    </row>
  </sheetData>
  <mergeCells count="1">
    <mergeCell ref="M2:Q2"/>
  </mergeCells>
  <printOptions horizontalCentered="1"/>
  <pageMargins left="0.25" right="0.25" top="0.25" bottom="0.25" header="0.25" footer="0"/>
  <pageSetup scale="34" orientation="landscape" copies="2" r:id="rId1"/>
  <headerFooter alignWithMargins="0"/>
  <rowBreaks count="1" manualBreakCount="1">
    <brk id="57" min="1"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27"/>
  <sheetViews>
    <sheetView topLeftCell="A61" zoomScaleNormal="100" workbookViewId="0">
      <selection activeCell="N111" sqref="N111"/>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14.7109375" style="1" customWidth="1"/>
    <col min="8" max="8" width="16"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1" hidden="1" customWidth="1"/>
    <col min="25" max="16384" width="9.140625" style="1"/>
  </cols>
  <sheetData>
    <row r="1" spans="2:24" ht="15" x14ac:dyDescent="0.25">
      <c r="E1" s="2"/>
      <c r="F1" s="2"/>
      <c r="I1"/>
    </row>
    <row r="2" spans="2:24" ht="20.25" thickBot="1" x14ac:dyDescent="0.3">
      <c r="B2" s="3" t="s">
        <v>0</v>
      </c>
      <c r="C2" s="2"/>
      <c r="D2" s="2"/>
      <c r="E2" s="2"/>
      <c r="F2" s="2"/>
      <c r="G2" s="6" t="s">
        <v>1</v>
      </c>
      <c r="H2" s="6"/>
      <c r="J2" s="6"/>
      <c r="K2" s="6"/>
      <c r="L2" s="5"/>
      <c r="M2" s="186" t="s">
        <v>2</v>
      </c>
      <c r="N2" s="186"/>
      <c r="O2" s="186"/>
      <c r="P2" s="186"/>
      <c r="Q2" s="186"/>
      <c r="R2" s="7"/>
      <c r="S2" s="7"/>
      <c r="T2" s="7"/>
      <c r="U2" s="7"/>
      <c r="V2" s="7"/>
    </row>
    <row r="3" spans="2:24" ht="19.5" x14ac:dyDescent="0.25">
      <c r="B3" s="3" t="s">
        <v>3</v>
      </c>
      <c r="C3" s="2"/>
      <c r="D3" s="2"/>
      <c r="L3" s="5"/>
    </row>
    <row r="4" spans="2:24" x14ac:dyDescent="0.2">
      <c r="B4" s="2" t="s">
        <v>4</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99">
        <f>K9*$G$101</f>
        <v>3784.2969086763924</v>
      </c>
      <c r="H9" s="99">
        <f>K9*$H$101</f>
        <v>495.06559416663958</v>
      </c>
      <c r="I9" s="99">
        <f>$I$101*K9</f>
        <v>17579.637497156968</v>
      </c>
      <c r="J9" s="19">
        <v>0</v>
      </c>
      <c r="K9" s="18">
        <v>21859</v>
      </c>
      <c r="L9" s="5"/>
      <c r="M9" s="18">
        <v>0</v>
      </c>
      <c r="N9" s="18">
        <v>0</v>
      </c>
      <c r="O9" s="18">
        <v>0</v>
      </c>
      <c r="P9" s="19">
        <v>0</v>
      </c>
      <c r="Q9" s="19">
        <f>SUM(M9:P9)</f>
        <v>0</v>
      </c>
      <c r="R9" s="19"/>
      <c r="S9" s="19"/>
      <c r="T9" s="19"/>
      <c r="U9" s="19"/>
      <c r="V9" s="19"/>
    </row>
    <row r="10" spans="2:24" x14ac:dyDescent="0.2">
      <c r="B10" s="2" t="s">
        <v>24</v>
      </c>
      <c r="E10" s="17" t="s">
        <v>25</v>
      </c>
      <c r="G10" s="20">
        <f>K10*$G$101</f>
        <v>84.726424223716847</v>
      </c>
      <c r="H10" s="20">
        <f>K10*$H$101</f>
        <v>11.083997519792918</v>
      </c>
      <c r="I10" s="20">
        <f>K10*$I$101</f>
        <v>393.5895782564902</v>
      </c>
      <c r="J10" s="21"/>
      <c r="K10" s="20">
        <v>489.4</v>
      </c>
      <c r="L10" s="5"/>
      <c r="M10" s="20">
        <f>G10</f>
        <v>84.726424223716847</v>
      </c>
      <c r="N10" s="20">
        <f>H10</f>
        <v>11.083997519792918</v>
      </c>
      <c r="O10" s="20">
        <f>I10</f>
        <v>393.5895782564902</v>
      </c>
      <c r="P10" s="21">
        <v>0</v>
      </c>
      <c r="Q10" s="21">
        <f>SUM(M10:P10)</f>
        <v>489.4</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99">
        <f>K12*$G$101</f>
        <v>30982.448573610163</v>
      </c>
      <c r="H12" s="99">
        <f>K12*$H$101</f>
        <v>4053.1556275790363</v>
      </c>
      <c r="I12" s="99">
        <f>$I$101*K12</f>
        <v>143926.39579881082</v>
      </c>
      <c r="J12" s="19">
        <v>0</v>
      </c>
      <c r="K12" s="18">
        <v>178962</v>
      </c>
      <c r="L12" s="5"/>
      <c r="M12" s="18">
        <f t="shared" ref="M12:P13" si="0">G12</f>
        <v>30982.448573610163</v>
      </c>
      <c r="N12" s="18">
        <f t="shared" si="0"/>
        <v>4053.1556275790363</v>
      </c>
      <c r="O12" s="18">
        <f t="shared" si="0"/>
        <v>143926.39579881082</v>
      </c>
      <c r="P12" s="18">
        <f t="shared" si="0"/>
        <v>0</v>
      </c>
      <c r="Q12" s="19">
        <f>SUM(M12:P12)</f>
        <v>178962</v>
      </c>
      <c r="R12" s="19"/>
      <c r="S12" s="19"/>
      <c r="T12" s="19"/>
      <c r="U12" s="19"/>
      <c r="V12" s="19"/>
    </row>
    <row r="13" spans="2:24" x14ac:dyDescent="0.2">
      <c r="E13" s="17" t="s">
        <v>25</v>
      </c>
      <c r="G13" s="20">
        <f>K13*$G$101</f>
        <v>503.11291670728139</v>
      </c>
      <c r="H13" s="20">
        <f>K13*$H$101</f>
        <v>65.817746612730289</v>
      </c>
      <c r="I13" s="20">
        <f>K13*$I$101</f>
        <v>2337.1693366799882</v>
      </c>
      <c r="J13" s="21">
        <v>0</v>
      </c>
      <c r="K13" s="20">
        <v>2906.1</v>
      </c>
      <c r="L13" s="5"/>
      <c r="M13" s="20">
        <f t="shared" si="0"/>
        <v>503.11291670728139</v>
      </c>
      <c r="N13" s="20">
        <f t="shared" si="0"/>
        <v>65.817746612730289</v>
      </c>
      <c r="O13" s="20">
        <f t="shared" si="0"/>
        <v>2337.1693366799882</v>
      </c>
      <c r="P13" s="21">
        <v>0</v>
      </c>
      <c r="Q13" s="21">
        <f>SUM(M13:P13)</f>
        <v>2906.1</v>
      </c>
      <c r="R13" s="22"/>
      <c r="S13" s="22"/>
      <c r="T13" s="22"/>
      <c r="U13" s="22"/>
      <c r="V13" s="22"/>
      <c r="X13" s="23"/>
    </row>
    <row r="14" spans="2:24" x14ac:dyDescent="0.2">
      <c r="E14" s="11"/>
      <c r="G14" s="11"/>
      <c r="H14" s="11"/>
      <c r="I14" s="11"/>
      <c r="K14" s="11"/>
      <c r="L14" s="5"/>
      <c r="M14" s="11"/>
      <c r="N14" s="11"/>
      <c r="O14" s="11"/>
      <c r="X14" s="24" t="s">
        <v>27</v>
      </c>
    </row>
    <row r="15" spans="2:24" x14ac:dyDescent="0.2">
      <c r="D15" s="1" t="s">
        <v>28</v>
      </c>
      <c r="E15" s="17" t="s">
        <v>29</v>
      </c>
      <c r="G15" s="99">
        <v>2563</v>
      </c>
      <c r="H15" s="99">
        <v>496</v>
      </c>
      <c r="I15" s="99">
        <v>7</v>
      </c>
      <c r="J15" s="19">
        <v>5202</v>
      </c>
      <c r="K15" s="18">
        <f>G15+H15+I15+J15</f>
        <v>8268</v>
      </c>
      <c r="L15" s="5"/>
      <c r="M15" s="18">
        <v>0</v>
      </c>
      <c r="N15" s="18">
        <v>0</v>
      </c>
      <c r="O15" s="18">
        <v>0</v>
      </c>
      <c r="P15" s="19">
        <v>0</v>
      </c>
      <c r="Q15" s="19">
        <f t="shared" ref="Q15:Q20" si="1">SUM(M15:P15)</f>
        <v>0</v>
      </c>
      <c r="R15" s="19"/>
      <c r="S15" s="19"/>
      <c r="T15" s="19"/>
      <c r="U15" s="19"/>
      <c r="V15" s="19"/>
      <c r="X15" s="23"/>
    </row>
    <row r="16" spans="2:24" x14ac:dyDescent="0.2">
      <c r="D16" s="1" t="s">
        <v>30</v>
      </c>
      <c r="E16" s="17" t="s">
        <v>31</v>
      </c>
      <c r="G16" s="99">
        <v>6252</v>
      </c>
      <c r="H16" s="99">
        <v>1210</v>
      </c>
      <c r="I16" s="99">
        <v>0</v>
      </c>
      <c r="J16" s="19">
        <v>12760</v>
      </c>
      <c r="K16" s="18">
        <f t="shared" ref="K16:K17" si="2">G16+H16+I16+J16</f>
        <v>20222</v>
      </c>
      <c r="L16" s="5"/>
      <c r="M16" s="18">
        <f>G16</f>
        <v>6252</v>
      </c>
      <c r="N16" s="18">
        <f>H16</f>
        <v>1210</v>
      </c>
      <c r="O16" s="18">
        <f>I16</f>
        <v>0</v>
      </c>
      <c r="P16" s="18">
        <f>J16</f>
        <v>12760</v>
      </c>
      <c r="Q16" s="19">
        <f t="shared" si="1"/>
        <v>20222</v>
      </c>
      <c r="R16" s="19"/>
      <c r="S16" s="19"/>
      <c r="T16" s="19"/>
      <c r="U16" s="19"/>
      <c r="V16" s="19"/>
      <c r="X16" s="23" t="s">
        <v>32</v>
      </c>
    </row>
    <row r="17" spans="2:24" x14ac:dyDescent="0.2">
      <c r="E17" s="17" t="s">
        <v>33</v>
      </c>
      <c r="G17" s="99">
        <v>1557</v>
      </c>
      <c r="H17" s="99">
        <v>301</v>
      </c>
      <c r="I17" s="99">
        <v>0</v>
      </c>
      <c r="J17" s="19">
        <v>3164</v>
      </c>
      <c r="K17" s="18">
        <f t="shared" si="2"/>
        <v>5022</v>
      </c>
      <c r="L17" s="5"/>
      <c r="M17" s="18">
        <v>0</v>
      </c>
      <c r="N17" s="18">
        <v>0</v>
      </c>
      <c r="O17" s="18">
        <v>0</v>
      </c>
      <c r="P17" s="19">
        <v>0</v>
      </c>
      <c r="Q17" s="19">
        <f t="shared" si="1"/>
        <v>0</v>
      </c>
      <c r="R17" s="19"/>
      <c r="S17" s="19"/>
      <c r="T17" s="19"/>
      <c r="U17" s="19"/>
      <c r="V17" s="19"/>
      <c r="X17" s="25">
        <f>395196+21379</f>
        <v>416575</v>
      </c>
    </row>
    <row r="18" spans="2:24" x14ac:dyDescent="0.2">
      <c r="E18" s="17" t="s">
        <v>34</v>
      </c>
      <c r="G18" s="99">
        <f t="shared" ref="G18" si="3">K18*$G$101</f>
        <v>8045.1894753793413</v>
      </c>
      <c r="H18" s="99">
        <f t="shared" ref="H18" si="4">K18*$H$101</f>
        <v>1052.4799200295677</v>
      </c>
      <c r="I18" s="99">
        <f t="shared" ref="I18" si="5">K18*$I$101</f>
        <v>37373.260604591094</v>
      </c>
      <c r="J18" s="19">
        <v>0</v>
      </c>
      <c r="K18" s="18">
        <v>46470.93</v>
      </c>
      <c r="L18" s="5"/>
      <c r="M18" s="18">
        <v>0</v>
      </c>
      <c r="N18" s="18">
        <v>0</v>
      </c>
      <c r="O18" s="18">
        <v>0</v>
      </c>
      <c r="P18" s="19">
        <v>0</v>
      </c>
      <c r="Q18" s="19">
        <f t="shared" si="1"/>
        <v>0</v>
      </c>
      <c r="R18" s="19"/>
      <c r="S18" s="19"/>
      <c r="T18" s="19"/>
      <c r="U18" s="19"/>
      <c r="V18" s="19"/>
      <c r="X18" s="23"/>
    </row>
    <row r="19" spans="2:24" x14ac:dyDescent="0.2">
      <c r="E19" s="17" t="s">
        <v>35</v>
      </c>
      <c r="G19" s="18">
        <v>65032</v>
      </c>
      <c r="H19" s="18">
        <v>10561</v>
      </c>
      <c r="I19" s="18">
        <v>0</v>
      </c>
      <c r="J19" s="19">
        <v>0</v>
      </c>
      <c r="K19" s="18">
        <v>75593</v>
      </c>
      <c r="L19" s="5"/>
      <c r="M19" s="18">
        <f>G19</f>
        <v>65032</v>
      </c>
      <c r="N19" s="18">
        <f>H19</f>
        <v>10561</v>
      </c>
      <c r="O19" s="18">
        <f>I19</f>
        <v>0</v>
      </c>
      <c r="P19" s="18">
        <f>J19</f>
        <v>0</v>
      </c>
      <c r="Q19" s="19">
        <f t="shared" si="1"/>
        <v>75593</v>
      </c>
      <c r="R19" s="19"/>
      <c r="S19" s="19"/>
      <c r="T19" s="19"/>
      <c r="U19" s="19"/>
      <c r="V19" s="19"/>
      <c r="X19" s="23" t="s">
        <v>36</v>
      </c>
    </row>
    <row r="20" spans="2:24" x14ac:dyDescent="0.2">
      <c r="E20" s="17" t="s">
        <v>37</v>
      </c>
      <c r="G20" s="100">
        <f>K20*$G$101</f>
        <v>732.09412839403888</v>
      </c>
      <c r="H20" s="100">
        <f>K20*$H$101</f>
        <v>95.773303048271984</v>
      </c>
      <c r="I20" s="100">
        <f>K20*$I$101</f>
        <v>3400.8825685576894</v>
      </c>
      <c r="J20" s="26">
        <v>0</v>
      </c>
      <c r="K20" s="27">
        <v>4228.75</v>
      </c>
      <c r="L20" s="5"/>
      <c r="M20" s="18">
        <v>0</v>
      </c>
      <c r="N20" s="18">
        <v>0</v>
      </c>
      <c r="O20" s="18">
        <v>0</v>
      </c>
      <c r="P20" s="19">
        <v>0</v>
      </c>
      <c r="Q20" s="19">
        <f t="shared" si="1"/>
        <v>0</v>
      </c>
      <c r="R20" s="19"/>
      <c r="S20" s="19"/>
      <c r="T20" s="19"/>
      <c r="U20" s="19"/>
      <c r="V20" s="19"/>
      <c r="X20" s="25">
        <f>31030+1679</f>
        <v>32709</v>
      </c>
    </row>
    <row r="21" spans="2:24" x14ac:dyDescent="0.2">
      <c r="D21" s="2" t="s">
        <v>38</v>
      </c>
      <c r="E21" s="17"/>
      <c r="G21" s="28">
        <f>G9+G12+SUM(G15:G20)</f>
        <v>118948.02908605993</v>
      </c>
      <c r="H21" s="28">
        <f>SUM(H15:H20)+H12+H9</f>
        <v>18264.474444823518</v>
      </c>
      <c r="I21" s="28">
        <f>SUM(I15:I20)+I12+I9</f>
        <v>202287.17646911659</v>
      </c>
      <c r="J21" s="29">
        <f>J9+J12+SUM(J15:J20)</f>
        <v>21126</v>
      </c>
      <c r="K21" s="28">
        <f>SUM(K15:K20)+K12+K9</f>
        <v>360625.68</v>
      </c>
      <c r="L21" s="5"/>
      <c r="M21" s="30">
        <f>M9+M12+SUM(M15:M20)</f>
        <v>102266.44857361016</v>
      </c>
      <c r="N21" s="30">
        <f>N9+N12+SUM(N15:N20)</f>
        <v>15824.155627579035</v>
      </c>
      <c r="O21" s="30">
        <f>O9+O12+SUM(O15:O20)</f>
        <v>143926.39579881082</v>
      </c>
      <c r="P21" s="31">
        <f>P9+P12+SUM(P15:P20)</f>
        <v>12760</v>
      </c>
      <c r="Q21" s="31">
        <f>Q9+Q12+SUM(Q15:Q20)</f>
        <v>274777</v>
      </c>
      <c r="R21" s="32"/>
      <c r="S21" s="32"/>
      <c r="T21" s="32"/>
      <c r="U21" s="32"/>
      <c r="V21" s="32"/>
      <c r="X21" s="23"/>
    </row>
    <row r="22" spans="2:24" x14ac:dyDescent="0.2">
      <c r="E22" s="17"/>
      <c r="G22" s="18"/>
      <c r="H22" s="18"/>
      <c r="I22" s="18"/>
      <c r="J22" s="19"/>
      <c r="K22" s="18"/>
      <c r="L22" s="5"/>
      <c r="M22" s="33"/>
      <c r="N22" s="18"/>
      <c r="O22" s="18"/>
      <c r="P22" s="19"/>
      <c r="Q22" s="19"/>
      <c r="R22" s="19"/>
      <c r="S22" s="19"/>
      <c r="T22" s="19"/>
      <c r="U22" s="19"/>
      <c r="V22" s="19"/>
      <c r="X22" s="23" t="s">
        <v>39</v>
      </c>
    </row>
    <row r="23" spans="2:24" x14ac:dyDescent="0.2">
      <c r="B23" s="2" t="s">
        <v>40</v>
      </c>
      <c r="E23" s="17" t="s">
        <v>41</v>
      </c>
      <c r="G23" s="100">
        <f>K23*$G$101</f>
        <v>11954.147103897933</v>
      </c>
      <c r="H23" s="100">
        <f>K23*$H$101</f>
        <v>1563.8537571346569</v>
      </c>
      <c r="I23" s="100">
        <f>K23*$I$101</f>
        <v>55531.999138967411</v>
      </c>
      <c r="J23" s="26">
        <v>0</v>
      </c>
      <c r="K23" s="27">
        <v>69050</v>
      </c>
      <c r="L23" s="5"/>
      <c r="M23" s="27">
        <f>$Q$23*G$115</f>
        <v>1535.8520781385439</v>
      </c>
      <c r="N23" s="27">
        <f>$Q$23*H$115</f>
        <v>170.67455242757148</v>
      </c>
      <c r="O23" s="27">
        <f>$Q$23*I$115</f>
        <v>3715.2016296511329</v>
      </c>
      <c r="P23" s="27">
        <v>0</v>
      </c>
      <c r="Q23" s="27">
        <f>K23*X23</f>
        <v>5421.7282602172481</v>
      </c>
      <c r="R23" s="34"/>
      <c r="S23" s="34"/>
      <c r="T23" s="34"/>
      <c r="U23" s="34"/>
      <c r="V23" s="34"/>
      <c r="X23" s="35">
        <f>X20/X17</f>
        <v>7.8518874152313511E-2</v>
      </c>
    </row>
    <row r="24" spans="2:24" x14ac:dyDescent="0.2">
      <c r="B24" s="2"/>
      <c r="D24" s="2" t="s">
        <v>42</v>
      </c>
      <c r="E24" s="17"/>
      <c r="G24" s="28">
        <f>SUM(G23)</f>
        <v>11954.147103897933</v>
      </c>
      <c r="H24" s="28">
        <f>SUM(H23)</f>
        <v>1563.8537571346569</v>
      </c>
      <c r="I24" s="28">
        <f>SUM(I23)</f>
        <v>55531.999138967411</v>
      </c>
      <c r="J24" s="29">
        <f>SUM(J23)</f>
        <v>0</v>
      </c>
      <c r="K24" s="28">
        <f>SUM(G24:J24)</f>
        <v>69050</v>
      </c>
      <c r="L24" s="5"/>
      <c r="M24" s="28">
        <f>SUM(M23)</f>
        <v>1535.8520781385439</v>
      </c>
      <c r="N24" s="28">
        <f>SUM(N23)</f>
        <v>170.67455242757148</v>
      </c>
      <c r="O24" s="28">
        <f>SUM(O23)</f>
        <v>3715.2016296511329</v>
      </c>
      <c r="P24" s="29">
        <f>SUM(P23)</f>
        <v>0</v>
      </c>
      <c r="Q24" s="29">
        <f>SUM(M24:P24)</f>
        <v>5421.7282602172481</v>
      </c>
      <c r="R24" s="29"/>
      <c r="S24" s="29"/>
      <c r="T24" s="29"/>
      <c r="U24" s="29"/>
      <c r="V24" s="29"/>
      <c r="X24" s="23"/>
    </row>
    <row r="25" spans="2:24" x14ac:dyDescent="0.2">
      <c r="B25" s="2"/>
      <c r="E25" s="11"/>
      <c r="G25" s="11"/>
      <c r="H25" s="11"/>
      <c r="I25" s="11"/>
      <c r="K25" s="11"/>
      <c r="L25" s="5"/>
      <c r="M25" s="11"/>
      <c r="N25" s="11"/>
      <c r="O25" s="11"/>
      <c r="X25" s="23"/>
    </row>
    <row r="26" spans="2:24" x14ac:dyDescent="0.2">
      <c r="B26" s="2" t="s">
        <v>43</v>
      </c>
      <c r="E26" s="17" t="s">
        <v>44</v>
      </c>
      <c r="F26" s="11"/>
      <c r="G26" s="99">
        <f>K26*$G$101</f>
        <v>403.65198908004896</v>
      </c>
      <c r="H26" s="99">
        <f>K26*$H$101</f>
        <v>52.80616627947277</v>
      </c>
      <c r="I26" s="99">
        <f>K26*$I$101</f>
        <v>1875.1318446404784</v>
      </c>
      <c r="J26" s="19">
        <v>0</v>
      </c>
      <c r="K26" s="18">
        <v>2331.59</v>
      </c>
      <c r="L26" s="5"/>
      <c r="M26" s="34">
        <v>0</v>
      </c>
      <c r="N26" s="34">
        <v>0</v>
      </c>
      <c r="O26" s="34">
        <v>0</v>
      </c>
      <c r="P26" s="19">
        <v>0</v>
      </c>
      <c r="Q26" s="19">
        <f t="shared" ref="Q26:Q31" si="6">SUM(M26:P26)</f>
        <v>0</v>
      </c>
      <c r="R26" s="19"/>
      <c r="S26" s="19"/>
      <c r="T26" s="19"/>
      <c r="U26" s="19"/>
      <c r="V26" s="19"/>
      <c r="X26" s="23"/>
    </row>
    <row r="27" spans="2:24" x14ac:dyDescent="0.2">
      <c r="B27" s="2"/>
      <c r="E27" s="17" t="s">
        <v>45</v>
      </c>
      <c r="G27" s="99">
        <f t="shared" ref="G27:G30" si="7">K27*$G$101</f>
        <v>616.41157030141551</v>
      </c>
      <c r="H27" s="99">
        <f t="shared" ref="H27:H30" si="8">K27*$H$101</f>
        <v>80.639592417497909</v>
      </c>
      <c r="I27" s="99">
        <f t="shared" ref="I27:I30" si="9">K27*$I$101</f>
        <v>2863.4888372810865</v>
      </c>
      <c r="J27" s="19">
        <v>0</v>
      </c>
      <c r="K27" s="18">
        <v>3560.54</v>
      </c>
      <c r="L27" s="5"/>
      <c r="M27" s="18">
        <f>G27</f>
        <v>616.41157030141551</v>
      </c>
      <c r="N27" s="18">
        <f>H27</f>
        <v>80.639592417497909</v>
      </c>
      <c r="O27" s="18">
        <f>I27</f>
        <v>2863.4888372810865</v>
      </c>
      <c r="P27" s="18">
        <f>J27</f>
        <v>0</v>
      </c>
      <c r="Q27" s="19">
        <f>SUM(M27:P27)</f>
        <v>3560.54</v>
      </c>
      <c r="R27" s="19"/>
      <c r="S27" s="19"/>
      <c r="T27" s="19"/>
      <c r="U27" s="19"/>
      <c r="V27" s="19"/>
      <c r="X27" s="23"/>
    </row>
    <row r="28" spans="2:24" x14ac:dyDescent="0.2">
      <c r="B28" s="2"/>
      <c r="E28" s="11" t="s">
        <v>46</v>
      </c>
      <c r="G28" s="99">
        <f t="shared" si="7"/>
        <v>0</v>
      </c>
      <c r="H28" s="99">
        <f t="shared" si="8"/>
        <v>0</v>
      </c>
      <c r="I28" s="99">
        <f t="shared" si="9"/>
        <v>0</v>
      </c>
      <c r="J28" s="19">
        <v>0</v>
      </c>
      <c r="K28" s="18">
        <v>0</v>
      </c>
      <c r="L28" s="5"/>
      <c r="M28" s="18">
        <v>0</v>
      </c>
      <c r="N28" s="18">
        <v>0</v>
      </c>
      <c r="O28" s="18">
        <v>0</v>
      </c>
      <c r="P28" s="19">
        <v>0</v>
      </c>
      <c r="Q28" s="19">
        <f t="shared" si="6"/>
        <v>0</v>
      </c>
      <c r="R28" s="19"/>
      <c r="S28" s="19"/>
      <c r="T28" s="19"/>
      <c r="U28" s="19"/>
      <c r="V28" s="19"/>
      <c r="X28" s="23"/>
    </row>
    <row r="29" spans="2:24" x14ac:dyDescent="0.2">
      <c r="B29" s="2"/>
      <c r="E29" s="17" t="s">
        <v>47</v>
      </c>
      <c r="G29" s="99">
        <f t="shared" si="7"/>
        <v>444.36187599506121</v>
      </c>
      <c r="H29" s="99">
        <f t="shared" si="8"/>
        <v>58.131875345225325</v>
      </c>
      <c r="I29" s="99">
        <f t="shared" si="9"/>
        <v>2064.2462486597133</v>
      </c>
      <c r="J29" s="19">
        <v>0</v>
      </c>
      <c r="K29" s="18">
        <v>2566.7399999999998</v>
      </c>
      <c r="L29" s="5"/>
      <c r="M29" s="18">
        <f t="shared" ref="M29:P30" si="10">G29</f>
        <v>444.36187599506121</v>
      </c>
      <c r="N29" s="18">
        <f t="shared" si="10"/>
        <v>58.131875345225325</v>
      </c>
      <c r="O29" s="18">
        <f t="shared" si="10"/>
        <v>2064.2462486597133</v>
      </c>
      <c r="P29" s="18">
        <f t="shared" si="10"/>
        <v>0</v>
      </c>
      <c r="Q29" s="19">
        <f t="shared" si="6"/>
        <v>2566.7399999999998</v>
      </c>
      <c r="R29" s="19"/>
      <c r="S29" s="19"/>
      <c r="T29" s="19"/>
      <c r="U29" s="19"/>
      <c r="V29" s="19"/>
      <c r="X29" s="23"/>
    </row>
    <row r="30" spans="2:24" x14ac:dyDescent="0.2">
      <c r="B30" s="2"/>
      <c r="E30" s="36" t="s">
        <v>48</v>
      </c>
      <c r="G30" s="100">
        <f t="shared" si="7"/>
        <v>5.3668147751026201</v>
      </c>
      <c r="H30" s="100">
        <f t="shared" si="8"/>
        <v>0.70209220088594293</v>
      </c>
      <c r="I30" s="100">
        <f t="shared" si="9"/>
        <v>24.931093024011439</v>
      </c>
      <c r="J30" s="26">
        <v>0</v>
      </c>
      <c r="K30" s="27">
        <v>31</v>
      </c>
      <c r="L30" s="5"/>
      <c r="M30" s="27">
        <f t="shared" si="10"/>
        <v>5.3668147751026201</v>
      </c>
      <c r="N30" s="27">
        <f t="shared" si="10"/>
        <v>0.70209220088594293</v>
      </c>
      <c r="O30" s="27">
        <f t="shared" si="10"/>
        <v>24.931093024011439</v>
      </c>
      <c r="P30" s="27">
        <f>J30</f>
        <v>0</v>
      </c>
      <c r="Q30" s="26">
        <f t="shared" si="6"/>
        <v>31</v>
      </c>
      <c r="R30" s="37"/>
      <c r="S30" s="37"/>
      <c r="T30" s="37"/>
      <c r="U30" s="37"/>
      <c r="V30" s="37"/>
      <c r="X30" s="23"/>
    </row>
    <row r="31" spans="2:24" x14ac:dyDescent="0.2">
      <c r="B31" s="2"/>
      <c r="D31" s="2" t="s">
        <v>49</v>
      </c>
      <c r="G31" s="29">
        <f>SUM(G26:G30)</f>
        <v>1469.7922501516282</v>
      </c>
      <c r="H31" s="29">
        <f>SUM(H26:H30)</f>
        <v>192.27972624308194</v>
      </c>
      <c r="I31" s="29">
        <f>SUM(I26:I30)</f>
        <v>6827.7980236052899</v>
      </c>
      <c r="J31" s="29">
        <f>SUM(J26:J30)</f>
        <v>0</v>
      </c>
      <c r="K31" s="28">
        <f t="shared" ref="K31" si="11">SUM(G31:J31)</f>
        <v>8489.8700000000008</v>
      </c>
      <c r="L31" s="5"/>
      <c r="M31" s="28">
        <f>SUM(M26:M30)</f>
        <v>1066.1402610715793</v>
      </c>
      <c r="N31" s="28">
        <f>SUM(N26:N30)</f>
        <v>139.47355996360918</v>
      </c>
      <c r="O31" s="28">
        <f>SUM(O26:O30)</f>
        <v>4952.6661789648115</v>
      </c>
      <c r="P31" s="29">
        <f>SUM(P26:P30)</f>
        <v>0</v>
      </c>
      <c r="Q31" s="29">
        <f t="shared" si="6"/>
        <v>6158.28</v>
      </c>
      <c r="R31" s="29"/>
      <c r="S31" s="29"/>
      <c r="T31" s="29"/>
      <c r="U31" s="29"/>
      <c r="V31" s="29"/>
      <c r="X31" s="23"/>
    </row>
    <row r="32" spans="2:24" x14ac:dyDescent="0.2">
      <c r="B32" s="2"/>
      <c r="K32" s="11"/>
      <c r="L32" s="5"/>
      <c r="X32" s="23"/>
    </row>
    <row r="33" spans="2:24" x14ac:dyDescent="0.2">
      <c r="B33" s="2" t="s">
        <v>50</v>
      </c>
      <c r="D33" s="2" t="s">
        <v>51</v>
      </c>
      <c r="E33" s="1" t="s">
        <v>52</v>
      </c>
      <c r="G33" s="18">
        <v>5093</v>
      </c>
      <c r="H33" s="18">
        <v>0</v>
      </c>
      <c r="I33" s="18">
        <v>0</v>
      </c>
      <c r="J33" s="18">
        <v>0</v>
      </c>
      <c r="K33" s="18">
        <f>SUM(G33:J33)</f>
        <v>5093</v>
      </c>
      <c r="L33" s="5"/>
      <c r="M33" s="19">
        <f t="shared" ref="M33:P34" si="12">G33</f>
        <v>5093</v>
      </c>
      <c r="N33" s="19">
        <f t="shared" si="12"/>
        <v>0</v>
      </c>
      <c r="O33" s="19">
        <f t="shared" si="12"/>
        <v>0</v>
      </c>
      <c r="P33" s="19">
        <f t="shared" si="12"/>
        <v>0</v>
      </c>
      <c r="Q33" s="19">
        <f>SUM(M33:P33)</f>
        <v>5093</v>
      </c>
      <c r="R33" s="19"/>
      <c r="S33" s="19"/>
      <c r="T33" s="19"/>
      <c r="U33" s="19"/>
      <c r="V33" s="19"/>
      <c r="X33" s="23"/>
    </row>
    <row r="34" spans="2:24" x14ac:dyDescent="0.2">
      <c r="B34" s="2" t="s">
        <v>53</v>
      </c>
      <c r="D34" s="2" t="s">
        <v>54</v>
      </c>
      <c r="E34" s="1" t="s">
        <v>55</v>
      </c>
      <c r="G34" s="18"/>
      <c r="H34" s="18">
        <v>0</v>
      </c>
      <c r="I34" s="18">
        <v>0</v>
      </c>
      <c r="J34" s="18">
        <v>0</v>
      </c>
      <c r="K34" s="18">
        <f>SUM(G34:J34)</f>
        <v>0</v>
      </c>
      <c r="L34" s="5"/>
      <c r="M34" s="19">
        <f t="shared" si="12"/>
        <v>0</v>
      </c>
      <c r="N34" s="19">
        <f t="shared" si="12"/>
        <v>0</v>
      </c>
      <c r="O34" s="19">
        <f t="shared" si="12"/>
        <v>0</v>
      </c>
      <c r="P34" s="19">
        <f t="shared" si="12"/>
        <v>0</v>
      </c>
      <c r="Q34" s="19">
        <f>SUM(M34:P34)</f>
        <v>0</v>
      </c>
      <c r="R34" s="19"/>
      <c r="S34" s="19"/>
      <c r="T34" s="19"/>
      <c r="U34" s="19"/>
      <c r="V34" s="19"/>
      <c r="X34" s="23"/>
    </row>
    <row r="35" spans="2:24" x14ac:dyDescent="0.2">
      <c r="D35" s="2"/>
      <c r="G35" s="11"/>
      <c r="H35" s="11"/>
      <c r="I35" s="11"/>
      <c r="J35" s="11"/>
      <c r="K35" s="11"/>
      <c r="L35" s="5"/>
      <c r="Q35" s="19"/>
      <c r="R35" s="19"/>
      <c r="S35" s="19"/>
      <c r="T35" s="19"/>
      <c r="U35" s="19"/>
      <c r="V35" s="19"/>
      <c r="X35" s="23"/>
    </row>
    <row r="36" spans="2:24" x14ac:dyDescent="0.2">
      <c r="D36" s="2" t="s">
        <v>56</v>
      </c>
      <c r="E36" s="1" t="s">
        <v>57</v>
      </c>
      <c r="G36" s="18">
        <v>3160</v>
      </c>
      <c r="H36" s="18"/>
      <c r="I36" s="18">
        <v>0</v>
      </c>
      <c r="J36" s="18">
        <v>0</v>
      </c>
      <c r="K36" s="18">
        <f>SUM(G36:J36)</f>
        <v>3160</v>
      </c>
      <c r="L36" s="5"/>
      <c r="M36" s="19">
        <f t="shared" ref="M36:P39" si="13">G36</f>
        <v>3160</v>
      </c>
      <c r="N36" s="19">
        <f t="shared" si="13"/>
        <v>0</v>
      </c>
      <c r="O36" s="19">
        <f t="shared" si="13"/>
        <v>0</v>
      </c>
      <c r="P36" s="19">
        <f t="shared" si="13"/>
        <v>0</v>
      </c>
      <c r="Q36" s="19">
        <f>SUM(M36:P36)</f>
        <v>3160</v>
      </c>
      <c r="R36" s="19"/>
      <c r="S36" s="19"/>
      <c r="T36" s="19"/>
      <c r="U36" s="19"/>
      <c r="V36" s="19"/>
      <c r="X36" s="23"/>
    </row>
    <row r="37" spans="2:24" x14ac:dyDescent="0.2">
      <c r="D37" s="2" t="s">
        <v>58</v>
      </c>
      <c r="E37" s="1" t="s">
        <v>59</v>
      </c>
      <c r="G37" s="18">
        <v>4068</v>
      </c>
      <c r="H37" s="18">
        <v>0</v>
      </c>
      <c r="I37" s="18">
        <v>0</v>
      </c>
      <c r="J37" s="18">
        <v>0</v>
      </c>
      <c r="K37" s="18">
        <f>SUM(G37:J37)</f>
        <v>4068</v>
      </c>
      <c r="L37" s="5"/>
      <c r="M37" s="19">
        <f t="shared" si="13"/>
        <v>4068</v>
      </c>
      <c r="N37" s="19">
        <f t="shared" si="13"/>
        <v>0</v>
      </c>
      <c r="O37" s="19">
        <f t="shared" si="13"/>
        <v>0</v>
      </c>
      <c r="P37" s="19">
        <f t="shared" si="13"/>
        <v>0</v>
      </c>
      <c r="Q37" s="19">
        <f>SUM(M37:P37)</f>
        <v>4068</v>
      </c>
      <c r="R37" s="19"/>
      <c r="S37" s="19"/>
      <c r="T37" s="19"/>
      <c r="U37" s="19"/>
      <c r="V37" s="19"/>
      <c r="X37" s="23"/>
    </row>
    <row r="38" spans="2:24" x14ac:dyDescent="0.2">
      <c r="D38" s="2"/>
      <c r="E38" s="1" t="s">
        <v>60</v>
      </c>
      <c r="G38" s="18">
        <v>305</v>
      </c>
      <c r="H38" s="18">
        <v>0</v>
      </c>
      <c r="I38" s="18">
        <v>0</v>
      </c>
      <c r="J38" s="18">
        <v>0</v>
      </c>
      <c r="K38" s="18">
        <f>SUM(G38:J38)</f>
        <v>305</v>
      </c>
      <c r="L38" s="5"/>
      <c r="M38" s="19">
        <f t="shared" si="13"/>
        <v>305</v>
      </c>
      <c r="N38" s="19">
        <f t="shared" si="13"/>
        <v>0</v>
      </c>
      <c r="O38" s="19">
        <f t="shared" si="13"/>
        <v>0</v>
      </c>
      <c r="P38" s="19">
        <f t="shared" si="13"/>
        <v>0</v>
      </c>
      <c r="Q38" s="19">
        <f>SUM(M38:P38)</f>
        <v>305</v>
      </c>
      <c r="R38" s="19"/>
      <c r="S38" s="19"/>
      <c r="T38" s="19"/>
      <c r="U38" s="19"/>
      <c r="V38" s="19"/>
      <c r="X38" s="23"/>
    </row>
    <row r="39" spans="2:24" x14ac:dyDescent="0.2">
      <c r="D39" s="2"/>
      <c r="E39" s="1" t="s">
        <v>61</v>
      </c>
      <c r="G39" s="18">
        <f>12448+462+1770</f>
        <v>14680</v>
      </c>
      <c r="H39" s="18">
        <v>0</v>
      </c>
      <c r="I39" s="18"/>
      <c r="J39" s="18">
        <v>0</v>
      </c>
      <c r="K39" s="18">
        <f>SUM(G39:J39)</f>
        <v>14680</v>
      </c>
      <c r="L39" s="5"/>
      <c r="M39" s="19">
        <f t="shared" si="13"/>
        <v>14680</v>
      </c>
      <c r="N39" s="19">
        <f t="shared" si="13"/>
        <v>0</v>
      </c>
      <c r="O39" s="19">
        <f t="shared" si="13"/>
        <v>0</v>
      </c>
      <c r="P39" s="19">
        <f t="shared" si="13"/>
        <v>0</v>
      </c>
      <c r="Q39" s="19">
        <f>SUM(M39:P39)</f>
        <v>14680</v>
      </c>
      <c r="R39" s="19"/>
      <c r="S39" s="19"/>
      <c r="T39" s="19"/>
      <c r="U39" s="19"/>
      <c r="V39" s="19"/>
      <c r="X39" s="23"/>
    </row>
    <row r="40" spans="2:24" x14ac:dyDescent="0.2">
      <c r="D40" s="2"/>
      <c r="G40" s="11"/>
      <c r="H40" s="11"/>
      <c r="I40" s="11"/>
      <c r="J40" s="11"/>
      <c r="K40" s="11"/>
      <c r="L40" s="5"/>
      <c r="Q40" s="19"/>
      <c r="R40" s="19"/>
      <c r="S40" s="19"/>
      <c r="T40" s="19"/>
      <c r="U40" s="19"/>
      <c r="V40" s="19"/>
      <c r="X40" s="23"/>
    </row>
    <row r="41" spans="2:24" x14ac:dyDescent="0.2">
      <c r="D41" s="2" t="s">
        <v>62</v>
      </c>
      <c r="G41" s="18"/>
      <c r="H41" s="18">
        <f>H11</f>
        <v>0</v>
      </c>
      <c r="I41" s="18">
        <v>0</v>
      </c>
      <c r="J41" s="18">
        <v>0</v>
      </c>
      <c r="K41" s="18">
        <f>SUM(G41:J41)</f>
        <v>0</v>
      </c>
      <c r="L41" s="5"/>
      <c r="M41" s="19">
        <f>G41</f>
        <v>0</v>
      </c>
      <c r="N41" s="19">
        <f>H41</f>
        <v>0</v>
      </c>
      <c r="O41" s="19">
        <f>I41</f>
        <v>0</v>
      </c>
      <c r="P41" s="19">
        <f>J41</f>
        <v>0</v>
      </c>
      <c r="Q41" s="19">
        <f>SUM(M41:P41)</f>
        <v>0</v>
      </c>
      <c r="R41" s="19"/>
      <c r="S41" s="19"/>
      <c r="T41" s="19"/>
      <c r="U41" s="19"/>
      <c r="V41" s="19"/>
      <c r="X41" s="23"/>
    </row>
    <row r="42" spans="2:24" x14ac:dyDescent="0.2">
      <c r="D42" s="2"/>
      <c r="G42" s="11"/>
      <c r="H42" s="11"/>
      <c r="I42" s="11"/>
      <c r="J42" s="11"/>
      <c r="L42" s="5"/>
      <c r="X42" s="23"/>
    </row>
    <row r="43" spans="2:24" x14ac:dyDescent="0.2">
      <c r="D43" s="2" t="s">
        <v>63</v>
      </c>
      <c r="G43" s="18"/>
      <c r="H43" s="18"/>
      <c r="I43" s="18">
        <v>0</v>
      </c>
      <c r="J43" s="18">
        <v>0</v>
      </c>
      <c r="K43" s="19">
        <f>SUM(G43:J43)</f>
        <v>0</v>
      </c>
      <c r="L43" s="5"/>
      <c r="M43" s="19">
        <f>G43</f>
        <v>0</v>
      </c>
      <c r="N43" s="19">
        <f>H43</f>
        <v>0</v>
      </c>
      <c r="O43" s="19">
        <f>I43</f>
        <v>0</v>
      </c>
      <c r="P43" s="19">
        <f>J43</f>
        <v>0</v>
      </c>
      <c r="Q43" s="19">
        <f>SUM(M43:P43)</f>
        <v>0</v>
      </c>
      <c r="R43" s="19"/>
      <c r="S43" s="19"/>
      <c r="T43" s="19"/>
      <c r="U43" s="19"/>
      <c r="V43" s="19"/>
      <c r="X43" s="23"/>
    </row>
    <row r="44" spans="2:24" x14ac:dyDescent="0.2">
      <c r="D44" s="2"/>
      <c r="G44" s="11"/>
      <c r="H44" s="11"/>
      <c r="I44" s="11"/>
      <c r="J44" s="11"/>
      <c r="L44" s="5"/>
      <c r="X44" s="23"/>
    </row>
    <row r="45" spans="2:24" x14ac:dyDescent="0.2">
      <c r="D45" s="2" t="s">
        <v>64</v>
      </c>
      <c r="G45" s="18"/>
      <c r="H45" s="18"/>
      <c r="I45" s="18">
        <v>0</v>
      </c>
      <c r="J45" s="18">
        <v>0</v>
      </c>
      <c r="K45" s="19">
        <f>SUM(G45:J45)</f>
        <v>0</v>
      </c>
      <c r="L45" s="5"/>
      <c r="M45" s="19">
        <f>G45</f>
        <v>0</v>
      </c>
      <c r="N45" s="19">
        <f>H45</f>
        <v>0</v>
      </c>
      <c r="O45" s="19">
        <f>I45</f>
        <v>0</v>
      </c>
      <c r="P45" s="19">
        <f>J45</f>
        <v>0</v>
      </c>
      <c r="Q45" s="19">
        <f>SUM(M45:P45)</f>
        <v>0</v>
      </c>
      <c r="R45" s="19"/>
      <c r="S45" s="19"/>
      <c r="T45" s="19"/>
      <c r="U45" s="19"/>
      <c r="V45" s="19"/>
      <c r="X45" s="23"/>
    </row>
    <row r="46" spans="2:24" x14ac:dyDescent="0.2">
      <c r="D46" s="2"/>
      <c r="G46" s="11"/>
      <c r="H46" s="11"/>
      <c r="I46" s="11"/>
      <c r="J46" s="11"/>
      <c r="L46" s="5"/>
      <c r="X46" s="23"/>
    </row>
    <row r="47" spans="2:24" x14ac:dyDescent="0.2">
      <c r="D47" s="2" t="s">
        <v>65</v>
      </c>
      <c r="G47" s="18"/>
      <c r="H47" s="18">
        <v>0</v>
      </c>
      <c r="I47" s="18">
        <v>0</v>
      </c>
      <c r="J47" s="18">
        <v>0</v>
      </c>
      <c r="K47" s="19">
        <f>SUM(G47:J47)</f>
        <v>0</v>
      </c>
      <c r="L47" s="5"/>
      <c r="M47" s="19">
        <f>G47</f>
        <v>0</v>
      </c>
      <c r="N47" s="19">
        <f>H47</f>
        <v>0</v>
      </c>
      <c r="O47" s="19">
        <f>I47</f>
        <v>0</v>
      </c>
      <c r="P47" s="19">
        <f>J47</f>
        <v>0</v>
      </c>
      <c r="Q47" s="19">
        <f>SUM(M47:P47)</f>
        <v>0</v>
      </c>
      <c r="R47" s="19"/>
      <c r="S47" s="19"/>
      <c r="T47" s="19"/>
      <c r="U47" s="19"/>
      <c r="V47" s="19"/>
      <c r="X47" s="23"/>
    </row>
    <row r="48" spans="2:24" x14ac:dyDescent="0.2">
      <c r="D48" s="2" t="s">
        <v>66</v>
      </c>
      <c r="G48" s="11"/>
      <c r="H48" s="11"/>
      <c r="I48" s="11"/>
      <c r="J48" s="11"/>
      <c r="L48" s="5"/>
      <c r="X48" s="23"/>
    </row>
    <row r="49" spans="2:24" x14ac:dyDescent="0.2">
      <c r="D49" s="2"/>
      <c r="G49" s="11"/>
      <c r="H49" s="11"/>
      <c r="I49" s="11"/>
      <c r="J49" s="11"/>
      <c r="L49" s="5"/>
      <c r="X49" s="23"/>
    </row>
    <row r="50" spans="2:24" x14ac:dyDescent="0.2">
      <c r="B50" s="2"/>
      <c r="D50" s="2" t="s">
        <v>61</v>
      </c>
      <c r="G50" s="27">
        <f>5243-1009</f>
        <v>4234</v>
      </c>
      <c r="H50" s="27">
        <v>0</v>
      </c>
      <c r="I50" s="27">
        <v>1009</v>
      </c>
      <c r="J50" s="27">
        <v>0</v>
      </c>
      <c r="K50" s="27">
        <f>SUM(G50:J50)</f>
        <v>5243</v>
      </c>
      <c r="L50" s="5"/>
      <c r="M50" s="26">
        <f>G50</f>
        <v>4234</v>
      </c>
      <c r="N50" s="26">
        <f>H50</f>
        <v>0</v>
      </c>
      <c r="O50" s="26">
        <f>I50</f>
        <v>1009</v>
      </c>
      <c r="P50" s="26">
        <f>J50</f>
        <v>0</v>
      </c>
      <c r="Q50" s="26">
        <f>SUM(M50:P50)</f>
        <v>5243</v>
      </c>
      <c r="R50" s="37"/>
      <c r="S50" s="37"/>
      <c r="T50" s="37"/>
      <c r="U50" s="37"/>
      <c r="V50" s="37"/>
      <c r="X50" s="23"/>
    </row>
    <row r="51" spans="2:24" x14ac:dyDescent="0.2">
      <c r="D51" s="2" t="s">
        <v>67</v>
      </c>
      <c r="G51" s="29">
        <f>SUM(G33:G50)</f>
        <v>31540</v>
      </c>
      <c r="H51" s="29">
        <f>SUM(H33:H50)</f>
        <v>0</v>
      </c>
      <c r="I51" s="29">
        <f>SUM(I33:I50)</f>
        <v>1009</v>
      </c>
      <c r="J51" s="29">
        <f>SUM(J33:J50)</f>
        <v>0</v>
      </c>
      <c r="K51" s="29">
        <f>SUM(G51:J51)</f>
        <v>32549</v>
      </c>
      <c r="L51" s="5"/>
      <c r="M51" s="29">
        <f>SUM(M33:M50)</f>
        <v>31540</v>
      </c>
      <c r="N51" s="29">
        <f>SUM(N33:N50)</f>
        <v>0</v>
      </c>
      <c r="O51" s="29">
        <f>SUM(O33:O50)</f>
        <v>1009</v>
      </c>
      <c r="P51" s="29">
        <f>SUM(P33:P50)</f>
        <v>0</v>
      </c>
      <c r="Q51" s="29">
        <f>SUM(M51:P51)</f>
        <v>32549</v>
      </c>
      <c r="R51" s="29"/>
      <c r="S51" s="29"/>
      <c r="T51" s="29"/>
      <c r="U51" s="29"/>
      <c r="V51" s="29"/>
      <c r="X51" s="23"/>
    </row>
    <row r="52" spans="2:24" x14ac:dyDescent="0.2">
      <c r="B52" s="2"/>
      <c r="L52" s="5"/>
      <c r="X52" s="23"/>
    </row>
    <row r="53" spans="2:24" x14ac:dyDescent="0.2">
      <c r="B53" s="2" t="s">
        <v>68</v>
      </c>
      <c r="G53" s="19">
        <v>0</v>
      </c>
      <c r="H53" s="19">
        <v>0</v>
      </c>
      <c r="I53" s="19">
        <v>0</v>
      </c>
      <c r="J53" s="19">
        <v>0</v>
      </c>
      <c r="K53" s="19">
        <f>SUM(G53:J53)</f>
        <v>0</v>
      </c>
      <c r="L53" s="5"/>
      <c r="M53" s="19">
        <v>0</v>
      </c>
      <c r="N53" s="19">
        <v>0</v>
      </c>
      <c r="O53" s="19">
        <v>0</v>
      </c>
      <c r="P53" s="19">
        <v>0</v>
      </c>
      <c r="Q53" s="19">
        <f>SUM(M53:P53)</f>
        <v>0</v>
      </c>
      <c r="R53" s="19"/>
      <c r="S53" s="19"/>
      <c r="T53" s="19"/>
      <c r="U53" s="19"/>
      <c r="V53" s="19"/>
      <c r="X53" s="23"/>
    </row>
    <row r="54" spans="2:24" x14ac:dyDescent="0.2">
      <c r="B54" s="2" t="s">
        <v>69</v>
      </c>
      <c r="L54" s="5"/>
      <c r="X54" s="23"/>
    </row>
    <row r="55" spans="2:24" ht="13.5" thickBot="1" x14ac:dyDescent="0.25">
      <c r="K55" s="19"/>
      <c r="L55" s="5"/>
      <c r="Q55" s="38"/>
      <c r="R55" s="39"/>
      <c r="S55" s="39"/>
      <c r="T55" s="39"/>
      <c r="U55" s="39"/>
      <c r="V55" s="39"/>
      <c r="X55" s="23"/>
    </row>
    <row r="56" spans="2:24" x14ac:dyDescent="0.2">
      <c r="B56" s="2" t="s">
        <v>70</v>
      </c>
      <c r="G56" s="40">
        <f>G21+G24+G31+G51+G53</f>
        <v>163911.96844010949</v>
      </c>
      <c r="H56" s="40">
        <f>H21+H24+H31+H51+H53</f>
        <v>20020.607928201258</v>
      </c>
      <c r="I56" s="40">
        <f>I21+I24+I31+I51+I53</f>
        <v>265655.97363168932</v>
      </c>
      <c r="J56" s="40">
        <f>J21+J24+J31+J51+J53</f>
        <v>21126</v>
      </c>
      <c r="K56" s="40">
        <f>SUM(G56:J56)</f>
        <v>470714.55000000005</v>
      </c>
      <c r="L56" s="41"/>
      <c r="M56" s="40">
        <f>M21+M24+M31+M51+M53</f>
        <v>136408.44091282028</v>
      </c>
      <c r="N56" s="40">
        <f>N21+N24+N31+N51+N53</f>
        <v>16134.303739970217</v>
      </c>
      <c r="O56" s="40">
        <f>O21+O24+O31+O51+O53</f>
        <v>153603.26360742675</v>
      </c>
      <c r="P56" s="40">
        <f>P21+P24+P31+P51+P53</f>
        <v>12760</v>
      </c>
      <c r="Q56" s="40">
        <f>SUM(M56:P56)</f>
        <v>318906.00826021726</v>
      </c>
      <c r="R56" s="32"/>
      <c r="S56" s="32"/>
      <c r="T56" s="32"/>
      <c r="U56" s="32"/>
      <c r="V56" s="32"/>
      <c r="X56" s="23"/>
    </row>
    <row r="57" spans="2:24" x14ac:dyDescent="0.2">
      <c r="L57" s="5"/>
      <c r="X57" s="23"/>
    </row>
    <row r="58" spans="2:24" x14ac:dyDescent="0.2">
      <c r="L58" s="5"/>
      <c r="X58" s="23"/>
    </row>
    <row r="59" spans="2:24" ht="14.25" x14ac:dyDescent="0.2">
      <c r="B59" s="16" t="s">
        <v>71</v>
      </c>
      <c r="K59" s="11"/>
      <c r="L59" s="5"/>
      <c r="X59" s="23"/>
    </row>
    <row r="60" spans="2:24" x14ac:dyDescent="0.2">
      <c r="D60" s="11" t="s">
        <v>72</v>
      </c>
      <c r="E60" s="36" t="s">
        <v>23</v>
      </c>
      <c r="G60" s="19">
        <v>0</v>
      </c>
      <c r="H60" s="19">
        <v>0</v>
      </c>
      <c r="I60" s="19">
        <f>K60</f>
        <v>171149</v>
      </c>
      <c r="J60" s="18">
        <v>0</v>
      </c>
      <c r="K60" s="18">
        <v>171149</v>
      </c>
      <c r="L60" s="5"/>
      <c r="M60" s="19">
        <f>G60</f>
        <v>0</v>
      </c>
      <c r="N60" s="19">
        <f>H60</f>
        <v>0</v>
      </c>
      <c r="O60" s="19">
        <f>Q60</f>
        <v>171149</v>
      </c>
      <c r="P60" s="18">
        <f>J60</f>
        <v>0</v>
      </c>
      <c r="Q60" s="18">
        <f>$K$60</f>
        <v>171149</v>
      </c>
      <c r="R60" s="18"/>
      <c r="S60" s="18"/>
      <c r="T60" s="18"/>
      <c r="U60" s="18"/>
      <c r="V60" s="18"/>
      <c r="X60" s="23" t="s">
        <v>73</v>
      </c>
    </row>
    <row r="61" spans="2:24" x14ac:dyDescent="0.2">
      <c r="D61" s="11"/>
      <c r="E61" s="36" t="s">
        <v>25</v>
      </c>
      <c r="G61" s="42">
        <v>0</v>
      </c>
      <c r="H61" s="42">
        <v>0</v>
      </c>
      <c r="I61" s="42">
        <f>K61</f>
        <v>0</v>
      </c>
      <c r="J61" s="43">
        <v>0</v>
      </c>
      <c r="K61" s="43">
        <v>0</v>
      </c>
      <c r="L61" s="5"/>
      <c r="M61" s="42">
        <f>G61</f>
        <v>0</v>
      </c>
      <c r="N61" s="42">
        <f>H61</f>
        <v>0</v>
      </c>
      <c r="O61" s="42">
        <f>I61</f>
        <v>0</v>
      </c>
      <c r="P61" s="43">
        <f>J61</f>
        <v>0</v>
      </c>
      <c r="Q61" s="42">
        <f>K61</f>
        <v>0</v>
      </c>
      <c r="R61" s="42"/>
      <c r="S61" s="42"/>
      <c r="T61" s="42"/>
      <c r="U61" s="42"/>
      <c r="V61" s="42"/>
      <c r="X61" s="44">
        <f>$K$60-(327*25.09*8)</f>
        <v>105513.56</v>
      </c>
    </row>
    <row r="62" spans="2:24" x14ac:dyDescent="0.2">
      <c r="D62" s="11"/>
      <c r="E62" s="36"/>
      <c r="J62" s="11"/>
      <c r="K62" s="11"/>
      <c r="L62" s="5"/>
      <c r="P62" s="11"/>
      <c r="X62" s="23"/>
    </row>
    <row r="63" spans="2:24" x14ac:dyDescent="0.2">
      <c r="D63" s="11" t="s">
        <v>74</v>
      </c>
      <c r="E63" s="36" t="s">
        <v>23</v>
      </c>
      <c r="G63" s="59">
        <f>K63*$G$101</f>
        <v>47659.046433483876</v>
      </c>
      <c r="H63" s="59">
        <f>K63*$H$101</f>
        <v>6234.8052252222978</v>
      </c>
      <c r="I63" s="59">
        <f>K63*$I$101</f>
        <v>221396.14834129383</v>
      </c>
      <c r="J63" s="18">
        <v>0</v>
      </c>
      <c r="K63" s="18">
        <v>275290</v>
      </c>
      <c r="L63" s="5"/>
      <c r="M63" s="19">
        <f>$G$103*Q63</f>
        <v>72354.099517018549</v>
      </c>
      <c r="N63" s="19">
        <f>$H$103*Q63</f>
        <v>8040.4901794540829</v>
      </c>
      <c r="O63" s="19">
        <f>$I$103*Q63</f>
        <v>175023.41030352737</v>
      </c>
      <c r="P63" s="18">
        <f t="shared" ref="P63:Q64" si="14">J63</f>
        <v>0</v>
      </c>
      <c r="Q63" s="18">
        <f>K63-(20*124.2*8)</f>
        <v>255418</v>
      </c>
      <c r="R63" s="18"/>
      <c r="S63" s="18"/>
      <c r="T63" s="18"/>
      <c r="U63" s="18"/>
      <c r="V63" s="18"/>
      <c r="X63" s="23"/>
    </row>
    <row r="64" spans="2:24" ht="12.75" customHeight="1" x14ac:dyDescent="0.2">
      <c r="D64" s="11"/>
      <c r="E64" s="36" t="s">
        <v>25</v>
      </c>
      <c r="G64" s="45">
        <f>$G$103*K64</f>
        <v>0</v>
      </c>
      <c r="H64" s="45">
        <f>$H$103*K64</f>
        <v>0</v>
      </c>
      <c r="I64" s="45">
        <f>$I$103*K64</f>
        <v>0</v>
      </c>
      <c r="J64" s="46">
        <v>0</v>
      </c>
      <c r="K64" s="43">
        <v>0</v>
      </c>
      <c r="L64" s="5"/>
      <c r="M64" s="42">
        <f>G64</f>
        <v>0</v>
      </c>
      <c r="N64" s="42">
        <f>H64</f>
        <v>0</v>
      </c>
      <c r="O64" s="42">
        <f>I64</f>
        <v>0</v>
      </c>
      <c r="P64" s="43">
        <f t="shared" si="14"/>
        <v>0</v>
      </c>
      <c r="Q64" s="42">
        <f t="shared" si="14"/>
        <v>0</v>
      </c>
      <c r="R64" s="42"/>
      <c r="S64" s="42"/>
      <c r="T64" s="42"/>
      <c r="U64" s="42"/>
      <c r="V64" s="42"/>
      <c r="X64" s="23"/>
    </row>
    <row r="65" spans="4:24" ht="12.75" customHeight="1" x14ac:dyDescent="0.2">
      <c r="D65" s="11"/>
      <c r="E65" s="36"/>
      <c r="J65" s="11"/>
      <c r="K65" s="11"/>
      <c r="L65" s="5"/>
      <c r="P65" s="11"/>
      <c r="X65" s="23"/>
    </row>
    <row r="66" spans="4:24" x14ac:dyDescent="0.2">
      <c r="D66" s="11" t="s">
        <v>75</v>
      </c>
      <c r="E66" s="36" t="s">
        <v>23</v>
      </c>
      <c r="G66" s="59">
        <f>K66*$G$101</f>
        <v>730.75242470026319</v>
      </c>
      <c r="H66" s="59">
        <f>K66*$H$101</f>
        <v>95.597779998050498</v>
      </c>
      <c r="I66" s="59">
        <f>K66*$I$101</f>
        <v>3394.6497953016865</v>
      </c>
      <c r="J66" s="18">
        <v>0</v>
      </c>
      <c r="K66" s="18">
        <v>4221</v>
      </c>
      <c r="L66" s="5"/>
      <c r="M66" s="19">
        <f>$G$103*Q$66</f>
        <v>1195.713121476698</v>
      </c>
      <c r="N66" s="19">
        <f>$H$103*Q$66</f>
        <v>132.87594863116806</v>
      </c>
      <c r="O66" s="19">
        <f>$I$103*Q$66</f>
        <v>2892.4109298921335</v>
      </c>
      <c r="P66" s="18">
        <f>J66</f>
        <v>0</v>
      </c>
      <c r="Q66" s="18">
        <f>K66</f>
        <v>4221</v>
      </c>
      <c r="R66" s="18"/>
      <c r="S66" s="18"/>
      <c r="T66" s="18"/>
      <c r="U66" s="18"/>
      <c r="V66" s="18"/>
      <c r="X66" s="23"/>
    </row>
    <row r="67" spans="4:24" x14ac:dyDescent="0.2">
      <c r="D67" s="11"/>
      <c r="E67" s="36" t="s">
        <v>25</v>
      </c>
      <c r="G67" s="45">
        <f>$G$103*K67</f>
        <v>0</v>
      </c>
      <c r="H67" s="45">
        <f>$H$103*K67</f>
        <v>0</v>
      </c>
      <c r="I67" s="45">
        <f>$I$103*K67</f>
        <v>0</v>
      </c>
      <c r="J67" s="43">
        <v>0</v>
      </c>
      <c r="K67" s="43">
        <v>0</v>
      </c>
      <c r="L67" s="5"/>
      <c r="M67" s="42">
        <f>G67</f>
        <v>0</v>
      </c>
      <c r="N67" s="42">
        <f>H67</f>
        <v>0</v>
      </c>
      <c r="O67" s="42">
        <f>I67</f>
        <v>0</v>
      </c>
      <c r="P67" s="43">
        <f>J67</f>
        <v>0</v>
      </c>
      <c r="Q67" s="42">
        <f>K67</f>
        <v>0</v>
      </c>
      <c r="R67" s="42"/>
      <c r="S67" s="42"/>
      <c r="T67" s="42"/>
      <c r="U67" s="42"/>
      <c r="V67" s="42"/>
      <c r="X67" s="23"/>
    </row>
    <row r="68" spans="4:24" x14ac:dyDescent="0.2">
      <c r="D68" s="11"/>
      <c r="E68" s="36"/>
      <c r="G68" s="42"/>
      <c r="H68" s="42"/>
      <c r="I68" s="42"/>
      <c r="J68" s="43"/>
      <c r="K68" s="43"/>
      <c r="L68" s="5"/>
      <c r="M68" s="42"/>
      <c r="N68" s="42"/>
      <c r="O68" s="42"/>
      <c r="P68" s="43"/>
      <c r="Q68" s="43"/>
      <c r="R68" s="43"/>
      <c r="S68" s="43"/>
      <c r="T68" s="43"/>
      <c r="U68" s="43"/>
      <c r="V68" s="43"/>
      <c r="X68" s="23"/>
    </row>
    <row r="69" spans="4:24" x14ac:dyDescent="0.2">
      <c r="D69" s="47" t="s">
        <v>76</v>
      </c>
      <c r="E69" s="36" t="s">
        <v>23</v>
      </c>
      <c r="G69" s="59">
        <f>K69*$G$101</f>
        <v>251.0284330289935</v>
      </c>
      <c r="H69" s="59">
        <f>K69*$H$101</f>
        <v>32.83979649305217</v>
      </c>
      <c r="I69" s="59">
        <f>K69*$I$101</f>
        <v>1166.1317704779544</v>
      </c>
      <c r="J69" s="18">
        <v>0</v>
      </c>
      <c r="K69" s="18">
        <v>1450</v>
      </c>
      <c r="L69" s="5"/>
      <c r="M69" s="19">
        <f t="shared" ref="M69:Q70" si="15">G69</f>
        <v>251.0284330289935</v>
      </c>
      <c r="N69" s="19">
        <f t="shared" si="15"/>
        <v>32.83979649305217</v>
      </c>
      <c r="O69" s="19">
        <f t="shared" si="15"/>
        <v>1166.1317704779544</v>
      </c>
      <c r="P69" s="18">
        <f t="shared" si="15"/>
        <v>0</v>
      </c>
      <c r="Q69" s="18">
        <f>K69</f>
        <v>1450</v>
      </c>
      <c r="R69" s="18"/>
      <c r="S69" s="18"/>
      <c r="T69" s="18"/>
      <c r="U69" s="18"/>
      <c r="V69" s="18"/>
      <c r="X69" s="23"/>
    </row>
    <row r="70" spans="4:24" x14ac:dyDescent="0.2">
      <c r="D70" s="11"/>
      <c r="E70" s="36" t="s">
        <v>25</v>
      </c>
      <c r="G70" s="45">
        <f>$G$103*K70</f>
        <v>0</v>
      </c>
      <c r="H70" s="45">
        <f>$H$103*K70</f>
        <v>0</v>
      </c>
      <c r="I70" s="45">
        <f>$I$103*K70</f>
        <v>0</v>
      </c>
      <c r="J70" s="43">
        <v>0</v>
      </c>
      <c r="K70" s="43">
        <v>0</v>
      </c>
      <c r="L70" s="5"/>
      <c r="M70" s="42">
        <f t="shared" si="15"/>
        <v>0</v>
      </c>
      <c r="N70" s="42">
        <f t="shared" si="15"/>
        <v>0</v>
      </c>
      <c r="O70" s="42">
        <f t="shared" si="15"/>
        <v>0</v>
      </c>
      <c r="P70" s="43">
        <f t="shared" si="15"/>
        <v>0</v>
      </c>
      <c r="Q70" s="42">
        <f t="shared" si="15"/>
        <v>0</v>
      </c>
      <c r="R70" s="42"/>
      <c r="S70" s="42"/>
      <c r="T70" s="42"/>
      <c r="U70" s="42"/>
      <c r="V70" s="42"/>
      <c r="X70" s="23"/>
    </row>
    <row r="71" spans="4:24" x14ac:dyDescent="0.2">
      <c r="D71" s="11"/>
      <c r="E71" s="36"/>
      <c r="G71" s="45"/>
      <c r="H71" s="45"/>
      <c r="I71" s="45"/>
      <c r="J71" s="43"/>
      <c r="K71" s="43"/>
      <c r="L71" s="5"/>
      <c r="M71" s="42"/>
      <c r="N71" s="42"/>
      <c r="O71" s="42"/>
      <c r="P71" s="43"/>
      <c r="Q71" s="42"/>
      <c r="R71" s="42"/>
      <c r="S71" s="42"/>
      <c r="T71" s="42"/>
      <c r="U71" s="42"/>
      <c r="V71" s="42"/>
      <c r="X71" s="23"/>
    </row>
    <row r="72" spans="4:24" x14ac:dyDescent="0.2">
      <c r="D72" s="11" t="s">
        <v>77</v>
      </c>
      <c r="E72" s="36" t="s">
        <v>23</v>
      </c>
      <c r="G72" s="59">
        <f>K72*$G$101</f>
        <v>5577.3324127324513</v>
      </c>
      <c r="H72" s="59">
        <f>K72*$H$101</f>
        <v>729.63233366908185</v>
      </c>
      <c r="I72" s="59">
        <f>K72*$I$101</f>
        <v>25909.035253598468</v>
      </c>
      <c r="J72" s="18">
        <v>0</v>
      </c>
      <c r="K72" s="18">
        <v>32216</v>
      </c>
      <c r="L72" s="5"/>
      <c r="M72" s="19">
        <f t="shared" ref="M72:Q73" si="16">G72</f>
        <v>5577.3324127324513</v>
      </c>
      <c r="N72" s="19">
        <f t="shared" si="16"/>
        <v>729.63233366908185</v>
      </c>
      <c r="O72" s="19">
        <f t="shared" si="16"/>
        <v>25909.035253598468</v>
      </c>
      <c r="P72" s="18">
        <f t="shared" si="16"/>
        <v>0</v>
      </c>
      <c r="Q72" s="18">
        <f>K72</f>
        <v>32216</v>
      </c>
      <c r="R72" s="42"/>
      <c r="S72" s="42"/>
      <c r="T72" s="42"/>
      <c r="U72" s="42"/>
      <c r="V72" s="42"/>
      <c r="X72" s="23"/>
    </row>
    <row r="73" spans="4:24" x14ac:dyDescent="0.2">
      <c r="D73" s="11"/>
      <c r="E73" s="36" t="s">
        <v>25</v>
      </c>
      <c r="G73" s="45">
        <f>$G$103*K73</f>
        <v>0</v>
      </c>
      <c r="H73" s="45">
        <f>$H$103*K73</f>
        <v>0</v>
      </c>
      <c r="I73" s="45">
        <f>$I$103*K73</f>
        <v>0</v>
      </c>
      <c r="J73" s="43">
        <v>0</v>
      </c>
      <c r="K73" s="43">
        <v>0</v>
      </c>
      <c r="L73" s="5"/>
      <c r="M73" s="42">
        <f t="shared" si="16"/>
        <v>0</v>
      </c>
      <c r="N73" s="42">
        <f t="shared" si="16"/>
        <v>0</v>
      </c>
      <c r="O73" s="42">
        <f t="shared" si="16"/>
        <v>0</v>
      </c>
      <c r="P73" s="43">
        <f t="shared" si="16"/>
        <v>0</v>
      </c>
      <c r="Q73" s="42">
        <f t="shared" si="16"/>
        <v>0</v>
      </c>
      <c r="R73" s="42"/>
      <c r="S73" s="42"/>
      <c r="T73" s="42"/>
      <c r="U73" s="42"/>
      <c r="V73" s="42"/>
      <c r="X73" s="23"/>
    </row>
    <row r="74" spans="4:24" x14ac:dyDescent="0.2">
      <c r="D74" s="11"/>
      <c r="E74" s="36"/>
      <c r="J74" s="11"/>
      <c r="K74" s="11"/>
      <c r="L74" s="5"/>
      <c r="P74" s="11"/>
      <c r="X74" s="23"/>
    </row>
    <row r="75" spans="4:24" x14ac:dyDescent="0.2">
      <c r="D75" s="47" t="s">
        <v>78</v>
      </c>
      <c r="E75" s="36" t="s">
        <v>23</v>
      </c>
      <c r="G75" s="19">
        <f>K75*$G$103</f>
        <v>0</v>
      </c>
      <c r="H75" s="19">
        <f>K75*$H$103</f>
        <v>0</v>
      </c>
      <c r="I75" s="19">
        <f>K75*$I$103</f>
        <v>0</v>
      </c>
      <c r="J75" s="18">
        <v>0</v>
      </c>
      <c r="K75" s="18">
        <v>0</v>
      </c>
      <c r="L75" s="5"/>
      <c r="M75" s="19">
        <f t="shared" ref="M75:Q76" si="17">G75</f>
        <v>0</v>
      </c>
      <c r="N75" s="19">
        <f t="shared" si="17"/>
        <v>0</v>
      </c>
      <c r="O75" s="19">
        <f t="shared" si="17"/>
        <v>0</v>
      </c>
      <c r="P75" s="18">
        <f t="shared" si="17"/>
        <v>0</v>
      </c>
      <c r="Q75" s="18">
        <f>K75</f>
        <v>0</v>
      </c>
      <c r="X75" s="23"/>
    </row>
    <row r="76" spans="4:24" x14ac:dyDescent="0.2">
      <c r="D76" s="11"/>
      <c r="E76" s="36" t="s">
        <v>25</v>
      </c>
      <c r="G76" s="45">
        <f>$G$103*K76</f>
        <v>0</v>
      </c>
      <c r="H76" s="45">
        <f>$H$103*K76</f>
        <v>0</v>
      </c>
      <c r="I76" s="45">
        <f>$I$103*K76</f>
        <v>0</v>
      </c>
      <c r="J76" s="43">
        <v>0</v>
      </c>
      <c r="K76" s="43">
        <v>0</v>
      </c>
      <c r="L76" s="5"/>
      <c r="M76" s="42">
        <f t="shared" si="17"/>
        <v>0</v>
      </c>
      <c r="N76" s="42">
        <f t="shared" si="17"/>
        <v>0</v>
      </c>
      <c r="O76" s="42">
        <f t="shared" si="17"/>
        <v>0</v>
      </c>
      <c r="P76" s="43">
        <f t="shared" si="17"/>
        <v>0</v>
      </c>
      <c r="Q76" s="42">
        <f t="shared" si="17"/>
        <v>0</v>
      </c>
      <c r="X76" s="23"/>
    </row>
    <row r="77" spans="4:24" x14ac:dyDescent="0.2">
      <c r="D77" s="11"/>
      <c r="E77" s="36"/>
      <c r="J77" s="11"/>
      <c r="K77" s="11"/>
      <c r="L77" s="5"/>
      <c r="P77" s="11"/>
      <c r="X77" s="23"/>
    </row>
    <row r="78" spans="4:24" x14ac:dyDescent="0.2">
      <c r="D78" s="47" t="s">
        <v>79</v>
      </c>
      <c r="E78" s="36" t="s">
        <v>23</v>
      </c>
      <c r="G78" s="19">
        <f>K78*$G$103</f>
        <v>0</v>
      </c>
      <c r="H78" s="19">
        <f>K78*$H$103</f>
        <v>0</v>
      </c>
      <c r="I78" s="19">
        <f>K78*$I$103</f>
        <v>0</v>
      </c>
      <c r="J78" s="18">
        <v>0</v>
      </c>
      <c r="K78" s="18">
        <v>0</v>
      </c>
      <c r="L78" s="5"/>
      <c r="M78" s="19">
        <f t="shared" ref="M78:Q79" si="18">G78</f>
        <v>0</v>
      </c>
      <c r="N78" s="19">
        <f t="shared" si="18"/>
        <v>0</v>
      </c>
      <c r="O78" s="19">
        <f t="shared" si="18"/>
        <v>0</v>
      </c>
      <c r="P78" s="18">
        <f t="shared" si="18"/>
        <v>0</v>
      </c>
      <c r="Q78" s="18">
        <f>K78</f>
        <v>0</v>
      </c>
      <c r="X78" s="23"/>
    </row>
    <row r="79" spans="4:24" x14ac:dyDescent="0.2">
      <c r="D79" s="11"/>
      <c r="E79" s="36" t="s">
        <v>25</v>
      </c>
      <c r="G79" s="45">
        <f>$G$103*K79</f>
        <v>0</v>
      </c>
      <c r="H79" s="45">
        <f>$H$103*K79</f>
        <v>0</v>
      </c>
      <c r="I79" s="45">
        <f>$I$103*K79</f>
        <v>0</v>
      </c>
      <c r="J79" s="43">
        <v>0</v>
      </c>
      <c r="K79" s="43">
        <v>0</v>
      </c>
      <c r="L79" s="5"/>
      <c r="M79" s="42">
        <f t="shared" si="18"/>
        <v>0</v>
      </c>
      <c r="N79" s="42">
        <f t="shared" si="18"/>
        <v>0</v>
      </c>
      <c r="O79" s="42">
        <f t="shared" si="18"/>
        <v>0</v>
      </c>
      <c r="P79" s="43">
        <f t="shared" si="18"/>
        <v>0</v>
      </c>
      <c r="Q79" s="42">
        <f t="shared" si="18"/>
        <v>0</v>
      </c>
      <c r="X79" s="23"/>
    </row>
    <row r="80" spans="4:24" x14ac:dyDescent="0.2">
      <c r="D80" s="11"/>
      <c r="E80" s="36"/>
      <c r="J80" s="11"/>
      <c r="K80" s="11"/>
      <c r="L80" s="5"/>
      <c r="P80" s="11"/>
      <c r="X80" s="23"/>
    </row>
    <row r="81" spans="2:24" x14ac:dyDescent="0.2">
      <c r="D81" s="47" t="s">
        <v>80</v>
      </c>
      <c r="E81" s="36" t="s">
        <v>23</v>
      </c>
      <c r="G81" s="59">
        <f>K81*$G$101</f>
        <v>13094.68180513587</v>
      </c>
      <c r="H81" s="59">
        <f>K81*$H$101</f>
        <v>1713.0596738906759</v>
      </c>
      <c r="I81" s="59">
        <f>K81*$I$101</f>
        <v>60830.258520973453</v>
      </c>
      <c r="J81" s="18">
        <v>0</v>
      </c>
      <c r="K81" s="18">
        <v>75638</v>
      </c>
      <c r="L81" s="5"/>
      <c r="M81" s="19">
        <f t="shared" ref="M81:Q82" si="19">G81</f>
        <v>13094.68180513587</v>
      </c>
      <c r="N81" s="19">
        <f t="shared" si="19"/>
        <v>1713.0596738906759</v>
      </c>
      <c r="O81" s="19">
        <f t="shared" si="19"/>
        <v>60830.258520973453</v>
      </c>
      <c r="P81" s="18">
        <f t="shared" si="19"/>
        <v>0</v>
      </c>
      <c r="Q81" s="18">
        <f>K81</f>
        <v>75638</v>
      </c>
      <c r="X81" s="23"/>
    </row>
    <row r="82" spans="2:24" x14ac:dyDescent="0.2">
      <c r="D82" s="11"/>
      <c r="E82" s="36" t="s">
        <v>25</v>
      </c>
      <c r="G82" s="45"/>
      <c r="H82" s="45"/>
      <c r="I82" s="45">
        <f>$I$103*K82</f>
        <v>0</v>
      </c>
      <c r="J82" s="43">
        <v>0</v>
      </c>
      <c r="K82" s="43"/>
      <c r="L82" s="5"/>
      <c r="M82" s="42">
        <f t="shared" si="19"/>
        <v>0</v>
      </c>
      <c r="N82" s="42">
        <f t="shared" si="19"/>
        <v>0</v>
      </c>
      <c r="O82" s="42">
        <f t="shared" si="19"/>
        <v>0</v>
      </c>
      <c r="P82" s="43">
        <f t="shared" si="19"/>
        <v>0</v>
      </c>
      <c r="Q82" s="42">
        <f t="shared" si="19"/>
        <v>0</v>
      </c>
      <c r="X82" s="23"/>
    </row>
    <row r="83" spans="2:24" x14ac:dyDescent="0.2">
      <c r="D83" s="11"/>
      <c r="E83" s="36"/>
      <c r="J83" s="11"/>
      <c r="K83" s="11"/>
      <c r="L83" s="5"/>
      <c r="P83" s="11"/>
      <c r="X83" s="23"/>
    </row>
    <row r="84" spans="2:24" x14ac:dyDescent="0.2">
      <c r="D84" s="47" t="s">
        <v>81</v>
      </c>
      <c r="E84" s="36" t="s">
        <v>23</v>
      </c>
      <c r="G84" s="59">
        <f>K84*$G$101</f>
        <v>1204.590232424646</v>
      </c>
      <c r="H84" s="59">
        <f>K84*$H$101</f>
        <v>157.58572689562553</v>
      </c>
      <c r="I84" s="59">
        <f>K84*$I$101</f>
        <v>5595.8240406797286</v>
      </c>
      <c r="J84" s="18">
        <v>0</v>
      </c>
      <c r="K84" s="18">
        <v>6958</v>
      </c>
      <c r="L84" s="5"/>
      <c r="M84" s="19">
        <f t="shared" ref="M84:Q85" si="20">G84</f>
        <v>1204.590232424646</v>
      </c>
      <c r="N84" s="19">
        <f t="shared" si="20"/>
        <v>157.58572689562553</v>
      </c>
      <c r="O84" s="19">
        <f t="shared" si="20"/>
        <v>5595.8240406797286</v>
      </c>
      <c r="P84" s="18">
        <f t="shared" si="20"/>
        <v>0</v>
      </c>
      <c r="Q84" s="19">
        <f>K84</f>
        <v>6958</v>
      </c>
      <c r="R84" s="19"/>
      <c r="S84" s="19"/>
      <c r="T84" s="19"/>
      <c r="U84" s="19"/>
      <c r="V84" s="19"/>
      <c r="X84" s="23"/>
    </row>
    <row r="85" spans="2:24" x14ac:dyDescent="0.2">
      <c r="E85" s="36" t="s">
        <v>25</v>
      </c>
      <c r="G85" s="45">
        <f>$G$103*K85</f>
        <v>0</v>
      </c>
      <c r="H85" s="45">
        <f>$H$103*K85</f>
        <v>0</v>
      </c>
      <c r="I85" s="45">
        <f>$I$103*K85</f>
        <v>0</v>
      </c>
      <c r="J85" s="43">
        <v>0</v>
      </c>
      <c r="K85" s="43">
        <v>0</v>
      </c>
      <c r="L85" s="5"/>
      <c r="M85" s="42">
        <f t="shared" si="20"/>
        <v>0</v>
      </c>
      <c r="N85" s="42">
        <f t="shared" si="20"/>
        <v>0</v>
      </c>
      <c r="O85" s="42">
        <f t="shared" si="20"/>
        <v>0</v>
      </c>
      <c r="P85" s="43">
        <f t="shared" si="20"/>
        <v>0</v>
      </c>
      <c r="Q85" s="42">
        <f t="shared" si="20"/>
        <v>0</v>
      </c>
      <c r="R85" s="42"/>
      <c r="S85" s="42"/>
      <c r="T85" s="42"/>
      <c r="U85" s="42"/>
      <c r="V85" s="42"/>
      <c r="X85" s="23"/>
    </row>
    <row r="86" spans="2:24" x14ac:dyDescent="0.2">
      <c r="E86" s="36"/>
      <c r="G86" s="45"/>
      <c r="H86" s="45"/>
      <c r="I86" s="45"/>
      <c r="J86" s="43"/>
      <c r="K86" s="43"/>
      <c r="L86" s="5"/>
      <c r="M86" s="42"/>
      <c r="N86" s="42"/>
      <c r="O86" s="42"/>
      <c r="P86" s="43"/>
      <c r="Q86" s="42"/>
      <c r="R86" s="42"/>
      <c r="S86" s="42"/>
      <c r="T86" s="42"/>
      <c r="U86" s="42"/>
      <c r="V86" s="42"/>
      <c r="X86" s="23"/>
    </row>
    <row r="87" spans="2:24" x14ac:dyDescent="0.2">
      <c r="D87" s="11" t="s">
        <v>82</v>
      </c>
      <c r="E87" s="36" t="s">
        <v>23</v>
      </c>
      <c r="G87" s="59">
        <f>K87*$G$101</f>
        <v>72.192314877993311</v>
      </c>
      <c r="H87" s="59">
        <f>K87*$H$101</f>
        <v>9.4442725086915562</v>
      </c>
      <c r="I87" s="59">
        <f>K87*$I$101</f>
        <v>335.36341261331512</v>
      </c>
      <c r="J87" s="18">
        <v>0</v>
      </c>
      <c r="K87" s="18">
        <v>417</v>
      </c>
      <c r="L87" s="5"/>
      <c r="M87" s="19">
        <f>G87</f>
        <v>72.192314877993311</v>
      </c>
      <c r="N87" s="19">
        <f>H87</f>
        <v>9.4442725086915562</v>
      </c>
      <c r="O87" s="19">
        <f>I87</f>
        <v>335.36341261331512</v>
      </c>
      <c r="P87" s="18">
        <f>J87</f>
        <v>0</v>
      </c>
      <c r="Q87" s="19">
        <f>K87</f>
        <v>417</v>
      </c>
      <c r="R87" s="19"/>
      <c r="S87" s="19"/>
      <c r="T87" s="19"/>
      <c r="U87" s="19"/>
      <c r="V87" s="19"/>
      <c r="X87" s="23"/>
    </row>
    <row r="88" spans="2:24" ht="13.5" thickBot="1" x14ac:dyDescent="0.25">
      <c r="D88" s="11"/>
      <c r="J88" s="11"/>
      <c r="L88" s="5"/>
      <c r="W88" s="48"/>
      <c r="X88" s="23"/>
    </row>
    <row r="89" spans="2:24" ht="13.5" thickBot="1" x14ac:dyDescent="0.25">
      <c r="B89" s="2" t="s">
        <v>83</v>
      </c>
      <c r="E89" s="36" t="s">
        <v>23</v>
      </c>
      <c r="G89" s="40">
        <f>G60+G63+G66+G69+G72+G75+G78+G81+G84+G87</f>
        <v>68589.624056384084</v>
      </c>
      <c r="H89" s="40">
        <f>H60+H63+H66+H69+H72+H75+H78+H81+H84+H87</f>
        <v>8972.964808677476</v>
      </c>
      <c r="I89" s="40">
        <f>I60+I63+I66+I69+I72+I75+I78+I81+I84+I87</f>
        <v>489776.41113493842</v>
      </c>
      <c r="J89" s="40">
        <f t="shared" ref="J89" si="21">J60+J63+J66+J69+J72+J75+J78+J81+J84+J87</f>
        <v>0</v>
      </c>
      <c r="K89" s="40">
        <f>K60+K63+K66+K69+K72+K75+K78+K81+K84+K87</f>
        <v>567339</v>
      </c>
      <c r="L89" s="41"/>
      <c r="M89" s="40">
        <f>M60+M63+M66+M69+M72+M75+M78+M81+M84+M87</f>
        <v>93749.637836695183</v>
      </c>
      <c r="N89" s="40">
        <f>N60+N63+N66+N69+N72+N75+N78+N81+N84+N87</f>
        <v>10815.927931542379</v>
      </c>
      <c r="O89" s="40">
        <f>O60+O63+O66+O69+O72+O75+O78+O81+O84+O87</f>
        <v>442901.43423176248</v>
      </c>
      <c r="P89" s="40">
        <f>P60+P63+P66+P69+P72+P75+P78+P81+P84+P87</f>
        <v>0</v>
      </c>
      <c r="Q89" s="40">
        <f>SUM(M89:P89)</f>
        <v>547467</v>
      </c>
      <c r="R89" s="32"/>
      <c r="S89" s="32"/>
      <c r="T89" s="32"/>
      <c r="U89" s="32"/>
      <c r="V89" s="32"/>
      <c r="W89" s="39"/>
      <c r="X89" s="23"/>
    </row>
    <row r="90" spans="2:24" x14ac:dyDescent="0.2">
      <c r="B90" s="2"/>
      <c r="E90" s="36" t="s">
        <v>25</v>
      </c>
      <c r="G90" s="40">
        <f>G61+G64+G67+G70+G73+G76+G79+G82+G85</f>
        <v>0</v>
      </c>
      <c r="H90" s="40">
        <f>H61+H64+H67+H70+H73+H76+H79+H82+H85</f>
        <v>0</v>
      </c>
      <c r="I90" s="40">
        <f>I61+I64+I67+I70+I73+I76+I79+I82+I85</f>
        <v>0</v>
      </c>
      <c r="J90" s="40">
        <f>J61+J64+J67+J70+J73+J76+J79+J82+J85</f>
        <v>0</v>
      </c>
      <c r="K90" s="49">
        <f>SUM(G90:J90)</f>
        <v>0</v>
      </c>
      <c r="L90" s="50"/>
      <c r="M90" s="40">
        <f>M61+M64+M67+M70+M73+M76+M79+M82+M85</f>
        <v>0</v>
      </c>
      <c r="N90" s="40">
        <f>N61+N64+N67+N70+N73+N76+N79+N82+N85</f>
        <v>0</v>
      </c>
      <c r="O90" s="40">
        <f>O61+O64+O67+O70+O73+O76+O79+O82+O85</f>
        <v>0</v>
      </c>
      <c r="P90" s="40">
        <f>P61+P64+P67+P70+P73+P76+P79+P82+P85</f>
        <v>0</v>
      </c>
      <c r="Q90" s="49">
        <f>SUM(M90:P90)</f>
        <v>0</v>
      </c>
      <c r="R90" s="51"/>
      <c r="S90" s="51"/>
      <c r="T90" s="51"/>
      <c r="U90" s="51"/>
      <c r="V90" s="51"/>
      <c r="X90" s="23"/>
    </row>
    <row r="91" spans="2:24" x14ac:dyDescent="0.2">
      <c r="K91" s="19"/>
      <c r="L91" s="5"/>
      <c r="W91" s="19"/>
      <c r="X91" s="23"/>
    </row>
    <row r="92" spans="2:24" ht="13.5" thickBot="1" x14ac:dyDescent="0.25">
      <c r="L92" s="5"/>
      <c r="X92" s="23"/>
    </row>
    <row r="93" spans="2:24" ht="15" thickBot="1" x14ac:dyDescent="0.25">
      <c r="B93" s="16" t="s">
        <v>84</v>
      </c>
      <c r="G93" s="52">
        <f>G56+G89</f>
        <v>232501.59249649357</v>
      </c>
      <c r="H93" s="52">
        <f>H56+H89</f>
        <v>28993.572736878734</v>
      </c>
      <c r="I93" s="52">
        <f>I56+I89</f>
        <v>755432.3847666278</v>
      </c>
      <c r="J93" s="52">
        <f t="shared" ref="J93:Q93" si="22">J56+J89</f>
        <v>21126</v>
      </c>
      <c r="K93" s="52">
        <f>K56+K89</f>
        <v>1038053.55</v>
      </c>
      <c r="L93" s="53">
        <f t="shared" si="22"/>
        <v>0</v>
      </c>
      <c r="M93" s="52">
        <f t="shared" si="22"/>
        <v>230158.07874951547</v>
      </c>
      <c r="N93" s="52">
        <f t="shared" si="22"/>
        <v>26950.231671512596</v>
      </c>
      <c r="O93" s="54">
        <f t="shared" si="22"/>
        <v>596504.6978391892</v>
      </c>
      <c r="P93" s="52">
        <f t="shared" si="22"/>
        <v>12760</v>
      </c>
      <c r="Q93" s="52">
        <f t="shared" si="22"/>
        <v>866373.00826021726</v>
      </c>
      <c r="R93" s="32"/>
      <c r="S93" s="32"/>
      <c r="T93" s="32"/>
      <c r="U93" s="32"/>
      <c r="V93" s="32"/>
      <c r="X93" s="23"/>
    </row>
    <row r="94" spans="2:24" ht="13.5" thickTop="1" x14ac:dyDescent="0.2">
      <c r="I94" s="55"/>
      <c r="L94" s="5"/>
      <c r="O94" s="56"/>
      <c r="X94" s="23"/>
    </row>
    <row r="95" spans="2:24" x14ac:dyDescent="0.2">
      <c r="G95" s="77">
        <f>G112-G93</f>
        <v>-8052.5924964935693</v>
      </c>
      <c r="H95" s="77">
        <f t="shared" ref="H95:I95" si="23">H112-H93</f>
        <v>-1703.5727368787338</v>
      </c>
      <c r="I95" s="77">
        <f t="shared" si="23"/>
        <v>9758.6152333721984</v>
      </c>
      <c r="K95" s="19"/>
      <c r="L95" s="5"/>
      <c r="O95" s="56"/>
      <c r="X95" s="23"/>
    </row>
    <row r="96" spans="2:24" x14ac:dyDescent="0.2">
      <c r="K96" s="19"/>
      <c r="L96" s="5"/>
      <c r="O96" s="56"/>
      <c r="X96" s="23"/>
    </row>
    <row r="97" spans="5:24" x14ac:dyDescent="0.2">
      <c r="G97" s="59">
        <f>G100-G95</f>
        <v>135929.59249649357</v>
      </c>
      <c r="H97" s="59">
        <f>H100-H95</f>
        <v>18432.572736878734</v>
      </c>
      <c r="I97" s="55">
        <f>I100-I95</f>
        <v>584283.3847666278</v>
      </c>
      <c r="J97" s="19"/>
      <c r="K97" s="59"/>
      <c r="L97" s="5"/>
      <c r="O97" s="56"/>
      <c r="X97" s="23"/>
    </row>
    <row r="98" spans="5:24" x14ac:dyDescent="0.2">
      <c r="G98" s="102">
        <f>G97/J100</f>
        <v>0.18402485689596881</v>
      </c>
      <c r="H98" s="102">
        <f>H97/J100</f>
        <v>2.4954474576359423E-2</v>
      </c>
      <c r="I98" s="103">
        <f>I97/J100</f>
        <v>0.7910173516568485</v>
      </c>
      <c r="K98" s="19"/>
      <c r="L98" s="5"/>
      <c r="O98" s="56"/>
      <c r="X98" s="23"/>
    </row>
    <row r="99" spans="5:24" x14ac:dyDescent="0.2">
      <c r="G99" s="59">
        <f>G112</f>
        <v>224449</v>
      </c>
      <c r="H99" s="59">
        <f t="shared" ref="H99" si="24">H112</f>
        <v>27290</v>
      </c>
      <c r="I99" s="59">
        <f>I114</f>
        <v>594042</v>
      </c>
      <c r="J99" s="60"/>
      <c r="L99" s="5"/>
      <c r="O99" s="56"/>
      <c r="X99" s="23"/>
    </row>
    <row r="100" spans="5:24" x14ac:dyDescent="0.2">
      <c r="E100" s="57"/>
      <c r="G100" s="55">
        <f>G99-G19-G51</f>
        <v>127877</v>
      </c>
      <c r="H100" s="55">
        <f>H99-H19</f>
        <v>16729</v>
      </c>
      <c r="I100" s="55">
        <f>I99</f>
        <v>594042</v>
      </c>
      <c r="J100" s="60">
        <f>SUM(G100:I100)</f>
        <v>738648</v>
      </c>
      <c r="K100" s="57"/>
      <c r="L100" s="5"/>
      <c r="M100" s="19"/>
      <c r="N100" s="57"/>
      <c r="O100" s="61"/>
      <c r="P100" s="57"/>
      <c r="X100" s="23"/>
    </row>
    <row r="101" spans="5:24" x14ac:dyDescent="0.2">
      <c r="G101" s="62">
        <f>G100/$J$100</f>
        <v>0.17312305726137484</v>
      </c>
      <c r="H101" s="62">
        <f t="shared" ref="H101:I101" si="25">H100/$J$100</f>
        <v>2.2648135512449773E-2</v>
      </c>
      <c r="I101" s="62">
        <f t="shared" si="25"/>
        <v>0.8042288072261754</v>
      </c>
      <c r="J101" s="19"/>
      <c r="L101" s="5"/>
      <c r="O101" s="56"/>
      <c r="X101" s="23"/>
    </row>
    <row r="102" spans="5:24" ht="13.5" thickBot="1" x14ac:dyDescent="0.25">
      <c r="L102" s="5"/>
      <c r="X102" s="23"/>
    </row>
    <row r="103" spans="5:24" x14ac:dyDescent="0.2">
      <c r="E103" s="63"/>
      <c r="F103" s="64"/>
      <c r="G103" s="65">
        <f>G115</f>
        <v>0.28327721428019381</v>
      </c>
      <c r="H103" s="65">
        <f>H115</f>
        <v>3.1479731966635408E-2</v>
      </c>
      <c r="I103" s="65">
        <f>I115</f>
        <v>0.68524305375317074</v>
      </c>
      <c r="J103" s="64"/>
      <c r="K103" s="66"/>
      <c r="L103" s="5"/>
      <c r="M103" s="67"/>
      <c r="N103" s="67"/>
      <c r="O103" s="67"/>
      <c r="X103" s="23"/>
    </row>
    <row r="104" spans="5:24" x14ac:dyDescent="0.2">
      <c r="E104" s="68"/>
      <c r="F104" s="48"/>
      <c r="G104" s="48"/>
      <c r="H104" s="48"/>
      <c r="I104" s="48"/>
      <c r="J104" s="48"/>
      <c r="K104" s="69"/>
      <c r="L104" s="5"/>
      <c r="M104" s="70"/>
      <c r="X104" s="23"/>
    </row>
    <row r="105" spans="5:24" x14ac:dyDescent="0.2">
      <c r="E105" s="68" t="s">
        <v>105</v>
      </c>
      <c r="F105" s="48"/>
      <c r="G105" s="48"/>
      <c r="H105" s="48"/>
      <c r="I105" s="48"/>
      <c r="J105" s="48"/>
      <c r="K105" s="71">
        <v>1038056</v>
      </c>
      <c r="L105" s="5"/>
      <c r="M105" s="72"/>
      <c r="X105" s="23"/>
    </row>
    <row r="106" spans="5:24" x14ac:dyDescent="0.2">
      <c r="E106" s="68" t="s">
        <v>85</v>
      </c>
      <c r="F106" s="48"/>
      <c r="G106" s="48"/>
      <c r="H106" s="48"/>
      <c r="I106" s="48"/>
      <c r="J106" s="48"/>
      <c r="K106" s="71">
        <v>0</v>
      </c>
      <c r="L106" s="5"/>
      <c r="X106" s="23"/>
    </row>
    <row r="107" spans="5:24" x14ac:dyDescent="0.2">
      <c r="E107" s="68"/>
      <c r="F107" s="48"/>
      <c r="G107" s="48"/>
      <c r="H107" s="48"/>
      <c r="I107" s="48"/>
      <c r="J107" s="48"/>
      <c r="K107" s="71"/>
      <c r="L107" s="5"/>
      <c r="M107" s="72"/>
      <c r="X107" s="23"/>
    </row>
    <row r="108" spans="5:24" x14ac:dyDescent="0.2">
      <c r="E108" s="68" t="s">
        <v>106</v>
      </c>
      <c r="F108" s="48"/>
      <c r="G108" s="48"/>
      <c r="H108" s="48"/>
      <c r="I108" s="48"/>
      <c r="J108" s="48"/>
      <c r="K108" s="73">
        <f>SUM(K105:K107)</f>
        <v>1038056</v>
      </c>
      <c r="L108" s="5"/>
      <c r="M108" s="72"/>
      <c r="X108" s="23"/>
    </row>
    <row r="109" spans="5:24" x14ac:dyDescent="0.2">
      <c r="E109" s="68" t="s">
        <v>86</v>
      </c>
      <c r="F109" s="48"/>
      <c r="G109" s="48"/>
      <c r="H109" s="48"/>
      <c r="I109" s="48"/>
      <c r="J109" s="48"/>
      <c r="K109" s="71">
        <f>-K60</f>
        <v>-171149</v>
      </c>
      <c r="L109" s="5"/>
      <c r="M109" s="72"/>
      <c r="O109" s="74"/>
      <c r="P109" s="74"/>
      <c r="Q109" s="59"/>
      <c r="X109" s="23"/>
    </row>
    <row r="110" spans="5:24" ht="13.5" thickBot="1" x14ac:dyDescent="0.25">
      <c r="E110" s="68" t="s">
        <v>107</v>
      </c>
      <c r="F110" s="48"/>
      <c r="G110" s="48"/>
      <c r="H110" s="48"/>
      <c r="I110" s="48"/>
      <c r="J110" s="48"/>
      <c r="K110" s="75">
        <f>SUM(K108:K109)</f>
        <v>866907</v>
      </c>
      <c r="L110" s="5"/>
      <c r="M110" s="72"/>
      <c r="X110" s="23"/>
    </row>
    <row r="111" spans="5:24" ht="13.5" thickTop="1" x14ac:dyDescent="0.2">
      <c r="E111" s="68"/>
      <c r="F111" s="48"/>
      <c r="G111" s="48"/>
      <c r="H111" s="48"/>
      <c r="I111" s="48"/>
      <c r="J111" s="76" t="s">
        <v>87</v>
      </c>
      <c r="K111" s="71"/>
      <c r="L111" s="5"/>
      <c r="M111" s="72"/>
      <c r="O111" s="77"/>
      <c r="Q111" s="59"/>
      <c r="X111" s="23"/>
    </row>
    <row r="112" spans="5:24" x14ac:dyDescent="0.2">
      <c r="E112" s="78" t="s">
        <v>104</v>
      </c>
      <c r="F112" s="48"/>
      <c r="G112" s="79">
        <f>224449</f>
        <v>224449</v>
      </c>
      <c r="H112" s="79">
        <f>27290</f>
        <v>27290</v>
      </c>
      <c r="I112" s="79">
        <f>765191</f>
        <v>765191</v>
      </c>
      <c r="J112" s="79">
        <v>21127</v>
      </c>
      <c r="K112" s="71"/>
      <c r="L112" s="5"/>
      <c r="M112" s="72"/>
      <c r="O112" s="77"/>
      <c r="X112" s="23"/>
    </row>
    <row r="113" spans="2:24" x14ac:dyDescent="0.2">
      <c r="E113" s="68" t="s">
        <v>88</v>
      </c>
      <c r="F113" s="48"/>
      <c r="G113" s="80"/>
      <c r="H113" s="81"/>
      <c r="I113" s="81">
        <f>-K60</f>
        <v>-171149</v>
      </c>
      <c r="K113" s="69"/>
      <c r="L113" s="5"/>
      <c r="O113" s="77"/>
      <c r="X113" s="23"/>
    </row>
    <row r="114" spans="2:24" ht="13.5" thickBot="1" x14ac:dyDescent="0.25">
      <c r="E114" s="68" t="s">
        <v>89</v>
      </c>
      <c r="F114" s="48"/>
      <c r="G114" s="82">
        <f>G112</f>
        <v>224449</v>
      </c>
      <c r="H114" s="82">
        <f>SUM(H112:H113)</f>
        <v>27290</v>
      </c>
      <c r="I114" s="82">
        <f>SUM(I112:I113)</f>
        <v>594042</v>
      </c>
      <c r="J114" s="83"/>
      <c r="K114" s="71"/>
      <c r="L114" s="5"/>
      <c r="X114" s="23"/>
    </row>
    <row r="115" spans="2:24" ht="14.25" thickTop="1" thickBot="1" x14ac:dyDescent="0.25">
      <c r="E115" s="68" t="s">
        <v>90</v>
      </c>
      <c r="F115" s="48"/>
      <c r="G115" s="84">
        <f>1-(H115+I115)</f>
        <v>0.28327721428019381</v>
      </c>
      <c r="H115" s="84">
        <f>H$114/$K$110</f>
        <v>3.1479731966635408E-2</v>
      </c>
      <c r="I115" s="84">
        <f>I$114/$K$110</f>
        <v>0.68524305375317074</v>
      </c>
      <c r="J115" s="72"/>
      <c r="K115" s="71"/>
      <c r="L115" s="5"/>
      <c r="X115" s="23"/>
    </row>
    <row r="116" spans="2:24" ht="14.25" thickTop="1" thickBot="1" x14ac:dyDescent="0.25">
      <c r="E116" s="85"/>
      <c r="F116" s="86"/>
      <c r="G116" s="87" t="s">
        <v>91</v>
      </c>
      <c r="H116" s="87" t="s">
        <v>92</v>
      </c>
      <c r="I116" s="87" t="s">
        <v>93</v>
      </c>
      <c r="J116" s="86"/>
      <c r="K116" s="88"/>
      <c r="L116" s="5"/>
      <c r="X116" s="23"/>
    </row>
    <row r="117" spans="2:24" x14ac:dyDescent="0.2">
      <c r="J117" s="64"/>
      <c r="K117" s="89"/>
      <c r="L117" s="11"/>
      <c r="X117" s="23"/>
    </row>
    <row r="118" spans="2:24" x14ac:dyDescent="0.2">
      <c r="J118" s="48"/>
      <c r="K118" s="80"/>
      <c r="L118" s="11"/>
    </row>
    <row r="119" spans="2:24" x14ac:dyDescent="0.2">
      <c r="B119" s="2" t="s">
        <v>94</v>
      </c>
      <c r="C119" s="2"/>
      <c r="D119" s="2" t="s">
        <v>95</v>
      </c>
      <c r="E119" s="90"/>
      <c r="F119" s="91"/>
      <c r="G119" s="72"/>
      <c r="H119" s="72"/>
      <c r="I119" s="92"/>
      <c r="J119" s="101"/>
      <c r="K119" s="94"/>
      <c r="L119" s="11"/>
    </row>
    <row r="120" spans="2:24" x14ac:dyDescent="0.2">
      <c r="B120" s="2" t="s">
        <v>96</v>
      </c>
      <c r="C120" s="2"/>
      <c r="D120" s="2"/>
      <c r="E120" s="91"/>
      <c r="F120" s="91"/>
      <c r="G120" s="91"/>
      <c r="H120" s="91"/>
      <c r="I120" s="92"/>
      <c r="J120" s="93"/>
      <c r="K120" s="93"/>
      <c r="M120" s="95"/>
    </row>
    <row r="121" spans="2:24" x14ac:dyDescent="0.2">
      <c r="B121" s="2" t="s">
        <v>97</v>
      </c>
      <c r="C121" s="2"/>
      <c r="D121" s="187" t="s">
        <v>98</v>
      </c>
      <c r="E121" s="91"/>
      <c r="F121" s="91"/>
      <c r="G121" s="91"/>
      <c r="H121" s="72"/>
      <c r="I121" s="72"/>
      <c r="J121" s="48"/>
      <c r="K121" s="48"/>
    </row>
    <row r="122" spans="2:24" x14ac:dyDescent="0.2">
      <c r="B122" s="2" t="s">
        <v>99</v>
      </c>
      <c r="C122" s="2"/>
      <c r="D122" s="187"/>
      <c r="E122" s="91"/>
      <c r="F122" s="91"/>
      <c r="G122" s="96"/>
      <c r="H122" s="96"/>
      <c r="I122" s="96"/>
    </row>
    <row r="123" spans="2:24" x14ac:dyDescent="0.2">
      <c r="B123" s="2" t="s">
        <v>100</v>
      </c>
      <c r="C123" s="2"/>
      <c r="D123" s="187"/>
      <c r="E123" s="91"/>
      <c r="F123" s="91"/>
      <c r="G123" s="72"/>
      <c r="H123" s="72"/>
      <c r="I123" s="72"/>
    </row>
    <row r="124" spans="2:24" x14ac:dyDescent="0.2">
      <c r="E124" s="91"/>
      <c r="F124" s="91"/>
      <c r="G124" s="96"/>
      <c r="H124" s="96"/>
      <c r="I124" s="96"/>
    </row>
    <row r="125" spans="2:24" x14ac:dyDescent="0.2">
      <c r="B125" s="2" t="s">
        <v>101</v>
      </c>
      <c r="D125" s="2" t="s">
        <v>102</v>
      </c>
      <c r="E125" s="91"/>
      <c r="F125" s="91"/>
      <c r="G125" s="97"/>
      <c r="H125" s="97"/>
      <c r="I125" s="97"/>
      <c r="J125" s="48"/>
    </row>
    <row r="126" spans="2:24" x14ac:dyDescent="0.2">
      <c r="D126" s="98" t="s">
        <v>103</v>
      </c>
      <c r="G126" s="80"/>
      <c r="H126" s="80"/>
      <c r="I126" s="80"/>
      <c r="J126" s="48"/>
    </row>
    <row r="127" spans="2:24" x14ac:dyDescent="0.2">
      <c r="G127" s="48"/>
      <c r="H127" s="48"/>
      <c r="I127" s="48"/>
      <c r="J127" s="48"/>
    </row>
  </sheetData>
  <mergeCells count="2">
    <mergeCell ref="M2:Q2"/>
    <mergeCell ref="D121:D123"/>
  </mergeCells>
  <printOptions horizontalCentered="1"/>
  <pageMargins left="0.25" right="0.25" top="0.25" bottom="0.25" header="0.25" footer="0"/>
  <pageSetup scale="34" orientation="landscape" copies="2" r:id="rId1"/>
  <headerFooter alignWithMargins="0"/>
  <rowBreaks count="1" manualBreakCount="1">
    <brk id="57" min="1"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zoomScaleNormal="100" workbookViewId="0">
      <selection activeCell="M34" sqref="M34"/>
    </sheetView>
  </sheetViews>
  <sheetFormatPr defaultColWidth="9.140625" defaultRowHeight="12.75" x14ac:dyDescent="0.2"/>
  <cols>
    <col min="1" max="1" width="6.28515625" style="117" customWidth="1"/>
    <col min="2" max="2" width="40.5703125" style="117" customWidth="1"/>
    <col min="3" max="3" width="7.140625" style="117" customWidth="1"/>
    <col min="4" max="4" width="29.140625" style="117" bestFit="1" customWidth="1"/>
    <col min="5" max="5" width="7.140625" style="117" customWidth="1"/>
    <col min="6" max="6" width="22" style="117" customWidth="1"/>
    <col min="7" max="7" width="9.140625" style="117"/>
    <col min="8" max="8" width="16.140625" style="117" customWidth="1"/>
    <col min="9" max="9" width="23.140625" style="117" customWidth="1"/>
    <col min="10" max="10" width="3.140625" style="118" customWidth="1"/>
    <col min="11" max="11" width="14.28515625" style="117" bestFit="1" customWidth="1"/>
    <col min="12" max="12" width="3" style="117" customWidth="1"/>
    <col min="13" max="13" width="46.5703125" style="117" bestFit="1" customWidth="1"/>
    <col min="14" max="14" width="30.85546875" style="117" bestFit="1" customWidth="1"/>
    <col min="15" max="15" width="3.140625" style="117" customWidth="1"/>
    <col min="16" max="16384" width="9.140625" style="117"/>
  </cols>
  <sheetData>
    <row r="1" spans="2:15" x14ac:dyDescent="0.2">
      <c r="B1" s="190" t="s">
        <v>148</v>
      </c>
      <c r="C1" s="190"/>
      <c r="D1" s="190"/>
      <c r="E1" s="190"/>
      <c r="F1" s="190"/>
      <c r="G1" s="190"/>
      <c r="H1" s="190"/>
      <c r="I1" s="190"/>
      <c r="J1" s="190"/>
      <c r="K1" s="190"/>
    </row>
    <row r="2" spans="2:15" x14ac:dyDescent="0.2">
      <c r="B2" s="190" t="s">
        <v>166</v>
      </c>
      <c r="C2" s="190"/>
      <c r="D2" s="190"/>
      <c r="E2" s="190"/>
      <c r="F2" s="190"/>
      <c r="G2" s="190"/>
      <c r="H2" s="190"/>
      <c r="I2" s="190"/>
      <c r="J2" s="190"/>
      <c r="K2" s="190"/>
    </row>
    <row r="3" spans="2:15" hidden="1" x14ac:dyDescent="0.2">
      <c r="B3" s="190" t="s">
        <v>149</v>
      </c>
      <c r="C3" s="190"/>
      <c r="D3" s="190"/>
      <c r="E3" s="190"/>
      <c r="F3" s="190"/>
      <c r="G3" s="190"/>
      <c r="H3" s="190"/>
    </row>
    <row r="5" spans="2:15" ht="15" x14ac:dyDescent="0.25">
      <c r="B5" s="126"/>
      <c r="C5" s="126"/>
      <c r="D5" s="126"/>
      <c r="E5" s="126"/>
      <c r="F5" s="126"/>
      <c r="G5" s="126"/>
      <c r="H5" s="127" t="s">
        <v>150</v>
      </c>
      <c r="I5" s="191" t="s">
        <v>164</v>
      </c>
      <c r="J5" s="166"/>
      <c r="K5" s="127" t="s">
        <v>150</v>
      </c>
      <c r="M5" s="185" t="s">
        <v>198</v>
      </c>
      <c r="N5" s="185" t="s">
        <v>186</v>
      </c>
    </row>
    <row r="6" spans="2:15" ht="15" x14ac:dyDescent="0.25">
      <c r="B6" s="128" t="s">
        <v>151</v>
      </c>
      <c r="C6" s="128"/>
      <c r="D6" s="128" t="s">
        <v>152</v>
      </c>
      <c r="E6" s="128"/>
      <c r="F6" s="128"/>
      <c r="G6" s="126"/>
      <c r="H6" s="128" t="s">
        <v>93</v>
      </c>
      <c r="I6" s="191"/>
      <c r="J6" s="166"/>
      <c r="K6" s="128" t="s">
        <v>93</v>
      </c>
      <c r="M6"/>
      <c r="N6"/>
    </row>
    <row r="7" spans="2:15" ht="15" x14ac:dyDescent="0.25">
      <c r="B7" s="126"/>
      <c r="C7" s="126"/>
      <c r="D7" s="126"/>
      <c r="E7" s="126"/>
      <c r="F7" s="126"/>
      <c r="G7" s="126"/>
      <c r="H7" s="126"/>
      <c r="I7" s="126"/>
      <c r="J7" s="127"/>
      <c r="K7" s="126"/>
      <c r="M7"/>
      <c r="N7"/>
    </row>
    <row r="8" spans="2:15" ht="15" x14ac:dyDescent="0.25">
      <c r="B8" s="126"/>
      <c r="C8" s="126"/>
      <c r="D8" s="126"/>
      <c r="E8" s="126"/>
      <c r="F8" s="126"/>
      <c r="G8" s="126"/>
      <c r="H8" s="126"/>
      <c r="I8" s="126"/>
      <c r="J8" s="127"/>
      <c r="K8" s="126"/>
      <c r="M8" t="s">
        <v>187</v>
      </c>
      <c r="N8" s="177">
        <f>1537340+116146</f>
        <v>1653486</v>
      </c>
    </row>
    <row r="9" spans="2:15" ht="15" x14ac:dyDescent="0.25">
      <c r="B9" s="129" t="s">
        <v>168</v>
      </c>
      <c r="C9" s="129"/>
      <c r="D9" s="130">
        <v>43841</v>
      </c>
      <c r="E9" s="129"/>
      <c r="F9" s="129"/>
      <c r="G9" s="126"/>
      <c r="H9" s="131">
        <f>'Exhibit 3 January Wind Storm'!O93</f>
        <v>647125.95194089017</v>
      </c>
      <c r="I9" s="161">
        <v>0.999</v>
      </c>
      <c r="J9" s="169" t="s">
        <v>183</v>
      </c>
      <c r="K9" s="131">
        <f>I9*H9</f>
        <v>646478.82598894928</v>
      </c>
      <c r="M9" t="s">
        <v>188</v>
      </c>
      <c r="N9" s="177"/>
    </row>
    <row r="10" spans="2:15" ht="15" x14ac:dyDescent="0.25">
      <c r="B10" s="126"/>
      <c r="C10" s="126"/>
      <c r="D10" s="126"/>
      <c r="E10" s="126"/>
      <c r="F10" s="126"/>
      <c r="G10" s="126"/>
      <c r="H10" s="126"/>
      <c r="I10" s="161"/>
      <c r="J10" s="168"/>
      <c r="K10" s="126"/>
      <c r="M10" t="s">
        <v>189</v>
      </c>
      <c r="N10" s="178">
        <v>26185</v>
      </c>
    </row>
    <row r="11" spans="2:15" ht="15" x14ac:dyDescent="0.25">
      <c r="B11" s="129" t="s">
        <v>169</v>
      </c>
      <c r="C11" s="129"/>
      <c r="D11" s="130">
        <v>43930</v>
      </c>
      <c r="E11" s="129"/>
      <c r="F11" s="129"/>
      <c r="G11" s="126"/>
      <c r="H11" s="131">
        <f>'Exh 4 April 9 Thunderstorm - D '!O95</f>
        <v>339116.36813549337</v>
      </c>
      <c r="I11" s="161">
        <v>0.99299999999999999</v>
      </c>
      <c r="J11" s="169" t="s">
        <v>184</v>
      </c>
      <c r="K11" s="131">
        <f>I11*H11</f>
        <v>336742.5535585449</v>
      </c>
      <c r="M11" t="s">
        <v>190</v>
      </c>
      <c r="N11" s="178">
        <v>9843</v>
      </c>
    </row>
    <row r="12" spans="2:15" ht="15" x14ac:dyDescent="0.25">
      <c r="B12" s="126"/>
      <c r="C12" s="126"/>
      <c r="D12" s="126"/>
      <c r="E12" s="126"/>
      <c r="F12" s="126"/>
      <c r="G12" s="126"/>
      <c r="H12" s="126"/>
      <c r="I12" s="161"/>
      <c r="J12" s="168"/>
      <c r="K12" s="126"/>
      <c r="M12" t="s">
        <v>41</v>
      </c>
      <c r="N12" s="178">
        <v>234781</v>
      </c>
    </row>
    <row r="13" spans="2:15" ht="15" x14ac:dyDescent="0.25">
      <c r="B13" s="129" t="s">
        <v>153</v>
      </c>
      <c r="C13" s="126"/>
      <c r="D13" s="132">
        <v>43930</v>
      </c>
      <c r="E13" s="126"/>
      <c r="F13" s="129"/>
      <c r="G13" s="126"/>
      <c r="H13" s="131">
        <f>'Exh 5 April 9 Thunderstorm - T'!O93</f>
        <v>139087</v>
      </c>
      <c r="I13" s="161">
        <v>0.99299999999999999</v>
      </c>
      <c r="J13" s="169" t="s">
        <v>184</v>
      </c>
      <c r="K13" s="131">
        <f>I13*H13</f>
        <v>138113.391</v>
      </c>
      <c r="M13" t="s">
        <v>44</v>
      </c>
      <c r="N13" s="178">
        <v>1985</v>
      </c>
    </row>
    <row r="14" spans="2:15" ht="15" x14ac:dyDescent="0.25">
      <c r="B14" s="126"/>
      <c r="C14" s="126"/>
      <c r="D14" s="126"/>
      <c r="E14" s="126"/>
      <c r="F14" s="126"/>
      <c r="G14" s="126"/>
      <c r="H14" s="126"/>
      <c r="I14" s="161"/>
      <c r="J14" s="168"/>
      <c r="K14" s="126"/>
      <c r="M14" t="s">
        <v>191</v>
      </c>
      <c r="N14" s="179">
        <v>0</v>
      </c>
      <c r="O14" s="117" t="s">
        <v>200</v>
      </c>
    </row>
    <row r="15" spans="2:15" ht="15" x14ac:dyDescent="0.25">
      <c r="B15" s="129" t="s">
        <v>170</v>
      </c>
      <c r="C15" s="129"/>
      <c r="D15" s="133">
        <v>43933</v>
      </c>
      <c r="E15" s="129"/>
      <c r="F15" s="129"/>
      <c r="G15" s="126"/>
      <c r="H15" s="131">
        <f>'Exh 6 April 12 Wind Storm - D'!O158</f>
        <v>9886609.2588447612</v>
      </c>
      <c r="I15" s="161">
        <v>0.99299999999999999</v>
      </c>
      <c r="J15" s="169" t="s">
        <v>184</v>
      </c>
      <c r="K15" s="131">
        <f>I15*H15</f>
        <v>9817402.9940328486</v>
      </c>
      <c r="M15" t="s">
        <v>192</v>
      </c>
      <c r="N15" s="177">
        <f>N8-N10-N11-N12-N13-N14</f>
        <v>1380692</v>
      </c>
    </row>
    <row r="16" spans="2:15" ht="15" x14ac:dyDescent="0.25">
      <c r="B16" s="126"/>
      <c r="C16" s="126"/>
      <c r="D16" s="126"/>
      <c r="E16" s="126"/>
      <c r="F16" s="126"/>
      <c r="G16" s="126"/>
      <c r="H16" s="126"/>
      <c r="I16" s="161"/>
      <c r="J16" s="168"/>
      <c r="K16" s="126"/>
      <c r="M16" t="s">
        <v>193</v>
      </c>
      <c r="N16" s="180">
        <v>0.76139356206887565</v>
      </c>
    </row>
    <row r="17" spans="2:15" ht="15" x14ac:dyDescent="0.25">
      <c r="B17" s="129" t="s">
        <v>154</v>
      </c>
      <c r="C17" s="129"/>
      <c r="D17" s="130">
        <v>43933</v>
      </c>
      <c r="E17" s="129"/>
      <c r="F17" s="129"/>
      <c r="G17" s="126"/>
      <c r="H17" s="131">
        <f>'Exh 7 April 12 Wind Storm - T'!O93</f>
        <v>25978</v>
      </c>
      <c r="I17" s="161">
        <v>0.99299999999999999</v>
      </c>
      <c r="J17" s="169" t="s">
        <v>184</v>
      </c>
      <c r="K17" s="131">
        <f>I17*H17</f>
        <v>25796.153999999999</v>
      </c>
      <c r="M17" t="s">
        <v>194</v>
      </c>
      <c r="N17" s="181">
        <f>N15*N16</f>
        <v>1051250</v>
      </c>
    </row>
    <row r="18" spans="2:15" ht="15" x14ac:dyDescent="0.25">
      <c r="B18" s="126"/>
      <c r="C18" s="126"/>
      <c r="D18" s="126"/>
      <c r="E18" s="126"/>
      <c r="F18" s="126"/>
      <c r="G18" s="126"/>
      <c r="H18" s="126"/>
      <c r="I18" s="126"/>
      <c r="J18" s="127"/>
      <c r="K18" s="126"/>
      <c r="M18"/>
      <c r="N18" s="177"/>
    </row>
    <row r="19" spans="2:15" ht="15" x14ac:dyDescent="0.25">
      <c r="B19" s="126"/>
      <c r="C19" s="126"/>
      <c r="D19" s="126"/>
      <c r="E19" s="126"/>
      <c r="F19" s="126"/>
      <c r="G19" s="126"/>
      <c r="H19" s="126"/>
      <c r="I19" s="126"/>
      <c r="J19" s="127"/>
      <c r="K19" s="126"/>
      <c r="L19" s="117" t="s">
        <v>160</v>
      </c>
      <c r="M19" t="s">
        <v>164</v>
      </c>
      <c r="N19" s="182">
        <v>0.99299999999999999</v>
      </c>
    </row>
    <row r="20" spans="2:15" ht="15" x14ac:dyDescent="0.25">
      <c r="B20" s="126"/>
      <c r="C20" s="126"/>
      <c r="D20" s="126"/>
      <c r="E20" s="126"/>
      <c r="F20" s="126"/>
      <c r="G20" s="126"/>
      <c r="H20" s="131"/>
      <c r="I20" s="131"/>
      <c r="J20" s="170"/>
      <c r="K20" s="131"/>
      <c r="M20" t="s">
        <v>195</v>
      </c>
      <c r="N20" s="177">
        <f>ROUND(N17*N19,0)</f>
        <v>1043891</v>
      </c>
    </row>
    <row r="21" spans="2:15" ht="15" x14ac:dyDescent="0.25">
      <c r="B21" s="126"/>
      <c r="C21" s="126"/>
      <c r="D21" s="126"/>
      <c r="E21" s="126"/>
      <c r="F21" s="126"/>
      <c r="G21" s="126"/>
      <c r="H21" s="126"/>
      <c r="I21" s="126"/>
      <c r="J21" s="127"/>
      <c r="K21" s="126"/>
      <c r="M21" t="s">
        <v>188</v>
      </c>
      <c r="N21"/>
    </row>
    <row r="22" spans="2:15" ht="15" x14ac:dyDescent="0.25">
      <c r="B22" s="126"/>
      <c r="C22" s="126"/>
      <c r="D22" s="126"/>
      <c r="E22" s="126"/>
      <c r="F22" s="126"/>
      <c r="G22" s="126"/>
      <c r="H22" s="126"/>
      <c r="I22" s="126"/>
      <c r="J22" s="127"/>
      <c r="K22" s="126"/>
      <c r="M22" t="s">
        <v>196</v>
      </c>
      <c r="N22" s="183">
        <v>0</v>
      </c>
    </row>
    <row r="23" spans="2:15" ht="15.75" thickBot="1" x14ac:dyDescent="0.3">
      <c r="B23" s="126"/>
      <c r="C23" s="126"/>
      <c r="D23" s="126"/>
      <c r="E23" s="126"/>
      <c r="F23" s="126"/>
      <c r="G23" s="126"/>
      <c r="H23" s="126"/>
      <c r="I23" s="126"/>
      <c r="J23" s="127"/>
      <c r="K23" s="126"/>
      <c r="M23" t="s">
        <v>197</v>
      </c>
      <c r="N23" s="184">
        <f>N20-N22</f>
        <v>1043891</v>
      </c>
      <c r="O23" s="117" t="s">
        <v>201</v>
      </c>
    </row>
    <row r="24" spans="2:15" ht="13.5" thickTop="1" x14ac:dyDescent="0.2">
      <c r="B24" s="126"/>
      <c r="C24" s="126"/>
      <c r="D24" s="126"/>
      <c r="E24" s="126"/>
      <c r="F24" s="126"/>
      <c r="G24" s="126"/>
      <c r="H24" s="126"/>
      <c r="I24" s="126"/>
      <c r="J24" s="127"/>
      <c r="K24" s="126"/>
    </row>
    <row r="25" spans="2:15" x14ac:dyDescent="0.2">
      <c r="B25" s="126"/>
      <c r="C25" s="126"/>
      <c r="D25" s="126"/>
      <c r="E25" s="126"/>
      <c r="F25" s="126"/>
      <c r="G25" s="126"/>
      <c r="H25" s="126"/>
      <c r="I25" s="126"/>
      <c r="J25" s="127"/>
      <c r="K25" s="126"/>
    </row>
    <row r="26" spans="2:15" x14ac:dyDescent="0.2">
      <c r="B26" s="129" t="s">
        <v>185</v>
      </c>
      <c r="C26" s="129"/>
      <c r="D26" s="129"/>
      <c r="E26" s="129"/>
      <c r="F26" s="126"/>
      <c r="G26" s="126"/>
      <c r="H26" s="131">
        <f>SUM(H9:H18)</f>
        <v>11037916.578921145</v>
      </c>
      <c r="I26" s="131"/>
      <c r="J26" s="170"/>
      <c r="K26" s="131">
        <f>SUM(K9:K18)</f>
        <v>10964533.918580342</v>
      </c>
      <c r="M26" s="188" t="s">
        <v>199</v>
      </c>
      <c r="N26" s="189"/>
    </row>
    <row r="27" spans="2:15" ht="15" x14ac:dyDescent="0.25">
      <c r="B27" s="134"/>
      <c r="C27" s="134"/>
      <c r="D27" s="134"/>
      <c r="E27" s="134"/>
      <c r="F27" s="134"/>
      <c r="G27" s="134"/>
      <c r="H27" s="134"/>
      <c r="I27" s="134"/>
      <c r="J27" s="171"/>
      <c r="K27" s="134"/>
      <c r="M27" s="189"/>
      <c r="N27" s="189"/>
    </row>
    <row r="28" spans="2:15" ht="15" hidden="1" customHeight="1" x14ac:dyDescent="0.25">
      <c r="B28" s="126" t="s">
        <v>155</v>
      </c>
      <c r="C28" s="126"/>
      <c r="D28" s="126"/>
      <c r="E28" s="126"/>
      <c r="F28" s="126"/>
      <c r="G28" s="126"/>
      <c r="H28" s="135">
        <v>2116867</v>
      </c>
      <c r="I28" s="135"/>
      <c r="J28" s="172"/>
      <c r="K28" s="135"/>
      <c r="M28" s="189"/>
      <c r="N28" s="189"/>
    </row>
    <row r="29" spans="2:15" ht="12.75" hidden="1" customHeight="1" x14ac:dyDescent="0.2">
      <c r="B29" s="126"/>
      <c r="C29" s="126"/>
      <c r="D29" s="126"/>
      <c r="E29" s="126"/>
      <c r="F29" s="126"/>
      <c r="G29" s="126"/>
      <c r="H29" s="126"/>
      <c r="I29" s="126"/>
      <c r="J29" s="127"/>
      <c r="K29" s="126"/>
      <c r="M29" s="189"/>
      <c r="N29" s="189"/>
    </row>
    <row r="30" spans="2:15" ht="13.5" hidden="1" customHeight="1" thickBot="1" x14ac:dyDescent="0.25">
      <c r="B30" s="126" t="s">
        <v>156</v>
      </c>
      <c r="C30" s="126"/>
      <c r="D30" s="126"/>
      <c r="E30" s="126"/>
      <c r="F30" s="126"/>
      <c r="G30" s="126"/>
      <c r="H30" s="136">
        <f>+H26-H28</f>
        <v>8921049.5789211448</v>
      </c>
      <c r="I30" s="136"/>
      <c r="J30" s="173"/>
      <c r="K30" s="136"/>
      <c r="M30" s="189"/>
      <c r="N30" s="189"/>
    </row>
    <row r="31" spans="2:15" ht="15" x14ac:dyDescent="0.25">
      <c r="B31" s="126"/>
      <c r="C31" s="126"/>
      <c r="D31" s="126"/>
      <c r="E31" s="126"/>
      <c r="F31" s="134"/>
      <c r="G31" s="134"/>
      <c r="H31" s="134"/>
      <c r="I31" s="134"/>
      <c r="J31" s="171"/>
      <c r="K31" s="134"/>
      <c r="M31" s="189"/>
      <c r="N31" s="189"/>
    </row>
    <row r="32" spans="2:15" x14ac:dyDescent="0.2">
      <c r="B32" s="126"/>
      <c r="C32" s="126"/>
      <c r="D32" s="126"/>
      <c r="E32" s="126"/>
      <c r="F32" s="126"/>
      <c r="G32" s="126"/>
      <c r="H32" s="131"/>
      <c r="I32" s="131"/>
      <c r="J32" s="170"/>
      <c r="K32" s="131"/>
      <c r="M32" s="117" t="s">
        <v>202</v>
      </c>
    </row>
    <row r="33" spans="1:11" x14ac:dyDescent="0.2">
      <c r="B33" s="126"/>
      <c r="C33" s="126"/>
      <c r="D33" s="126"/>
      <c r="E33" s="126"/>
      <c r="F33" s="126" t="s">
        <v>157</v>
      </c>
      <c r="G33" s="126"/>
      <c r="H33" s="131">
        <v>1498582</v>
      </c>
      <c r="I33" s="131"/>
      <c r="J33" s="170"/>
      <c r="K33" s="131">
        <f>1498582</f>
        <v>1498582</v>
      </c>
    </row>
    <row r="34" spans="1:11" x14ac:dyDescent="0.2">
      <c r="B34" s="126"/>
      <c r="C34" s="126"/>
      <c r="D34" s="126"/>
      <c r="E34" s="126"/>
      <c r="F34" s="126"/>
      <c r="G34" s="126"/>
      <c r="H34" s="126"/>
      <c r="I34" s="126"/>
      <c r="J34" s="127"/>
      <c r="K34" s="126"/>
    </row>
    <row r="35" spans="1:11" x14ac:dyDescent="0.2">
      <c r="B35" s="126"/>
      <c r="C35" s="126"/>
      <c r="D35" s="126"/>
      <c r="E35" s="126"/>
      <c r="F35" s="126" t="s">
        <v>158</v>
      </c>
      <c r="G35" s="126"/>
      <c r="H35" s="131">
        <f>H26-H33</f>
        <v>9539334.5789211448</v>
      </c>
      <c r="I35" s="131"/>
      <c r="J35" s="170"/>
      <c r="K35" s="131">
        <f>K26-K33</f>
        <v>9465951.9185803421</v>
      </c>
    </row>
    <row r="38" spans="1:11" s="137" customFormat="1" x14ac:dyDescent="0.2">
      <c r="B38" s="138" t="s">
        <v>151</v>
      </c>
      <c r="C38" s="138"/>
      <c r="D38" s="138" t="s">
        <v>152</v>
      </c>
      <c r="E38" s="138"/>
      <c r="F38" s="138"/>
      <c r="G38" s="139"/>
      <c r="H38" s="138" t="s">
        <v>93</v>
      </c>
      <c r="I38" s="139"/>
      <c r="J38" s="174"/>
      <c r="K38" s="139"/>
    </row>
    <row r="39" spans="1:11" x14ac:dyDescent="0.2">
      <c r="B39" s="140"/>
      <c r="C39" s="140"/>
      <c r="D39" s="140"/>
      <c r="E39" s="140"/>
      <c r="F39" s="140"/>
      <c r="G39" s="140"/>
      <c r="H39" s="140"/>
      <c r="I39" s="140"/>
      <c r="J39" s="165"/>
      <c r="K39" s="140"/>
    </row>
    <row r="40" spans="1:11" x14ac:dyDescent="0.2">
      <c r="A40" s="140" t="s">
        <v>179</v>
      </c>
      <c r="B40" s="140" t="s">
        <v>171</v>
      </c>
      <c r="C40" s="140"/>
      <c r="D40" s="141" t="s">
        <v>165</v>
      </c>
      <c r="E40" s="140"/>
      <c r="F40" s="140"/>
      <c r="G40" s="140"/>
      <c r="H40" s="142">
        <f>'Ex. 2a_Dec 24-25 Snow Storm '!O95</f>
        <v>935104.35511277057</v>
      </c>
      <c r="I40" s="162"/>
      <c r="J40" s="175"/>
      <c r="K40" s="163"/>
    </row>
    <row r="41" spans="1:11" x14ac:dyDescent="0.2">
      <c r="A41" s="140"/>
      <c r="B41" s="140"/>
      <c r="C41" s="140"/>
      <c r="D41" s="140"/>
      <c r="E41" s="140"/>
      <c r="F41" s="140"/>
      <c r="G41" s="140"/>
      <c r="H41" s="140"/>
      <c r="I41" s="140"/>
      <c r="J41" s="165"/>
      <c r="K41" s="140"/>
    </row>
    <row r="42" spans="1:11" x14ac:dyDescent="0.2">
      <c r="A42" s="140" t="s">
        <v>180</v>
      </c>
      <c r="B42" s="140" t="s">
        <v>172</v>
      </c>
      <c r="C42" s="140"/>
      <c r="D42" s="141" t="s">
        <v>165</v>
      </c>
      <c r="E42" s="140"/>
      <c r="F42" s="140"/>
      <c r="G42" s="140"/>
      <c r="H42" s="142">
        <f>'Ex. 2b_Dec 24-25 Snow Storm'!P95</f>
        <v>116146</v>
      </c>
      <c r="I42" s="140"/>
      <c r="J42" s="165"/>
      <c r="K42" s="140"/>
    </row>
    <row r="43" spans="1:11" x14ac:dyDescent="0.2">
      <c r="B43" s="140"/>
      <c r="C43" s="140"/>
      <c r="D43" s="140"/>
      <c r="E43" s="140"/>
      <c r="F43" s="140"/>
      <c r="G43" s="140"/>
      <c r="H43" s="140"/>
      <c r="I43" s="140"/>
      <c r="J43" s="165"/>
      <c r="K43" s="140"/>
    </row>
    <row r="44" spans="1:11" x14ac:dyDescent="0.2">
      <c r="B44" s="140"/>
      <c r="C44" s="140"/>
      <c r="D44" s="140"/>
      <c r="E44" s="140"/>
      <c r="F44" s="140"/>
      <c r="G44" s="140"/>
      <c r="H44" s="140"/>
      <c r="I44" s="140"/>
      <c r="J44" s="165"/>
      <c r="K44" s="140"/>
    </row>
    <row r="45" spans="1:11" x14ac:dyDescent="0.2">
      <c r="B45" s="140"/>
      <c r="C45" s="140"/>
      <c r="D45" s="140"/>
      <c r="E45" s="140"/>
      <c r="F45" s="140" t="s">
        <v>163</v>
      </c>
      <c r="G45" s="140"/>
      <c r="H45" s="142">
        <f>H40+H42</f>
        <v>1051250.3551127706</v>
      </c>
      <c r="I45" s="140">
        <v>0.99299999999999999</v>
      </c>
      <c r="J45" s="176" t="s">
        <v>184</v>
      </c>
      <c r="K45" s="163">
        <f>H45*I45</f>
        <v>1043891.6026269812</v>
      </c>
    </row>
    <row r="46" spans="1:11" x14ac:dyDescent="0.2">
      <c r="B46" s="140"/>
      <c r="C46" s="140"/>
      <c r="D46" s="140"/>
      <c r="E46" s="140"/>
      <c r="F46" s="140"/>
      <c r="G46" s="140"/>
      <c r="H46" s="140"/>
      <c r="I46" s="140"/>
      <c r="J46" s="165"/>
      <c r="K46" s="140"/>
    </row>
    <row r="47" spans="1:11" ht="15" x14ac:dyDescent="0.25">
      <c r="B47" t="s">
        <v>181</v>
      </c>
    </row>
    <row r="48" spans="1:11" ht="15" x14ac:dyDescent="0.25">
      <c r="B48" t="s">
        <v>182</v>
      </c>
    </row>
  </sheetData>
  <mergeCells count="5">
    <mergeCell ref="M26:N31"/>
    <mergeCell ref="B3:H3"/>
    <mergeCell ref="I5:I6"/>
    <mergeCell ref="B2:K2"/>
    <mergeCell ref="B1:K1"/>
  </mergeCells>
  <pageMargins left="1" right="1" top="1" bottom="1" header="0.5" footer="0.5"/>
  <pageSetup scale="48"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Y137"/>
  <sheetViews>
    <sheetView topLeftCell="A94" zoomScaleNormal="100" workbookViewId="0">
      <selection activeCell="H115" sqref="H115"/>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3" hidden="1" customWidth="1"/>
    <col min="26" max="16384" width="9.140625" style="1"/>
  </cols>
  <sheetData>
    <row r="1" spans="2:25" ht="15" x14ac:dyDescent="0.25">
      <c r="E1" s="2"/>
      <c r="F1" s="2"/>
      <c r="I1"/>
    </row>
    <row r="2" spans="2:25" ht="20.25" thickBot="1" x14ac:dyDescent="0.3">
      <c r="B2" s="3" t="s">
        <v>0</v>
      </c>
      <c r="C2" s="2"/>
      <c r="D2" s="2"/>
      <c r="E2" s="2"/>
      <c r="F2" s="2"/>
      <c r="G2" s="192" t="s">
        <v>175</v>
      </c>
      <c r="H2" s="192"/>
      <c r="I2" s="192"/>
      <c r="J2" s="192"/>
      <c r="K2" s="192"/>
      <c r="L2" s="5"/>
      <c r="M2" s="186" t="s">
        <v>176</v>
      </c>
      <c r="N2" s="186"/>
      <c r="O2" s="186"/>
      <c r="P2" s="186"/>
      <c r="Q2" s="186"/>
      <c r="R2" s="164"/>
      <c r="S2" s="164"/>
      <c r="T2" s="164"/>
      <c r="U2" s="164"/>
      <c r="V2" s="164"/>
      <c r="W2" s="164"/>
    </row>
    <row r="3" spans="2:25" ht="19.5" x14ac:dyDescent="0.25">
      <c r="B3" s="3" t="s">
        <v>3</v>
      </c>
      <c r="C3" s="2"/>
      <c r="D3" s="2"/>
      <c r="L3" s="5"/>
    </row>
    <row r="4" spans="2:25" x14ac:dyDescent="0.2">
      <c r="B4" s="2" t="s">
        <v>167</v>
      </c>
      <c r="C4" s="2"/>
      <c r="D4" s="2"/>
      <c r="G4" s="8" t="s">
        <v>5</v>
      </c>
      <c r="H4" s="8" t="s">
        <v>6</v>
      </c>
      <c r="I4" s="8" t="s">
        <v>7</v>
      </c>
      <c r="J4" s="8" t="s">
        <v>8</v>
      </c>
      <c r="K4" s="8" t="s">
        <v>9</v>
      </c>
      <c r="L4" s="5"/>
      <c r="M4" s="8" t="s">
        <v>5</v>
      </c>
      <c r="N4" s="8" t="s">
        <v>6</v>
      </c>
      <c r="O4" s="8" t="s">
        <v>7</v>
      </c>
      <c r="P4" s="8" t="s">
        <v>8</v>
      </c>
      <c r="Q4" s="8" t="s">
        <v>9</v>
      </c>
      <c r="R4" s="8"/>
      <c r="S4" s="8"/>
      <c r="T4" s="8"/>
      <c r="U4" s="8"/>
      <c r="V4" s="8"/>
      <c r="W4" s="8"/>
    </row>
    <row r="5" spans="2:25" ht="15" x14ac:dyDescent="0.2">
      <c r="B5" s="9" t="s">
        <v>177</v>
      </c>
      <c r="C5" s="2"/>
      <c r="D5" s="9" t="s">
        <v>10</v>
      </c>
      <c r="G5" s="8" t="s">
        <v>11</v>
      </c>
      <c r="H5" s="8" t="s">
        <v>12</v>
      </c>
      <c r="I5" s="8" t="s">
        <v>13</v>
      </c>
      <c r="J5" s="8" t="s">
        <v>14</v>
      </c>
      <c r="K5" s="8" t="s">
        <v>15</v>
      </c>
      <c r="L5" s="5"/>
      <c r="M5" s="8" t="s">
        <v>11</v>
      </c>
      <c r="N5" s="8" t="s">
        <v>12</v>
      </c>
      <c r="O5" s="8" t="s">
        <v>13</v>
      </c>
      <c r="P5" s="8" t="s">
        <v>14</v>
      </c>
      <c r="Q5" s="8" t="s">
        <v>15</v>
      </c>
      <c r="R5" s="8"/>
      <c r="S5" s="8"/>
      <c r="T5" s="8"/>
      <c r="U5" s="8"/>
      <c r="V5" s="8"/>
      <c r="W5" s="8"/>
    </row>
    <row r="6" spans="2:25" x14ac:dyDescent="0.2">
      <c r="D6" s="10"/>
      <c r="E6" s="11"/>
      <c r="G6" s="8"/>
      <c r="H6" s="8" t="s">
        <v>16</v>
      </c>
      <c r="I6" s="8"/>
      <c r="J6" s="8"/>
      <c r="K6" s="8"/>
      <c r="L6" s="5"/>
      <c r="M6" s="8"/>
      <c r="N6" s="8" t="s">
        <v>16</v>
      </c>
      <c r="O6" s="8"/>
      <c r="P6" s="8"/>
      <c r="Q6" s="8"/>
      <c r="R6" s="8"/>
      <c r="S6" s="8"/>
      <c r="T6" s="8"/>
      <c r="U6" s="8"/>
      <c r="V6" s="8"/>
      <c r="W6" s="8"/>
    </row>
    <row r="7" spans="2:25"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c r="W7" s="13"/>
    </row>
    <row r="8" spans="2:25" ht="5.0999999999999996" customHeight="1" x14ac:dyDescent="0.2">
      <c r="B8" s="2"/>
      <c r="E8" s="11"/>
      <c r="G8" s="14"/>
      <c r="H8" s="14"/>
      <c r="I8" s="14"/>
      <c r="J8" s="14"/>
      <c r="K8" s="14"/>
      <c r="L8" s="5"/>
      <c r="M8" s="14"/>
      <c r="N8" s="14"/>
      <c r="O8" s="14"/>
      <c r="P8" s="14"/>
      <c r="Q8" s="14"/>
      <c r="R8" s="15"/>
      <c r="S8" s="15"/>
      <c r="T8" s="15"/>
      <c r="U8" s="15"/>
      <c r="V8" s="15"/>
      <c r="W8" s="15"/>
    </row>
    <row r="9" spans="2:25" ht="15" thickBot="1" x14ac:dyDescent="0.25">
      <c r="B9" s="16" t="s">
        <v>21</v>
      </c>
      <c r="D9" s="1" t="s">
        <v>22</v>
      </c>
      <c r="E9" s="17" t="s">
        <v>23</v>
      </c>
      <c r="G9" s="18">
        <v>2618</v>
      </c>
      <c r="H9" s="18">
        <v>134</v>
      </c>
      <c r="I9" s="18">
        <v>23433</v>
      </c>
      <c r="J9" s="19">
        <v>0</v>
      </c>
      <c r="K9" s="18">
        <v>26185</v>
      </c>
      <c r="L9" s="5"/>
      <c r="M9" s="18">
        <v>0</v>
      </c>
      <c r="N9" s="18">
        <v>0</v>
      </c>
      <c r="O9" s="18">
        <v>0</v>
      </c>
      <c r="P9" s="19">
        <v>0</v>
      </c>
      <c r="Q9" s="19">
        <f>SUM(M9:P9)</f>
        <v>0</v>
      </c>
      <c r="R9" s="19"/>
      <c r="S9" s="19"/>
      <c r="T9" s="19"/>
      <c r="U9" s="19"/>
      <c r="V9" s="19"/>
      <c r="W9" s="19"/>
    </row>
    <row r="10" spans="2:25" x14ac:dyDescent="0.2">
      <c r="B10" s="2" t="s">
        <v>24</v>
      </c>
      <c r="E10" s="17" t="s">
        <v>25</v>
      </c>
      <c r="G10" s="20">
        <v>60.1</v>
      </c>
      <c r="H10" s="20">
        <v>30.1</v>
      </c>
      <c r="I10" s="20">
        <v>510.4</v>
      </c>
      <c r="J10" s="21">
        <v>0</v>
      </c>
      <c r="K10" s="20">
        <v>600.6</v>
      </c>
      <c r="L10" s="5"/>
      <c r="M10" s="20">
        <f>G10</f>
        <v>60.1</v>
      </c>
      <c r="N10" s="20">
        <f>H10</f>
        <v>30.1</v>
      </c>
      <c r="O10" s="20">
        <f>I10</f>
        <v>510.4</v>
      </c>
      <c r="P10" s="21">
        <v>0</v>
      </c>
      <c r="Q10" s="21">
        <f>SUM(M10:P10)</f>
        <v>600.6</v>
      </c>
      <c r="R10" s="22"/>
      <c r="S10" s="22"/>
      <c r="T10" s="22"/>
      <c r="U10" s="22"/>
      <c r="V10" s="22"/>
      <c r="W10" s="22"/>
    </row>
    <row r="11" spans="2:25" x14ac:dyDescent="0.2">
      <c r="E11" s="17"/>
      <c r="G11" s="11"/>
      <c r="H11" s="11"/>
      <c r="I11" s="11"/>
      <c r="K11" s="11"/>
      <c r="L11" s="5"/>
      <c r="M11" s="11"/>
      <c r="N11" s="11"/>
      <c r="O11" s="11"/>
    </row>
    <row r="12" spans="2:25" ht="13.5" thickBot="1" x14ac:dyDescent="0.25">
      <c r="D12" s="1" t="s">
        <v>26</v>
      </c>
      <c r="E12" s="17" t="s">
        <v>23</v>
      </c>
      <c r="G12" s="18">
        <v>23724</v>
      </c>
      <c r="H12" s="18">
        <v>-144</v>
      </c>
      <c r="I12" s="18">
        <v>196830</v>
      </c>
      <c r="J12" s="19">
        <v>0</v>
      </c>
      <c r="K12" s="18">
        <v>220410</v>
      </c>
      <c r="L12" s="5"/>
      <c r="M12" s="18">
        <f t="shared" ref="M12:P13" si="0">G12</f>
        <v>23724</v>
      </c>
      <c r="N12" s="18">
        <f t="shared" si="0"/>
        <v>-144</v>
      </c>
      <c r="O12" s="18">
        <f t="shared" si="0"/>
        <v>196830</v>
      </c>
      <c r="P12" s="18">
        <f t="shared" si="0"/>
        <v>0</v>
      </c>
      <c r="Q12" s="19">
        <f>SUM(M12:P12)</f>
        <v>220410</v>
      </c>
      <c r="R12" s="19"/>
      <c r="S12" s="19"/>
      <c r="T12" s="148">
        <f>223294-K12</f>
        <v>2884</v>
      </c>
      <c r="U12" s="19"/>
      <c r="V12" s="19"/>
      <c r="W12" s="19"/>
    </row>
    <row r="13" spans="2:25" x14ac:dyDescent="0.2">
      <c r="E13" s="17" t="s">
        <v>25</v>
      </c>
      <c r="G13" s="20">
        <v>395.2</v>
      </c>
      <c r="H13" s="20">
        <v>184.4</v>
      </c>
      <c r="I13" s="20">
        <v>3128.9</v>
      </c>
      <c r="J13" s="21">
        <v>0</v>
      </c>
      <c r="K13" s="20">
        <v>3708.5</v>
      </c>
      <c r="L13" s="5"/>
      <c r="M13" s="20">
        <f t="shared" si="0"/>
        <v>395.2</v>
      </c>
      <c r="N13" s="20">
        <f t="shared" si="0"/>
        <v>184.4</v>
      </c>
      <c r="O13" s="20">
        <f t="shared" si="0"/>
        <v>3128.9</v>
      </c>
      <c r="P13" s="21">
        <v>0</v>
      </c>
      <c r="Q13" s="21">
        <f>SUM(M13:P13)</f>
        <v>3708.5</v>
      </c>
      <c r="R13" s="22"/>
      <c r="S13" s="22"/>
      <c r="T13" s="158"/>
      <c r="U13" s="22"/>
      <c r="V13" s="22"/>
      <c r="W13" s="22"/>
    </row>
    <row r="14" spans="2:25" x14ac:dyDescent="0.2">
      <c r="E14" s="11"/>
      <c r="G14" s="11"/>
      <c r="H14" s="11"/>
      <c r="I14" s="11"/>
      <c r="K14" s="11"/>
      <c r="L14" s="5"/>
      <c r="M14" s="11"/>
      <c r="N14" s="11"/>
      <c r="O14" s="11"/>
      <c r="T14" s="146"/>
      <c r="Y14" s="24" t="s">
        <v>27</v>
      </c>
    </row>
    <row r="15" spans="2:25" x14ac:dyDescent="0.2">
      <c r="D15" s="1" t="s">
        <v>28</v>
      </c>
      <c r="E15" s="17" t="s">
        <v>29</v>
      </c>
      <c r="G15" s="18">
        <v>0</v>
      </c>
      <c r="H15" s="18">
        <v>0</v>
      </c>
      <c r="I15" s="19">
        <v>9511</v>
      </c>
      <c r="J15" s="19"/>
      <c r="K15" s="18">
        <v>9511</v>
      </c>
      <c r="L15" s="5"/>
      <c r="M15" s="18">
        <v>0</v>
      </c>
      <c r="N15" s="18">
        <v>0</v>
      </c>
      <c r="O15" s="18">
        <v>0</v>
      </c>
      <c r="P15" s="19">
        <v>0</v>
      </c>
      <c r="Q15" s="19">
        <f t="shared" ref="Q15:Q20" si="1">SUM(M15:P15)</f>
        <v>0</v>
      </c>
      <c r="R15" s="19"/>
      <c r="S15" s="19"/>
      <c r="T15" s="148"/>
      <c r="U15" s="19"/>
      <c r="V15" s="19"/>
      <c r="W15" s="19"/>
    </row>
    <row r="16" spans="2:25" x14ac:dyDescent="0.2">
      <c r="D16" s="1" t="s">
        <v>30</v>
      </c>
      <c r="E16" s="17" t="s">
        <v>31</v>
      </c>
      <c r="G16" s="18">
        <v>2681</v>
      </c>
      <c r="H16" s="18">
        <v>-16</v>
      </c>
      <c r="I16" s="19">
        <f>20968+1274</f>
        <v>22242</v>
      </c>
      <c r="J16" s="19"/>
      <c r="K16" s="18">
        <v>24907</v>
      </c>
      <c r="L16" s="5"/>
      <c r="M16" s="18">
        <f>G16</f>
        <v>2681</v>
      </c>
      <c r="N16" s="18">
        <f>H16</f>
        <v>-16</v>
      </c>
      <c r="O16" s="18">
        <f>I16</f>
        <v>22242</v>
      </c>
      <c r="P16" s="18">
        <f>J16</f>
        <v>0</v>
      </c>
      <c r="Q16" s="19">
        <f t="shared" si="1"/>
        <v>24907</v>
      </c>
      <c r="R16" s="19"/>
      <c r="S16" s="19"/>
      <c r="T16" s="148"/>
      <c r="U16" s="19"/>
      <c r="V16" s="19"/>
      <c r="W16" s="19"/>
      <c r="Y16" s="23" t="s">
        <v>32</v>
      </c>
    </row>
    <row r="17" spans="2:25" x14ac:dyDescent="0.2">
      <c r="D17" s="59"/>
      <c r="E17" s="17" t="s">
        <v>33</v>
      </c>
      <c r="G17" s="18">
        <v>7.0709687235557892</v>
      </c>
      <c r="H17" s="18">
        <v>0.43224761659389482</v>
      </c>
      <c r="I17" s="19">
        <v>12.496783659850315</v>
      </c>
      <c r="J17" s="19"/>
      <c r="K17" s="18">
        <v>20</v>
      </c>
      <c r="L17" s="5"/>
      <c r="M17" s="18">
        <v>0</v>
      </c>
      <c r="N17" s="18">
        <v>0</v>
      </c>
      <c r="O17" s="18">
        <v>0</v>
      </c>
      <c r="P17" s="19">
        <v>0</v>
      </c>
      <c r="Q17" s="19">
        <f t="shared" si="1"/>
        <v>0</v>
      </c>
      <c r="R17" s="19"/>
      <c r="S17" s="19"/>
      <c r="T17" s="148"/>
      <c r="U17" s="19"/>
      <c r="V17" s="19"/>
      <c r="W17" s="19"/>
      <c r="Y17" s="25">
        <v>614800</v>
      </c>
    </row>
    <row r="18" spans="2:25" x14ac:dyDescent="0.2">
      <c r="E18" s="17" t="s">
        <v>34</v>
      </c>
      <c r="G18" s="18">
        <v>110.30711208747032</v>
      </c>
      <c r="H18" s="18">
        <v>6.7430628188647592</v>
      </c>
      <c r="I18" s="18">
        <v>194.94982509366491</v>
      </c>
      <c r="J18" s="19">
        <v>0</v>
      </c>
      <c r="K18" s="18">
        <v>312</v>
      </c>
      <c r="L18" s="5"/>
      <c r="M18" s="18">
        <v>0</v>
      </c>
      <c r="N18" s="18">
        <v>0</v>
      </c>
      <c r="O18" s="18">
        <v>0</v>
      </c>
      <c r="P18" s="19">
        <v>0</v>
      </c>
      <c r="Q18" s="19">
        <f t="shared" si="1"/>
        <v>0</v>
      </c>
      <c r="R18" s="19"/>
      <c r="S18" s="19"/>
      <c r="T18" s="148"/>
      <c r="U18" s="19"/>
      <c r="V18" s="19"/>
      <c r="W18" s="19"/>
    </row>
    <row r="19" spans="2:25" x14ac:dyDescent="0.2">
      <c r="E19" s="17" t="s">
        <v>35</v>
      </c>
      <c r="G19" s="18">
        <v>43504</v>
      </c>
      <c r="H19" s="18">
        <v>14242</v>
      </c>
      <c r="I19" s="18">
        <v>4808</v>
      </c>
      <c r="J19" s="19">
        <v>0</v>
      </c>
      <c r="K19" s="18">
        <f>G19+H19+I19</f>
        <v>62554</v>
      </c>
      <c r="L19" s="5"/>
      <c r="M19" s="18">
        <f>G19</f>
        <v>43504</v>
      </c>
      <c r="N19" s="18">
        <f>H19</f>
        <v>14242</v>
      </c>
      <c r="O19" s="18">
        <f>I19</f>
        <v>4808</v>
      </c>
      <c r="P19" s="18">
        <f>J19</f>
        <v>0</v>
      </c>
      <c r="Q19" s="19">
        <f t="shared" si="1"/>
        <v>62554</v>
      </c>
      <c r="R19" s="19"/>
      <c r="S19" s="19"/>
      <c r="T19" s="148"/>
      <c r="U19" s="19"/>
      <c r="V19" s="19"/>
      <c r="W19" s="19"/>
      <c r="Y19" s="23" t="s">
        <v>36</v>
      </c>
    </row>
    <row r="20" spans="2:25" x14ac:dyDescent="0.2">
      <c r="E20" s="17" t="s">
        <v>37</v>
      </c>
      <c r="G20" s="26">
        <v>960</v>
      </c>
      <c r="H20" s="26">
        <v>330</v>
      </c>
      <c r="I20" s="26">
        <v>8093</v>
      </c>
      <c r="J20" s="26">
        <v>0</v>
      </c>
      <c r="K20" s="27">
        <f>140956-131573</f>
        <v>9383</v>
      </c>
      <c r="L20" s="5"/>
      <c r="M20" s="18">
        <v>0</v>
      </c>
      <c r="N20" s="18">
        <v>0</v>
      </c>
      <c r="O20" s="18">
        <v>0</v>
      </c>
      <c r="P20" s="19">
        <v>0</v>
      </c>
      <c r="Q20" s="19">
        <f t="shared" si="1"/>
        <v>0</v>
      </c>
      <c r="R20" s="19"/>
      <c r="S20" s="19"/>
      <c r="T20" s="148"/>
      <c r="U20" s="19"/>
      <c r="V20" s="19"/>
      <c r="W20" s="19"/>
      <c r="Y20" s="25">
        <f>31030+1679</f>
        <v>32709</v>
      </c>
    </row>
    <row r="21" spans="2:25" x14ac:dyDescent="0.2">
      <c r="D21" s="2" t="s">
        <v>38</v>
      </c>
      <c r="E21" s="17"/>
      <c r="G21" s="28">
        <f>G9+G12+SUM(G15:G20)</f>
        <v>73604.378080811031</v>
      </c>
      <c r="H21" s="28">
        <f>SUM(H15:H20)+H12+H9</f>
        <v>14553.175310435459</v>
      </c>
      <c r="I21" s="28">
        <f>SUM(I15:I20)+I12+I9</f>
        <v>265124.44660875353</v>
      </c>
      <c r="J21" s="29">
        <f>J9+J12+SUM(J15:J20)</f>
        <v>0</v>
      </c>
      <c r="K21" s="28">
        <f>SUM(G21:J21)</f>
        <v>353282</v>
      </c>
      <c r="L21" s="5"/>
      <c r="M21" s="30">
        <f>M9+M12+SUM(M15:M20)</f>
        <v>69909</v>
      </c>
      <c r="N21" s="30">
        <f>N9+N12+SUM(N15:N20)</f>
        <v>14082</v>
      </c>
      <c r="O21" s="30">
        <f>O9+O12+SUM(O15:O20)</f>
        <v>223880</v>
      </c>
      <c r="P21" s="31">
        <f>P9+P12+SUM(P15:P20)</f>
        <v>0</v>
      </c>
      <c r="Q21" s="31">
        <f>Q9+Q12+SUM(Q15:Q20)</f>
        <v>307871</v>
      </c>
      <c r="R21" s="32"/>
      <c r="S21" s="32"/>
      <c r="T21" s="159"/>
      <c r="U21" s="32"/>
      <c r="V21" s="32"/>
      <c r="W21" s="32"/>
    </row>
    <row r="22" spans="2:25" x14ac:dyDescent="0.2">
      <c r="E22" s="17"/>
      <c r="G22" s="18"/>
      <c r="H22" s="18"/>
      <c r="I22" s="18"/>
      <c r="J22" s="19"/>
      <c r="K22" s="18"/>
      <c r="L22" s="5"/>
      <c r="M22" s="33"/>
      <c r="N22" s="18"/>
      <c r="O22" s="18"/>
      <c r="P22" s="19"/>
      <c r="Q22" s="19"/>
      <c r="R22" s="19"/>
      <c r="S22" s="19"/>
      <c r="T22" s="148"/>
      <c r="U22" s="19"/>
      <c r="V22" s="19"/>
      <c r="W22" s="19"/>
      <c r="Y22" s="23" t="s">
        <v>39</v>
      </c>
    </row>
    <row r="23" spans="2:25" x14ac:dyDescent="0.2">
      <c r="B23" s="2" t="s">
        <v>40</v>
      </c>
      <c r="E23" s="17" t="s">
        <v>41</v>
      </c>
      <c r="G23" s="26">
        <f>11451+14110</f>
        <v>25561</v>
      </c>
      <c r="H23" s="26">
        <f>5540+6526</f>
        <v>12066</v>
      </c>
      <c r="I23" s="26">
        <f>99410+110937</f>
        <v>210347</v>
      </c>
      <c r="J23" s="26">
        <v>0</v>
      </c>
      <c r="K23" s="27">
        <v>247974</v>
      </c>
      <c r="L23" s="5"/>
      <c r="M23" s="27">
        <f>$Q$23*G$105</f>
        <v>3952.4913853030189</v>
      </c>
      <c r="N23" s="27">
        <f>$Q$23*H$105</f>
        <v>232.21024194685435</v>
      </c>
      <c r="O23" s="27">
        <f>$Q$23*I$105</f>
        <v>9008.1680702383983</v>
      </c>
      <c r="P23" s="27">
        <v>0</v>
      </c>
      <c r="Q23" s="27">
        <f>K23*Y23</f>
        <v>13192.878279115159</v>
      </c>
      <c r="R23" s="34"/>
      <c r="S23" s="34"/>
      <c r="T23" s="44">
        <f>251603.59-K23</f>
        <v>3629.5899999999965</v>
      </c>
      <c r="U23" s="34"/>
      <c r="V23" s="34"/>
      <c r="W23" s="34"/>
      <c r="Y23" s="35">
        <f>Y20/Y17</f>
        <v>5.320266753415745E-2</v>
      </c>
    </row>
    <row r="24" spans="2:25" x14ac:dyDescent="0.2">
      <c r="B24" s="2"/>
      <c r="D24" s="2" t="s">
        <v>42</v>
      </c>
      <c r="E24" s="17"/>
      <c r="G24" s="28">
        <f>SUM(G23)</f>
        <v>25561</v>
      </c>
      <c r="H24" s="28">
        <f>SUM(H23)</f>
        <v>12066</v>
      </c>
      <c r="I24" s="28">
        <f>SUM(I23)</f>
        <v>210347</v>
      </c>
      <c r="J24" s="29">
        <f>SUM(J23)</f>
        <v>0</v>
      </c>
      <c r="K24" s="28">
        <f>SUM(G24:J24)</f>
        <v>247974</v>
      </c>
      <c r="L24" s="5"/>
      <c r="M24" s="28">
        <f>SUM(M23)</f>
        <v>3952.4913853030189</v>
      </c>
      <c r="N24" s="28">
        <f>SUM(N23)</f>
        <v>232.21024194685435</v>
      </c>
      <c r="O24" s="28">
        <f>SUM(O23)</f>
        <v>9008.1680702383983</v>
      </c>
      <c r="P24" s="29">
        <f>SUM(P23)</f>
        <v>0</v>
      </c>
      <c r="Q24" s="29">
        <f>SUM(M24:P24)</f>
        <v>13192.869697488271</v>
      </c>
      <c r="R24" s="29"/>
      <c r="S24" s="29"/>
      <c r="T24" s="29">
        <f>K24-Q24</f>
        <v>234781.13030251174</v>
      </c>
      <c r="U24" s="29"/>
      <c r="V24" s="29"/>
      <c r="W24" s="29"/>
    </row>
    <row r="25" spans="2:25" x14ac:dyDescent="0.2">
      <c r="B25" s="2"/>
      <c r="E25" s="11"/>
      <c r="G25" s="11"/>
      <c r="H25" s="11"/>
      <c r="I25" s="11"/>
      <c r="K25" s="11"/>
      <c r="L25" s="5"/>
      <c r="M25" s="11"/>
      <c r="N25" s="11"/>
      <c r="O25" s="11"/>
    </row>
    <row r="26" spans="2:25" x14ac:dyDescent="0.2">
      <c r="B26" s="2" t="s">
        <v>43</v>
      </c>
      <c r="E26" s="17" t="s">
        <v>44</v>
      </c>
      <c r="F26" s="11"/>
      <c r="G26" s="18">
        <v>202</v>
      </c>
      <c r="H26" s="18">
        <v>88</v>
      </c>
      <c r="I26" s="18">
        <v>1695</v>
      </c>
      <c r="J26" s="19">
        <v>0</v>
      </c>
      <c r="K26" s="18">
        <v>1985.3</v>
      </c>
      <c r="L26" s="5"/>
      <c r="M26" s="34">
        <v>0</v>
      </c>
      <c r="N26" s="34">
        <v>0</v>
      </c>
      <c r="O26" s="34">
        <v>0</v>
      </c>
      <c r="P26" s="19">
        <v>0</v>
      </c>
      <c r="Q26" s="19">
        <f t="shared" ref="Q26:Q31" si="2">SUM(M26:P26)</f>
        <v>0</v>
      </c>
      <c r="R26" s="19"/>
      <c r="S26" s="19"/>
      <c r="T26" s="19"/>
      <c r="U26" s="19"/>
      <c r="V26" s="19"/>
      <c r="W26" s="19"/>
    </row>
    <row r="27" spans="2:25" x14ac:dyDescent="0.2">
      <c r="B27" s="2"/>
      <c r="E27" s="17" t="s">
        <v>45</v>
      </c>
      <c r="G27" s="18">
        <v>467</v>
      </c>
      <c r="H27" s="18">
        <v>0</v>
      </c>
      <c r="I27" s="18">
        <v>3967</v>
      </c>
      <c r="J27" s="19">
        <v>0</v>
      </c>
      <c r="K27" s="18">
        <v>4433.3</v>
      </c>
      <c r="L27" s="5"/>
      <c r="M27" s="18">
        <f>G27</f>
        <v>467</v>
      </c>
      <c r="N27" s="18">
        <f>H27</f>
        <v>0</v>
      </c>
      <c r="O27" s="18">
        <f>I27</f>
        <v>3967</v>
      </c>
      <c r="P27" s="18">
        <f>J27</f>
        <v>0</v>
      </c>
      <c r="Q27" s="19">
        <f>SUM(M27:P27)</f>
        <v>4434</v>
      </c>
      <c r="R27" s="19"/>
      <c r="S27" s="19"/>
      <c r="T27" s="19"/>
      <c r="U27" s="19"/>
      <c r="V27" s="19"/>
      <c r="W27" s="19"/>
    </row>
    <row r="28" spans="2:25" x14ac:dyDescent="0.2">
      <c r="B28" s="2"/>
      <c r="E28" s="11" t="s">
        <v>46</v>
      </c>
      <c r="G28" s="18">
        <f t="shared" ref="G28" si="3">K28*$G$105</f>
        <v>0</v>
      </c>
      <c r="H28" s="18">
        <f t="shared" ref="H28" si="4">K28*$H$105</f>
        <v>0</v>
      </c>
      <c r="I28" s="18">
        <f t="shared" ref="I28" si="5">K28*$I$105</f>
        <v>0</v>
      </c>
      <c r="J28" s="19">
        <v>0</v>
      </c>
      <c r="K28" s="18">
        <v>0</v>
      </c>
      <c r="L28" s="5"/>
      <c r="M28" s="18">
        <v>0</v>
      </c>
      <c r="N28" s="18">
        <v>0</v>
      </c>
      <c r="O28" s="18">
        <v>0</v>
      </c>
      <c r="P28" s="19">
        <v>0</v>
      </c>
      <c r="Q28" s="19">
        <f t="shared" si="2"/>
        <v>0</v>
      </c>
      <c r="R28" s="19"/>
      <c r="S28" s="19"/>
      <c r="T28" s="19"/>
      <c r="U28" s="19"/>
      <c r="V28" s="19"/>
      <c r="W28" s="19"/>
    </row>
    <row r="29" spans="2:25" x14ac:dyDescent="0.2">
      <c r="B29" s="2"/>
      <c r="E29" s="17" t="s">
        <v>47</v>
      </c>
      <c r="G29" s="18">
        <v>60</v>
      </c>
      <c r="H29" s="18">
        <v>30</v>
      </c>
      <c r="I29" s="18">
        <v>2124</v>
      </c>
      <c r="J29" s="19">
        <v>0</v>
      </c>
      <c r="K29" s="18">
        <v>2215.3000000000002</v>
      </c>
      <c r="L29" s="5"/>
      <c r="M29" s="18">
        <f t="shared" ref="M29:P30" si="6">G29</f>
        <v>60</v>
      </c>
      <c r="N29" s="18">
        <f t="shared" si="6"/>
        <v>30</v>
      </c>
      <c r="O29" s="18">
        <f t="shared" si="6"/>
        <v>2124</v>
      </c>
      <c r="P29" s="18">
        <f t="shared" si="6"/>
        <v>0</v>
      </c>
      <c r="Q29" s="19">
        <f t="shared" si="2"/>
        <v>2214</v>
      </c>
      <c r="R29" s="19"/>
      <c r="S29" s="19"/>
      <c r="T29" s="19"/>
      <c r="U29" s="19"/>
      <c r="V29" s="19"/>
      <c r="W29" s="19"/>
    </row>
    <row r="30" spans="2:25" x14ac:dyDescent="0.2">
      <c r="B30" s="2"/>
      <c r="E30" s="36" t="s">
        <v>48</v>
      </c>
      <c r="G30" s="26">
        <f>305+622</f>
        <v>927</v>
      </c>
      <c r="H30" s="26">
        <f>18+290</f>
        <v>308</v>
      </c>
      <c r="I30" s="26">
        <f>676+7943</f>
        <v>8619</v>
      </c>
      <c r="J30" s="26">
        <v>0</v>
      </c>
      <c r="K30" s="27">
        <f>8854+1000</f>
        <v>9854</v>
      </c>
      <c r="L30" s="5"/>
      <c r="M30" s="27">
        <f t="shared" si="6"/>
        <v>927</v>
      </c>
      <c r="N30" s="27">
        <f t="shared" si="6"/>
        <v>308</v>
      </c>
      <c r="O30" s="27">
        <f t="shared" si="6"/>
        <v>8619</v>
      </c>
      <c r="P30" s="27">
        <f>J30</f>
        <v>0</v>
      </c>
      <c r="Q30" s="26">
        <f t="shared" si="2"/>
        <v>9854</v>
      </c>
      <c r="R30" s="37"/>
      <c r="S30" s="37"/>
      <c r="T30" s="37"/>
      <c r="U30" s="37"/>
      <c r="V30" s="37"/>
      <c r="W30" s="37"/>
    </row>
    <row r="31" spans="2:25" x14ac:dyDescent="0.2">
      <c r="B31" s="2"/>
      <c r="D31" s="2" t="s">
        <v>49</v>
      </c>
      <c r="G31" s="29">
        <f>SUM(G26:G30)</f>
        <v>1656</v>
      </c>
      <c r="H31" s="29">
        <f>SUM(H26:H30)</f>
        <v>426</v>
      </c>
      <c r="I31" s="29">
        <f>SUM(I26:I30)</f>
        <v>16405</v>
      </c>
      <c r="J31" s="29">
        <f>SUM(J26:J30)</f>
        <v>0</v>
      </c>
      <c r="K31" s="28">
        <f>SUM(G31:J31)</f>
        <v>18487</v>
      </c>
      <c r="L31" s="5"/>
      <c r="M31" s="28">
        <f>SUM(M26:M30)</f>
        <v>1454</v>
      </c>
      <c r="N31" s="28">
        <f>SUM(N26:N30)</f>
        <v>338</v>
      </c>
      <c r="O31" s="28">
        <f>SUM(O26:O30)</f>
        <v>14710</v>
      </c>
      <c r="P31" s="29">
        <f>SUM(P26:P30)</f>
        <v>0</v>
      </c>
      <c r="Q31" s="29">
        <f t="shared" si="2"/>
        <v>16502</v>
      </c>
      <c r="R31" s="29"/>
      <c r="S31" s="29"/>
      <c r="T31" s="29"/>
      <c r="U31" s="29"/>
      <c r="V31" s="29"/>
      <c r="W31" s="29"/>
    </row>
    <row r="32" spans="2:25" x14ac:dyDescent="0.2">
      <c r="B32" s="2"/>
      <c r="K32" s="11"/>
      <c r="L32" s="5"/>
    </row>
    <row r="33" spans="2:23" x14ac:dyDescent="0.2">
      <c r="B33" s="2" t="s">
        <v>50</v>
      </c>
      <c r="D33" s="2" t="s">
        <v>51</v>
      </c>
      <c r="E33" s="1" t="s">
        <v>52</v>
      </c>
      <c r="G33" s="18">
        <v>1990</v>
      </c>
      <c r="H33" s="18">
        <v>0</v>
      </c>
      <c r="I33" s="18">
        <v>0</v>
      </c>
      <c r="J33" s="18">
        <v>0</v>
      </c>
      <c r="K33" s="18">
        <f>SUM(G33:J33)</f>
        <v>1990</v>
      </c>
      <c r="L33" s="5"/>
      <c r="M33" s="19">
        <f t="shared" ref="M33:P34" si="7">G33</f>
        <v>1990</v>
      </c>
      <c r="N33" s="19">
        <f t="shared" si="7"/>
        <v>0</v>
      </c>
      <c r="O33" s="19">
        <f t="shared" si="7"/>
        <v>0</v>
      </c>
      <c r="P33" s="19">
        <f t="shared" si="7"/>
        <v>0</v>
      </c>
      <c r="Q33" s="19">
        <f>SUM(M33:P33)</f>
        <v>1990</v>
      </c>
      <c r="R33" s="19"/>
      <c r="S33" s="19"/>
      <c r="T33" s="19"/>
      <c r="U33" s="19"/>
      <c r="V33" s="19"/>
      <c r="W33" s="19"/>
    </row>
    <row r="34" spans="2:23" x14ac:dyDescent="0.2">
      <c r="B34" s="2" t="s">
        <v>53</v>
      </c>
      <c r="D34" s="2" t="s">
        <v>54</v>
      </c>
      <c r="E34" s="1" t="s">
        <v>55</v>
      </c>
      <c r="G34" s="18"/>
      <c r="H34" s="18">
        <v>0</v>
      </c>
      <c r="I34" s="18">
        <v>0</v>
      </c>
      <c r="J34" s="18">
        <v>0</v>
      </c>
      <c r="K34" s="18">
        <f>SUM(G34:J34)</f>
        <v>0</v>
      </c>
      <c r="L34" s="5"/>
      <c r="M34" s="19">
        <f t="shared" si="7"/>
        <v>0</v>
      </c>
      <c r="N34" s="19">
        <f t="shared" si="7"/>
        <v>0</v>
      </c>
      <c r="O34" s="19">
        <f t="shared" si="7"/>
        <v>0</v>
      </c>
      <c r="P34" s="19">
        <f t="shared" si="7"/>
        <v>0</v>
      </c>
      <c r="Q34" s="19">
        <f>SUM(M34:P34)</f>
        <v>0</v>
      </c>
      <c r="R34" s="19"/>
      <c r="S34" s="19"/>
      <c r="T34" s="19"/>
      <c r="U34" s="19"/>
      <c r="V34" s="19"/>
      <c r="W34" s="19"/>
    </row>
    <row r="35" spans="2:23" x14ac:dyDescent="0.2">
      <c r="D35" s="2"/>
      <c r="G35" s="11"/>
      <c r="H35" s="11"/>
      <c r="I35" s="11"/>
      <c r="J35" s="11"/>
      <c r="K35" s="11"/>
      <c r="L35" s="5"/>
      <c r="Q35" s="19"/>
      <c r="R35" s="19"/>
      <c r="S35" s="19"/>
      <c r="T35" s="19"/>
      <c r="U35" s="19"/>
      <c r="V35" s="19"/>
      <c r="W35" s="19"/>
    </row>
    <row r="36" spans="2:23" x14ac:dyDescent="0.2">
      <c r="D36" s="2" t="s">
        <v>56</v>
      </c>
      <c r="E36" s="1" t="s">
        <v>57</v>
      </c>
      <c r="G36" s="18">
        <v>3915</v>
      </c>
      <c r="H36" s="18"/>
      <c r="I36" s="18">
        <v>0</v>
      </c>
      <c r="J36" s="18">
        <v>0</v>
      </c>
      <c r="K36" s="18">
        <f t="shared" ref="K36:K41" si="8">SUM(G36:J36)</f>
        <v>3915</v>
      </c>
      <c r="L36" s="5"/>
      <c r="M36" s="19">
        <f t="shared" ref="M36:P41" si="9">G36</f>
        <v>3915</v>
      </c>
      <c r="N36" s="19">
        <f t="shared" si="9"/>
        <v>0</v>
      </c>
      <c r="O36" s="19">
        <f t="shared" si="9"/>
        <v>0</v>
      </c>
      <c r="P36" s="19">
        <f t="shared" si="9"/>
        <v>0</v>
      </c>
      <c r="Q36" s="19">
        <f t="shared" ref="Q36:Q41" si="10">SUM(M36:P36)</f>
        <v>3915</v>
      </c>
      <c r="R36" s="19"/>
      <c r="S36" s="19"/>
      <c r="T36" s="19"/>
      <c r="U36" s="19"/>
      <c r="V36" s="19"/>
      <c r="W36" s="19"/>
    </row>
    <row r="37" spans="2:23" x14ac:dyDescent="0.2">
      <c r="D37" s="2" t="s">
        <v>58</v>
      </c>
      <c r="E37" s="1" t="s">
        <v>59</v>
      </c>
      <c r="G37" s="18">
        <f>441+2750</f>
        <v>3191</v>
      </c>
      <c r="H37" s="18">
        <v>0</v>
      </c>
      <c r="I37" s="18">
        <v>0</v>
      </c>
      <c r="J37" s="18">
        <v>0</v>
      </c>
      <c r="K37" s="18">
        <f t="shared" si="8"/>
        <v>3191</v>
      </c>
      <c r="L37" s="5"/>
      <c r="M37" s="19">
        <f t="shared" si="9"/>
        <v>3191</v>
      </c>
      <c r="N37" s="19">
        <f t="shared" si="9"/>
        <v>0</v>
      </c>
      <c r="O37" s="19">
        <f t="shared" si="9"/>
        <v>0</v>
      </c>
      <c r="P37" s="19">
        <f t="shared" si="9"/>
        <v>0</v>
      </c>
      <c r="Q37" s="19">
        <f t="shared" si="10"/>
        <v>3191</v>
      </c>
      <c r="R37" s="19"/>
      <c r="S37" s="19"/>
      <c r="T37" s="19"/>
      <c r="U37" s="19"/>
      <c r="V37" s="19"/>
      <c r="W37" s="19"/>
    </row>
    <row r="38" spans="2:23" x14ac:dyDescent="0.2">
      <c r="D38" s="2"/>
      <c r="E38" s="1" t="s">
        <v>60</v>
      </c>
      <c r="G38" s="18">
        <v>0</v>
      </c>
      <c r="H38" s="18">
        <v>0</v>
      </c>
      <c r="I38" s="18">
        <v>0</v>
      </c>
      <c r="J38" s="18">
        <v>0</v>
      </c>
      <c r="K38" s="18">
        <f t="shared" si="8"/>
        <v>0</v>
      </c>
      <c r="L38" s="5"/>
      <c r="M38" s="19">
        <f t="shared" si="9"/>
        <v>0</v>
      </c>
      <c r="N38" s="19">
        <f t="shared" si="9"/>
        <v>0</v>
      </c>
      <c r="O38" s="19">
        <f t="shared" si="9"/>
        <v>0</v>
      </c>
      <c r="P38" s="19">
        <f t="shared" si="9"/>
        <v>0</v>
      </c>
      <c r="Q38" s="19">
        <f t="shared" si="10"/>
        <v>0</v>
      </c>
      <c r="R38" s="19"/>
      <c r="S38" s="19"/>
      <c r="T38" s="19"/>
      <c r="U38" s="19"/>
      <c r="V38" s="19"/>
      <c r="W38" s="19"/>
    </row>
    <row r="39" spans="2:23" x14ac:dyDescent="0.2">
      <c r="D39" s="2"/>
      <c r="E39" s="1" t="s">
        <v>114</v>
      </c>
      <c r="G39" s="18">
        <v>6657</v>
      </c>
      <c r="H39" s="18">
        <v>0</v>
      </c>
      <c r="I39" s="18"/>
      <c r="J39" s="18">
        <v>0</v>
      </c>
      <c r="K39" s="18">
        <f t="shared" si="8"/>
        <v>6657</v>
      </c>
      <c r="L39" s="5"/>
      <c r="M39" s="19">
        <f t="shared" si="9"/>
        <v>6657</v>
      </c>
      <c r="N39" s="19">
        <f t="shared" si="9"/>
        <v>0</v>
      </c>
      <c r="O39" s="19">
        <f t="shared" si="9"/>
        <v>0</v>
      </c>
      <c r="P39" s="19">
        <f t="shared" si="9"/>
        <v>0</v>
      </c>
      <c r="Q39" s="19">
        <f t="shared" si="10"/>
        <v>6657</v>
      </c>
      <c r="R39" s="19"/>
      <c r="S39" s="19"/>
      <c r="T39" s="19"/>
      <c r="U39" s="19"/>
      <c r="V39" s="19"/>
      <c r="W39" s="19"/>
    </row>
    <row r="40" spans="2:23" x14ac:dyDescent="0.2">
      <c r="D40" s="2"/>
      <c r="E40" s="1" t="s">
        <v>115</v>
      </c>
      <c r="G40" s="18">
        <v>798</v>
      </c>
      <c r="H40" s="18">
        <v>0</v>
      </c>
      <c r="I40" s="18"/>
      <c r="J40" s="18">
        <v>0</v>
      </c>
      <c r="K40" s="18">
        <f t="shared" si="8"/>
        <v>798</v>
      </c>
      <c r="L40" s="5"/>
      <c r="M40" s="19">
        <f t="shared" si="9"/>
        <v>798</v>
      </c>
      <c r="N40" s="19">
        <f t="shared" si="9"/>
        <v>0</v>
      </c>
      <c r="O40" s="19">
        <f t="shared" si="9"/>
        <v>0</v>
      </c>
      <c r="P40" s="19">
        <f t="shared" si="9"/>
        <v>0</v>
      </c>
      <c r="Q40" s="19">
        <f t="shared" si="10"/>
        <v>798</v>
      </c>
      <c r="R40" s="19"/>
      <c r="S40" s="19"/>
      <c r="T40" s="19"/>
      <c r="U40" s="19"/>
      <c r="V40" s="19"/>
      <c r="W40" s="19"/>
    </row>
    <row r="41" spans="2:23" x14ac:dyDescent="0.2">
      <c r="D41" s="2"/>
      <c r="E41" s="1" t="s">
        <v>61</v>
      </c>
      <c r="G41" s="18">
        <f>3458-1735</f>
        <v>1723</v>
      </c>
      <c r="H41" s="18">
        <v>0</v>
      </c>
      <c r="I41" s="18"/>
      <c r="J41" s="18">
        <v>0</v>
      </c>
      <c r="K41" s="18">
        <f t="shared" si="8"/>
        <v>1723</v>
      </c>
      <c r="L41" s="5"/>
      <c r="M41" s="19">
        <f t="shared" si="9"/>
        <v>1723</v>
      </c>
      <c r="N41" s="19">
        <f t="shared" si="9"/>
        <v>0</v>
      </c>
      <c r="O41" s="19">
        <f t="shared" si="9"/>
        <v>0</v>
      </c>
      <c r="P41" s="19">
        <f t="shared" si="9"/>
        <v>0</v>
      </c>
      <c r="Q41" s="19">
        <f t="shared" si="10"/>
        <v>1723</v>
      </c>
      <c r="R41" s="19"/>
      <c r="S41" s="19"/>
      <c r="T41" s="19"/>
      <c r="U41" s="19"/>
      <c r="V41" s="19"/>
      <c r="W41" s="19"/>
    </row>
    <row r="42" spans="2:23" x14ac:dyDescent="0.2">
      <c r="D42" s="2"/>
      <c r="G42" s="11"/>
      <c r="H42" s="11"/>
      <c r="I42" s="11"/>
      <c r="J42" s="11"/>
      <c r="K42" s="11"/>
      <c r="L42" s="5"/>
      <c r="Q42" s="19"/>
      <c r="R42" s="19"/>
      <c r="S42" s="19"/>
      <c r="T42" s="19"/>
      <c r="U42" s="19"/>
      <c r="V42" s="19"/>
      <c r="W42" s="19"/>
    </row>
    <row r="43" spans="2:23" x14ac:dyDescent="0.2">
      <c r="D43" s="2" t="s">
        <v>62</v>
      </c>
      <c r="G43" s="18"/>
      <c r="H43" s="18">
        <f>H11</f>
        <v>0</v>
      </c>
      <c r="I43" s="18">
        <v>0</v>
      </c>
      <c r="J43" s="18">
        <v>0</v>
      </c>
      <c r="K43" s="18">
        <f>SUM(G43:J43)</f>
        <v>0</v>
      </c>
      <c r="L43" s="5"/>
      <c r="M43" s="19">
        <f>G43</f>
        <v>0</v>
      </c>
      <c r="N43" s="19">
        <f>H43</f>
        <v>0</v>
      </c>
      <c r="O43" s="19">
        <f>I43</f>
        <v>0</v>
      </c>
      <c r="P43" s="19">
        <f>J43</f>
        <v>0</v>
      </c>
      <c r="Q43" s="19">
        <f>SUM(M43:P43)</f>
        <v>0</v>
      </c>
      <c r="R43" s="19"/>
      <c r="S43" s="19"/>
      <c r="T43" s="19"/>
      <c r="U43" s="19"/>
      <c r="V43" s="19"/>
      <c r="W43" s="19"/>
    </row>
    <row r="44" spans="2:23" x14ac:dyDescent="0.2">
      <c r="D44" s="2"/>
      <c r="G44" s="11"/>
      <c r="H44" s="11"/>
      <c r="I44" s="11"/>
      <c r="J44" s="11"/>
      <c r="L44" s="5"/>
    </row>
    <row r="45" spans="2:23" x14ac:dyDescent="0.2">
      <c r="D45" s="2" t="s">
        <v>63</v>
      </c>
      <c r="G45" s="18"/>
      <c r="H45" s="18"/>
      <c r="I45" s="18">
        <v>0</v>
      </c>
      <c r="J45" s="18">
        <v>0</v>
      </c>
      <c r="K45" s="19">
        <f>SUM(G45:J45)</f>
        <v>0</v>
      </c>
      <c r="L45" s="5"/>
      <c r="M45" s="19">
        <f>G45</f>
        <v>0</v>
      </c>
      <c r="N45" s="19">
        <f>H45</f>
        <v>0</v>
      </c>
      <c r="O45" s="19">
        <f>I45</f>
        <v>0</v>
      </c>
      <c r="P45" s="19">
        <f>J45</f>
        <v>0</v>
      </c>
      <c r="Q45" s="19">
        <f>SUM(M45:P45)</f>
        <v>0</v>
      </c>
      <c r="R45" s="19"/>
      <c r="S45" s="19"/>
      <c r="T45" s="19"/>
      <c r="U45" s="19"/>
      <c r="V45" s="19"/>
      <c r="W45" s="19"/>
    </row>
    <row r="46" spans="2:23" x14ac:dyDescent="0.2">
      <c r="D46" s="2"/>
      <c r="G46" s="11"/>
      <c r="H46" s="11"/>
      <c r="I46" s="11"/>
      <c r="J46" s="11"/>
      <c r="L46" s="5"/>
    </row>
    <row r="47" spans="2:23" x14ac:dyDescent="0.2">
      <c r="D47" s="2" t="s">
        <v>64</v>
      </c>
      <c r="G47" s="18"/>
      <c r="H47" s="18"/>
      <c r="I47" s="18">
        <v>0</v>
      </c>
      <c r="J47" s="18">
        <v>0</v>
      </c>
      <c r="K47" s="19">
        <f>SUM(G47:J47)</f>
        <v>0</v>
      </c>
      <c r="L47" s="5"/>
      <c r="M47" s="19">
        <f>G47</f>
        <v>0</v>
      </c>
      <c r="N47" s="19">
        <f>H47</f>
        <v>0</v>
      </c>
      <c r="O47" s="19">
        <f>I47</f>
        <v>0</v>
      </c>
      <c r="P47" s="19">
        <f>J47</f>
        <v>0</v>
      </c>
      <c r="Q47" s="19">
        <f>SUM(M47:P47)</f>
        <v>0</v>
      </c>
      <c r="R47" s="19"/>
      <c r="S47" s="19"/>
      <c r="T47" s="19"/>
      <c r="U47" s="19"/>
      <c r="V47" s="19"/>
      <c r="W47" s="19"/>
    </row>
    <row r="48" spans="2:23" x14ac:dyDescent="0.2">
      <c r="D48" s="2"/>
      <c r="G48" s="11"/>
      <c r="H48" s="11"/>
      <c r="I48" s="11"/>
      <c r="J48" s="11"/>
      <c r="L48" s="5"/>
    </row>
    <row r="49" spans="2:25" x14ac:dyDescent="0.2">
      <c r="D49" s="2" t="s">
        <v>65</v>
      </c>
      <c r="G49" s="18"/>
      <c r="H49" s="18">
        <v>0</v>
      </c>
      <c r="I49" s="18">
        <v>0</v>
      </c>
      <c r="J49" s="18">
        <v>0</v>
      </c>
      <c r="K49" s="19">
        <f>SUM(G49:J49)</f>
        <v>0</v>
      </c>
      <c r="L49" s="5"/>
      <c r="M49" s="19">
        <f>G49</f>
        <v>0</v>
      </c>
      <c r="N49" s="19">
        <f>H49</f>
        <v>0</v>
      </c>
      <c r="O49" s="19">
        <f>I49</f>
        <v>0</v>
      </c>
      <c r="P49" s="19">
        <f>J49</f>
        <v>0</v>
      </c>
      <c r="Q49" s="19">
        <f>SUM(M49:P49)</f>
        <v>0</v>
      </c>
      <c r="R49" s="19"/>
      <c r="S49" s="19"/>
      <c r="T49" s="19"/>
      <c r="U49" s="19"/>
      <c r="V49" s="19"/>
      <c r="W49" s="19"/>
    </row>
    <row r="50" spans="2:25" x14ac:dyDescent="0.2">
      <c r="D50" s="2" t="s">
        <v>66</v>
      </c>
      <c r="G50" s="11"/>
      <c r="H50" s="11"/>
      <c r="I50" s="11"/>
      <c r="J50" s="11"/>
      <c r="L50" s="5"/>
    </row>
    <row r="51" spans="2:25" x14ac:dyDescent="0.2">
      <c r="D51" s="2"/>
      <c r="G51" s="11"/>
      <c r="H51" s="11"/>
      <c r="I51" s="11"/>
      <c r="J51" s="11"/>
      <c r="L51" s="5"/>
    </row>
    <row r="52" spans="2:25" x14ac:dyDescent="0.2">
      <c r="B52" s="2"/>
      <c r="D52" s="2" t="s">
        <v>61</v>
      </c>
      <c r="G52" s="27"/>
      <c r="H52" s="27">
        <v>0</v>
      </c>
      <c r="I52" s="27">
        <v>0</v>
      </c>
      <c r="J52" s="27">
        <v>0</v>
      </c>
      <c r="K52" s="27">
        <f>SUM(G52:J52)</f>
        <v>0</v>
      </c>
      <c r="L52" s="5"/>
      <c r="M52" s="26">
        <f>G52</f>
        <v>0</v>
      </c>
      <c r="N52" s="26">
        <f>H52</f>
        <v>0</v>
      </c>
      <c r="O52" s="26">
        <f>I52</f>
        <v>0</v>
      </c>
      <c r="P52" s="26">
        <f>J52</f>
        <v>0</v>
      </c>
      <c r="Q52" s="26">
        <f>SUM(M52:P52)</f>
        <v>0</v>
      </c>
      <c r="R52" s="37"/>
      <c r="S52" s="37"/>
      <c r="T52" s="37"/>
      <c r="U52" s="37"/>
      <c r="V52" s="37"/>
      <c r="W52" s="37"/>
    </row>
    <row r="53" spans="2:25" x14ac:dyDescent="0.2">
      <c r="D53" s="2" t="s">
        <v>67</v>
      </c>
      <c r="G53" s="29">
        <f>SUM(G33:G52)</f>
        <v>18274</v>
      </c>
      <c r="H53" s="29">
        <f>SUM(H33:H52)</f>
        <v>0</v>
      </c>
      <c r="I53" s="29">
        <f>SUM(I33:I52)</f>
        <v>0</v>
      </c>
      <c r="J53" s="29">
        <f>SUM(J33:J52)</f>
        <v>0</v>
      </c>
      <c r="K53" s="29">
        <f>SUM(G53:J53)</f>
        <v>18274</v>
      </c>
      <c r="L53" s="5"/>
      <c r="M53" s="29">
        <f>SUM(M33:M52)</f>
        <v>18274</v>
      </c>
      <c r="N53" s="29">
        <f>SUM(N33:N52)</f>
        <v>0</v>
      </c>
      <c r="O53" s="29">
        <f>SUM(O33:O52)</f>
        <v>0</v>
      </c>
      <c r="P53" s="29">
        <f>SUM(P33:P52)</f>
        <v>0</v>
      </c>
      <c r="Q53" s="29">
        <f>SUM(M53:P53)</f>
        <v>18274</v>
      </c>
      <c r="R53" s="29"/>
      <c r="S53" s="29"/>
      <c r="T53" s="29"/>
      <c r="U53" s="29"/>
      <c r="V53" s="29"/>
      <c r="W53" s="29"/>
    </row>
    <row r="54" spans="2:25" x14ac:dyDescent="0.2">
      <c r="B54" s="2"/>
      <c r="G54" s="19"/>
      <c r="L54" s="5"/>
    </row>
    <row r="55" spans="2:25" x14ac:dyDescent="0.2">
      <c r="B55" s="2" t="s">
        <v>68</v>
      </c>
      <c r="G55" s="19">
        <v>0</v>
      </c>
      <c r="H55" s="19">
        <v>0</v>
      </c>
      <c r="I55" s="19">
        <v>0</v>
      </c>
      <c r="J55" s="19">
        <v>0</v>
      </c>
      <c r="K55" s="19">
        <f>SUM(G55:J55)</f>
        <v>0</v>
      </c>
      <c r="L55" s="5"/>
      <c r="M55" s="19">
        <v>0</v>
      </c>
      <c r="N55" s="19">
        <v>0</v>
      </c>
      <c r="O55" s="19">
        <v>0</v>
      </c>
      <c r="P55" s="19">
        <v>0</v>
      </c>
      <c r="Q55" s="19">
        <f>SUM(M55:P55)</f>
        <v>0</v>
      </c>
      <c r="R55" s="19"/>
      <c r="S55" s="19"/>
      <c r="T55" s="19"/>
      <c r="U55" s="19"/>
      <c r="V55" s="19"/>
      <c r="W55" s="19"/>
    </row>
    <row r="56" spans="2:25" x14ac:dyDescent="0.2">
      <c r="B56" s="2" t="s">
        <v>69</v>
      </c>
      <c r="D56" s="19"/>
      <c r="L56" s="5"/>
    </row>
    <row r="57" spans="2:25" ht="13.5" thickBot="1" x14ac:dyDescent="0.25">
      <c r="K57" s="19"/>
      <c r="L57" s="5"/>
      <c r="Q57" s="38"/>
      <c r="R57" s="39"/>
      <c r="S57" s="39"/>
      <c r="T57" s="39"/>
      <c r="U57" s="39"/>
      <c r="V57" s="39"/>
      <c r="W57" s="39"/>
    </row>
    <row r="58" spans="2:25" x14ac:dyDescent="0.2">
      <c r="B58" s="2" t="s">
        <v>70</v>
      </c>
      <c r="E58" s="19"/>
      <c r="G58" s="40">
        <f>G21+G24+G31+G53+G55</f>
        <v>119095.37808081103</v>
      </c>
      <c r="H58" s="40">
        <f>H21+H24+H31+H53+H55</f>
        <v>27045.175310435458</v>
      </c>
      <c r="I58" s="40">
        <f>I21+I24+I31+I53+I55</f>
        <v>491876.44660875353</v>
      </c>
      <c r="J58" s="40">
        <f>J21+J24+J31+J53+J55</f>
        <v>0</v>
      </c>
      <c r="K58" s="40">
        <f>SUM(G58:J58)</f>
        <v>638017</v>
      </c>
      <c r="L58" s="41"/>
      <c r="M58" s="40">
        <f>M21+M24+M31+M53+M55</f>
        <v>93589.491385303016</v>
      </c>
      <c r="N58" s="40">
        <f>N21+N24+N31+N53+N55</f>
        <v>14652.210241946854</v>
      </c>
      <c r="O58" s="40">
        <f>O21+O24+O31+O53+O55</f>
        <v>247598.1680702384</v>
      </c>
      <c r="P58" s="40">
        <f>P21+P24+P31+P53+P55</f>
        <v>0</v>
      </c>
      <c r="Q58" s="40">
        <f>SUM(M58:P58)</f>
        <v>355839.86969748826</v>
      </c>
      <c r="R58" s="32"/>
      <c r="S58" s="32"/>
      <c r="T58" s="32"/>
      <c r="U58" s="32"/>
      <c r="V58" s="32"/>
      <c r="W58" s="32"/>
    </row>
    <row r="59" spans="2:25" x14ac:dyDescent="0.2">
      <c r="L59" s="5"/>
    </row>
    <row r="60" spans="2:25" x14ac:dyDescent="0.2">
      <c r="L60" s="5"/>
    </row>
    <row r="61" spans="2:25" ht="14.25" x14ac:dyDescent="0.2">
      <c r="B61" s="16" t="s">
        <v>71</v>
      </c>
      <c r="K61" s="11"/>
      <c r="L61" s="5"/>
    </row>
    <row r="62" spans="2:25" x14ac:dyDescent="0.2">
      <c r="D62" s="11" t="s">
        <v>72</v>
      </c>
      <c r="E62" s="36" t="s">
        <v>23</v>
      </c>
      <c r="G62" s="19">
        <v>0</v>
      </c>
      <c r="H62" s="19">
        <v>0</v>
      </c>
      <c r="I62" s="19">
        <v>242921</v>
      </c>
      <c r="J62" s="18">
        <v>0</v>
      </c>
      <c r="K62" s="18">
        <v>242920.6</v>
      </c>
      <c r="L62" s="5"/>
      <c r="M62" s="19">
        <f>G62</f>
        <v>0</v>
      </c>
      <c r="N62" s="19">
        <f>H62</f>
        <v>0</v>
      </c>
      <c r="O62" s="19">
        <f>Q62</f>
        <v>242920.6</v>
      </c>
      <c r="P62" s="18">
        <f>J62</f>
        <v>0</v>
      </c>
      <c r="Q62" s="18">
        <f>$K$62</f>
        <v>242920.6</v>
      </c>
      <c r="R62" s="18"/>
      <c r="S62" s="18"/>
      <c r="T62" s="18"/>
      <c r="U62" s="18"/>
      <c r="V62" s="18"/>
      <c r="W62" s="18"/>
      <c r="Y62" s="23" t="s">
        <v>73</v>
      </c>
    </row>
    <row r="63" spans="2:25" x14ac:dyDescent="0.2">
      <c r="D63" s="11"/>
      <c r="E63" s="36" t="s">
        <v>25</v>
      </c>
      <c r="G63" s="42">
        <v>0</v>
      </c>
      <c r="H63" s="42">
        <v>0</v>
      </c>
      <c r="I63" s="42">
        <f>K63</f>
        <v>0</v>
      </c>
      <c r="J63" s="43">
        <v>0</v>
      </c>
      <c r="K63" s="43">
        <v>0</v>
      </c>
      <c r="L63" s="5"/>
      <c r="M63" s="42">
        <f>G63</f>
        <v>0</v>
      </c>
      <c r="N63" s="42">
        <f>H63</f>
        <v>0</v>
      </c>
      <c r="O63" s="42">
        <f>I63</f>
        <v>0</v>
      </c>
      <c r="P63" s="43">
        <f>J63</f>
        <v>0</v>
      </c>
      <c r="Q63" s="42">
        <f>K63</f>
        <v>0</v>
      </c>
      <c r="R63" s="42"/>
      <c r="S63" s="42"/>
      <c r="T63" s="42"/>
      <c r="U63" s="42"/>
      <c r="V63" s="42"/>
      <c r="W63" s="42"/>
      <c r="Y63" s="44">
        <f>$K$62-(327*25.09*8)</f>
        <v>177285.16</v>
      </c>
    </row>
    <row r="64" spans="2:25" x14ac:dyDescent="0.2">
      <c r="D64" s="11"/>
      <c r="E64" s="36"/>
      <c r="J64" s="11"/>
      <c r="K64" s="11"/>
      <c r="L64" s="5"/>
      <c r="P64" s="11"/>
    </row>
    <row r="65" spans="4:23" x14ac:dyDescent="0.2">
      <c r="D65" s="11" t="s">
        <v>74</v>
      </c>
      <c r="E65" s="36" t="s">
        <v>23</v>
      </c>
      <c r="G65" s="19">
        <f>K65*$N$124</f>
        <v>332233.76319365005</v>
      </c>
      <c r="H65" s="19">
        <f>K65*$O$124</f>
        <v>13.450334643288922</v>
      </c>
      <c r="I65" s="19">
        <f>K65*$P$124</f>
        <v>306379.28647170664</v>
      </c>
      <c r="J65" s="18">
        <v>0</v>
      </c>
      <c r="K65" s="18">
        <v>638626.5</v>
      </c>
      <c r="L65" s="5"/>
      <c r="M65" s="19">
        <f>$G$105*Q65</f>
        <v>191327.90330310797</v>
      </c>
      <c r="N65" s="19">
        <f>$H$105*Q65</f>
        <v>11240.580784667023</v>
      </c>
      <c r="O65" s="19">
        <f>$I$105*Q65</f>
        <v>436057.60050216608</v>
      </c>
      <c r="P65" s="18">
        <f t="shared" ref="P65:Q66" si="11">J65</f>
        <v>0</v>
      </c>
      <c r="Q65" s="18">
        <f>K65</f>
        <v>638626.5</v>
      </c>
      <c r="R65" s="18"/>
      <c r="S65" s="18"/>
      <c r="T65" s="18"/>
      <c r="U65" s="18"/>
      <c r="V65" s="18"/>
      <c r="W65" s="18"/>
    </row>
    <row r="66" spans="4:23" ht="12.75" customHeight="1" x14ac:dyDescent="0.2">
      <c r="D66" s="11"/>
      <c r="E66" s="36" t="s">
        <v>25</v>
      </c>
      <c r="G66" s="19">
        <f t="shared" ref="G66:G80" si="12">K66*$N$124</f>
        <v>0</v>
      </c>
      <c r="H66" s="19">
        <f t="shared" ref="H66:H80" si="13">K66*$O$124</f>
        <v>0</v>
      </c>
      <c r="I66" s="19">
        <f t="shared" ref="I66:I73" si="14">K66*$I$105</f>
        <v>0</v>
      </c>
      <c r="J66" s="46">
        <v>0</v>
      </c>
      <c r="K66" s="43">
        <v>0</v>
      </c>
      <c r="L66" s="5"/>
      <c r="M66" s="42">
        <f>G66</f>
        <v>0</v>
      </c>
      <c r="N66" s="42">
        <f>H66</f>
        <v>0</v>
      </c>
      <c r="O66" s="42">
        <f>I66</f>
        <v>0</v>
      </c>
      <c r="P66" s="43">
        <f t="shared" si="11"/>
        <v>0</v>
      </c>
      <c r="Q66" s="42">
        <f t="shared" si="11"/>
        <v>0</v>
      </c>
      <c r="R66" s="42"/>
      <c r="S66" s="42"/>
      <c r="T66" s="42"/>
      <c r="U66" s="42"/>
      <c r="V66" s="42"/>
      <c r="W66" s="42"/>
    </row>
    <row r="67" spans="4:23" ht="12.75" customHeight="1" x14ac:dyDescent="0.2">
      <c r="D67" s="11"/>
      <c r="E67" s="36"/>
      <c r="G67" s="19">
        <f t="shared" si="12"/>
        <v>0</v>
      </c>
      <c r="H67" s="19">
        <f t="shared" si="13"/>
        <v>0</v>
      </c>
      <c r="I67" s="19">
        <f t="shared" si="14"/>
        <v>0</v>
      </c>
      <c r="J67" s="11"/>
      <c r="K67" s="11"/>
      <c r="L67" s="5"/>
      <c r="P67" s="11"/>
    </row>
    <row r="68" spans="4:23" x14ac:dyDescent="0.2">
      <c r="D68" s="11" t="s">
        <v>75</v>
      </c>
      <c r="E68" s="36" t="s">
        <v>23</v>
      </c>
      <c r="G68" s="19">
        <f t="shared" si="12"/>
        <v>0</v>
      </c>
      <c r="H68" s="19">
        <f t="shared" si="13"/>
        <v>0</v>
      </c>
      <c r="I68" s="19">
        <f>K68*$I$105</f>
        <v>0</v>
      </c>
      <c r="J68" s="18">
        <v>0</v>
      </c>
      <c r="K68" s="18"/>
      <c r="L68" s="5"/>
      <c r="M68" s="19">
        <f>$G$105*Q$68</f>
        <v>0</v>
      </c>
      <c r="N68" s="19">
        <f>$H$105*Q$68</f>
        <v>0</v>
      </c>
      <c r="O68" s="19">
        <f>$I$105*Q$68</f>
        <v>0</v>
      </c>
      <c r="P68" s="18">
        <f>J68</f>
        <v>0</v>
      </c>
      <c r="Q68" s="18">
        <f>K68</f>
        <v>0</v>
      </c>
      <c r="R68" s="18"/>
      <c r="S68" s="18"/>
      <c r="T68" s="18"/>
      <c r="U68" s="18"/>
      <c r="V68" s="18"/>
      <c r="W68" s="18"/>
    </row>
    <row r="69" spans="4:23" x14ac:dyDescent="0.2">
      <c r="D69" s="11"/>
      <c r="E69" s="36" t="s">
        <v>25</v>
      </c>
      <c r="G69" s="19">
        <f t="shared" si="12"/>
        <v>0</v>
      </c>
      <c r="H69" s="19">
        <f t="shared" si="13"/>
        <v>0</v>
      </c>
      <c r="I69" s="19">
        <f t="shared" si="14"/>
        <v>0</v>
      </c>
      <c r="J69" s="43">
        <v>0</v>
      </c>
      <c r="K69" s="43">
        <v>0</v>
      </c>
      <c r="L69" s="5"/>
      <c r="M69" s="42">
        <f>G69</f>
        <v>0</v>
      </c>
      <c r="N69" s="42">
        <f>H69</f>
        <v>0</v>
      </c>
      <c r="O69" s="42">
        <f>I69</f>
        <v>0</v>
      </c>
      <c r="P69" s="43">
        <f>J69</f>
        <v>0</v>
      </c>
      <c r="Q69" s="42">
        <f>K69</f>
        <v>0</v>
      </c>
      <c r="R69" s="42"/>
      <c r="S69" s="42"/>
      <c r="T69" s="42"/>
      <c r="U69" s="42"/>
      <c r="V69" s="42"/>
      <c r="W69" s="42"/>
    </row>
    <row r="70" spans="4:23" x14ac:dyDescent="0.2">
      <c r="D70" s="11"/>
      <c r="E70" s="36"/>
      <c r="G70" s="19">
        <f t="shared" si="12"/>
        <v>0</v>
      </c>
      <c r="H70" s="19">
        <f t="shared" si="13"/>
        <v>0</v>
      </c>
      <c r="I70" s="19">
        <f t="shared" si="14"/>
        <v>0</v>
      </c>
      <c r="J70" s="43"/>
      <c r="K70" s="43"/>
      <c r="L70" s="5"/>
      <c r="M70" s="42"/>
      <c r="N70" s="42"/>
      <c r="O70" s="42"/>
      <c r="P70" s="43"/>
      <c r="Q70" s="43"/>
      <c r="R70" s="43"/>
      <c r="S70" s="43"/>
      <c r="T70" s="43"/>
      <c r="U70" s="43"/>
      <c r="V70" s="43"/>
      <c r="W70" s="43"/>
    </row>
    <row r="71" spans="4:23" x14ac:dyDescent="0.2">
      <c r="D71" s="47" t="s">
        <v>76</v>
      </c>
      <c r="E71" s="36" t="s">
        <v>23</v>
      </c>
      <c r="G71" s="19">
        <f t="shared" si="12"/>
        <v>0</v>
      </c>
      <c r="H71" s="19">
        <f t="shared" si="13"/>
        <v>0</v>
      </c>
      <c r="I71" s="19">
        <f>K71*$I$105</f>
        <v>0</v>
      </c>
      <c r="J71" s="18">
        <v>0</v>
      </c>
      <c r="K71" s="18">
        <v>0</v>
      </c>
      <c r="L71" s="5"/>
      <c r="M71" s="19">
        <f>G71</f>
        <v>0</v>
      </c>
      <c r="N71" s="19">
        <f t="shared" ref="M71:Q72" si="15">H71</f>
        <v>0</v>
      </c>
      <c r="O71" s="19">
        <f t="shared" si="15"/>
        <v>0</v>
      </c>
      <c r="P71" s="18">
        <f t="shared" si="15"/>
        <v>0</v>
      </c>
      <c r="Q71" s="18">
        <f>K71</f>
        <v>0</v>
      </c>
      <c r="R71" s="18"/>
      <c r="S71" s="18"/>
      <c r="T71" s="18"/>
      <c r="U71" s="18"/>
      <c r="V71" s="18"/>
      <c r="W71" s="18"/>
    </row>
    <row r="72" spans="4:23" x14ac:dyDescent="0.2">
      <c r="D72" s="11"/>
      <c r="E72" s="36" t="s">
        <v>25</v>
      </c>
      <c r="G72" s="19">
        <f t="shared" si="12"/>
        <v>0</v>
      </c>
      <c r="H72" s="19">
        <f t="shared" si="13"/>
        <v>0</v>
      </c>
      <c r="I72" s="19">
        <f t="shared" si="14"/>
        <v>0</v>
      </c>
      <c r="J72" s="43">
        <v>0</v>
      </c>
      <c r="K72" s="43">
        <v>0</v>
      </c>
      <c r="L72" s="5"/>
      <c r="M72" s="42">
        <f t="shared" si="15"/>
        <v>0</v>
      </c>
      <c r="N72" s="42">
        <f t="shared" si="15"/>
        <v>0</v>
      </c>
      <c r="O72" s="42">
        <f t="shared" si="15"/>
        <v>0</v>
      </c>
      <c r="P72" s="43">
        <f t="shared" si="15"/>
        <v>0</v>
      </c>
      <c r="Q72" s="42">
        <f t="shared" si="15"/>
        <v>0</v>
      </c>
      <c r="R72" s="42"/>
      <c r="S72" s="42"/>
      <c r="T72" s="42"/>
      <c r="U72" s="42"/>
      <c r="V72" s="42"/>
      <c r="W72" s="42"/>
    </row>
    <row r="73" spans="4:23" x14ac:dyDescent="0.2">
      <c r="D73" s="11"/>
      <c r="E73" s="36"/>
      <c r="G73" s="19">
        <f t="shared" si="12"/>
        <v>0</v>
      </c>
      <c r="H73" s="19">
        <f t="shared" si="13"/>
        <v>0</v>
      </c>
      <c r="I73" s="19">
        <f t="shared" si="14"/>
        <v>0</v>
      </c>
      <c r="J73" s="43"/>
      <c r="K73" s="43"/>
      <c r="L73" s="5"/>
      <c r="M73" s="42"/>
      <c r="N73" s="42"/>
      <c r="O73" s="42"/>
      <c r="P73" s="43"/>
      <c r="Q73" s="42"/>
      <c r="R73" s="42"/>
      <c r="S73" s="42"/>
      <c r="T73" s="42"/>
      <c r="U73" s="42"/>
      <c r="V73" s="42"/>
      <c r="W73" s="42"/>
    </row>
    <row r="74" spans="4:23" x14ac:dyDescent="0.2">
      <c r="D74" s="11" t="s">
        <v>77</v>
      </c>
      <c r="E74" s="36" t="s">
        <v>23</v>
      </c>
      <c r="G74" s="19">
        <f t="shared" si="12"/>
        <v>3731.6221349850844</v>
      </c>
      <c r="H74" s="19">
        <f t="shared" si="13"/>
        <v>0.15107304566332816</v>
      </c>
      <c r="I74" s="19">
        <f t="shared" ref="I74:I79" si="16">K74*$P$124</f>
        <v>3441.2267919692522</v>
      </c>
      <c r="J74" s="18">
        <v>0</v>
      </c>
      <c r="K74" s="18">
        <v>7173</v>
      </c>
      <c r="L74" s="5"/>
      <c r="M74" s="19">
        <f>G74</f>
        <v>3731.6221349850844</v>
      </c>
      <c r="N74" s="19">
        <f t="shared" ref="M74:Q75" si="17">H74</f>
        <v>0.15107304566332816</v>
      </c>
      <c r="O74" s="19">
        <f t="shared" si="17"/>
        <v>3441.2267919692522</v>
      </c>
      <c r="P74" s="18">
        <f t="shared" si="17"/>
        <v>0</v>
      </c>
      <c r="Q74" s="18">
        <f>K74</f>
        <v>7173</v>
      </c>
      <c r="R74" s="42"/>
      <c r="S74" s="42"/>
      <c r="T74" s="42"/>
      <c r="U74" s="42"/>
      <c r="V74" s="42"/>
      <c r="W74" s="42"/>
    </row>
    <row r="75" spans="4:23" x14ac:dyDescent="0.2">
      <c r="D75" s="11"/>
      <c r="E75" s="36" t="s">
        <v>25</v>
      </c>
      <c r="G75" s="19">
        <f t="shared" si="12"/>
        <v>0</v>
      </c>
      <c r="H75" s="19">
        <f t="shared" si="13"/>
        <v>0</v>
      </c>
      <c r="I75" s="19">
        <f t="shared" si="16"/>
        <v>0</v>
      </c>
      <c r="J75" s="43">
        <v>0</v>
      </c>
      <c r="K75" s="43">
        <v>0</v>
      </c>
      <c r="L75" s="5"/>
      <c r="M75" s="42">
        <f t="shared" si="17"/>
        <v>0</v>
      </c>
      <c r="N75" s="42">
        <f t="shared" si="17"/>
        <v>0</v>
      </c>
      <c r="O75" s="42">
        <f t="shared" si="17"/>
        <v>0</v>
      </c>
      <c r="P75" s="43">
        <f t="shared" si="17"/>
        <v>0</v>
      </c>
      <c r="Q75" s="42">
        <f t="shared" si="17"/>
        <v>0</v>
      </c>
      <c r="R75" s="42"/>
      <c r="S75" s="42"/>
      <c r="T75" s="42"/>
      <c r="U75" s="42"/>
      <c r="V75" s="42"/>
      <c r="W75" s="42"/>
    </row>
    <row r="76" spans="4:23" x14ac:dyDescent="0.2">
      <c r="D76" s="11"/>
      <c r="E76" s="36"/>
      <c r="G76" s="19">
        <f t="shared" si="12"/>
        <v>0</v>
      </c>
      <c r="H76" s="19">
        <f t="shared" si="13"/>
        <v>0</v>
      </c>
      <c r="I76" s="19">
        <f t="shared" si="16"/>
        <v>0</v>
      </c>
      <c r="J76" s="11"/>
      <c r="K76" s="11"/>
      <c r="L76" s="5"/>
      <c r="P76" s="11"/>
    </row>
    <row r="77" spans="4:23" x14ac:dyDescent="0.2">
      <c r="D77" s="47" t="s">
        <v>78</v>
      </c>
      <c r="E77" s="36" t="s">
        <v>23</v>
      </c>
      <c r="G77" s="19">
        <f t="shared" si="12"/>
        <v>0</v>
      </c>
      <c r="H77" s="19">
        <f t="shared" si="13"/>
        <v>0</v>
      </c>
      <c r="I77" s="19">
        <f t="shared" si="16"/>
        <v>0</v>
      </c>
      <c r="J77" s="18">
        <v>0</v>
      </c>
      <c r="K77" s="18">
        <v>0</v>
      </c>
      <c r="L77" s="5"/>
      <c r="M77" s="19">
        <f t="shared" ref="M77:Q78" si="18">G77</f>
        <v>0</v>
      </c>
      <c r="N77" s="19">
        <f t="shared" si="18"/>
        <v>0</v>
      </c>
      <c r="O77" s="19">
        <f t="shared" si="18"/>
        <v>0</v>
      </c>
      <c r="P77" s="18">
        <f t="shared" si="18"/>
        <v>0</v>
      </c>
      <c r="Q77" s="18">
        <f>K77</f>
        <v>0</v>
      </c>
    </row>
    <row r="78" spans="4:23" x14ac:dyDescent="0.2">
      <c r="D78" s="11"/>
      <c r="E78" s="36" t="s">
        <v>25</v>
      </c>
      <c r="G78" s="19">
        <f t="shared" si="12"/>
        <v>0</v>
      </c>
      <c r="H78" s="19">
        <f t="shared" si="13"/>
        <v>0</v>
      </c>
      <c r="I78" s="19">
        <f t="shared" si="16"/>
        <v>0</v>
      </c>
      <c r="J78" s="43">
        <v>0</v>
      </c>
      <c r="K78" s="43">
        <v>0</v>
      </c>
      <c r="L78" s="5"/>
      <c r="M78" s="42">
        <f t="shared" si="18"/>
        <v>0</v>
      </c>
      <c r="N78" s="42">
        <f t="shared" si="18"/>
        <v>0</v>
      </c>
      <c r="O78" s="42">
        <f t="shared" si="18"/>
        <v>0</v>
      </c>
      <c r="P78" s="43">
        <f t="shared" si="18"/>
        <v>0</v>
      </c>
      <c r="Q78" s="42">
        <f t="shared" si="18"/>
        <v>0</v>
      </c>
    </row>
    <row r="79" spans="4:23" x14ac:dyDescent="0.2">
      <c r="D79" s="11"/>
      <c r="E79" s="36"/>
      <c r="G79" s="19">
        <f t="shared" si="12"/>
        <v>0</v>
      </c>
      <c r="H79" s="19">
        <f t="shared" si="13"/>
        <v>0</v>
      </c>
      <c r="I79" s="19">
        <f t="shared" si="16"/>
        <v>0</v>
      </c>
      <c r="J79" s="11"/>
      <c r="K79" s="11"/>
      <c r="L79" s="5"/>
      <c r="P79" s="11"/>
    </row>
    <row r="80" spans="4:23" x14ac:dyDescent="0.2">
      <c r="D80" s="47" t="s">
        <v>162</v>
      </c>
      <c r="E80" s="36" t="s">
        <v>23</v>
      </c>
      <c r="G80" s="19">
        <f t="shared" si="12"/>
        <v>5516.0169381356263</v>
      </c>
      <c r="H80" s="19">
        <f t="shared" si="13"/>
        <v>0.22331346761024237</v>
      </c>
      <c r="I80" s="19">
        <f>K80*$P$124</f>
        <v>5086.7597483967629</v>
      </c>
      <c r="J80" s="18">
        <v>0</v>
      </c>
      <c r="K80" s="18">
        <v>10603</v>
      </c>
      <c r="L80" s="5"/>
      <c r="M80" s="19">
        <f>G80</f>
        <v>5516.0169381356263</v>
      </c>
      <c r="N80" s="19">
        <f t="shared" ref="M80:Q81" si="19">H80</f>
        <v>0.22331346761024237</v>
      </c>
      <c r="O80" s="19">
        <f t="shared" si="19"/>
        <v>5086.7597483967629</v>
      </c>
      <c r="P80" s="18">
        <f t="shared" si="19"/>
        <v>0</v>
      </c>
      <c r="Q80" s="18">
        <f>K80</f>
        <v>10603</v>
      </c>
    </row>
    <row r="81" spans="2:24" x14ac:dyDescent="0.2">
      <c r="D81" s="11"/>
      <c r="E81" s="36" t="s">
        <v>25</v>
      </c>
      <c r="G81" s="19">
        <f t="shared" ref="G81:G88" si="20">$G$105*K81</f>
        <v>0</v>
      </c>
      <c r="H81" s="19">
        <f t="shared" ref="H81:H88" si="21">K81*$H$105</f>
        <v>0</v>
      </c>
      <c r="I81" s="19">
        <f t="shared" ref="I81:I88" si="22">K81*$I$105</f>
        <v>0</v>
      </c>
      <c r="J81" s="43">
        <v>0</v>
      </c>
      <c r="K81" s="43">
        <v>0</v>
      </c>
      <c r="L81" s="5"/>
      <c r="M81" s="42">
        <f t="shared" si="19"/>
        <v>0</v>
      </c>
      <c r="N81" s="42">
        <f t="shared" si="19"/>
        <v>0</v>
      </c>
      <c r="O81" s="42">
        <f t="shared" si="19"/>
        <v>0</v>
      </c>
      <c r="P81" s="43">
        <f t="shared" si="19"/>
        <v>0</v>
      </c>
      <c r="Q81" s="42">
        <f t="shared" si="19"/>
        <v>0</v>
      </c>
    </row>
    <row r="82" spans="2:24" x14ac:dyDescent="0.2">
      <c r="D82" s="11"/>
      <c r="E82" s="36"/>
      <c r="G82" s="19">
        <f t="shared" si="20"/>
        <v>0</v>
      </c>
      <c r="H82" s="19">
        <f t="shared" si="21"/>
        <v>0</v>
      </c>
      <c r="I82" s="19">
        <f t="shared" si="22"/>
        <v>0</v>
      </c>
      <c r="J82" s="11"/>
      <c r="K82" s="11"/>
      <c r="L82" s="5"/>
      <c r="P82" s="11"/>
    </row>
    <row r="83" spans="2:24" x14ac:dyDescent="0.2">
      <c r="D83" s="47" t="s">
        <v>80</v>
      </c>
      <c r="E83" s="36" t="s">
        <v>23</v>
      </c>
      <c r="G83" s="19">
        <f>K83*$G$105</f>
        <v>0</v>
      </c>
      <c r="H83" s="19">
        <f>K83*$H$105</f>
        <v>0</v>
      </c>
      <c r="I83" s="19">
        <f>K83*$I$105</f>
        <v>0</v>
      </c>
      <c r="J83" s="18">
        <v>0</v>
      </c>
      <c r="K83" s="18">
        <v>0</v>
      </c>
      <c r="L83" s="5"/>
      <c r="M83" s="19">
        <f>G83</f>
        <v>0</v>
      </c>
      <c r="N83" s="19">
        <f t="shared" ref="M83:Q84" si="23">H83</f>
        <v>0</v>
      </c>
      <c r="O83" s="19">
        <f t="shared" si="23"/>
        <v>0</v>
      </c>
      <c r="P83" s="18">
        <f t="shared" si="23"/>
        <v>0</v>
      </c>
      <c r="Q83" s="18">
        <f>K83</f>
        <v>0</v>
      </c>
    </row>
    <row r="84" spans="2:24" x14ac:dyDescent="0.2">
      <c r="D84" s="11"/>
      <c r="E84" s="36" t="s">
        <v>25</v>
      </c>
      <c r="G84" s="19">
        <f t="shared" si="20"/>
        <v>0</v>
      </c>
      <c r="H84" s="19">
        <f t="shared" si="21"/>
        <v>0</v>
      </c>
      <c r="I84" s="19">
        <f t="shared" si="22"/>
        <v>0</v>
      </c>
      <c r="J84" s="43">
        <v>0</v>
      </c>
      <c r="K84" s="43"/>
      <c r="L84" s="5"/>
      <c r="M84" s="42">
        <f t="shared" si="23"/>
        <v>0</v>
      </c>
      <c r="N84" s="42">
        <f t="shared" si="23"/>
        <v>0</v>
      </c>
      <c r="O84" s="42">
        <f t="shared" si="23"/>
        <v>0</v>
      </c>
      <c r="P84" s="43">
        <f t="shared" si="23"/>
        <v>0</v>
      </c>
      <c r="Q84" s="42">
        <f t="shared" si="23"/>
        <v>0</v>
      </c>
    </row>
    <row r="85" spans="2:24" x14ac:dyDescent="0.2">
      <c r="D85" s="11"/>
      <c r="E85" s="36"/>
      <c r="G85" s="19">
        <f t="shared" si="20"/>
        <v>0</v>
      </c>
      <c r="H85" s="19">
        <f t="shared" si="21"/>
        <v>0</v>
      </c>
      <c r="I85" s="19">
        <f t="shared" si="22"/>
        <v>0</v>
      </c>
      <c r="J85" s="11"/>
      <c r="K85" s="11"/>
      <c r="L85" s="5"/>
      <c r="P85" s="11"/>
    </row>
    <row r="86" spans="2:24" x14ac:dyDescent="0.2">
      <c r="D86" s="47" t="s">
        <v>81</v>
      </c>
      <c r="E86" s="36" t="s">
        <v>23</v>
      </c>
      <c r="G86" s="19">
        <f>K86*$G$105</f>
        <v>0</v>
      </c>
      <c r="H86" s="19">
        <f>K86*$H$105</f>
        <v>0</v>
      </c>
      <c r="I86" s="19">
        <f>K86*$I$105</f>
        <v>0</v>
      </c>
      <c r="J86" s="18">
        <v>0</v>
      </c>
      <c r="K86" s="18">
        <v>0</v>
      </c>
      <c r="L86" s="5"/>
      <c r="M86" s="19">
        <f t="shared" ref="M86:Q87" si="24">G86</f>
        <v>0</v>
      </c>
      <c r="N86" s="19">
        <f t="shared" si="24"/>
        <v>0</v>
      </c>
      <c r="O86" s="19">
        <f t="shared" si="24"/>
        <v>0</v>
      </c>
      <c r="P86" s="18">
        <f t="shared" si="24"/>
        <v>0</v>
      </c>
      <c r="Q86" s="19">
        <f>K86</f>
        <v>0</v>
      </c>
      <c r="R86" s="19"/>
      <c r="S86" s="19"/>
      <c r="T86" s="19"/>
      <c r="U86" s="19"/>
      <c r="V86" s="19"/>
      <c r="W86" s="19"/>
    </row>
    <row r="87" spans="2:24" x14ac:dyDescent="0.2">
      <c r="E87" s="36" t="s">
        <v>25</v>
      </c>
      <c r="G87" s="19">
        <f t="shared" si="20"/>
        <v>0</v>
      </c>
      <c r="H87" s="19">
        <f t="shared" si="21"/>
        <v>0</v>
      </c>
      <c r="I87" s="19">
        <f t="shared" si="22"/>
        <v>0</v>
      </c>
      <c r="J87" s="43">
        <v>0</v>
      </c>
      <c r="K87" s="43">
        <v>0</v>
      </c>
      <c r="L87" s="5"/>
      <c r="M87" s="42">
        <f t="shared" si="24"/>
        <v>0</v>
      </c>
      <c r="N87" s="42">
        <f t="shared" si="24"/>
        <v>0</v>
      </c>
      <c r="O87" s="42">
        <f t="shared" si="24"/>
        <v>0</v>
      </c>
      <c r="P87" s="43">
        <f t="shared" si="24"/>
        <v>0</v>
      </c>
      <c r="Q87" s="42">
        <f t="shared" si="24"/>
        <v>0</v>
      </c>
      <c r="R87" s="42"/>
      <c r="S87" s="42"/>
      <c r="T87" s="42"/>
      <c r="U87" s="42"/>
      <c r="V87" s="42"/>
      <c r="W87" s="42"/>
    </row>
    <row r="88" spans="2:24" x14ac:dyDescent="0.2">
      <c r="E88" s="36"/>
      <c r="G88" s="19">
        <f t="shared" si="20"/>
        <v>0</v>
      </c>
      <c r="H88" s="19">
        <f t="shared" si="21"/>
        <v>0</v>
      </c>
      <c r="I88" s="19">
        <f t="shared" si="22"/>
        <v>0</v>
      </c>
      <c r="J88" s="43"/>
      <c r="K88" s="43"/>
      <c r="L88" s="5"/>
      <c r="M88" s="42"/>
      <c r="N88" s="42"/>
      <c r="O88" s="42"/>
      <c r="P88" s="43"/>
      <c r="Q88" s="42"/>
      <c r="R88" s="42"/>
      <c r="S88" s="42"/>
      <c r="T88" s="42"/>
      <c r="U88" s="42"/>
      <c r="V88" s="42"/>
      <c r="W88" s="42"/>
    </row>
    <row r="89" spans="2:24" x14ac:dyDescent="0.2">
      <c r="D89" s="11" t="s">
        <v>82</v>
      </c>
      <c r="E89" s="36" t="s">
        <v>23</v>
      </c>
      <c r="G89" s="19">
        <f>K89*$G$105</f>
        <v>0</v>
      </c>
      <c r="H89" s="19">
        <f>K89*$H$105</f>
        <v>0</v>
      </c>
      <c r="I89" s="19">
        <f>K89*$I$105</f>
        <v>0</v>
      </c>
      <c r="J89" s="18">
        <v>0</v>
      </c>
      <c r="K89" s="18">
        <v>0</v>
      </c>
      <c r="L89" s="5"/>
      <c r="M89" s="19">
        <f>G89</f>
        <v>0</v>
      </c>
      <c r="N89" s="19">
        <f>H89</f>
        <v>0</v>
      </c>
      <c r="O89" s="19">
        <f>I89</f>
        <v>0</v>
      </c>
      <c r="P89" s="18">
        <f>J89</f>
        <v>0</v>
      </c>
      <c r="Q89" s="19">
        <f>K89</f>
        <v>0</v>
      </c>
      <c r="R89" s="19"/>
      <c r="S89" s="19"/>
      <c r="T89" s="19"/>
      <c r="U89" s="19"/>
      <c r="V89" s="19"/>
      <c r="W89" s="19"/>
    </row>
    <row r="90" spans="2:24" ht="13.5" thickBot="1" x14ac:dyDescent="0.25">
      <c r="D90" s="11"/>
      <c r="J90" s="11"/>
      <c r="L90" s="5"/>
      <c r="X90" s="48"/>
    </row>
    <row r="91" spans="2:24" ht="13.5" thickBot="1" x14ac:dyDescent="0.25">
      <c r="B91" s="2" t="s">
        <v>83</v>
      </c>
      <c r="E91" s="36" t="s">
        <v>23</v>
      </c>
      <c r="G91" s="40">
        <f>G62+G65+G68+G71+G74+G77+G80+G83+G86+G89</f>
        <v>341481.40226677078</v>
      </c>
      <c r="H91" s="40">
        <f>H62+H65+H68+H71+H74+H77+H80+H83+H86+H89</f>
        <v>13.824721156562493</v>
      </c>
      <c r="I91" s="40">
        <f>I62+I65+I68+I71+I74+I77+I80+I83+I86+I89</f>
        <v>557828.27301207266</v>
      </c>
      <c r="J91" s="40">
        <f t="shared" ref="J91" si="25">J62+J65+J68+J71+J74+J77+J80+J83+J86+J89</f>
        <v>0</v>
      </c>
      <c r="K91" s="40">
        <f>K62+K65+K68+K71+K74+K77+K80+K83+K86+K89</f>
        <v>899323.1</v>
      </c>
      <c r="L91" s="41"/>
      <c r="M91" s="40">
        <f>M62+M65+M68+M71+M74+M77+M80+M83+M86+M89</f>
        <v>200575.5423762287</v>
      </c>
      <c r="N91" s="40">
        <f>N62+N65+N68+N71+N74+N77+N80+N83+N86+N89</f>
        <v>11240.955171180296</v>
      </c>
      <c r="O91" s="40">
        <f>O62+O65+O68+O71+O74+O77+O80+O83+O86+O89</f>
        <v>687506.18704253214</v>
      </c>
      <c r="P91" s="40">
        <f>P62+P65+P68+P71+P74+P77+P80+P83+P86+P89</f>
        <v>0</v>
      </c>
      <c r="Q91" s="40">
        <f>SUM(M91:P91)</f>
        <v>899322.68458994117</v>
      </c>
      <c r="R91" s="32"/>
      <c r="S91" s="32"/>
      <c r="T91" s="32"/>
      <c r="U91" s="32"/>
      <c r="V91" s="32"/>
      <c r="W91" s="32"/>
      <c r="X91" s="39"/>
    </row>
    <row r="92" spans="2:24" x14ac:dyDescent="0.2">
      <c r="B92" s="2"/>
      <c r="E92" s="36" t="s">
        <v>25</v>
      </c>
      <c r="G92" s="40">
        <f>G63+G66+G69+G72+G75+G78+G81+G84+G87</f>
        <v>0</v>
      </c>
      <c r="H92" s="40">
        <f>H63+H66+H69+H72+H75+H78+H81+H84+H87</f>
        <v>0</v>
      </c>
      <c r="I92" s="40">
        <f>I63+I66+I69+I72+I75+I78+I81+I84+I87</f>
        <v>0</v>
      </c>
      <c r="J92" s="40">
        <f>J63+J66+J69+J72+J75+J78+J81+J84+J87</f>
        <v>0</v>
      </c>
      <c r="K92" s="49">
        <f>SUM(G92:J92)</f>
        <v>0</v>
      </c>
      <c r="L92" s="50"/>
      <c r="M92" s="40">
        <f>M63+M66+M69+M72+M75+M78+M81+M84+M87</f>
        <v>0</v>
      </c>
      <c r="N92" s="40">
        <f>N63+N66+N69+N72+N75+N78+N81+N84+N87</f>
        <v>0</v>
      </c>
      <c r="O92" s="40">
        <f>O63+O66+O69+O72+O75+O78+O81+O84+O87</f>
        <v>0</v>
      </c>
      <c r="P92" s="40">
        <f>P63+P66+P69+P72+P75+P78+P81+P84+P87</f>
        <v>0</v>
      </c>
      <c r="Q92" s="49">
        <f>SUM(M92:P92)</f>
        <v>0</v>
      </c>
      <c r="R92" s="51"/>
      <c r="S92" s="51"/>
      <c r="T92" s="51"/>
      <c r="U92" s="51"/>
      <c r="V92" s="51"/>
      <c r="W92" s="51"/>
    </row>
    <row r="93" spans="2:24" x14ac:dyDescent="0.2">
      <c r="K93" s="19"/>
      <c r="L93" s="5"/>
      <c r="X93" s="19"/>
    </row>
    <row r="94" spans="2:24" ht="13.5" thickBot="1" x14ac:dyDescent="0.25">
      <c r="L94" s="5"/>
    </row>
    <row r="95" spans="2:24" ht="15" thickBot="1" x14ac:dyDescent="0.25">
      <c r="B95" s="16" t="s">
        <v>84</v>
      </c>
      <c r="G95" s="52">
        <f>G58+G91</f>
        <v>460576.78034758184</v>
      </c>
      <c r="H95" s="52">
        <f t="shared" ref="H95:Q95" si="26">H58+H91</f>
        <v>27059.000031592019</v>
      </c>
      <c r="I95" s="52">
        <f>I58+I91</f>
        <v>1049704.7196208262</v>
      </c>
      <c r="J95" s="52">
        <f t="shared" si="26"/>
        <v>0</v>
      </c>
      <c r="K95" s="52">
        <f>K58+K91</f>
        <v>1537340.1</v>
      </c>
      <c r="L95" s="53">
        <f t="shared" si="26"/>
        <v>0</v>
      </c>
      <c r="M95" s="52">
        <f t="shared" si="26"/>
        <v>294165.0337615317</v>
      </c>
      <c r="N95" s="52">
        <f t="shared" si="26"/>
        <v>25893.16541312715</v>
      </c>
      <c r="O95" s="54">
        <f t="shared" si="26"/>
        <v>935104.35511277057</v>
      </c>
      <c r="P95" s="52">
        <f t="shared" si="26"/>
        <v>0</v>
      </c>
      <c r="Q95" s="52">
        <f t="shared" si="26"/>
        <v>1255162.5542874294</v>
      </c>
      <c r="R95" s="32"/>
      <c r="S95" s="32"/>
      <c r="T95" s="32"/>
      <c r="U95" s="32"/>
      <c r="V95" s="32"/>
      <c r="W95" s="32"/>
    </row>
    <row r="96" spans="2:24" ht="13.5" thickTop="1" x14ac:dyDescent="0.2">
      <c r="I96" s="55"/>
      <c r="L96" s="5"/>
      <c r="O96" s="56"/>
    </row>
    <row r="97" spans="5:21" x14ac:dyDescent="0.2">
      <c r="I97" s="55"/>
      <c r="K97" s="19"/>
      <c r="L97" s="5"/>
      <c r="O97" s="56"/>
    </row>
    <row r="98" spans="5:21" x14ac:dyDescent="0.2">
      <c r="G98" s="59"/>
      <c r="H98" s="59"/>
      <c r="I98" s="59"/>
      <c r="J98" s="19"/>
      <c r="K98" s="19"/>
      <c r="L98" s="5"/>
      <c r="O98" s="56"/>
    </row>
    <row r="99" spans="5:21" x14ac:dyDescent="0.2">
      <c r="G99" s="55"/>
      <c r="H99" s="55"/>
      <c r="I99" s="55"/>
      <c r="K99" s="19"/>
      <c r="L99" s="5"/>
      <c r="O99" s="105"/>
    </row>
    <row r="100" spans="5:21" x14ac:dyDescent="0.2">
      <c r="G100" s="143"/>
      <c r="H100" s="143"/>
      <c r="I100" s="143"/>
      <c r="K100" s="19"/>
      <c r="L100" s="5"/>
      <c r="O100" s="56"/>
    </row>
    <row r="101" spans="5:21" x14ac:dyDescent="0.2">
      <c r="G101" s="55"/>
      <c r="H101" s="55"/>
      <c r="I101" s="55"/>
      <c r="J101" s="60"/>
      <c r="K101" s="19"/>
      <c r="L101" s="5"/>
      <c r="M101" s="151"/>
      <c r="N101" s="151"/>
      <c r="O101" s="152"/>
      <c r="P101" s="151"/>
      <c r="Q101" s="151"/>
      <c r="R101" s="151"/>
      <c r="S101" s="151"/>
      <c r="T101" s="151"/>
      <c r="U101" s="151"/>
    </row>
    <row r="102" spans="5:21" x14ac:dyDescent="0.2">
      <c r="G102" s="55"/>
      <c r="H102" s="55"/>
      <c r="I102" s="55"/>
      <c r="K102" s="19"/>
      <c r="L102" s="5"/>
      <c r="M102" s="151"/>
      <c r="N102" s="151"/>
      <c r="O102" s="152"/>
      <c r="P102" s="151"/>
      <c r="Q102" s="151"/>
      <c r="R102" s="151"/>
      <c r="S102" s="151"/>
      <c r="T102" s="151"/>
      <c r="U102" s="151"/>
    </row>
    <row r="103" spans="5:21" x14ac:dyDescent="0.2">
      <c r="G103" s="55"/>
      <c r="H103" s="55"/>
      <c r="I103" s="55"/>
      <c r="L103" s="5"/>
      <c r="M103" s="151"/>
      <c r="N103" s="151"/>
      <c r="O103" s="152"/>
      <c r="P103" s="151"/>
      <c r="Q103" s="151"/>
      <c r="R103" s="151"/>
      <c r="S103" s="151"/>
      <c r="T103" s="151"/>
      <c r="U103" s="151"/>
    </row>
    <row r="104" spans="5:21" ht="13.5" thickBot="1" x14ac:dyDescent="0.25">
      <c r="G104" s="60"/>
      <c r="H104" s="60"/>
      <c r="I104" s="60"/>
      <c r="L104" s="5"/>
      <c r="M104" s="151"/>
      <c r="N104" s="151"/>
      <c r="O104" s="151"/>
      <c r="P104" s="151"/>
      <c r="Q104" s="151"/>
      <c r="R104" s="151"/>
      <c r="S104" s="151"/>
      <c r="T104" s="151"/>
      <c r="U104" s="151"/>
    </row>
    <row r="105" spans="5:21" x14ac:dyDescent="0.2">
      <c r="E105" s="63"/>
      <c r="F105" s="64"/>
      <c r="G105" s="157">
        <v>0.2995928031534989</v>
      </c>
      <c r="H105" s="157">
        <v>1.7601181261139371E-2</v>
      </c>
      <c r="I105" s="157">
        <v>0.68280536511116607</v>
      </c>
      <c r="J105" s="64"/>
      <c r="K105" s="66"/>
      <c r="L105" s="5"/>
      <c r="M105" s="153"/>
      <c r="N105" s="144">
        <v>469452.71553766896</v>
      </c>
      <c r="O105" s="144">
        <v>27580.510121529966</v>
      </c>
      <c r="P105" s="144">
        <v>1040305.7743408011</v>
      </c>
      <c r="Q105" s="145">
        <f>SUM(N105:P105)</f>
        <v>1537339</v>
      </c>
      <c r="R105" s="146"/>
      <c r="S105" s="146"/>
      <c r="T105" s="146"/>
      <c r="U105" s="146"/>
    </row>
    <row r="106" spans="5:21" x14ac:dyDescent="0.2">
      <c r="E106" s="68"/>
      <c r="F106" s="48"/>
      <c r="G106" s="48"/>
      <c r="H106" s="48"/>
      <c r="I106" s="48"/>
      <c r="J106" s="48"/>
      <c r="K106" s="69"/>
      <c r="L106" s="5"/>
      <c r="M106" s="154"/>
      <c r="N106" s="146"/>
      <c r="O106" s="146"/>
      <c r="P106" s="146"/>
      <c r="Q106" s="146"/>
      <c r="R106" s="146"/>
      <c r="S106" s="146"/>
      <c r="T106" s="146"/>
      <c r="U106" s="146"/>
    </row>
    <row r="107" spans="5:21" x14ac:dyDescent="0.2">
      <c r="E107" s="68" t="s">
        <v>161</v>
      </c>
      <c r="F107" s="48"/>
      <c r="G107" s="48"/>
      <c r="H107" s="48"/>
      <c r="I107" s="48"/>
      <c r="J107" s="48"/>
      <c r="K107" s="71">
        <v>1537340</v>
      </c>
      <c r="L107" s="5"/>
      <c r="M107" s="155"/>
      <c r="N107" s="145">
        <f>N105-18274</f>
        <v>451178.71553766896</v>
      </c>
      <c r="O107" s="145">
        <f>O105</f>
        <v>27580.510121529966</v>
      </c>
      <c r="P107" s="145">
        <f>P105-242921</f>
        <v>797384.77434080106</v>
      </c>
      <c r="Q107" s="145">
        <f>SUM(N107:P107)</f>
        <v>1276144</v>
      </c>
      <c r="R107" s="146"/>
      <c r="S107" s="146"/>
      <c r="T107" s="146"/>
      <c r="U107" s="146"/>
    </row>
    <row r="108" spans="5:21" x14ac:dyDescent="0.2">
      <c r="E108" s="68" t="s">
        <v>85</v>
      </c>
      <c r="F108" s="48"/>
      <c r="G108" s="48"/>
      <c r="H108" s="48"/>
      <c r="I108" s="48"/>
      <c r="J108" s="48"/>
      <c r="K108" s="71">
        <v>0</v>
      </c>
      <c r="L108" s="5"/>
      <c r="M108" s="151"/>
      <c r="N108" s="146"/>
      <c r="O108" s="146"/>
      <c r="P108" s="146"/>
      <c r="Q108" s="146"/>
      <c r="R108" s="146"/>
      <c r="S108" s="146"/>
      <c r="T108" s="146"/>
      <c r="U108" s="146"/>
    </row>
    <row r="109" spans="5:21" x14ac:dyDescent="0.2">
      <c r="E109" s="68"/>
      <c r="F109" s="48"/>
      <c r="G109" s="48"/>
      <c r="H109" s="48"/>
      <c r="I109" s="48"/>
      <c r="J109" s="48"/>
      <c r="K109" s="71"/>
      <c r="L109" s="5"/>
      <c r="M109" s="155"/>
      <c r="N109" s="146">
        <f>N107/Q107</f>
        <v>0.35354843617778947</v>
      </c>
      <c r="O109" s="146">
        <f>O107/Q107</f>
        <v>2.161238082969474E-2</v>
      </c>
      <c r="P109" s="146">
        <f>P107/Q107</f>
        <v>0.62483918299251573</v>
      </c>
      <c r="Q109" s="146"/>
      <c r="R109" s="146"/>
      <c r="S109" s="146"/>
      <c r="T109" s="146"/>
      <c r="U109" s="146"/>
    </row>
    <row r="110" spans="5:21" x14ac:dyDescent="0.2">
      <c r="E110" s="68" t="s">
        <v>106</v>
      </c>
      <c r="F110" s="48"/>
      <c r="G110" s="48"/>
      <c r="H110" s="48"/>
      <c r="I110" s="48"/>
      <c r="J110" s="48"/>
      <c r="K110" s="73">
        <f>SUM(K107:K109)</f>
        <v>1537340</v>
      </c>
      <c r="L110" s="5"/>
      <c r="M110" s="155"/>
      <c r="N110" s="146"/>
      <c r="O110" s="146"/>
      <c r="P110" s="146"/>
      <c r="Q110" s="146"/>
      <c r="R110" s="146"/>
      <c r="S110" s="146"/>
      <c r="T110" s="146"/>
      <c r="U110" s="146"/>
    </row>
    <row r="111" spans="5:21" x14ac:dyDescent="0.2">
      <c r="E111" s="68" t="s">
        <v>117</v>
      </c>
      <c r="F111" s="48"/>
      <c r="G111" s="48"/>
      <c r="H111" s="48"/>
      <c r="I111" s="48"/>
      <c r="J111" s="48"/>
      <c r="K111" s="71">
        <f>K62</f>
        <v>242920.6</v>
      </c>
      <c r="L111" s="5"/>
      <c r="M111" s="155"/>
      <c r="N111" s="146"/>
      <c r="O111" s="147"/>
      <c r="P111" s="147"/>
      <c r="Q111" s="145"/>
      <c r="R111" s="146"/>
      <c r="S111" s="146"/>
      <c r="T111" s="146"/>
      <c r="U111" s="146"/>
    </row>
    <row r="112" spans="5:21" x14ac:dyDescent="0.2">
      <c r="E112" s="68" t="s">
        <v>108</v>
      </c>
      <c r="F112" s="48"/>
      <c r="G112" s="48"/>
      <c r="H112" s="48"/>
      <c r="I112" s="48"/>
      <c r="J112" s="48"/>
      <c r="K112" s="71">
        <v>18274</v>
      </c>
      <c r="L112" s="5"/>
      <c r="M112" s="155"/>
      <c r="N112" s="146"/>
      <c r="O112" s="147"/>
      <c r="P112" s="147"/>
      <c r="Q112" s="145"/>
      <c r="R112" s="146"/>
      <c r="S112" s="146"/>
      <c r="T112" s="146"/>
      <c r="U112" s="146"/>
    </row>
    <row r="113" spans="5:25" x14ac:dyDescent="0.2">
      <c r="E113" s="68"/>
      <c r="F113" s="48"/>
      <c r="G113" s="48"/>
      <c r="H113" s="48"/>
      <c r="I113" s="48"/>
      <c r="J113" s="48"/>
      <c r="K113" s="71"/>
      <c r="L113" s="5"/>
      <c r="M113" s="155"/>
      <c r="N113" s="146"/>
      <c r="O113" s="147"/>
      <c r="P113" s="147"/>
      <c r="Q113" s="145"/>
      <c r="R113" s="146"/>
      <c r="S113" s="146"/>
      <c r="T113" s="146"/>
      <c r="U113" s="146"/>
    </row>
    <row r="114" spans="5:25" ht="13.5" thickBot="1" x14ac:dyDescent="0.25">
      <c r="E114" s="68" t="s">
        <v>107</v>
      </c>
      <c r="F114" s="48"/>
      <c r="G114" s="48"/>
      <c r="H114" s="48"/>
      <c r="I114" s="48"/>
      <c r="J114" s="48"/>
      <c r="K114" s="75">
        <f>K110-K111-K112-K113</f>
        <v>1276145.3999999999</v>
      </c>
      <c r="L114" s="5"/>
      <c r="M114" s="155"/>
      <c r="N114" s="146"/>
      <c r="O114" s="146"/>
      <c r="P114" s="146"/>
      <c r="Q114" s="146"/>
      <c r="R114" s="146"/>
      <c r="S114" s="146"/>
      <c r="T114" s="146"/>
      <c r="U114" s="146"/>
    </row>
    <row r="115" spans="5:25" ht="13.5" thickTop="1" x14ac:dyDescent="0.2">
      <c r="E115" s="68"/>
      <c r="F115" s="48"/>
      <c r="G115" s="48"/>
      <c r="H115" s="48"/>
      <c r="I115" s="48"/>
      <c r="J115" s="76" t="s">
        <v>87</v>
      </c>
      <c r="K115" s="71"/>
      <c r="L115" s="5"/>
      <c r="M115" s="155"/>
      <c r="N115" s="146"/>
      <c r="O115" s="146"/>
      <c r="P115" s="146"/>
      <c r="Q115" s="145"/>
      <c r="R115" s="146"/>
      <c r="S115" s="146"/>
      <c r="T115" s="146"/>
      <c r="U115" s="146"/>
    </row>
    <row r="116" spans="5:25" x14ac:dyDescent="0.2">
      <c r="E116" s="194" t="s">
        <v>161</v>
      </c>
      <c r="F116" s="91"/>
      <c r="G116" s="72">
        <v>460576</v>
      </c>
      <c r="H116" s="72">
        <v>27059</v>
      </c>
      <c r="I116" s="72">
        <v>1049705</v>
      </c>
      <c r="J116" s="72"/>
      <c r="K116" s="195"/>
      <c r="L116" s="5"/>
      <c r="M116" s="155"/>
      <c r="N116" s="146"/>
      <c r="O116" s="146"/>
      <c r="P116" s="146"/>
      <c r="Q116" s="146"/>
      <c r="R116" s="146"/>
      <c r="S116" s="146"/>
      <c r="T116" s="146"/>
      <c r="U116" s="146">
        <v>0</v>
      </c>
      <c r="Y116" s="23">
        <v>900323.36</v>
      </c>
    </row>
    <row r="117" spans="5:25" x14ac:dyDescent="0.2">
      <c r="E117" s="68" t="s">
        <v>110</v>
      </c>
      <c r="F117" s="48"/>
      <c r="G117" s="80">
        <v>0</v>
      </c>
      <c r="H117" s="81">
        <v>0</v>
      </c>
      <c r="I117" s="81">
        <v>0</v>
      </c>
      <c r="K117" s="69"/>
      <c r="L117" s="5"/>
      <c r="M117" s="151"/>
      <c r="N117" s="146">
        <v>341211.84</v>
      </c>
      <c r="O117" s="146">
        <v>50</v>
      </c>
      <c r="P117" s="146">
        <v>559061.52</v>
      </c>
      <c r="Q117" s="146">
        <f>SUM(N117:P117)</f>
        <v>900323.3600000001</v>
      </c>
      <c r="R117" s="146"/>
      <c r="S117" s="146"/>
      <c r="T117" s="146"/>
      <c r="U117" s="146"/>
    </row>
    <row r="118" spans="5:25" ht="13.5" thickBot="1" x14ac:dyDescent="0.25">
      <c r="E118" s="68" t="s">
        <v>89</v>
      </c>
      <c r="F118" s="48"/>
      <c r="G118" s="82">
        <f>G116+G117</f>
        <v>460576</v>
      </c>
      <c r="H118" s="82">
        <f t="shared" ref="H118" si="27">H116+H117</f>
        <v>27059</v>
      </c>
      <c r="I118" s="82">
        <f>I116+I117</f>
        <v>1049705</v>
      </c>
      <c r="J118" s="83"/>
      <c r="K118" s="71"/>
      <c r="L118" s="5"/>
      <c r="M118" s="151"/>
      <c r="N118" s="146"/>
      <c r="O118" s="146"/>
      <c r="P118" s="148">
        <f>-I62</f>
        <v>-242921</v>
      </c>
      <c r="Q118" s="146"/>
      <c r="R118" s="146"/>
      <c r="S118" s="146"/>
      <c r="T118" s="146"/>
      <c r="U118" s="146"/>
    </row>
    <row r="119" spans="5:25" ht="14.25" thickTop="1" thickBot="1" x14ac:dyDescent="0.25">
      <c r="E119" s="68" t="s">
        <v>90</v>
      </c>
      <c r="F119" s="48"/>
      <c r="G119" s="84">
        <f>G118/K110</f>
        <v>0.2995928031534989</v>
      </c>
      <c r="H119" s="84">
        <f>H118/K110</f>
        <v>1.7601181261139371E-2</v>
      </c>
      <c r="I119" s="84">
        <f>I118/K110</f>
        <v>0.68280601558536169</v>
      </c>
      <c r="J119" s="72"/>
      <c r="K119" s="71"/>
      <c r="L119" s="5"/>
      <c r="M119" s="151"/>
      <c r="N119" s="146">
        <f>N117</f>
        <v>341211.84</v>
      </c>
      <c r="O119" s="146">
        <f>O117</f>
        <v>50</v>
      </c>
      <c r="P119" s="146">
        <f>SUM(P117:P118)</f>
        <v>316140.52</v>
      </c>
      <c r="Q119" s="146">
        <f>SUM(N119:P119)</f>
        <v>657402.3600000001</v>
      </c>
      <c r="R119" s="146"/>
      <c r="S119" s="146"/>
      <c r="T119" s="146"/>
      <c r="U119" s="146"/>
    </row>
    <row r="120" spans="5:25" ht="14.25" thickTop="1" thickBot="1" x14ac:dyDescent="0.25">
      <c r="E120" s="85"/>
      <c r="F120" s="86"/>
      <c r="G120" s="87" t="s">
        <v>91</v>
      </c>
      <c r="H120" s="87" t="s">
        <v>92</v>
      </c>
      <c r="I120" s="87" t="s">
        <v>93</v>
      </c>
      <c r="J120" s="86"/>
      <c r="K120" s="88"/>
      <c r="L120" s="5"/>
      <c r="M120" s="151"/>
      <c r="N120" s="149">
        <f>N117/Q117</f>
        <v>0.37898810045315273</v>
      </c>
      <c r="O120" s="149">
        <f>O117/Q117</f>
        <v>5.5535602230736291E-5</v>
      </c>
      <c r="P120" s="149">
        <f>P117/Q117</f>
        <v>0.62095636394461651</v>
      </c>
      <c r="Q120" s="146"/>
      <c r="R120" s="146"/>
      <c r="S120" s="146"/>
      <c r="T120" s="146"/>
      <c r="U120" s="146"/>
    </row>
    <row r="121" spans="5:25" x14ac:dyDescent="0.2">
      <c r="J121" s="64"/>
      <c r="K121" s="89"/>
      <c r="L121" s="11"/>
      <c r="M121" s="151"/>
      <c r="N121" s="149">
        <f>N119/Q119</f>
        <v>0.51903044582924829</v>
      </c>
      <c r="O121" s="149">
        <f>O119/Q119</f>
        <v>7.6056921973933876E-5</v>
      </c>
      <c r="P121" s="149">
        <f>P119/Q119</f>
        <v>0.48089349724877772</v>
      </c>
      <c r="Q121" s="146"/>
      <c r="R121" s="146"/>
      <c r="S121" s="146"/>
      <c r="T121" s="146"/>
      <c r="U121" s="146"/>
    </row>
    <row r="122" spans="5:25" x14ac:dyDescent="0.2">
      <c r="J122" s="80"/>
      <c r="K122" s="80"/>
      <c r="L122" s="11"/>
      <c r="M122" s="151"/>
      <c r="N122" s="146">
        <f>1000*N121</f>
        <v>519.03044582924826</v>
      </c>
      <c r="O122" s="146">
        <f t="shared" ref="O122:P122" si="28">1000*O121</f>
        <v>7.6056921973933878E-2</v>
      </c>
      <c r="P122" s="146">
        <f t="shared" si="28"/>
        <v>480.89349724877775</v>
      </c>
      <c r="Q122" s="146"/>
      <c r="R122" s="146"/>
      <c r="S122" s="146"/>
      <c r="T122" s="146"/>
      <c r="U122" s="146"/>
    </row>
    <row r="123" spans="5:25" x14ac:dyDescent="0.2">
      <c r="E123" s="90"/>
      <c r="F123" s="91"/>
      <c r="G123" s="72"/>
      <c r="H123" s="72"/>
      <c r="I123" s="92"/>
      <c r="J123" s="93"/>
      <c r="K123" s="94"/>
      <c r="L123" s="11"/>
      <c r="M123" s="151"/>
      <c r="N123" s="146">
        <f>N119-N122</f>
        <v>340692.80955417076</v>
      </c>
      <c r="O123" s="146">
        <f t="shared" ref="O123:P123" si="29">O119-O122</f>
        <v>49.923943078026063</v>
      </c>
      <c r="P123" s="146">
        <f t="shared" si="29"/>
        <v>315659.62650275126</v>
      </c>
      <c r="Q123" s="146">
        <f>SUM(N123:P123)</f>
        <v>656402.3600000001</v>
      </c>
      <c r="R123" s="146"/>
      <c r="S123" s="146"/>
      <c r="T123" s="146"/>
      <c r="U123" s="146"/>
    </row>
    <row r="124" spans="5:25" x14ac:dyDescent="0.2">
      <c r="E124" s="91"/>
      <c r="F124" s="91"/>
      <c r="G124" s="91"/>
      <c r="H124" s="91"/>
      <c r="I124" s="92"/>
      <c r="J124" s="93"/>
      <c r="K124" s="93"/>
      <c r="M124" s="156"/>
      <c r="N124" s="150">
        <v>0.52023172103514348</v>
      </c>
      <c r="O124" s="150">
        <v>2.1061347506388981E-5</v>
      </c>
      <c r="P124" s="150">
        <v>0.47974721761735012</v>
      </c>
      <c r="Q124" s="146"/>
      <c r="R124" s="146"/>
      <c r="S124" s="146"/>
      <c r="T124" s="146"/>
      <c r="U124" s="146"/>
    </row>
    <row r="125" spans="5:25" x14ac:dyDescent="0.2">
      <c r="E125" s="91"/>
      <c r="F125" s="91"/>
      <c r="G125" s="91"/>
      <c r="H125" s="72"/>
      <c r="I125" s="72"/>
      <c r="J125" s="48"/>
      <c r="K125" s="48"/>
      <c r="M125" s="151"/>
      <c r="N125" s="146"/>
      <c r="O125" s="146"/>
      <c r="P125" s="146"/>
      <c r="Q125" s="146"/>
      <c r="R125" s="146"/>
      <c r="S125" s="146"/>
      <c r="T125" s="146"/>
      <c r="U125" s="146"/>
    </row>
    <row r="126" spans="5:25" x14ac:dyDescent="0.2">
      <c r="E126" s="91"/>
      <c r="F126" s="91"/>
      <c r="G126" s="96"/>
      <c r="H126" s="96"/>
      <c r="I126" s="96"/>
      <c r="M126" s="151"/>
      <c r="N126" s="146">
        <v>341480.62191918894</v>
      </c>
      <c r="O126" s="146">
        <v>13.824689564541224</v>
      </c>
      <c r="P126" s="146">
        <v>314906.55339124601</v>
      </c>
      <c r="Q126" s="146">
        <f>SUM(N126:P126)</f>
        <v>656400.99999999953</v>
      </c>
      <c r="R126" s="151"/>
      <c r="S126" s="151"/>
      <c r="T126" s="151"/>
      <c r="U126" s="151"/>
    </row>
    <row r="127" spans="5:25" x14ac:dyDescent="0.2">
      <c r="E127" s="91"/>
      <c r="F127" s="91"/>
      <c r="G127" s="72"/>
      <c r="H127" s="72"/>
      <c r="I127" s="72"/>
      <c r="M127" s="151"/>
      <c r="N127" s="146">
        <f>N126/Q126</f>
        <v>0.52023172103514348</v>
      </c>
      <c r="O127" s="146">
        <f>O126/Q126</f>
        <v>2.1061347506388981E-5</v>
      </c>
      <c r="P127" s="146">
        <f>P126/Q126</f>
        <v>0.47974721761735012</v>
      </c>
      <c r="Q127" s="146"/>
      <c r="R127" s="151"/>
      <c r="S127" s="151"/>
      <c r="T127" s="151"/>
      <c r="U127" s="151"/>
    </row>
    <row r="128" spans="5:25" x14ac:dyDescent="0.2">
      <c r="E128" s="91"/>
      <c r="F128" s="91"/>
      <c r="G128" s="96"/>
      <c r="H128" s="96"/>
      <c r="I128" s="96"/>
      <c r="M128" s="151"/>
      <c r="N128" s="146"/>
      <c r="O128" s="146"/>
      <c r="P128" s="146"/>
      <c r="Q128" s="146"/>
      <c r="R128" s="151"/>
      <c r="S128" s="151"/>
      <c r="T128" s="151"/>
      <c r="U128" s="151"/>
    </row>
    <row r="129" spans="5:21" x14ac:dyDescent="0.2">
      <c r="E129" s="91"/>
      <c r="F129" s="91"/>
      <c r="G129" s="97"/>
      <c r="H129" s="97"/>
      <c r="I129" s="97"/>
      <c r="J129" s="48"/>
      <c r="M129" s="151"/>
      <c r="N129" s="146"/>
      <c r="O129" s="146"/>
      <c r="P129" s="146"/>
      <c r="Q129" s="146"/>
      <c r="R129" s="151"/>
      <c r="S129" s="151"/>
      <c r="T129" s="151"/>
      <c r="U129" s="151"/>
    </row>
    <row r="130" spans="5:21" x14ac:dyDescent="0.2">
      <c r="G130" s="80"/>
      <c r="H130" s="80"/>
      <c r="I130" s="80"/>
      <c r="J130" s="48"/>
      <c r="M130" s="151"/>
      <c r="N130" s="146"/>
      <c r="O130" s="146"/>
      <c r="P130" s="146"/>
      <c r="Q130" s="146"/>
      <c r="R130" s="151"/>
      <c r="S130" s="151"/>
      <c r="T130" s="151"/>
      <c r="U130" s="151"/>
    </row>
    <row r="131" spans="5:21" x14ac:dyDescent="0.2">
      <c r="G131" s="48"/>
      <c r="H131" s="48"/>
      <c r="I131" s="48"/>
      <c r="J131" s="48"/>
      <c r="M131" s="151"/>
      <c r="N131" s="146"/>
      <c r="O131" s="146"/>
      <c r="P131" s="146"/>
      <c r="Q131" s="146"/>
      <c r="R131" s="151"/>
      <c r="S131" s="151"/>
      <c r="T131" s="151"/>
      <c r="U131" s="151"/>
    </row>
    <row r="132" spans="5:21" x14ac:dyDescent="0.2">
      <c r="N132" s="146"/>
      <c r="O132" s="146"/>
      <c r="P132" s="146"/>
      <c r="Q132" s="146"/>
    </row>
    <row r="133" spans="5:21" x14ac:dyDescent="0.2">
      <c r="N133" s="146"/>
      <c r="O133" s="146"/>
      <c r="P133" s="146"/>
      <c r="Q133" s="146"/>
    </row>
    <row r="134" spans="5:21" x14ac:dyDescent="0.2">
      <c r="N134" s="146"/>
      <c r="O134" s="146"/>
      <c r="P134" s="146"/>
      <c r="Q134" s="146"/>
    </row>
    <row r="135" spans="5:21" x14ac:dyDescent="0.2">
      <c r="N135" s="167"/>
      <c r="O135" s="167"/>
      <c r="P135" s="167"/>
      <c r="Q135" s="167"/>
    </row>
    <row r="136" spans="5:21" x14ac:dyDescent="0.2">
      <c r="N136" s="167"/>
      <c r="O136" s="167"/>
      <c r="P136" s="167"/>
      <c r="Q136" s="167"/>
    </row>
    <row r="137" spans="5:21" x14ac:dyDescent="0.2">
      <c r="N137" s="167"/>
      <c r="O137" s="167"/>
      <c r="P137" s="167"/>
      <c r="Q137" s="167"/>
    </row>
  </sheetData>
  <mergeCells count="2">
    <mergeCell ref="G2:K2"/>
    <mergeCell ref="M2:Q2"/>
  </mergeCells>
  <printOptions horizontalCentered="1"/>
  <pageMargins left="0.25" right="0.25" top="0.25" bottom="0.25" header="0.25" footer="0"/>
  <pageSetup scale="33"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Y131"/>
  <sheetViews>
    <sheetView topLeftCell="A7" zoomScaleNormal="100" workbookViewId="0">
      <selection activeCell="E104" sqref="E104"/>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3" hidden="1" customWidth="1"/>
    <col min="26" max="16384" width="9.140625" style="1"/>
  </cols>
  <sheetData>
    <row r="1" spans="2:25" ht="15" x14ac:dyDescent="0.25">
      <c r="E1" s="2"/>
      <c r="F1" s="2"/>
      <c r="I1"/>
    </row>
    <row r="2" spans="2:25" ht="20.25" thickBot="1" x14ac:dyDescent="0.3">
      <c r="B2" s="3" t="s">
        <v>0</v>
      </c>
      <c r="C2" s="2"/>
      <c r="D2" s="2"/>
      <c r="E2" s="2"/>
      <c r="F2" s="2"/>
      <c r="G2" s="192" t="s">
        <v>173</v>
      </c>
      <c r="H2" s="192"/>
      <c r="I2" s="192"/>
      <c r="J2" s="192"/>
      <c r="K2" s="192"/>
      <c r="L2" s="5"/>
      <c r="M2" s="186" t="s">
        <v>174</v>
      </c>
      <c r="N2" s="186"/>
      <c r="O2" s="186"/>
      <c r="P2" s="186"/>
      <c r="Q2" s="186"/>
      <c r="R2" s="160"/>
      <c r="S2" s="160"/>
      <c r="T2" s="160"/>
      <c r="U2" s="160"/>
      <c r="V2" s="160"/>
      <c r="W2" s="160"/>
    </row>
    <row r="3" spans="2:25" ht="19.5" x14ac:dyDescent="0.25">
      <c r="B3" s="3" t="s">
        <v>3</v>
      </c>
      <c r="C3" s="2"/>
      <c r="D3" s="2"/>
      <c r="L3" s="5"/>
    </row>
    <row r="4" spans="2:25" x14ac:dyDescent="0.2">
      <c r="B4" s="2" t="s">
        <v>167</v>
      </c>
      <c r="C4" s="2"/>
      <c r="D4" s="2"/>
      <c r="G4" s="8" t="s">
        <v>5</v>
      </c>
      <c r="H4" s="8" t="s">
        <v>6</v>
      </c>
      <c r="I4" s="8" t="s">
        <v>7</v>
      </c>
      <c r="J4" s="8" t="s">
        <v>8</v>
      </c>
      <c r="K4" s="8" t="s">
        <v>9</v>
      </c>
      <c r="L4" s="5"/>
      <c r="M4" s="8" t="s">
        <v>5</v>
      </c>
      <c r="N4" s="8" t="s">
        <v>6</v>
      </c>
      <c r="O4" s="8" t="s">
        <v>7</v>
      </c>
      <c r="P4" s="8" t="s">
        <v>8</v>
      </c>
      <c r="Q4" s="8" t="s">
        <v>9</v>
      </c>
      <c r="R4" s="8"/>
      <c r="S4" s="8"/>
      <c r="T4" s="8"/>
      <c r="U4" s="8"/>
      <c r="V4" s="8"/>
      <c r="W4" s="8"/>
    </row>
    <row r="5" spans="2:25" ht="15" x14ac:dyDescent="0.2">
      <c r="B5" s="9" t="s">
        <v>178</v>
      </c>
      <c r="C5" s="2"/>
      <c r="D5" s="9" t="s">
        <v>10</v>
      </c>
      <c r="G5" s="8" t="s">
        <v>11</v>
      </c>
      <c r="H5" s="8" t="s">
        <v>12</v>
      </c>
      <c r="I5" s="8" t="s">
        <v>13</v>
      </c>
      <c r="J5" s="8" t="s">
        <v>14</v>
      </c>
      <c r="K5" s="8" t="s">
        <v>15</v>
      </c>
      <c r="L5" s="5"/>
      <c r="M5" s="8" t="s">
        <v>11</v>
      </c>
      <c r="N5" s="8" t="s">
        <v>12</v>
      </c>
      <c r="O5" s="8" t="s">
        <v>13</v>
      </c>
      <c r="P5" s="8" t="s">
        <v>14</v>
      </c>
      <c r="Q5" s="8" t="s">
        <v>15</v>
      </c>
      <c r="R5" s="8"/>
      <c r="S5" s="8"/>
      <c r="T5" s="8"/>
      <c r="U5" s="8"/>
      <c r="V5" s="8"/>
      <c r="W5" s="8"/>
    </row>
    <row r="6" spans="2:25" x14ac:dyDescent="0.2">
      <c r="D6" s="10"/>
      <c r="E6" s="11"/>
      <c r="G6" s="8"/>
      <c r="H6" s="8" t="s">
        <v>16</v>
      </c>
      <c r="I6" s="8"/>
      <c r="J6" s="8"/>
      <c r="K6" s="8"/>
      <c r="L6" s="5"/>
      <c r="M6" s="8"/>
      <c r="N6" s="8" t="s">
        <v>16</v>
      </c>
      <c r="O6" s="8"/>
      <c r="P6" s="8"/>
      <c r="Q6" s="8"/>
      <c r="R6" s="8"/>
      <c r="S6" s="8"/>
      <c r="T6" s="8"/>
      <c r="U6" s="8"/>
      <c r="V6" s="8"/>
      <c r="W6" s="8"/>
    </row>
    <row r="7" spans="2:25"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c r="W7" s="13"/>
    </row>
    <row r="8" spans="2:25" ht="5.0999999999999996" customHeight="1" x14ac:dyDescent="0.2">
      <c r="B8" s="2"/>
      <c r="E8" s="11"/>
      <c r="G8" s="14"/>
      <c r="H8" s="14"/>
      <c r="I8" s="14"/>
      <c r="J8" s="14"/>
      <c r="K8" s="14"/>
      <c r="L8" s="5"/>
      <c r="M8" s="14"/>
      <c r="N8" s="14"/>
      <c r="O8" s="14"/>
      <c r="P8" s="14"/>
      <c r="Q8" s="14"/>
      <c r="R8" s="15"/>
      <c r="S8" s="15"/>
      <c r="T8" s="15"/>
      <c r="U8" s="15"/>
      <c r="V8" s="15"/>
      <c r="W8" s="15"/>
    </row>
    <row r="9" spans="2:25" ht="15" thickBot="1" x14ac:dyDescent="0.25">
      <c r="B9" s="16" t="s">
        <v>21</v>
      </c>
      <c r="D9" s="1" t="s">
        <v>22</v>
      </c>
      <c r="E9" s="17" t="s">
        <v>23</v>
      </c>
      <c r="G9" s="18"/>
      <c r="H9" s="18"/>
      <c r="I9" s="18"/>
      <c r="J9" s="19">
        <v>0</v>
      </c>
      <c r="K9" s="18"/>
      <c r="L9" s="5"/>
      <c r="M9" s="18">
        <v>0</v>
      </c>
      <c r="N9" s="18">
        <v>0</v>
      </c>
      <c r="O9" s="18">
        <v>0</v>
      </c>
      <c r="P9" s="19">
        <v>0</v>
      </c>
      <c r="Q9" s="19">
        <f>SUM(M9:P9)</f>
        <v>0</v>
      </c>
      <c r="R9" s="19"/>
      <c r="S9" s="19"/>
      <c r="T9" s="19"/>
      <c r="U9" s="19"/>
      <c r="V9" s="19"/>
      <c r="W9" s="19"/>
    </row>
    <row r="10" spans="2:25" x14ac:dyDescent="0.2">
      <c r="B10" s="2" t="s">
        <v>24</v>
      </c>
      <c r="E10" s="17" t="s">
        <v>25</v>
      </c>
      <c r="G10" s="20"/>
      <c r="H10" s="20"/>
      <c r="I10" s="20"/>
      <c r="J10" s="21">
        <v>0</v>
      </c>
      <c r="K10" s="20"/>
      <c r="L10" s="5"/>
      <c r="M10" s="20">
        <f>G10</f>
        <v>0</v>
      </c>
      <c r="N10" s="20">
        <f>H10</f>
        <v>0</v>
      </c>
      <c r="O10" s="20">
        <f>I10</f>
        <v>0</v>
      </c>
      <c r="P10" s="21">
        <v>0</v>
      </c>
      <c r="Q10" s="21">
        <f>SUM(M10:P10)</f>
        <v>0</v>
      </c>
      <c r="R10" s="22"/>
      <c r="S10" s="22"/>
      <c r="T10" s="22"/>
      <c r="U10" s="22"/>
      <c r="V10" s="22"/>
      <c r="W10" s="22"/>
    </row>
    <row r="11" spans="2:25" x14ac:dyDescent="0.2">
      <c r="E11" s="17"/>
      <c r="G11" s="11"/>
      <c r="H11" s="11"/>
      <c r="I11" s="11"/>
      <c r="K11" s="11"/>
      <c r="L11" s="5"/>
      <c r="M11" s="11"/>
      <c r="N11" s="11"/>
      <c r="O11" s="11"/>
    </row>
    <row r="12" spans="2:25" ht="13.5" thickBot="1" x14ac:dyDescent="0.25">
      <c r="D12" s="1" t="s">
        <v>26</v>
      </c>
      <c r="E12" s="17" t="s">
        <v>23</v>
      </c>
      <c r="G12" s="18"/>
      <c r="H12" s="18"/>
      <c r="I12" s="18"/>
      <c r="J12" s="19">
        <v>0</v>
      </c>
      <c r="K12" s="18"/>
      <c r="L12" s="5"/>
      <c r="M12" s="18">
        <f t="shared" ref="M12:P13" si="0">G12</f>
        <v>0</v>
      </c>
      <c r="N12" s="18">
        <f t="shared" si="0"/>
        <v>0</v>
      </c>
      <c r="O12" s="18">
        <f t="shared" si="0"/>
        <v>0</v>
      </c>
      <c r="P12" s="18">
        <f t="shared" si="0"/>
        <v>0</v>
      </c>
      <c r="Q12" s="19">
        <f>SUM(M12:P12)</f>
        <v>0</v>
      </c>
      <c r="R12" s="19"/>
      <c r="S12" s="19"/>
      <c r="T12" s="148">
        <f>223294-K12</f>
        <v>223294</v>
      </c>
      <c r="U12" s="19"/>
      <c r="V12" s="19"/>
      <c r="W12" s="19"/>
    </row>
    <row r="13" spans="2:25" x14ac:dyDescent="0.2">
      <c r="E13" s="17" t="s">
        <v>25</v>
      </c>
      <c r="G13" s="20"/>
      <c r="H13" s="20"/>
      <c r="I13" s="20"/>
      <c r="J13" s="21">
        <v>0</v>
      </c>
      <c r="K13" s="20"/>
      <c r="L13" s="5"/>
      <c r="M13" s="20">
        <f t="shared" si="0"/>
        <v>0</v>
      </c>
      <c r="N13" s="20">
        <f t="shared" si="0"/>
        <v>0</v>
      </c>
      <c r="O13" s="20">
        <f t="shared" si="0"/>
        <v>0</v>
      </c>
      <c r="P13" s="21">
        <v>0</v>
      </c>
      <c r="Q13" s="21">
        <f>SUM(M13:P13)</f>
        <v>0</v>
      </c>
      <c r="R13" s="22"/>
      <c r="S13" s="22"/>
      <c r="T13" s="158"/>
      <c r="U13" s="22"/>
      <c r="V13" s="22"/>
      <c r="W13" s="22"/>
    </row>
    <row r="14" spans="2:25" x14ac:dyDescent="0.2">
      <c r="E14" s="11"/>
      <c r="G14" s="11"/>
      <c r="H14" s="11"/>
      <c r="I14" s="11"/>
      <c r="K14" s="11"/>
      <c r="L14" s="5"/>
      <c r="M14" s="11"/>
      <c r="N14" s="11"/>
      <c r="O14" s="11"/>
      <c r="T14" s="146"/>
      <c r="Y14" s="24" t="s">
        <v>27</v>
      </c>
    </row>
    <row r="15" spans="2:25" x14ac:dyDescent="0.2">
      <c r="D15" s="1" t="s">
        <v>28</v>
      </c>
      <c r="E15" s="17" t="s">
        <v>29</v>
      </c>
      <c r="G15" s="18"/>
      <c r="H15" s="18"/>
      <c r="I15" s="19"/>
      <c r="J15" s="19"/>
      <c r="K15" s="18"/>
      <c r="L15" s="5"/>
      <c r="M15" s="18">
        <v>0</v>
      </c>
      <c r="N15" s="18">
        <v>0</v>
      </c>
      <c r="O15" s="18">
        <v>0</v>
      </c>
      <c r="P15" s="19">
        <v>0</v>
      </c>
      <c r="Q15" s="19">
        <f t="shared" ref="Q15:Q20" si="1">SUM(M15:P15)</f>
        <v>0</v>
      </c>
      <c r="R15" s="19"/>
      <c r="S15" s="19"/>
      <c r="T15" s="148"/>
      <c r="U15" s="19"/>
      <c r="V15" s="19"/>
      <c r="W15" s="19"/>
    </row>
    <row r="16" spans="2:25" x14ac:dyDescent="0.2">
      <c r="D16" s="1" t="s">
        <v>30</v>
      </c>
      <c r="E16" s="17" t="s">
        <v>31</v>
      </c>
      <c r="G16" s="18"/>
      <c r="H16" s="18"/>
      <c r="I16" s="19"/>
      <c r="J16" s="19"/>
      <c r="K16" s="18"/>
      <c r="L16" s="5"/>
      <c r="M16" s="18">
        <f>G16</f>
        <v>0</v>
      </c>
      <c r="N16" s="18">
        <f>H16</f>
        <v>0</v>
      </c>
      <c r="O16" s="18">
        <f>I16</f>
        <v>0</v>
      </c>
      <c r="P16" s="18">
        <f>J16</f>
        <v>0</v>
      </c>
      <c r="Q16" s="19">
        <f t="shared" si="1"/>
        <v>0</v>
      </c>
      <c r="R16" s="19"/>
      <c r="S16" s="19"/>
      <c r="T16" s="148"/>
      <c r="U16" s="19"/>
      <c r="V16" s="19"/>
      <c r="W16" s="19"/>
      <c r="Y16" s="23" t="s">
        <v>32</v>
      </c>
    </row>
    <row r="17" spans="2:25" x14ac:dyDescent="0.2">
      <c r="D17" s="59"/>
      <c r="E17" s="17" t="s">
        <v>33</v>
      </c>
      <c r="G17" s="18"/>
      <c r="H17" s="18"/>
      <c r="I17" s="19"/>
      <c r="J17" s="19"/>
      <c r="K17" s="18"/>
      <c r="L17" s="5"/>
      <c r="M17" s="18">
        <v>0</v>
      </c>
      <c r="N17" s="18">
        <v>0</v>
      </c>
      <c r="O17" s="18">
        <v>0</v>
      </c>
      <c r="P17" s="19">
        <v>0</v>
      </c>
      <c r="Q17" s="19">
        <f t="shared" si="1"/>
        <v>0</v>
      </c>
      <c r="R17" s="19"/>
      <c r="S17" s="19"/>
      <c r="T17" s="148"/>
      <c r="U17" s="19"/>
      <c r="V17" s="19"/>
      <c r="W17" s="19"/>
      <c r="Y17" s="25">
        <v>614800</v>
      </c>
    </row>
    <row r="18" spans="2:25" x14ac:dyDescent="0.2">
      <c r="E18" s="17" t="s">
        <v>34</v>
      </c>
      <c r="G18" s="18"/>
      <c r="H18" s="18"/>
      <c r="I18" s="18"/>
      <c r="J18" s="19">
        <v>0</v>
      </c>
      <c r="K18" s="18"/>
      <c r="L18" s="5"/>
      <c r="M18" s="18">
        <v>0</v>
      </c>
      <c r="N18" s="18">
        <v>0</v>
      </c>
      <c r="O18" s="18">
        <v>0</v>
      </c>
      <c r="P18" s="19">
        <v>0</v>
      </c>
      <c r="Q18" s="19">
        <f t="shared" si="1"/>
        <v>0</v>
      </c>
      <c r="R18" s="19"/>
      <c r="S18" s="19"/>
      <c r="T18" s="148"/>
      <c r="U18" s="19"/>
      <c r="V18" s="19"/>
      <c r="W18" s="19"/>
    </row>
    <row r="19" spans="2:25" x14ac:dyDescent="0.2">
      <c r="E19" s="17" t="s">
        <v>35</v>
      </c>
      <c r="G19" s="18"/>
      <c r="H19" s="18"/>
      <c r="I19" s="18"/>
      <c r="J19" s="19">
        <v>0</v>
      </c>
      <c r="K19" s="18"/>
      <c r="L19" s="5"/>
      <c r="M19" s="18">
        <f>G19</f>
        <v>0</v>
      </c>
      <c r="N19" s="18">
        <f>H19</f>
        <v>0</v>
      </c>
      <c r="O19" s="18">
        <f>I19</f>
        <v>0</v>
      </c>
      <c r="P19" s="18">
        <f>J19</f>
        <v>0</v>
      </c>
      <c r="Q19" s="19">
        <f t="shared" si="1"/>
        <v>0</v>
      </c>
      <c r="R19" s="19"/>
      <c r="S19" s="19"/>
      <c r="T19" s="148"/>
      <c r="U19" s="19"/>
      <c r="V19" s="19"/>
      <c r="W19" s="19"/>
      <c r="Y19" s="23" t="s">
        <v>36</v>
      </c>
    </row>
    <row r="20" spans="2:25" x14ac:dyDescent="0.2">
      <c r="E20" s="17" t="s">
        <v>37</v>
      </c>
      <c r="G20" s="26"/>
      <c r="H20" s="26"/>
      <c r="I20" s="26"/>
      <c r="J20" s="26"/>
      <c r="K20" s="27"/>
      <c r="L20" s="5"/>
      <c r="M20" s="18">
        <v>0</v>
      </c>
      <c r="N20" s="18">
        <v>0</v>
      </c>
      <c r="O20" s="18">
        <v>0</v>
      </c>
      <c r="P20" s="19">
        <v>0</v>
      </c>
      <c r="Q20" s="19">
        <f t="shared" si="1"/>
        <v>0</v>
      </c>
      <c r="R20" s="19"/>
      <c r="S20" s="19"/>
      <c r="T20" s="148"/>
      <c r="U20" s="19"/>
      <c r="V20" s="19"/>
      <c r="W20" s="19"/>
      <c r="Y20" s="25">
        <f>31030+1679</f>
        <v>32709</v>
      </c>
    </row>
    <row r="21" spans="2:25" x14ac:dyDescent="0.2">
      <c r="D21" s="2" t="s">
        <v>38</v>
      </c>
      <c r="E21" s="17"/>
      <c r="G21" s="28"/>
      <c r="H21" s="28"/>
      <c r="I21" s="28"/>
      <c r="J21" s="29">
        <f>J9+J12+SUM(J15:J20)</f>
        <v>0</v>
      </c>
      <c r="K21" s="28"/>
      <c r="L21" s="5"/>
      <c r="M21" s="30">
        <f>M9+M12+SUM(M15:M20)</f>
        <v>0</v>
      </c>
      <c r="N21" s="30">
        <f>N9+N12+SUM(N15:N20)</f>
        <v>0</v>
      </c>
      <c r="O21" s="30">
        <f>O9+O12+SUM(O15:O20)</f>
        <v>0</v>
      </c>
      <c r="P21" s="31">
        <f>P9+P12+SUM(P15:P20)</f>
        <v>0</v>
      </c>
      <c r="Q21" s="31">
        <f>Q9+Q12+SUM(Q15:Q20)</f>
        <v>0</v>
      </c>
      <c r="R21" s="32"/>
      <c r="S21" s="32"/>
      <c r="T21" s="159"/>
      <c r="U21" s="32"/>
      <c r="V21" s="32"/>
      <c r="W21" s="32"/>
    </row>
    <row r="22" spans="2:25" x14ac:dyDescent="0.2">
      <c r="E22" s="17"/>
      <c r="G22" s="18"/>
      <c r="H22" s="18"/>
      <c r="I22" s="18"/>
      <c r="J22" s="19"/>
      <c r="K22" s="18"/>
      <c r="L22" s="5"/>
      <c r="M22" s="33"/>
      <c r="N22" s="18"/>
      <c r="O22" s="18"/>
      <c r="P22" s="19"/>
      <c r="Q22" s="19"/>
      <c r="R22" s="19"/>
      <c r="S22" s="19"/>
      <c r="T22" s="148"/>
      <c r="U22" s="19"/>
      <c r="V22" s="19"/>
      <c r="W22" s="19"/>
      <c r="Y22" s="23" t="s">
        <v>39</v>
      </c>
    </row>
    <row r="23" spans="2:25" x14ac:dyDescent="0.2">
      <c r="B23" s="2" t="s">
        <v>40</v>
      </c>
      <c r="E23" s="17" t="s">
        <v>41</v>
      </c>
      <c r="G23" s="26"/>
      <c r="H23" s="26"/>
      <c r="I23" s="26"/>
      <c r="J23" s="26">
        <v>0</v>
      </c>
      <c r="K23" s="27"/>
      <c r="L23" s="5"/>
      <c r="M23" s="27">
        <f>$Q$23*G$105</f>
        <v>0</v>
      </c>
      <c r="N23" s="27">
        <f>$Q$23*H$105</f>
        <v>0</v>
      </c>
      <c r="O23" s="27">
        <f>$Q$23*I$105</f>
        <v>0</v>
      </c>
      <c r="P23" s="27">
        <v>0</v>
      </c>
      <c r="Q23" s="27">
        <f>K23*Y23</f>
        <v>0</v>
      </c>
      <c r="R23" s="34"/>
      <c r="S23" s="34"/>
      <c r="T23" s="44">
        <f>251603.59-K23</f>
        <v>251603.59</v>
      </c>
      <c r="U23" s="34"/>
      <c r="V23" s="34"/>
      <c r="W23" s="34"/>
      <c r="Y23" s="35">
        <f>Y20/Y17</f>
        <v>5.320266753415745E-2</v>
      </c>
    </row>
    <row r="24" spans="2:25" x14ac:dyDescent="0.2">
      <c r="B24" s="2"/>
      <c r="D24" s="2" t="s">
        <v>42</v>
      </c>
      <c r="E24" s="17"/>
      <c r="G24" s="28"/>
      <c r="H24" s="28"/>
      <c r="I24" s="28"/>
      <c r="J24" s="29">
        <f>SUM(J23)</f>
        <v>0</v>
      </c>
      <c r="K24" s="28"/>
      <c r="L24" s="5"/>
      <c r="M24" s="28">
        <f>SUM(M23)</f>
        <v>0</v>
      </c>
      <c r="N24" s="28">
        <f>SUM(N23)</f>
        <v>0</v>
      </c>
      <c r="O24" s="28">
        <f>SUM(O23)</f>
        <v>0</v>
      </c>
      <c r="P24" s="29">
        <f>SUM(P23)</f>
        <v>0</v>
      </c>
      <c r="Q24" s="29">
        <f>SUM(M24:P24)</f>
        <v>0</v>
      </c>
      <c r="R24" s="29"/>
      <c r="S24" s="29"/>
      <c r="T24" s="29">
        <f>K24-Q24</f>
        <v>0</v>
      </c>
      <c r="U24" s="29"/>
      <c r="V24" s="29"/>
      <c r="W24" s="29"/>
    </row>
    <row r="25" spans="2:25" x14ac:dyDescent="0.2">
      <c r="B25" s="2"/>
      <c r="E25" s="11"/>
      <c r="G25" s="11"/>
      <c r="H25" s="11"/>
      <c r="I25" s="11"/>
      <c r="K25" s="11"/>
      <c r="L25" s="5"/>
      <c r="M25" s="11"/>
      <c r="N25" s="11"/>
      <c r="O25" s="11"/>
    </row>
    <row r="26" spans="2:25" x14ac:dyDescent="0.2">
      <c r="B26" s="2" t="s">
        <v>43</v>
      </c>
      <c r="E26" s="17" t="s">
        <v>44</v>
      </c>
      <c r="F26" s="11"/>
      <c r="G26" s="18"/>
      <c r="H26" s="18"/>
      <c r="I26" s="18"/>
      <c r="J26" s="19">
        <v>0</v>
      </c>
      <c r="K26" s="18"/>
      <c r="L26" s="5"/>
      <c r="M26" s="34">
        <v>0</v>
      </c>
      <c r="N26" s="34">
        <v>0</v>
      </c>
      <c r="O26" s="34">
        <v>0</v>
      </c>
      <c r="P26" s="19">
        <v>0</v>
      </c>
      <c r="Q26" s="19">
        <f t="shared" ref="Q26:Q31" si="2">SUM(M26:P26)</f>
        <v>0</v>
      </c>
      <c r="R26" s="19"/>
      <c r="S26" s="19"/>
      <c r="T26" s="19"/>
      <c r="U26" s="19"/>
      <c r="V26" s="19"/>
      <c r="W26" s="19"/>
    </row>
    <row r="27" spans="2:25" x14ac:dyDescent="0.2">
      <c r="B27" s="2"/>
      <c r="E27" s="17" t="s">
        <v>45</v>
      </c>
      <c r="G27" s="18"/>
      <c r="H27" s="18"/>
      <c r="I27" s="18"/>
      <c r="J27" s="19">
        <v>0</v>
      </c>
      <c r="K27" s="18"/>
      <c r="L27" s="5"/>
      <c r="M27" s="18">
        <f>G27</f>
        <v>0</v>
      </c>
      <c r="N27" s="18">
        <f>H27</f>
        <v>0</v>
      </c>
      <c r="O27" s="18">
        <f>I27</f>
        <v>0</v>
      </c>
      <c r="P27" s="18">
        <f>J27</f>
        <v>0</v>
      </c>
      <c r="Q27" s="19">
        <f>SUM(M27:P27)</f>
        <v>0</v>
      </c>
      <c r="R27" s="19"/>
      <c r="S27" s="19"/>
      <c r="T27" s="19"/>
      <c r="U27" s="19"/>
      <c r="V27" s="19"/>
      <c r="W27" s="19"/>
    </row>
    <row r="28" spans="2:25" x14ac:dyDescent="0.2">
      <c r="B28" s="2"/>
      <c r="E28" s="11" t="s">
        <v>46</v>
      </c>
      <c r="G28" s="18"/>
      <c r="H28" s="18"/>
      <c r="I28" s="18"/>
      <c r="J28" s="19">
        <v>0</v>
      </c>
      <c r="K28" s="18"/>
      <c r="L28" s="5"/>
      <c r="M28" s="18">
        <v>0</v>
      </c>
      <c r="N28" s="18">
        <v>0</v>
      </c>
      <c r="O28" s="18">
        <v>0</v>
      </c>
      <c r="P28" s="19">
        <v>0</v>
      </c>
      <c r="Q28" s="19">
        <f t="shared" si="2"/>
        <v>0</v>
      </c>
      <c r="R28" s="19"/>
      <c r="S28" s="19"/>
      <c r="T28" s="19"/>
      <c r="U28" s="19"/>
      <c r="V28" s="19"/>
      <c r="W28" s="19"/>
    </row>
    <row r="29" spans="2:25" x14ac:dyDescent="0.2">
      <c r="B29" s="2"/>
      <c r="E29" s="17" t="s">
        <v>47</v>
      </c>
      <c r="G29" s="18"/>
      <c r="H29" s="18"/>
      <c r="I29" s="18"/>
      <c r="J29" s="19">
        <v>0</v>
      </c>
      <c r="K29" s="18"/>
      <c r="L29" s="5"/>
      <c r="M29" s="18">
        <f t="shared" ref="M29:P30" si="3">G29</f>
        <v>0</v>
      </c>
      <c r="N29" s="18">
        <f t="shared" si="3"/>
        <v>0</v>
      </c>
      <c r="O29" s="18">
        <f t="shared" si="3"/>
        <v>0</v>
      </c>
      <c r="P29" s="18">
        <f t="shared" si="3"/>
        <v>0</v>
      </c>
      <c r="Q29" s="19">
        <f t="shared" si="2"/>
        <v>0</v>
      </c>
      <c r="R29" s="19"/>
      <c r="S29" s="19"/>
      <c r="T29" s="19"/>
      <c r="U29" s="19"/>
      <c r="V29" s="19"/>
      <c r="W29" s="19"/>
    </row>
    <row r="30" spans="2:25" x14ac:dyDescent="0.2">
      <c r="B30" s="2"/>
      <c r="E30" s="36" t="s">
        <v>48</v>
      </c>
      <c r="G30" s="26"/>
      <c r="H30" s="26"/>
      <c r="I30" s="26"/>
      <c r="J30" s="26">
        <v>0</v>
      </c>
      <c r="K30" s="27"/>
      <c r="L30" s="5"/>
      <c r="M30" s="27">
        <f t="shared" si="3"/>
        <v>0</v>
      </c>
      <c r="N30" s="27">
        <f t="shared" si="3"/>
        <v>0</v>
      </c>
      <c r="O30" s="27">
        <f t="shared" si="3"/>
        <v>0</v>
      </c>
      <c r="P30" s="27">
        <f>J30</f>
        <v>0</v>
      </c>
      <c r="Q30" s="26">
        <f t="shared" si="2"/>
        <v>0</v>
      </c>
      <c r="R30" s="37"/>
      <c r="S30" s="37"/>
      <c r="T30" s="37"/>
      <c r="U30" s="37"/>
      <c r="V30" s="37"/>
      <c r="W30" s="37"/>
    </row>
    <row r="31" spans="2:25" x14ac:dyDescent="0.2">
      <c r="B31" s="2"/>
      <c r="D31" s="2" t="s">
        <v>49</v>
      </c>
      <c r="G31" s="29"/>
      <c r="H31" s="29"/>
      <c r="I31" s="29"/>
      <c r="J31" s="29">
        <f>SUM(J26:J30)</f>
        <v>0</v>
      </c>
      <c r="K31" s="28">
        <f>SUM(G31:J31)</f>
        <v>0</v>
      </c>
      <c r="L31" s="5"/>
      <c r="M31" s="28">
        <f>SUM(M26:M30)</f>
        <v>0</v>
      </c>
      <c r="N31" s="28">
        <f>SUM(N26:N30)</f>
        <v>0</v>
      </c>
      <c r="O31" s="28">
        <f>SUM(O26:O30)</f>
        <v>0</v>
      </c>
      <c r="P31" s="29">
        <f>SUM(P26:P30)</f>
        <v>0</v>
      </c>
      <c r="Q31" s="29">
        <f t="shared" si="2"/>
        <v>0</v>
      </c>
      <c r="R31" s="29"/>
      <c r="S31" s="29"/>
      <c r="T31" s="29"/>
      <c r="U31" s="29"/>
      <c r="V31" s="29"/>
      <c r="W31" s="29"/>
    </row>
    <row r="32" spans="2:25" x14ac:dyDescent="0.2">
      <c r="B32" s="2"/>
      <c r="K32" s="11"/>
      <c r="L32" s="5"/>
    </row>
    <row r="33" spans="2:23" x14ac:dyDescent="0.2">
      <c r="B33" s="2" t="s">
        <v>50</v>
      </c>
      <c r="D33" s="2" t="s">
        <v>51</v>
      </c>
      <c r="E33" s="1" t="s">
        <v>52</v>
      </c>
      <c r="G33" s="18"/>
      <c r="H33" s="18"/>
      <c r="I33" s="18"/>
      <c r="J33" s="18">
        <v>0</v>
      </c>
      <c r="K33" s="18">
        <f>SUM(G33:J33)</f>
        <v>0</v>
      </c>
      <c r="L33" s="5"/>
      <c r="M33" s="19">
        <f t="shared" ref="M33:P34" si="4">G33</f>
        <v>0</v>
      </c>
      <c r="N33" s="19">
        <f t="shared" si="4"/>
        <v>0</v>
      </c>
      <c r="O33" s="19">
        <f t="shared" si="4"/>
        <v>0</v>
      </c>
      <c r="P33" s="19">
        <f t="shared" si="4"/>
        <v>0</v>
      </c>
      <c r="Q33" s="19">
        <f>SUM(M33:P33)</f>
        <v>0</v>
      </c>
      <c r="R33" s="19"/>
      <c r="S33" s="19"/>
      <c r="T33" s="19"/>
      <c r="U33" s="19"/>
      <c r="V33" s="19"/>
      <c r="W33" s="19"/>
    </row>
    <row r="34" spans="2:23" x14ac:dyDescent="0.2">
      <c r="B34" s="2" t="s">
        <v>53</v>
      </c>
      <c r="D34" s="2" t="s">
        <v>54</v>
      </c>
      <c r="E34" s="1" t="s">
        <v>55</v>
      </c>
      <c r="G34" s="18"/>
      <c r="H34" s="18"/>
      <c r="I34" s="18"/>
      <c r="J34" s="18">
        <v>0</v>
      </c>
      <c r="K34" s="18">
        <f>SUM(G34:J34)</f>
        <v>0</v>
      </c>
      <c r="L34" s="5"/>
      <c r="M34" s="19">
        <f t="shared" si="4"/>
        <v>0</v>
      </c>
      <c r="N34" s="19">
        <f t="shared" si="4"/>
        <v>0</v>
      </c>
      <c r="O34" s="19">
        <f t="shared" si="4"/>
        <v>0</v>
      </c>
      <c r="P34" s="19">
        <f t="shared" si="4"/>
        <v>0</v>
      </c>
      <c r="Q34" s="19">
        <f>SUM(M34:P34)</f>
        <v>0</v>
      </c>
      <c r="R34" s="19"/>
      <c r="S34" s="19"/>
      <c r="T34" s="19"/>
      <c r="U34" s="19"/>
      <c r="V34" s="19"/>
      <c r="W34" s="19"/>
    </row>
    <row r="35" spans="2:23" x14ac:dyDescent="0.2">
      <c r="D35" s="2"/>
      <c r="G35" s="11"/>
      <c r="H35" s="11"/>
      <c r="I35" s="11"/>
      <c r="J35" s="11"/>
      <c r="K35" s="11"/>
      <c r="L35" s="5"/>
      <c r="Q35" s="19"/>
      <c r="R35" s="19"/>
      <c r="S35" s="19"/>
      <c r="T35" s="19"/>
      <c r="U35" s="19"/>
      <c r="V35" s="19"/>
      <c r="W35" s="19"/>
    </row>
    <row r="36" spans="2:23" x14ac:dyDescent="0.2">
      <c r="D36" s="2" t="s">
        <v>56</v>
      </c>
      <c r="E36" s="1" t="s">
        <v>57</v>
      </c>
      <c r="G36" s="18"/>
      <c r="H36" s="18"/>
      <c r="I36" s="18"/>
      <c r="J36" s="18">
        <v>0</v>
      </c>
      <c r="K36" s="18">
        <f t="shared" ref="K36:K41" si="5">SUM(G36:J36)</f>
        <v>0</v>
      </c>
      <c r="L36" s="5"/>
      <c r="M36" s="19">
        <f t="shared" ref="M36:P41" si="6">G36</f>
        <v>0</v>
      </c>
      <c r="N36" s="19">
        <f t="shared" si="6"/>
        <v>0</v>
      </c>
      <c r="O36" s="19">
        <f t="shared" si="6"/>
        <v>0</v>
      </c>
      <c r="P36" s="19">
        <f t="shared" si="6"/>
        <v>0</v>
      </c>
      <c r="Q36" s="19">
        <f t="shared" ref="Q36:Q41" si="7">SUM(M36:P36)</f>
        <v>0</v>
      </c>
      <c r="R36" s="19"/>
      <c r="S36" s="19"/>
      <c r="T36" s="19"/>
      <c r="U36" s="19"/>
      <c r="V36" s="19"/>
      <c r="W36" s="19"/>
    </row>
    <row r="37" spans="2:23" x14ac:dyDescent="0.2">
      <c r="D37" s="2" t="s">
        <v>58</v>
      </c>
      <c r="E37" s="1" t="s">
        <v>59</v>
      </c>
      <c r="G37" s="18"/>
      <c r="H37" s="18"/>
      <c r="I37" s="18"/>
      <c r="J37" s="18">
        <v>0</v>
      </c>
      <c r="K37" s="18">
        <f t="shared" si="5"/>
        <v>0</v>
      </c>
      <c r="L37" s="5"/>
      <c r="M37" s="19">
        <f t="shared" si="6"/>
        <v>0</v>
      </c>
      <c r="N37" s="19">
        <f t="shared" si="6"/>
        <v>0</v>
      </c>
      <c r="O37" s="19">
        <f t="shared" si="6"/>
        <v>0</v>
      </c>
      <c r="P37" s="19">
        <f t="shared" si="6"/>
        <v>0</v>
      </c>
      <c r="Q37" s="19">
        <f t="shared" si="7"/>
        <v>0</v>
      </c>
      <c r="R37" s="19"/>
      <c r="S37" s="19"/>
      <c r="T37" s="19"/>
      <c r="U37" s="19"/>
      <c r="V37" s="19"/>
      <c r="W37" s="19"/>
    </row>
    <row r="38" spans="2:23" x14ac:dyDescent="0.2">
      <c r="D38" s="2"/>
      <c r="E38" s="1" t="s">
        <v>60</v>
      </c>
      <c r="G38" s="18"/>
      <c r="H38" s="18"/>
      <c r="I38" s="18"/>
      <c r="J38" s="18">
        <v>0</v>
      </c>
      <c r="K38" s="18">
        <f t="shared" si="5"/>
        <v>0</v>
      </c>
      <c r="L38" s="5"/>
      <c r="M38" s="19">
        <f t="shared" si="6"/>
        <v>0</v>
      </c>
      <c r="N38" s="19">
        <f t="shared" si="6"/>
        <v>0</v>
      </c>
      <c r="O38" s="19">
        <f t="shared" si="6"/>
        <v>0</v>
      </c>
      <c r="P38" s="19">
        <f t="shared" si="6"/>
        <v>0</v>
      </c>
      <c r="Q38" s="19">
        <f t="shared" si="7"/>
        <v>0</v>
      </c>
      <c r="R38" s="19"/>
      <c r="S38" s="19"/>
      <c r="T38" s="19"/>
      <c r="U38" s="19"/>
      <c r="V38" s="19"/>
      <c r="W38" s="19"/>
    </row>
    <row r="39" spans="2:23" x14ac:dyDescent="0.2">
      <c r="D39" s="2"/>
      <c r="E39" s="1" t="s">
        <v>114</v>
      </c>
      <c r="G39" s="18"/>
      <c r="H39" s="18"/>
      <c r="I39" s="18"/>
      <c r="J39" s="18">
        <v>0</v>
      </c>
      <c r="K39" s="18">
        <f t="shared" si="5"/>
        <v>0</v>
      </c>
      <c r="L39" s="5"/>
      <c r="M39" s="19">
        <f t="shared" si="6"/>
        <v>0</v>
      </c>
      <c r="N39" s="19">
        <f t="shared" si="6"/>
        <v>0</v>
      </c>
      <c r="O39" s="19">
        <f t="shared" si="6"/>
        <v>0</v>
      </c>
      <c r="P39" s="19">
        <f t="shared" si="6"/>
        <v>0</v>
      </c>
      <c r="Q39" s="19">
        <f t="shared" si="7"/>
        <v>0</v>
      </c>
      <c r="R39" s="19"/>
      <c r="S39" s="19"/>
      <c r="T39" s="19"/>
      <c r="U39" s="19"/>
      <c r="V39" s="19"/>
      <c r="W39" s="19"/>
    </row>
    <row r="40" spans="2:23" x14ac:dyDescent="0.2">
      <c r="D40" s="2"/>
      <c r="E40" s="1" t="s">
        <v>115</v>
      </c>
      <c r="G40" s="18"/>
      <c r="H40" s="18"/>
      <c r="I40" s="18"/>
      <c r="J40" s="18">
        <v>0</v>
      </c>
      <c r="K40" s="18">
        <f t="shared" si="5"/>
        <v>0</v>
      </c>
      <c r="L40" s="5"/>
      <c r="M40" s="19">
        <f t="shared" si="6"/>
        <v>0</v>
      </c>
      <c r="N40" s="19">
        <f t="shared" si="6"/>
        <v>0</v>
      </c>
      <c r="O40" s="19">
        <f t="shared" si="6"/>
        <v>0</v>
      </c>
      <c r="P40" s="19">
        <f t="shared" si="6"/>
        <v>0</v>
      </c>
      <c r="Q40" s="19">
        <f t="shared" si="7"/>
        <v>0</v>
      </c>
      <c r="R40" s="19"/>
      <c r="S40" s="19"/>
      <c r="T40" s="19"/>
      <c r="U40" s="19"/>
      <c r="V40" s="19"/>
      <c r="W40" s="19"/>
    </row>
    <row r="41" spans="2:23" x14ac:dyDescent="0.2">
      <c r="D41" s="2"/>
      <c r="E41" s="1" t="s">
        <v>61</v>
      </c>
      <c r="G41" s="18"/>
      <c r="H41" s="18"/>
      <c r="I41" s="18"/>
      <c r="J41" s="18">
        <v>0</v>
      </c>
      <c r="K41" s="18">
        <f t="shared" si="5"/>
        <v>0</v>
      </c>
      <c r="L41" s="5"/>
      <c r="M41" s="19">
        <f t="shared" si="6"/>
        <v>0</v>
      </c>
      <c r="N41" s="19">
        <f t="shared" si="6"/>
        <v>0</v>
      </c>
      <c r="O41" s="19">
        <f t="shared" si="6"/>
        <v>0</v>
      </c>
      <c r="P41" s="19">
        <f t="shared" si="6"/>
        <v>0</v>
      </c>
      <c r="Q41" s="19">
        <f t="shared" si="7"/>
        <v>0</v>
      </c>
      <c r="R41" s="19"/>
      <c r="S41" s="19"/>
      <c r="T41" s="19"/>
      <c r="U41" s="19"/>
      <c r="V41" s="19"/>
      <c r="W41" s="19"/>
    </row>
    <row r="42" spans="2:23" x14ac:dyDescent="0.2">
      <c r="D42" s="2"/>
      <c r="G42" s="11"/>
      <c r="H42" s="11"/>
      <c r="I42" s="11"/>
      <c r="J42" s="11"/>
      <c r="K42" s="11"/>
      <c r="L42" s="5"/>
      <c r="Q42" s="19"/>
      <c r="R42" s="19"/>
      <c r="S42" s="19"/>
      <c r="T42" s="19"/>
      <c r="U42" s="19"/>
      <c r="V42" s="19"/>
      <c r="W42" s="19"/>
    </row>
    <row r="43" spans="2:23" x14ac:dyDescent="0.2">
      <c r="D43" s="2" t="s">
        <v>62</v>
      </c>
      <c r="G43" s="18"/>
      <c r="H43" s="18"/>
      <c r="I43" s="18"/>
      <c r="J43" s="18">
        <v>0</v>
      </c>
      <c r="K43" s="18">
        <f>SUM(G43:J43)</f>
        <v>0</v>
      </c>
      <c r="L43" s="5"/>
      <c r="M43" s="19">
        <f>G43</f>
        <v>0</v>
      </c>
      <c r="N43" s="19">
        <f>H43</f>
        <v>0</v>
      </c>
      <c r="O43" s="19">
        <f>I43</f>
        <v>0</v>
      </c>
      <c r="P43" s="19">
        <f>J43</f>
        <v>0</v>
      </c>
      <c r="Q43" s="19">
        <f>SUM(M43:P43)</f>
        <v>0</v>
      </c>
      <c r="R43" s="19"/>
      <c r="S43" s="19"/>
      <c r="T43" s="19"/>
      <c r="U43" s="19"/>
      <c r="V43" s="19"/>
      <c r="W43" s="19"/>
    </row>
    <row r="44" spans="2:23" x14ac:dyDescent="0.2">
      <c r="D44" s="2"/>
      <c r="G44" s="11"/>
      <c r="H44" s="11"/>
      <c r="I44" s="11"/>
      <c r="J44" s="11"/>
      <c r="L44" s="5"/>
    </row>
    <row r="45" spans="2:23" x14ac:dyDescent="0.2">
      <c r="D45" s="2" t="s">
        <v>63</v>
      </c>
      <c r="G45" s="18"/>
      <c r="H45" s="18"/>
      <c r="I45" s="18">
        <v>0</v>
      </c>
      <c r="J45" s="18">
        <v>0</v>
      </c>
      <c r="K45" s="19">
        <f>SUM(G45:J45)</f>
        <v>0</v>
      </c>
      <c r="L45" s="5"/>
      <c r="M45" s="19">
        <f>G45</f>
        <v>0</v>
      </c>
      <c r="N45" s="19">
        <f>H45</f>
        <v>0</v>
      </c>
      <c r="O45" s="19">
        <f>I45</f>
        <v>0</v>
      </c>
      <c r="P45" s="19">
        <f>J45</f>
        <v>0</v>
      </c>
      <c r="Q45" s="19">
        <f>SUM(M45:P45)</f>
        <v>0</v>
      </c>
      <c r="R45" s="19"/>
      <c r="S45" s="19"/>
      <c r="T45" s="19"/>
      <c r="U45" s="19"/>
      <c r="V45" s="19"/>
      <c r="W45" s="19"/>
    </row>
    <row r="46" spans="2:23" x14ac:dyDescent="0.2">
      <c r="D46" s="2"/>
      <c r="G46" s="11"/>
      <c r="H46" s="11"/>
      <c r="I46" s="11"/>
      <c r="J46" s="11"/>
      <c r="L46" s="5"/>
    </row>
    <row r="47" spans="2:23" x14ac:dyDescent="0.2">
      <c r="D47" s="2" t="s">
        <v>64</v>
      </c>
      <c r="G47" s="18"/>
      <c r="H47" s="18"/>
      <c r="I47" s="18">
        <v>0</v>
      </c>
      <c r="J47" s="18">
        <v>0</v>
      </c>
      <c r="K47" s="19">
        <f>SUM(G47:J47)</f>
        <v>0</v>
      </c>
      <c r="L47" s="5"/>
      <c r="M47" s="19">
        <f>G47</f>
        <v>0</v>
      </c>
      <c r="N47" s="19">
        <f>H47</f>
        <v>0</v>
      </c>
      <c r="O47" s="19">
        <f>I47</f>
        <v>0</v>
      </c>
      <c r="P47" s="19">
        <f>J47</f>
        <v>0</v>
      </c>
      <c r="Q47" s="19">
        <f>SUM(M47:P47)</f>
        <v>0</v>
      </c>
      <c r="R47" s="19"/>
      <c r="S47" s="19"/>
      <c r="T47" s="19"/>
      <c r="U47" s="19"/>
      <c r="V47" s="19"/>
      <c r="W47" s="19"/>
    </row>
    <row r="48" spans="2:23" x14ac:dyDescent="0.2">
      <c r="D48" s="2"/>
      <c r="G48" s="11"/>
      <c r="H48" s="11"/>
      <c r="I48" s="11"/>
      <c r="J48" s="11"/>
      <c r="L48" s="5"/>
    </row>
    <row r="49" spans="2:25" x14ac:dyDescent="0.2">
      <c r="D49" s="2" t="s">
        <v>65</v>
      </c>
      <c r="G49" s="18"/>
      <c r="H49" s="18">
        <v>0</v>
      </c>
      <c r="I49" s="18">
        <v>0</v>
      </c>
      <c r="J49" s="18">
        <v>0</v>
      </c>
      <c r="K49" s="19">
        <f>SUM(G49:J49)</f>
        <v>0</v>
      </c>
      <c r="L49" s="5"/>
      <c r="M49" s="19">
        <f>G49</f>
        <v>0</v>
      </c>
      <c r="N49" s="19">
        <f>H49</f>
        <v>0</v>
      </c>
      <c r="O49" s="19">
        <f>I49</f>
        <v>0</v>
      </c>
      <c r="P49" s="19">
        <f>J49</f>
        <v>0</v>
      </c>
      <c r="Q49" s="19">
        <f>SUM(M49:P49)</f>
        <v>0</v>
      </c>
      <c r="R49" s="19"/>
      <c r="S49" s="19"/>
      <c r="T49" s="19"/>
      <c r="U49" s="19"/>
      <c r="V49" s="19"/>
      <c r="W49" s="19"/>
    </row>
    <row r="50" spans="2:25" x14ac:dyDescent="0.2">
      <c r="D50" s="2" t="s">
        <v>66</v>
      </c>
      <c r="G50" s="11"/>
      <c r="H50" s="11"/>
      <c r="I50" s="11"/>
      <c r="J50" s="11"/>
      <c r="L50" s="5"/>
    </row>
    <row r="51" spans="2:25" x14ac:dyDescent="0.2">
      <c r="D51" s="2"/>
      <c r="G51" s="11"/>
      <c r="H51" s="11"/>
      <c r="I51" s="11"/>
      <c r="J51" s="11"/>
      <c r="L51" s="5"/>
    </row>
    <row r="52" spans="2:25" x14ac:dyDescent="0.2">
      <c r="B52" s="2"/>
      <c r="D52" s="2" t="s">
        <v>61</v>
      </c>
      <c r="G52" s="27"/>
      <c r="H52" s="27">
        <v>0</v>
      </c>
      <c r="I52" s="27">
        <v>0</v>
      </c>
      <c r="J52" s="27">
        <v>0</v>
      </c>
      <c r="K52" s="27">
        <f>SUM(G52:J52)</f>
        <v>0</v>
      </c>
      <c r="L52" s="5"/>
      <c r="M52" s="26">
        <f>G52</f>
        <v>0</v>
      </c>
      <c r="N52" s="26">
        <f>H52</f>
        <v>0</v>
      </c>
      <c r="O52" s="26">
        <f>I52</f>
        <v>0</v>
      </c>
      <c r="P52" s="26">
        <f>J52</f>
        <v>0</v>
      </c>
      <c r="Q52" s="26">
        <f>SUM(M52:P52)</f>
        <v>0</v>
      </c>
      <c r="R52" s="37"/>
      <c r="S52" s="37"/>
      <c r="T52" s="37"/>
      <c r="U52" s="37"/>
      <c r="V52" s="37"/>
      <c r="W52" s="37"/>
    </row>
    <row r="53" spans="2:25" x14ac:dyDescent="0.2">
      <c r="D53" s="2" t="s">
        <v>67</v>
      </c>
      <c r="G53" s="29">
        <f>SUM(G33:G52)</f>
        <v>0</v>
      </c>
      <c r="H53" s="29">
        <f>SUM(H33:H52)</f>
        <v>0</v>
      </c>
      <c r="I53" s="29">
        <f>SUM(I33:I52)</f>
        <v>0</v>
      </c>
      <c r="J53" s="29">
        <f>SUM(J33:J52)</f>
        <v>0</v>
      </c>
      <c r="K53" s="29">
        <f>SUM(G53:J53)</f>
        <v>0</v>
      </c>
      <c r="L53" s="5"/>
      <c r="M53" s="29">
        <f>SUM(M33:M52)</f>
        <v>0</v>
      </c>
      <c r="N53" s="29">
        <f>SUM(N33:N52)</f>
        <v>0</v>
      </c>
      <c r="O53" s="29">
        <f>SUM(O33:O52)</f>
        <v>0</v>
      </c>
      <c r="P53" s="29">
        <f>SUM(P33:P52)</f>
        <v>0</v>
      </c>
      <c r="Q53" s="29">
        <f>SUM(M53:P53)</f>
        <v>0</v>
      </c>
      <c r="R53" s="29"/>
      <c r="S53" s="29"/>
      <c r="T53" s="29"/>
      <c r="U53" s="29"/>
      <c r="V53" s="29"/>
      <c r="W53" s="29"/>
    </row>
    <row r="54" spans="2:25" x14ac:dyDescent="0.2">
      <c r="B54" s="2"/>
      <c r="G54" s="19"/>
      <c r="L54" s="5"/>
    </row>
    <row r="55" spans="2:25" x14ac:dyDescent="0.2">
      <c r="B55" s="2" t="s">
        <v>68</v>
      </c>
      <c r="G55" s="19">
        <v>0</v>
      </c>
      <c r="H55" s="19">
        <v>0</v>
      </c>
      <c r="I55" s="19">
        <v>0</v>
      </c>
      <c r="J55" s="19">
        <v>0</v>
      </c>
      <c r="K55" s="19">
        <f>SUM(G55:J55)</f>
        <v>0</v>
      </c>
      <c r="L55" s="5"/>
      <c r="M55" s="19">
        <v>0</v>
      </c>
      <c r="N55" s="19">
        <v>0</v>
      </c>
      <c r="O55" s="19">
        <v>0</v>
      </c>
      <c r="P55" s="19">
        <v>0</v>
      </c>
      <c r="Q55" s="19">
        <f>SUM(M55:P55)</f>
        <v>0</v>
      </c>
      <c r="R55" s="19"/>
      <c r="S55" s="19"/>
      <c r="T55" s="19"/>
      <c r="U55" s="19"/>
      <c r="V55" s="19"/>
      <c r="W55" s="19"/>
    </row>
    <row r="56" spans="2:25" x14ac:dyDescent="0.2">
      <c r="B56" s="2" t="s">
        <v>69</v>
      </c>
      <c r="D56" s="19"/>
      <c r="L56" s="5"/>
    </row>
    <row r="57" spans="2:25" ht="13.5" thickBot="1" x14ac:dyDescent="0.25">
      <c r="K57" s="19"/>
      <c r="L57" s="5"/>
      <c r="Q57" s="38"/>
      <c r="R57" s="39"/>
      <c r="S57" s="39"/>
      <c r="T57" s="39"/>
      <c r="U57" s="39"/>
      <c r="V57" s="39"/>
      <c r="W57" s="39"/>
    </row>
    <row r="58" spans="2:25" x14ac:dyDescent="0.2">
      <c r="B58" s="2" t="s">
        <v>70</v>
      </c>
      <c r="E58" s="19"/>
      <c r="G58" s="40">
        <f>G21+G24+G31+G53+G55</f>
        <v>0</v>
      </c>
      <c r="H58" s="40">
        <f>H21+H24+H31+H53+H55</f>
        <v>0</v>
      </c>
      <c r="I58" s="40">
        <f>I21+I24+I31+I53+I55</f>
        <v>0</v>
      </c>
      <c r="J58" s="40">
        <f>J21+J24+J31+J53+J55</f>
        <v>0</v>
      </c>
      <c r="K58" s="40">
        <f>SUM(G58:J58)</f>
        <v>0</v>
      </c>
      <c r="L58" s="41"/>
      <c r="M58" s="40">
        <f>M21+M24+M31+M53+M55</f>
        <v>0</v>
      </c>
      <c r="N58" s="40">
        <f>N21+N24+N31+N53+N55</f>
        <v>0</v>
      </c>
      <c r="O58" s="40">
        <f>O21+O24+O31+O53+O55</f>
        <v>0</v>
      </c>
      <c r="P58" s="40">
        <f>P21+P24+P31+P53+P55</f>
        <v>0</v>
      </c>
      <c r="Q58" s="40">
        <f>SUM(M58:P58)</f>
        <v>0</v>
      </c>
      <c r="R58" s="32"/>
      <c r="S58" s="32"/>
      <c r="T58" s="32"/>
      <c r="U58" s="32"/>
      <c r="V58" s="32"/>
      <c r="W58" s="32"/>
    </row>
    <row r="59" spans="2:25" x14ac:dyDescent="0.2">
      <c r="L59" s="5"/>
    </row>
    <row r="60" spans="2:25" x14ac:dyDescent="0.2">
      <c r="L60" s="5"/>
    </row>
    <row r="61" spans="2:25" ht="14.25" x14ac:dyDescent="0.2">
      <c r="B61" s="16" t="s">
        <v>71</v>
      </c>
      <c r="K61" s="11"/>
      <c r="L61" s="5"/>
    </row>
    <row r="62" spans="2:25" x14ac:dyDescent="0.2">
      <c r="D62" s="11" t="s">
        <v>147</v>
      </c>
      <c r="E62" s="36" t="s">
        <v>23</v>
      </c>
      <c r="G62" s="19"/>
      <c r="H62" s="19"/>
      <c r="I62" s="19"/>
      <c r="J62" s="18">
        <v>116146</v>
      </c>
      <c r="K62" s="18">
        <v>116146</v>
      </c>
      <c r="L62" s="5"/>
      <c r="M62" s="19">
        <f>G62</f>
        <v>0</v>
      </c>
      <c r="N62" s="19">
        <f>H62</f>
        <v>0</v>
      </c>
      <c r="O62" s="19">
        <f>Q62</f>
        <v>116146</v>
      </c>
      <c r="P62" s="18">
        <f>J62</f>
        <v>116146</v>
      </c>
      <c r="Q62" s="18">
        <f>$K$62</f>
        <v>116146</v>
      </c>
      <c r="R62" s="18"/>
      <c r="S62" s="18"/>
      <c r="T62" s="18"/>
      <c r="U62" s="18"/>
      <c r="V62" s="18"/>
      <c r="W62" s="18"/>
      <c r="Y62" s="23" t="s">
        <v>73</v>
      </c>
    </row>
    <row r="63" spans="2:25" x14ac:dyDescent="0.2">
      <c r="D63" s="11"/>
      <c r="E63" s="36" t="s">
        <v>25</v>
      </c>
      <c r="G63" s="42"/>
      <c r="H63" s="42"/>
      <c r="I63" s="42"/>
      <c r="J63" s="43"/>
      <c r="K63" s="43"/>
      <c r="L63" s="5"/>
      <c r="M63" s="42">
        <f>G63</f>
        <v>0</v>
      </c>
      <c r="N63" s="42">
        <f>H63</f>
        <v>0</v>
      </c>
      <c r="O63" s="42">
        <f>I63</f>
        <v>0</v>
      </c>
      <c r="P63" s="43">
        <f>J63</f>
        <v>0</v>
      </c>
      <c r="Q63" s="42">
        <f>K63</f>
        <v>0</v>
      </c>
      <c r="R63" s="42"/>
      <c r="S63" s="42"/>
      <c r="T63" s="42"/>
      <c r="U63" s="42"/>
      <c r="V63" s="42"/>
      <c r="W63" s="42"/>
      <c r="Y63" s="44">
        <f>$K$62-(327*25.09*8)</f>
        <v>50510.559999999998</v>
      </c>
    </row>
    <row r="64" spans="2:25" x14ac:dyDescent="0.2">
      <c r="D64" s="11"/>
      <c r="E64" s="36"/>
      <c r="J64" s="11"/>
      <c r="K64" s="11"/>
      <c r="L64" s="5"/>
      <c r="P64" s="11"/>
    </row>
    <row r="65" spans="4:23" x14ac:dyDescent="0.2">
      <c r="D65" s="11" t="s">
        <v>74</v>
      </c>
      <c r="E65" s="36" t="s">
        <v>23</v>
      </c>
      <c r="G65" s="19"/>
      <c r="H65" s="19"/>
      <c r="I65" s="19"/>
      <c r="J65" s="18"/>
      <c r="K65" s="18"/>
      <c r="L65" s="5"/>
      <c r="M65" s="19">
        <f>$G$105*Q65</f>
        <v>0</v>
      </c>
      <c r="N65" s="19">
        <f>$H$105*Q65</f>
        <v>0</v>
      </c>
      <c r="O65" s="19">
        <f>$I$105*Q65</f>
        <v>0</v>
      </c>
      <c r="P65" s="18">
        <f t="shared" ref="P65:Q66" si="8">J65</f>
        <v>0</v>
      </c>
      <c r="Q65" s="18">
        <f>K65</f>
        <v>0</v>
      </c>
      <c r="R65" s="18"/>
      <c r="S65" s="18"/>
      <c r="T65" s="18"/>
      <c r="U65" s="18"/>
      <c r="V65" s="18"/>
      <c r="W65" s="18"/>
    </row>
    <row r="66" spans="4:23" ht="12.75" customHeight="1" x14ac:dyDescent="0.2">
      <c r="D66" s="11"/>
      <c r="E66" s="36" t="s">
        <v>25</v>
      </c>
      <c r="G66" s="19"/>
      <c r="H66" s="19"/>
      <c r="I66" s="19"/>
      <c r="J66" s="46"/>
      <c r="K66" s="43"/>
      <c r="L66" s="5"/>
      <c r="M66" s="42">
        <f>G66</f>
        <v>0</v>
      </c>
      <c r="N66" s="42">
        <f>H66</f>
        <v>0</v>
      </c>
      <c r="O66" s="42">
        <f>I66</f>
        <v>0</v>
      </c>
      <c r="P66" s="43">
        <f t="shared" si="8"/>
        <v>0</v>
      </c>
      <c r="Q66" s="42">
        <f t="shared" si="8"/>
        <v>0</v>
      </c>
      <c r="R66" s="42"/>
      <c r="S66" s="42"/>
      <c r="T66" s="42"/>
      <c r="U66" s="42"/>
      <c r="V66" s="42"/>
      <c r="W66" s="42"/>
    </row>
    <row r="67" spans="4:23" ht="12.75" customHeight="1" x14ac:dyDescent="0.2">
      <c r="D67" s="11"/>
      <c r="E67" s="36"/>
      <c r="G67" s="19"/>
      <c r="H67" s="19"/>
      <c r="I67" s="19"/>
      <c r="J67" s="11"/>
      <c r="K67" s="11"/>
      <c r="L67" s="5"/>
      <c r="P67" s="11"/>
    </row>
    <row r="68" spans="4:23" x14ac:dyDescent="0.2">
      <c r="D68" s="11" t="s">
        <v>75</v>
      </c>
      <c r="E68" s="36" t="s">
        <v>23</v>
      </c>
      <c r="G68" s="19"/>
      <c r="H68" s="19"/>
      <c r="I68" s="19"/>
      <c r="J68" s="18"/>
      <c r="K68" s="18"/>
      <c r="L68" s="5"/>
      <c r="M68" s="19">
        <f>$G$105*Q$68</f>
        <v>0</v>
      </c>
      <c r="N68" s="19">
        <f>$H$105*Q$68</f>
        <v>0</v>
      </c>
      <c r="O68" s="19">
        <f>$I$105*Q$68</f>
        <v>0</v>
      </c>
      <c r="P68" s="18">
        <f>J68</f>
        <v>0</v>
      </c>
      <c r="Q68" s="18">
        <f>K68</f>
        <v>0</v>
      </c>
      <c r="R68" s="18"/>
      <c r="S68" s="18"/>
      <c r="T68" s="18"/>
      <c r="U68" s="18"/>
      <c r="V68" s="18"/>
      <c r="W68" s="18"/>
    </row>
    <row r="69" spans="4:23" x14ac:dyDescent="0.2">
      <c r="D69" s="11"/>
      <c r="E69" s="36" t="s">
        <v>25</v>
      </c>
      <c r="G69" s="19"/>
      <c r="H69" s="19"/>
      <c r="I69" s="19"/>
      <c r="J69" s="43"/>
      <c r="K69" s="43"/>
      <c r="L69" s="5"/>
      <c r="M69" s="42">
        <f>G69</f>
        <v>0</v>
      </c>
      <c r="N69" s="42">
        <f>H69</f>
        <v>0</v>
      </c>
      <c r="O69" s="42">
        <f>I69</f>
        <v>0</v>
      </c>
      <c r="P69" s="43">
        <f>J69</f>
        <v>0</v>
      </c>
      <c r="Q69" s="42">
        <f>K69</f>
        <v>0</v>
      </c>
      <c r="R69" s="42"/>
      <c r="S69" s="42"/>
      <c r="T69" s="42"/>
      <c r="U69" s="42"/>
      <c r="V69" s="42"/>
      <c r="W69" s="42"/>
    </row>
    <row r="70" spans="4:23" x14ac:dyDescent="0.2">
      <c r="D70" s="11"/>
      <c r="E70" s="36"/>
      <c r="G70" s="19"/>
      <c r="H70" s="19"/>
      <c r="I70" s="19"/>
      <c r="J70" s="43"/>
      <c r="K70" s="43"/>
      <c r="L70" s="5"/>
      <c r="M70" s="42"/>
      <c r="N70" s="42"/>
      <c r="O70" s="42"/>
      <c r="P70" s="43"/>
      <c r="Q70" s="43"/>
      <c r="R70" s="43"/>
      <c r="S70" s="43"/>
      <c r="T70" s="43"/>
      <c r="U70" s="43"/>
      <c r="V70" s="43"/>
      <c r="W70" s="43"/>
    </row>
    <row r="71" spans="4:23" x14ac:dyDescent="0.2">
      <c r="D71" s="47" t="s">
        <v>76</v>
      </c>
      <c r="E71" s="36" t="s">
        <v>23</v>
      </c>
      <c r="G71" s="19"/>
      <c r="H71" s="19"/>
      <c r="I71" s="19"/>
      <c r="J71" s="18"/>
      <c r="K71" s="18"/>
      <c r="L71" s="5"/>
      <c r="M71" s="19">
        <f>G71</f>
        <v>0</v>
      </c>
      <c r="N71" s="19">
        <f t="shared" ref="M71:Q72" si="9">H71</f>
        <v>0</v>
      </c>
      <c r="O71" s="19">
        <f t="shared" si="9"/>
        <v>0</v>
      </c>
      <c r="P71" s="18">
        <f t="shared" si="9"/>
        <v>0</v>
      </c>
      <c r="Q71" s="18">
        <f>K71</f>
        <v>0</v>
      </c>
      <c r="R71" s="18"/>
      <c r="S71" s="18"/>
      <c r="T71" s="18"/>
      <c r="U71" s="18"/>
      <c r="V71" s="18"/>
      <c r="W71" s="18"/>
    </row>
    <row r="72" spans="4:23" x14ac:dyDescent="0.2">
      <c r="D72" s="11"/>
      <c r="E72" s="36" t="s">
        <v>25</v>
      </c>
      <c r="G72" s="19"/>
      <c r="H72" s="19"/>
      <c r="I72" s="19"/>
      <c r="J72" s="43"/>
      <c r="K72" s="43"/>
      <c r="L72" s="5"/>
      <c r="M72" s="42">
        <f t="shared" si="9"/>
        <v>0</v>
      </c>
      <c r="N72" s="42">
        <f t="shared" si="9"/>
        <v>0</v>
      </c>
      <c r="O72" s="42">
        <f t="shared" si="9"/>
        <v>0</v>
      </c>
      <c r="P72" s="43">
        <f t="shared" si="9"/>
        <v>0</v>
      </c>
      <c r="Q72" s="42">
        <f t="shared" si="9"/>
        <v>0</v>
      </c>
      <c r="R72" s="42"/>
      <c r="S72" s="42"/>
      <c r="T72" s="42"/>
      <c r="U72" s="42"/>
      <c r="V72" s="42"/>
      <c r="W72" s="42"/>
    </row>
    <row r="73" spans="4:23" x14ac:dyDescent="0.2">
      <c r="D73" s="11"/>
      <c r="E73" s="36"/>
      <c r="G73" s="19"/>
      <c r="H73" s="19"/>
      <c r="I73" s="19"/>
      <c r="J73" s="43"/>
      <c r="K73" s="43"/>
      <c r="L73" s="5"/>
      <c r="M73" s="42"/>
      <c r="N73" s="42"/>
      <c r="O73" s="42"/>
      <c r="P73" s="43"/>
      <c r="Q73" s="42"/>
      <c r="R73" s="42"/>
      <c r="S73" s="42"/>
      <c r="T73" s="42"/>
      <c r="U73" s="42"/>
      <c r="V73" s="42"/>
      <c r="W73" s="42"/>
    </row>
    <row r="74" spans="4:23" x14ac:dyDescent="0.2">
      <c r="D74" s="11" t="s">
        <v>77</v>
      </c>
      <c r="E74" s="36" t="s">
        <v>23</v>
      </c>
      <c r="G74" s="19"/>
      <c r="H74" s="19"/>
      <c r="I74" s="19"/>
      <c r="J74" s="18"/>
      <c r="K74" s="18"/>
      <c r="L74" s="5"/>
      <c r="M74" s="19">
        <f>G74</f>
        <v>0</v>
      </c>
      <c r="N74" s="19">
        <f t="shared" ref="M74:Q75" si="10">H74</f>
        <v>0</v>
      </c>
      <c r="O74" s="19">
        <f t="shared" si="10"/>
        <v>0</v>
      </c>
      <c r="P74" s="18">
        <f t="shared" si="10"/>
        <v>0</v>
      </c>
      <c r="Q74" s="18">
        <f>K74</f>
        <v>0</v>
      </c>
      <c r="R74" s="42"/>
      <c r="S74" s="42"/>
      <c r="T74" s="42"/>
      <c r="U74" s="42"/>
      <c r="V74" s="42"/>
      <c r="W74" s="42"/>
    </row>
    <row r="75" spans="4:23" x14ac:dyDescent="0.2">
      <c r="D75" s="11"/>
      <c r="E75" s="36" t="s">
        <v>25</v>
      </c>
      <c r="G75" s="19"/>
      <c r="H75" s="19"/>
      <c r="I75" s="19"/>
      <c r="J75" s="43"/>
      <c r="K75" s="43"/>
      <c r="L75" s="5"/>
      <c r="M75" s="42">
        <f t="shared" si="10"/>
        <v>0</v>
      </c>
      <c r="N75" s="42">
        <f t="shared" si="10"/>
        <v>0</v>
      </c>
      <c r="O75" s="42">
        <f t="shared" si="10"/>
        <v>0</v>
      </c>
      <c r="P75" s="43">
        <f t="shared" si="10"/>
        <v>0</v>
      </c>
      <c r="Q75" s="42">
        <f t="shared" si="10"/>
        <v>0</v>
      </c>
      <c r="R75" s="42"/>
      <c r="S75" s="42"/>
      <c r="T75" s="42"/>
      <c r="U75" s="42"/>
      <c r="V75" s="42"/>
      <c r="W75" s="42"/>
    </row>
    <row r="76" spans="4:23" x14ac:dyDescent="0.2">
      <c r="D76" s="11"/>
      <c r="E76" s="36"/>
      <c r="G76" s="19"/>
      <c r="H76" s="19"/>
      <c r="I76" s="19"/>
      <c r="J76" s="11"/>
      <c r="K76" s="11"/>
      <c r="L76" s="5"/>
      <c r="P76" s="11"/>
    </row>
    <row r="77" spans="4:23" x14ac:dyDescent="0.2">
      <c r="D77" s="47" t="s">
        <v>78</v>
      </c>
      <c r="E77" s="36" t="s">
        <v>23</v>
      </c>
      <c r="G77" s="19"/>
      <c r="H77" s="19"/>
      <c r="I77" s="19"/>
      <c r="J77" s="18"/>
      <c r="K77" s="18"/>
      <c r="L77" s="5"/>
      <c r="M77" s="19">
        <f t="shared" ref="M77:Q78" si="11">G77</f>
        <v>0</v>
      </c>
      <c r="N77" s="19">
        <f t="shared" si="11"/>
        <v>0</v>
      </c>
      <c r="O77" s="19">
        <f t="shared" si="11"/>
        <v>0</v>
      </c>
      <c r="P77" s="18">
        <f t="shared" si="11"/>
        <v>0</v>
      </c>
      <c r="Q77" s="18">
        <f>K77</f>
        <v>0</v>
      </c>
    </row>
    <row r="78" spans="4:23" x14ac:dyDescent="0.2">
      <c r="D78" s="11"/>
      <c r="E78" s="36" t="s">
        <v>25</v>
      </c>
      <c r="G78" s="19"/>
      <c r="H78" s="19"/>
      <c r="I78" s="19"/>
      <c r="J78" s="43"/>
      <c r="K78" s="43"/>
      <c r="L78" s="5"/>
      <c r="M78" s="42">
        <f t="shared" si="11"/>
        <v>0</v>
      </c>
      <c r="N78" s="42">
        <f t="shared" si="11"/>
        <v>0</v>
      </c>
      <c r="O78" s="42">
        <f t="shared" si="11"/>
        <v>0</v>
      </c>
      <c r="P78" s="43">
        <f t="shared" si="11"/>
        <v>0</v>
      </c>
      <c r="Q78" s="42">
        <f t="shared" si="11"/>
        <v>0</v>
      </c>
    </row>
    <row r="79" spans="4:23" x14ac:dyDescent="0.2">
      <c r="D79" s="11"/>
      <c r="E79" s="36"/>
      <c r="G79" s="19"/>
      <c r="H79" s="19"/>
      <c r="I79" s="19"/>
      <c r="J79" s="11"/>
      <c r="K79" s="11"/>
      <c r="L79" s="5"/>
      <c r="P79" s="11"/>
    </row>
    <row r="80" spans="4:23" x14ac:dyDescent="0.2">
      <c r="D80" s="47" t="s">
        <v>162</v>
      </c>
      <c r="E80" s="36" t="s">
        <v>23</v>
      </c>
      <c r="G80" s="19"/>
      <c r="H80" s="19"/>
      <c r="I80" s="19"/>
      <c r="J80" s="18"/>
      <c r="K80" s="18"/>
      <c r="L80" s="5"/>
      <c r="M80" s="19">
        <f>G80</f>
        <v>0</v>
      </c>
      <c r="N80" s="19">
        <f t="shared" ref="M80:Q81" si="12">H80</f>
        <v>0</v>
      </c>
      <c r="O80" s="19">
        <f t="shared" si="12"/>
        <v>0</v>
      </c>
      <c r="P80" s="18">
        <f t="shared" si="12"/>
        <v>0</v>
      </c>
      <c r="Q80" s="18">
        <f>K80</f>
        <v>0</v>
      </c>
    </row>
    <row r="81" spans="2:24" x14ac:dyDescent="0.2">
      <c r="D81" s="11"/>
      <c r="E81" s="36" t="s">
        <v>25</v>
      </c>
      <c r="G81" s="19"/>
      <c r="H81" s="19"/>
      <c r="I81" s="19"/>
      <c r="J81" s="43"/>
      <c r="K81" s="43"/>
      <c r="L81" s="5"/>
      <c r="M81" s="42">
        <f t="shared" si="12"/>
        <v>0</v>
      </c>
      <c r="N81" s="42">
        <f t="shared" si="12"/>
        <v>0</v>
      </c>
      <c r="O81" s="42">
        <f t="shared" si="12"/>
        <v>0</v>
      </c>
      <c r="P81" s="43">
        <f t="shared" si="12"/>
        <v>0</v>
      </c>
      <c r="Q81" s="42">
        <f t="shared" si="12"/>
        <v>0</v>
      </c>
    </row>
    <row r="82" spans="2:24" x14ac:dyDescent="0.2">
      <c r="D82" s="11"/>
      <c r="E82" s="36"/>
      <c r="G82" s="19"/>
      <c r="H82" s="19"/>
      <c r="I82" s="19"/>
      <c r="J82" s="11"/>
      <c r="K82" s="11"/>
      <c r="L82" s="5"/>
      <c r="P82" s="11"/>
    </row>
    <row r="83" spans="2:24" x14ac:dyDescent="0.2">
      <c r="D83" s="47" t="s">
        <v>80</v>
      </c>
      <c r="E83" s="36" t="s">
        <v>23</v>
      </c>
      <c r="G83" s="19"/>
      <c r="H83" s="19"/>
      <c r="I83" s="19"/>
      <c r="J83" s="18"/>
      <c r="K83" s="18"/>
      <c r="L83" s="5"/>
      <c r="M83" s="19">
        <f>G83</f>
        <v>0</v>
      </c>
      <c r="N83" s="19">
        <f t="shared" ref="M83:Q84" si="13">H83</f>
        <v>0</v>
      </c>
      <c r="O83" s="19">
        <f t="shared" si="13"/>
        <v>0</v>
      </c>
      <c r="P83" s="18">
        <f t="shared" si="13"/>
        <v>0</v>
      </c>
      <c r="Q83" s="18">
        <f>K83</f>
        <v>0</v>
      </c>
    </row>
    <row r="84" spans="2:24" x14ac:dyDescent="0.2">
      <c r="D84" s="11"/>
      <c r="E84" s="36" t="s">
        <v>25</v>
      </c>
      <c r="G84" s="19"/>
      <c r="H84" s="19"/>
      <c r="I84" s="19"/>
      <c r="J84" s="43"/>
      <c r="K84" s="43"/>
      <c r="L84" s="5"/>
      <c r="M84" s="42">
        <f t="shared" si="13"/>
        <v>0</v>
      </c>
      <c r="N84" s="42">
        <f t="shared" si="13"/>
        <v>0</v>
      </c>
      <c r="O84" s="42">
        <f t="shared" si="13"/>
        <v>0</v>
      </c>
      <c r="P84" s="43">
        <f t="shared" si="13"/>
        <v>0</v>
      </c>
      <c r="Q84" s="42">
        <f t="shared" si="13"/>
        <v>0</v>
      </c>
    </row>
    <row r="85" spans="2:24" x14ac:dyDescent="0.2">
      <c r="D85" s="11"/>
      <c r="E85" s="36"/>
      <c r="G85" s="19"/>
      <c r="H85" s="19"/>
      <c r="I85" s="19"/>
      <c r="J85" s="11"/>
      <c r="K85" s="11"/>
      <c r="L85" s="5"/>
      <c r="P85" s="11"/>
    </row>
    <row r="86" spans="2:24" x14ac:dyDescent="0.2">
      <c r="D86" s="47" t="s">
        <v>81</v>
      </c>
      <c r="E86" s="36" t="s">
        <v>23</v>
      </c>
      <c r="G86" s="19"/>
      <c r="H86" s="19"/>
      <c r="I86" s="19"/>
      <c r="J86" s="18"/>
      <c r="K86" s="18"/>
      <c r="L86" s="5"/>
      <c r="M86" s="19">
        <f t="shared" ref="M86:Q87" si="14">G86</f>
        <v>0</v>
      </c>
      <c r="N86" s="19">
        <f t="shared" si="14"/>
        <v>0</v>
      </c>
      <c r="O86" s="19">
        <f t="shared" si="14"/>
        <v>0</v>
      </c>
      <c r="P86" s="18">
        <f t="shared" si="14"/>
        <v>0</v>
      </c>
      <c r="Q86" s="19">
        <f>K86</f>
        <v>0</v>
      </c>
      <c r="R86" s="19"/>
      <c r="S86" s="19"/>
      <c r="T86" s="19"/>
      <c r="U86" s="19"/>
      <c r="V86" s="19"/>
      <c r="W86" s="19"/>
    </row>
    <row r="87" spans="2:24" x14ac:dyDescent="0.2">
      <c r="E87" s="36" t="s">
        <v>25</v>
      </c>
      <c r="G87" s="19"/>
      <c r="H87" s="19"/>
      <c r="I87" s="19"/>
      <c r="J87" s="43"/>
      <c r="K87" s="43"/>
      <c r="L87" s="5"/>
      <c r="M87" s="42">
        <f t="shared" si="14"/>
        <v>0</v>
      </c>
      <c r="N87" s="42">
        <f t="shared" si="14"/>
        <v>0</v>
      </c>
      <c r="O87" s="42">
        <f t="shared" si="14"/>
        <v>0</v>
      </c>
      <c r="P87" s="43">
        <f t="shared" si="14"/>
        <v>0</v>
      </c>
      <c r="Q87" s="42">
        <f t="shared" si="14"/>
        <v>0</v>
      </c>
      <c r="R87" s="42"/>
      <c r="S87" s="42"/>
      <c r="T87" s="42"/>
      <c r="U87" s="42"/>
      <c r="V87" s="42"/>
      <c r="W87" s="42"/>
    </row>
    <row r="88" spans="2:24" x14ac:dyDescent="0.2">
      <c r="E88" s="36"/>
      <c r="G88" s="19"/>
      <c r="H88" s="19"/>
      <c r="I88" s="19"/>
      <c r="J88" s="43"/>
      <c r="K88" s="43"/>
      <c r="L88" s="5"/>
      <c r="M88" s="42"/>
      <c r="N88" s="42"/>
      <c r="O88" s="42"/>
      <c r="P88" s="43"/>
      <c r="Q88" s="42"/>
      <c r="R88" s="42"/>
      <c r="S88" s="42"/>
      <c r="T88" s="42"/>
      <c r="U88" s="42"/>
      <c r="V88" s="42"/>
      <c r="W88" s="42"/>
    </row>
    <row r="89" spans="2:24" x14ac:dyDescent="0.2">
      <c r="D89" s="11" t="s">
        <v>82</v>
      </c>
      <c r="E89" s="36" t="s">
        <v>23</v>
      </c>
      <c r="G89" s="19">
        <f>K89*$G$105</f>
        <v>0</v>
      </c>
      <c r="H89" s="19">
        <f>K89*$H$105</f>
        <v>0</v>
      </c>
      <c r="I89" s="19">
        <f>K89*$I$105</f>
        <v>0</v>
      </c>
      <c r="J89" s="18">
        <v>0</v>
      </c>
      <c r="K89" s="18">
        <v>0</v>
      </c>
      <c r="L89" s="5"/>
      <c r="M89" s="19">
        <f>G89</f>
        <v>0</v>
      </c>
      <c r="N89" s="19">
        <f>H89</f>
        <v>0</v>
      </c>
      <c r="O89" s="19">
        <f>I89</f>
        <v>0</v>
      </c>
      <c r="P89" s="18">
        <f>J89</f>
        <v>0</v>
      </c>
      <c r="Q89" s="19">
        <f>K89</f>
        <v>0</v>
      </c>
      <c r="R89" s="19"/>
      <c r="S89" s="19"/>
      <c r="T89" s="19"/>
      <c r="U89" s="19"/>
      <c r="V89" s="19"/>
      <c r="W89" s="19"/>
    </row>
    <row r="90" spans="2:24" ht="13.5" thickBot="1" x14ac:dyDescent="0.25">
      <c r="D90" s="11"/>
      <c r="J90" s="11"/>
      <c r="L90" s="5"/>
      <c r="X90" s="48"/>
    </row>
    <row r="91" spans="2:24" ht="13.5" thickBot="1" x14ac:dyDescent="0.25">
      <c r="B91" s="2" t="s">
        <v>83</v>
      </c>
      <c r="E91" s="36" t="s">
        <v>23</v>
      </c>
      <c r="G91" s="40">
        <f>G62+G65+G68+G71+G74+G77+G80+G83+G86+G89</f>
        <v>0</v>
      </c>
      <c r="H91" s="40">
        <f>H62+H65+H68+H71+H74+H77+H80+H83+H86+H89</f>
        <v>0</v>
      </c>
      <c r="I91" s="40">
        <f>I62+I65+I68+I71+I74+I77+I80+I83+I86+I89</f>
        <v>0</v>
      </c>
      <c r="J91" s="40">
        <f t="shared" ref="J91" si="15">J62+J65+J68+J71+J74+J77+J80+J83+J86+J89</f>
        <v>116146</v>
      </c>
      <c r="K91" s="40">
        <f>K62+K65+K68+K71+K74+K77+K80+K83+K86+K89</f>
        <v>116146</v>
      </c>
      <c r="L91" s="41"/>
      <c r="M91" s="40">
        <f>M62+M65+M68+M71+M74+M77+M80+M83+M86+M89</f>
        <v>0</v>
      </c>
      <c r="N91" s="40">
        <f>N62+N65+N68+N71+N74+N77+N80+N83+N86+N89</f>
        <v>0</v>
      </c>
      <c r="O91" s="40">
        <f>O62+O65+O68+O71+O74+O77+O80+O83+O86+O89</f>
        <v>116146</v>
      </c>
      <c r="P91" s="40">
        <f>P62+P65+P68+P71+P74+P77+P80+P83+P86+P89</f>
        <v>116146</v>
      </c>
      <c r="Q91" s="40">
        <f>SUM(M91:P91)</f>
        <v>232292</v>
      </c>
      <c r="R91" s="32"/>
      <c r="S91" s="32"/>
      <c r="T91" s="32"/>
      <c r="U91" s="32"/>
      <c r="V91" s="32"/>
      <c r="W91" s="32"/>
      <c r="X91" s="39"/>
    </row>
    <row r="92" spans="2:24" x14ac:dyDescent="0.2">
      <c r="B92" s="2"/>
      <c r="E92" s="36" t="s">
        <v>25</v>
      </c>
      <c r="G92" s="40">
        <f>G63+G66+G69+G72+G75+G78+G81+G84+G87</f>
        <v>0</v>
      </c>
      <c r="H92" s="40">
        <f>H63+H66+H69+H72+H75+H78+H81+H84+H87</f>
        <v>0</v>
      </c>
      <c r="I92" s="40">
        <f>I63+I66+I69+I72+I75+I78+I81+I84+I87</f>
        <v>0</v>
      </c>
      <c r="J92" s="40">
        <f>J63+J66+J69+J72+J75+J78+J81+J84+J87</f>
        <v>0</v>
      </c>
      <c r="K92" s="49">
        <f>SUM(G92:J92)</f>
        <v>0</v>
      </c>
      <c r="L92" s="50"/>
      <c r="M92" s="40">
        <f>M63+M66+M69+M72+M75+M78+M81+M84+M87</f>
        <v>0</v>
      </c>
      <c r="N92" s="40">
        <f>N63+N66+N69+N72+N75+N78+N81+N84+N87</f>
        <v>0</v>
      </c>
      <c r="O92" s="40">
        <f>O63+O66+O69+O72+O75+O78+O81+O84+O87</f>
        <v>0</v>
      </c>
      <c r="P92" s="40">
        <f>P63+P66+P69+P72+P75+P78+P81+P84+P87</f>
        <v>0</v>
      </c>
      <c r="Q92" s="49">
        <f>SUM(M92:P92)</f>
        <v>0</v>
      </c>
      <c r="R92" s="51"/>
      <c r="S92" s="51"/>
      <c r="T92" s="51"/>
      <c r="U92" s="51"/>
      <c r="V92" s="51"/>
      <c r="W92" s="51"/>
    </row>
    <row r="93" spans="2:24" x14ac:dyDescent="0.2">
      <c r="K93" s="19"/>
      <c r="L93" s="5"/>
      <c r="X93" s="19"/>
    </row>
    <row r="94" spans="2:24" ht="13.5" thickBot="1" x14ac:dyDescent="0.25">
      <c r="L94" s="5"/>
    </row>
    <row r="95" spans="2:24" ht="15" thickBot="1" x14ac:dyDescent="0.25">
      <c r="B95" s="16" t="s">
        <v>84</v>
      </c>
      <c r="G95" s="52">
        <f>G58+G91</f>
        <v>0</v>
      </c>
      <c r="H95" s="52">
        <f t="shared" ref="H95:Q95" si="16">H58+H91</f>
        <v>0</v>
      </c>
      <c r="I95" s="52">
        <f>I58+I91</f>
        <v>0</v>
      </c>
      <c r="J95" s="52">
        <f t="shared" si="16"/>
        <v>116146</v>
      </c>
      <c r="K95" s="52">
        <f>K58+K91</f>
        <v>116146</v>
      </c>
      <c r="L95" s="53">
        <f t="shared" si="16"/>
        <v>0</v>
      </c>
      <c r="M95" s="52">
        <f t="shared" si="16"/>
        <v>0</v>
      </c>
      <c r="N95" s="52">
        <f t="shared" si="16"/>
        <v>0</v>
      </c>
      <c r="O95" s="54">
        <f t="shared" si="16"/>
        <v>116146</v>
      </c>
      <c r="P95" s="52">
        <f t="shared" si="16"/>
        <v>116146</v>
      </c>
      <c r="Q95" s="52">
        <f t="shared" si="16"/>
        <v>232292</v>
      </c>
      <c r="R95" s="32"/>
      <c r="S95" s="32"/>
      <c r="T95" s="32"/>
      <c r="U95" s="32"/>
      <c r="V95" s="32"/>
      <c r="W95" s="32"/>
    </row>
    <row r="96" spans="2:24" ht="13.5" thickTop="1" x14ac:dyDescent="0.2">
      <c r="I96" s="55"/>
      <c r="L96" s="5"/>
      <c r="O96" s="56"/>
    </row>
    <row r="97" spans="5:21" x14ac:dyDescent="0.2">
      <c r="I97" s="55"/>
      <c r="K97" s="19"/>
      <c r="L97" s="5"/>
      <c r="O97" s="56"/>
    </row>
    <row r="98" spans="5:21" x14ac:dyDescent="0.2">
      <c r="G98" s="59"/>
      <c r="H98" s="59"/>
      <c r="I98" s="59"/>
      <c r="J98" s="19"/>
      <c r="K98" s="19"/>
      <c r="L98" s="5"/>
      <c r="O98" s="56"/>
    </row>
    <row r="99" spans="5:21" x14ac:dyDescent="0.2">
      <c r="G99" s="55"/>
      <c r="H99" s="55"/>
      <c r="I99" s="55"/>
      <c r="K99" s="19"/>
      <c r="L99" s="5"/>
      <c r="O99" s="105"/>
    </row>
    <row r="100" spans="5:21" x14ac:dyDescent="0.2">
      <c r="G100" s="143"/>
      <c r="H100" s="143"/>
      <c r="I100" s="143"/>
      <c r="K100" s="19"/>
      <c r="L100" s="5"/>
      <c r="O100" s="56"/>
    </row>
    <row r="101" spans="5:21" x14ac:dyDescent="0.2">
      <c r="G101" s="55"/>
      <c r="H101" s="55"/>
      <c r="I101" s="55"/>
      <c r="J101" s="19"/>
      <c r="K101" s="19"/>
      <c r="L101" s="5"/>
      <c r="M101" s="151"/>
      <c r="N101" s="151"/>
      <c r="O101" s="152"/>
      <c r="P101" s="151"/>
      <c r="Q101" s="151"/>
      <c r="R101" s="151"/>
      <c r="S101" s="151"/>
      <c r="T101" s="151"/>
      <c r="U101" s="151"/>
    </row>
    <row r="102" spans="5:21" x14ac:dyDescent="0.2">
      <c r="G102" s="55"/>
      <c r="H102" s="55"/>
      <c r="I102" s="55"/>
      <c r="K102" s="19"/>
      <c r="L102" s="5"/>
      <c r="M102" s="151"/>
      <c r="N102" s="151"/>
      <c r="O102" s="152"/>
      <c r="P102" s="151"/>
      <c r="Q102" s="151"/>
      <c r="R102" s="151"/>
      <c r="S102" s="151"/>
      <c r="T102" s="151"/>
      <c r="U102" s="151"/>
    </row>
    <row r="103" spans="5:21" x14ac:dyDescent="0.2">
      <c r="G103" s="106"/>
      <c r="I103" s="55"/>
      <c r="L103" s="5"/>
      <c r="M103" s="151"/>
      <c r="N103" s="151"/>
      <c r="O103" s="152"/>
      <c r="P103" s="151"/>
      <c r="Q103" s="151"/>
      <c r="R103" s="151"/>
      <c r="S103" s="151"/>
      <c r="T103" s="151"/>
      <c r="U103" s="151"/>
    </row>
    <row r="104" spans="5:21" ht="13.5" thickBot="1" x14ac:dyDescent="0.25">
      <c r="L104" s="5"/>
      <c r="M104" s="151"/>
      <c r="N104" s="151"/>
      <c r="O104" s="151"/>
      <c r="P104" s="151"/>
      <c r="Q104" s="151"/>
      <c r="R104" s="151"/>
      <c r="S104" s="151"/>
      <c r="T104" s="151"/>
      <c r="U104" s="151"/>
    </row>
    <row r="105" spans="5:21" x14ac:dyDescent="0.2">
      <c r="E105" s="63"/>
      <c r="F105" s="64"/>
      <c r="G105" s="157"/>
      <c r="H105" s="157"/>
      <c r="I105" s="157">
        <v>1</v>
      </c>
      <c r="J105" s="64"/>
      <c r="K105" s="66"/>
      <c r="L105" s="5"/>
      <c r="M105" s="153"/>
      <c r="N105" s="144">
        <v>469452.71553766896</v>
      </c>
      <c r="O105" s="144">
        <v>27580.510121529966</v>
      </c>
      <c r="P105" s="144">
        <v>1040305.7743408011</v>
      </c>
      <c r="Q105" s="145">
        <f>SUM(N105:P105)</f>
        <v>1537339</v>
      </c>
      <c r="R105" s="146"/>
      <c r="S105" s="146"/>
      <c r="T105" s="146"/>
      <c r="U105" s="146"/>
    </row>
    <row r="106" spans="5:21" x14ac:dyDescent="0.2">
      <c r="E106" s="68"/>
      <c r="F106" s="48"/>
      <c r="G106" s="48"/>
      <c r="H106" s="48"/>
      <c r="I106" s="48"/>
      <c r="J106" s="48"/>
      <c r="K106" s="69"/>
      <c r="L106" s="5"/>
      <c r="M106" s="154"/>
      <c r="N106" s="146"/>
      <c r="O106" s="146"/>
      <c r="P106" s="146"/>
      <c r="Q106" s="146"/>
      <c r="R106" s="146"/>
      <c r="S106" s="146"/>
      <c r="T106" s="146"/>
      <c r="U106" s="146"/>
    </row>
    <row r="107" spans="5:21" x14ac:dyDescent="0.2">
      <c r="E107" s="68" t="s">
        <v>161</v>
      </c>
      <c r="F107" s="48"/>
      <c r="G107" s="48"/>
      <c r="H107" s="48"/>
      <c r="I107" s="48"/>
      <c r="J107" s="48"/>
      <c r="K107" s="71">
        <v>116146</v>
      </c>
      <c r="L107" s="5"/>
      <c r="M107" s="155"/>
      <c r="N107" s="145">
        <f>N105-18274</f>
        <v>451178.71553766896</v>
      </c>
      <c r="O107" s="145">
        <f>O105</f>
        <v>27580.510121529966</v>
      </c>
      <c r="P107" s="145">
        <f>P105-242921</f>
        <v>797384.77434080106</v>
      </c>
      <c r="Q107" s="145">
        <f>SUM(N107:P107)</f>
        <v>1276144</v>
      </c>
      <c r="R107" s="146"/>
      <c r="S107" s="146"/>
      <c r="T107" s="146"/>
      <c r="U107" s="146"/>
    </row>
    <row r="108" spans="5:21" x14ac:dyDescent="0.2">
      <c r="E108" s="68" t="s">
        <v>85</v>
      </c>
      <c r="F108" s="48"/>
      <c r="G108" s="48"/>
      <c r="H108" s="48"/>
      <c r="I108" s="48"/>
      <c r="J108" s="48"/>
      <c r="K108" s="71">
        <v>0</v>
      </c>
      <c r="L108" s="5"/>
      <c r="M108" s="151"/>
      <c r="N108" s="146"/>
      <c r="O108" s="146"/>
      <c r="P108" s="146"/>
      <c r="Q108" s="146"/>
      <c r="R108" s="146"/>
      <c r="S108" s="146"/>
      <c r="T108" s="146"/>
      <c r="U108" s="146"/>
    </row>
    <row r="109" spans="5:21" x14ac:dyDescent="0.2">
      <c r="E109" s="68"/>
      <c r="F109" s="48"/>
      <c r="G109" s="48"/>
      <c r="H109" s="48"/>
      <c r="I109" s="48"/>
      <c r="J109" s="48"/>
      <c r="K109" s="71"/>
      <c r="L109" s="5"/>
      <c r="M109" s="155"/>
      <c r="N109" s="146">
        <f>N107/Q107</f>
        <v>0.35354843617778947</v>
      </c>
      <c r="O109" s="146">
        <f>O107/Q107</f>
        <v>2.161238082969474E-2</v>
      </c>
      <c r="P109" s="146">
        <f>P107/Q107</f>
        <v>0.62483918299251573</v>
      </c>
      <c r="Q109" s="146"/>
      <c r="R109" s="146"/>
      <c r="S109" s="146"/>
      <c r="T109" s="146"/>
      <c r="U109" s="146"/>
    </row>
    <row r="110" spans="5:21" x14ac:dyDescent="0.2">
      <c r="E110" s="68" t="s">
        <v>106</v>
      </c>
      <c r="F110" s="48"/>
      <c r="G110" s="48"/>
      <c r="H110" s="48"/>
      <c r="I110" s="48"/>
      <c r="J110" s="48"/>
      <c r="K110" s="73">
        <f>SUM(K107:K109)</f>
        <v>116146</v>
      </c>
      <c r="L110" s="5"/>
      <c r="M110" s="155"/>
      <c r="N110" s="146"/>
      <c r="O110" s="146"/>
      <c r="P110" s="146"/>
      <c r="Q110" s="146"/>
      <c r="R110" s="146"/>
      <c r="S110" s="146"/>
      <c r="T110" s="146"/>
      <c r="U110" s="146"/>
    </row>
    <row r="111" spans="5:21" x14ac:dyDescent="0.2">
      <c r="E111" s="68" t="s">
        <v>117</v>
      </c>
      <c r="F111" s="48"/>
      <c r="G111" s="48"/>
      <c r="H111" s="48"/>
      <c r="I111" s="48"/>
      <c r="J111" s="48"/>
      <c r="K111" s="71"/>
      <c r="L111" s="5"/>
      <c r="M111" s="155"/>
      <c r="N111" s="146"/>
      <c r="O111" s="147"/>
      <c r="P111" s="147"/>
      <c r="Q111" s="145"/>
      <c r="R111" s="146"/>
      <c r="S111" s="146"/>
      <c r="T111" s="146"/>
      <c r="U111" s="146"/>
    </row>
    <row r="112" spans="5:21" x14ac:dyDescent="0.2">
      <c r="E112" s="68" t="s">
        <v>108</v>
      </c>
      <c r="F112" s="48"/>
      <c r="G112" s="48"/>
      <c r="H112" s="48"/>
      <c r="I112" s="48"/>
      <c r="J112" s="48"/>
      <c r="K112" s="71"/>
      <c r="L112" s="5"/>
      <c r="M112" s="155"/>
      <c r="N112" s="146"/>
      <c r="O112" s="147"/>
      <c r="P112" s="147"/>
      <c r="Q112" s="145"/>
      <c r="R112" s="146"/>
      <c r="S112" s="146"/>
      <c r="T112" s="146"/>
      <c r="U112" s="146"/>
    </row>
    <row r="113" spans="5:25" x14ac:dyDescent="0.2">
      <c r="E113" s="68"/>
      <c r="F113" s="48"/>
      <c r="G113" s="48"/>
      <c r="H113" s="48"/>
      <c r="I113" s="48"/>
      <c r="J113" s="48"/>
      <c r="K113" s="71"/>
      <c r="L113" s="5"/>
      <c r="M113" s="155"/>
      <c r="N113" s="146"/>
      <c r="O113" s="147"/>
      <c r="P113" s="147"/>
      <c r="Q113" s="145"/>
      <c r="R113" s="146"/>
      <c r="S113" s="146"/>
      <c r="T113" s="146"/>
      <c r="U113" s="146"/>
    </row>
    <row r="114" spans="5:25" ht="13.5" thickBot="1" x14ac:dyDescent="0.25">
      <c r="E114" s="68" t="s">
        <v>107</v>
      </c>
      <c r="F114" s="48"/>
      <c r="G114" s="48"/>
      <c r="H114" s="48"/>
      <c r="I114" s="48"/>
      <c r="J114" s="48"/>
      <c r="K114" s="75">
        <f>K110-K111-K112-K113</f>
        <v>116146</v>
      </c>
      <c r="L114" s="5"/>
      <c r="M114" s="155"/>
      <c r="N114" s="146"/>
      <c r="O114" s="146"/>
      <c r="P114" s="146"/>
      <c r="Q114" s="146"/>
      <c r="R114" s="146"/>
      <c r="S114" s="146"/>
      <c r="T114" s="146"/>
      <c r="U114" s="146"/>
    </row>
    <row r="115" spans="5:25" ht="13.5" thickTop="1" x14ac:dyDescent="0.2">
      <c r="E115" s="68"/>
      <c r="F115" s="48"/>
      <c r="G115" s="48"/>
      <c r="H115" s="48"/>
      <c r="I115" s="48"/>
      <c r="J115" s="76" t="s">
        <v>87</v>
      </c>
      <c r="K115" s="71"/>
      <c r="L115" s="5"/>
      <c r="M115" s="155"/>
      <c r="N115" s="146"/>
      <c r="O115" s="146"/>
      <c r="P115" s="146"/>
      <c r="Q115" s="145"/>
      <c r="R115" s="146"/>
      <c r="S115" s="146"/>
      <c r="T115" s="146"/>
      <c r="U115" s="146"/>
    </row>
    <row r="116" spans="5:25" x14ac:dyDescent="0.2">
      <c r="E116" s="194" t="s">
        <v>161</v>
      </c>
      <c r="F116" s="91"/>
      <c r="G116" s="72">
        <v>0</v>
      </c>
      <c r="H116" s="72">
        <v>0</v>
      </c>
      <c r="I116" s="72">
        <v>116146</v>
      </c>
      <c r="J116" s="72"/>
      <c r="K116" s="71"/>
      <c r="L116" s="5"/>
      <c r="M116" s="155"/>
      <c r="N116" s="146"/>
      <c r="O116" s="146"/>
      <c r="P116" s="146"/>
      <c r="Q116" s="146"/>
      <c r="R116" s="146"/>
      <c r="S116" s="146"/>
      <c r="T116" s="146"/>
      <c r="U116" s="146">
        <v>0</v>
      </c>
      <c r="Y116" s="23">
        <v>900323.36</v>
      </c>
    </row>
    <row r="117" spans="5:25" x14ac:dyDescent="0.2">
      <c r="E117" s="68" t="s">
        <v>110</v>
      </c>
      <c r="F117" s="48"/>
      <c r="G117" s="80">
        <v>0</v>
      </c>
      <c r="H117" s="81">
        <v>0</v>
      </c>
      <c r="I117" s="81">
        <v>0</v>
      </c>
      <c r="K117" s="69"/>
      <c r="L117" s="5"/>
      <c r="M117" s="151"/>
      <c r="N117" s="146">
        <v>341211.84</v>
      </c>
      <c r="O117" s="146">
        <v>50</v>
      </c>
      <c r="P117" s="146">
        <v>559061.52</v>
      </c>
      <c r="Q117" s="146">
        <f>SUM(N117:P117)</f>
        <v>900323.3600000001</v>
      </c>
      <c r="R117" s="146"/>
      <c r="S117" s="146"/>
      <c r="T117" s="146"/>
      <c r="U117" s="146"/>
    </row>
    <row r="118" spans="5:25" ht="13.5" thickBot="1" x14ac:dyDescent="0.25">
      <c r="E118" s="68" t="s">
        <v>89</v>
      </c>
      <c r="F118" s="48"/>
      <c r="G118" s="82">
        <f>G116+G117</f>
        <v>0</v>
      </c>
      <c r="H118" s="82">
        <f t="shared" ref="H118" si="17">H116+H117</f>
        <v>0</v>
      </c>
      <c r="I118" s="82">
        <f>I116+I117</f>
        <v>116146</v>
      </c>
      <c r="J118" s="83"/>
      <c r="K118" s="71"/>
      <c r="L118" s="5"/>
      <c r="M118" s="151"/>
      <c r="N118" s="146"/>
      <c r="O118" s="146"/>
      <c r="P118" s="148">
        <f>-I62</f>
        <v>0</v>
      </c>
      <c r="Q118" s="146"/>
      <c r="R118" s="146"/>
      <c r="S118" s="146"/>
      <c r="T118" s="146"/>
      <c r="U118" s="146"/>
    </row>
    <row r="119" spans="5:25" ht="14.25" thickTop="1" thickBot="1" x14ac:dyDescent="0.25">
      <c r="E119" s="68" t="s">
        <v>90</v>
      </c>
      <c r="F119" s="48"/>
      <c r="G119" s="84">
        <f>G118</f>
        <v>0</v>
      </c>
      <c r="H119" s="84">
        <f>H118</f>
        <v>0</v>
      </c>
      <c r="I119" s="84">
        <f>I116/I118</f>
        <v>1</v>
      </c>
      <c r="J119" s="72"/>
      <c r="K119" s="71"/>
      <c r="L119" s="5"/>
      <c r="M119" s="151"/>
      <c r="N119" s="146">
        <f>N117</f>
        <v>341211.84</v>
      </c>
      <c r="O119" s="146">
        <f>O117</f>
        <v>50</v>
      </c>
      <c r="P119" s="146">
        <f>SUM(P117:P118)</f>
        <v>559061.52</v>
      </c>
      <c r="Q119" s="146">
        <f>SUM(N119:P119)</f>
        <v>900323.3600000001</v>
      </c>
      <c r="R119" s="146"/>
      <c r="S119" s="146"/>
      <c r="T119" s="146"/>
      <c r="U119" s="146"/>
    </row>
    <row r="120" spans="5:25" ht="14.25" thickTop="1" thickBot="1" x14ac:dyDescent="0.25">
      <c r="E120" s="85"/>
      <c r="F120" s="86"/>
      <c r="G120" s="87" t="s">
        <v>91</v>
      </c>
      <c r="H120" s="87" t="s">
        <v>92</v>
      </c>
      <c r="I120" s="87" t="s">
        <v>93</v>
      </c>
      <c r="J120" s="86"/>
      <c r="K120" s="88"/>
      <c r="L120" s="5"/>
      <c r="M120" s="151"/>
      <c r="N120" s="149">
        <f>N117/Q117</f>
        <v>0.37898810045315273</v>
      </c>
      <c r="O120" s="149">
        <f>O117/Q117</f>
        <v>5.5535602230736291E-5</v>
      </c>
      <c r="P120" s="149">
        <f>P117/Q117</f>
        <v>0.62095636394461651</v>
      </c>
      <c r="Q120" s="146"/>
      <c r="R120" s="146"/>
      <c r="S120" s="146"/>
      <c r="T120" s="146"/>
      <c r="U120" s="146"/>
    </row>
    <row r="121" spans="5:25" x14ac:dyDescent="0.2">
      <c r="J121" s="64"/>
      <c r="K121" s="89"/>
      <c r="L121" s="11"/>
      <c r="M121" s="151"/>
      <c r="N121" s="149">
        <f>N119/Q119</f>
        <v>0.37898810045315273</v>
      </c>
      <c r="O121" s="149">
        <f>O119/Q119</f>
        <v>5.5535602230736291E-5</v>
      </c>
      <c r="P121" s="149">
        <f>P119/Q119</f>
        <v>0.62095636394461651</v>
      </c>
      <c r="Q121" s="146"/>
      <c r="R121" s="146"/>
      <c r="S121" s="146"/>
      <c r="T121" s="146"/>
      <c r="U121" s="146"/>
    </row>
    <row r="122" spans="5:25" x14ac:dyDescent="0.2">
      <c r="J122" s="80"/>
      <c r="K122" s="80"/>
      <c r="L122" s="11"/>
      <c r="M122" s="151"/>
      <c r="N122" s="146">
        <f>1000*N121</f>
        <v>378.98810045315275</v>
      </c>
      <c r="O122" s="146">
        <f t="shared" ref="O122:P122" si="18">1000*O121</f>
        <v>5.5535602230736288E-2</v>
      </c>
      <c r="P122" s="146">
        <f t="shared" si="18"/>
        <v>620.95636394461656</v>
      </c>
      <c r="Q122" s="146"/>
      <c r="R122" s="146"/>
      <c r="S122" s="146"/>
      <c r="T122" s="146"/>
      <c r="U122" s="146"/>
    </row>
    <row r="123" spans="5:25" x14ac:dyDescent="0.2">
      <c r="E123" s="90"/>
      <c r="F123" s="91"/>
      <c r="G123" s="72"/>
      <c r="H123" s="72"/>
      <c r="I123" s="92"/>
      <c r="J123" s="93"/>
      <c r="K123" s="94"/>
      <c r="L123" s="11"/>
      <c r="M123" s="151"/>
      <c r="N123" s="146">
        <f>N119-N122</f>
        <v>340832.85189954686</v>
      </c>
      <c r="O123" s="146">
        <f t="shared" ref="O123:P123" si="19">O119-O122</f>
        <v>49.944464397769266</v>
      </c>
      <c r="P123" s="146">
        <f t="shared" si="19"/>
        <v>558440.56363605545</v>
      </c>
      <c r="Q123" s="146">
        <f>SUM(N123:P123)</f>
        <v>899323.3600000001</v>
      </c>
      <c r="R123" s="146"/>
      <c r="S123" s="146"/>
      <c r="T123" s="146"/>
      <c r="U123" s="146"/>
    </row>
    <row r="124" spans="5:25" x14ac:dyDescent="0.2">
      <c r="E124" s="91"/>
      <c r="F124" s="91"/>
      <c r="G124" s="91"/>
      <c r="H124" s="91"/>
      <c r="I124" s="92"/>
      <c r="J124" s="93"/>
      <c r="K124" s="93"/>
      <c r="M124" s="156"/>
      <c r="N124" s="150">
        <f>N123/$Q$123</f>
        <v>0.37898810045315273</v>
      </c>
      <c r="O124" s="150">
        <f t="shared" ref="O124:P124" si="20">O123/$Q$123</f>
        <v>5.5535602230736297E-5</v>
      </c>
      <c r="P124" s="150">
        <f t="shared" si="20"/>
        <v>0.62095636394461651</v>
      </c>
      <c r="Q124" s="146"/>
      <c r="R124" s="146"/>
      <c r="S124" s="146"/>
      <c r="T124" s="146"/>
      <c r="U124" s="146"/>
    </row>
    <row r="125" spans="5:25" x14ac:dyDescent="0.2">
      <c r="E125" s="91"/>
      <c r="F125" s="91"/>
      <c r="G125" s="91"/>
      <c r="H125" s="72"/>
      <c r="I125" s="72"/>
      <c r="J125" s="48"/>
      <c r="K125" s="48"/>
      <c r="M125" s="151"/>
      <c r="N125" s="146"/>
      <c r="O125" s="146"/>
      <c r="P125" s="146"/>
      <c r="Q125" s="146"/>
      <c r="R125" s="146"/>
      <c r="S125" s="146"/>
      <c r="T125" s="146"/>
      <c r="U125" s="146"/>
    </row>
    <row r="126" spans="5:25" x14ac:dyDescent="0.2">
      <c r="E126" s="91"/>
      <c r="F126" s="91"/>
      <c r="G126" s="96"/>
      <c r="H126" s="96"/>
      <c r="I126" s="96"/>
      <c r="M126" s="151"/>
      <c r="N126" s="151"/>
      <c r="O126" s="151"/>
      <c r="P126" s="151"/>
      <c r="Q126" s="151"/>
      <c r="R126" s="151"/>
      <c r="S126" s="151"/>
      <c r="T126" s="151"/>
      <c r="U126" s="151"/>
    </row>
    <row r="127" spans="5:25" x14ac:dyDescent="0.2">
      <c r="E127" s="91"/>
      <c r="F127" s="91"/>
      <c r="G127" s="72"/>
      <c r="H127" s="72"/>
      <c r="I127" s="72"/>
      <c r="M127" s="151"/>
      <c r="N127" s="151"/>
      <c r="O127" s="151"/>
      <c r="P127" s="151"/>
      <c r="Q127" s="151"/>
      <c r="R127" s="151"/>
      <c r="S127" s="151"/>
      <c r="T127" s="151"/>
      <c r="U127" s="151"/>
    </row>
    <row r="128" spans="5:25" x14ac:dyDescent="0.2">
      <c r="E128" s="91"/>
      <c r="F128" s="91"/>
      <c r="G128" s="96"/>
      <c r="H128" s="96"/>
      <c r="I128" s="96"/>
      <c r="M128" s="151"/>
      <c r="N128" s="151"/>
      <c r="O128" s="151"/>
      <c r="P128" s="151"/>
      <c r="Q128" s="151"/>
      <c r="R128" s="151"/>
      <c r="S128" s="151"/>
      <c r="T128" s="151"/>
      <c r="U128" s="151"/>
    </row>
    <row r="129" spans="5:21" x14ac:dyDescent="0.2">
      <c r="E129" s="91"/>
      <c r="F129" s="91"/>
      <c r="G129" s="97"/>
      <c r="H129" s="97"/>
      <c r="I129" s="97"/>
      <c r="J129" s="48"/>
      <c r="M129" s="151"/>
      <c r="N129" s="151"/>
      <c r="O129" s="151"/>
      <c r="P129" s="151"/>
      <c r="Q129" s="151"/>
      <c r="R129" s="151"/>
      <c r="S129" s="151"/>
      <c r="T129" s="151"/>
      <c r="U129" s="151"/>
    </row>
    <row r="130" spans="5:21" x14ac:dyDescent="0.2">
      <c r="G130" s="80"/>
      <c r="H130" s="80"/>
      <c r="I130" s="80"/>
      <c r="J130" s="48"/>
      <c r="M130" s="151"/>
      <c r="N130" s="151"/>
      <c r="O130" s="151"/>
      <c r="P130" s="151"/>
      <c r="Q130" s="151"/>
      <c r="R130" s="151"/>
      <c r="S130" s="151"/>
      <c r="T130" s="151"/>
      <c r="U130" s="151"/>
    </row>
    <row r="131" spans="5:21" x14ac:dyDescent="0.2">
      <c r="G131" s="48"/>
      <c r="H131" s="48"/>
      <c r="I131" s="48"/>
      <c r="J131" s="48"/>
      <c r="M131" s="151"/>
      <c r="N131" s="151"/>
      <c r="O131" s="151"/>
      <c r="P131" s="151"/>
      <c r="Q131" s="151"/>
      <c r="R131" s="151"/>
      <c r="S131" s="151"/>
      <c r="T131" s="151"/>
      <c r="U131" s="151"/>
    </row>
  </sheetData>
  <mergeCells count="2">
    <mergeCell ref="G2:K2"/>
    <mergeCell ref="M2:Q2"/>
  </mergeCells>
  <printOptions horizontalCentered="1"/>
  <pageMargins left="0.25" right="0.25" top="0.25" bottom="0.25" header="0.25" footer="0"/>
  <pageSetup scale="33"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29"/>
  <sheetViews>
    <sheetView topLeftCell="A76" zoomScaleNormal="100" workbookViewId="0">
      <selection activeCell="K93" sqref="K9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14.7109375" style="1" customWidth="1"/>
    <col min="8" max="8" width="16"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112" hidden="1" customWidth="1"/>
    <col min="25" max="16384" width="9.140625" style="1"/>
  </cols>
  <sheetData>
    <row r="1" spans="2:24" ht="15" x14ac:dyDescent="0.2">
      <c r="E1" s="2"/>
      <c r="F1" s="2"/>
      <c r="G1" s="193" t="s">
        <v>145</v>
      </c>
      <c r="H1" s="193"/>
      <c r="I1" s="193"/>
      <c r="J1" s="193"/>
      <c r="K1" s="193"/>
      <c r="L1" s="193"/>
      <c r="M1" s="193"/>
      <c r="N1" s="193"/>
      <c r="O1" s="193"/>
      <c r="P1" s="193"/>
      <c r="Q1" s="193"/>
    </row>
    <row r="2" spans="2:24" ht="20.25" thickBot="1" x14ac:dyDescent="0.3">
      <c r="B2" s="3" t="s">
        <v>0</v>
      </c>
      <c r="C2" s="2"/>
      <c r="D2" s="2"/>
      <c r="E2" s="2"/>
      <c r="F2" s="2"/>
      <c r="G2" s="192" t="s">
        <v>118</v>
      </c>
      <c r="H2" s="192"/>
      <c r="I2" s="192"/>
      <c r="J2" s="192"/>
      <c r="K2" s="192"/>
      <c r="L2" s="5"/>
      <c r="M2" s="186" t="s">
        <v>119</v>
      </c>
      <c r="N2" s="186"/>
      <c r="O2" s="186"/>
      <c r="P2" s="186"/>
      <c r="Q2" s="186"/>
      <c r="R2" s="7"/>
      <c r="S2" s="7"/>
      <c r="T2" s="7"/>
      <c r="U2" s="7"/>
      <c r="V2" s="7"/>
    </row>
    <row r="3" spans="2:24" ht="19.5" x14ac:dyDescent="0.25">
      <c r="B3" s="3" t="s">
        <v>3</v>
      </c>
      <c r="C3" s="2"/>
      <c r="D3" s="2"/>
      <c r="L3" s="5"/>
    </row>
    <row r="4" spans="2:24" x14ac:dyDescent="0.2">
      <c r="B4" s="2" t="s">
        <v>120</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18">
        <v>0</v>
      </c>
      <c r="H9" s="18">
        <v>0</v>
      </c>
      <c r="I9" s="18">
        <v>0</v>
      </c>
      <c r="J9" s="19">
        <v>0</v>
      </c>
      <c r="K9" s="18">
        <f>G9+H9+I9</f>
        <v>0</v>
      </c>
      <c r="L9" s="5"/>
      <c r="M9" s="18">
        <v>0</v>
      </c>
      <c r="N9" s="18">
        <v>0</v>
      </c>
      <c r="O9" s="18">
        <v>0</v>
      </c>
      <c r="P9" s="19">
        <v>0</v>
      </c>
      <c r="Q9" s="19">
        <f>SUM(M9:P9)</f>
        <v>0</v>
      </c>
      <c r="R9" s="19"/>
      <c r="S9" s="19"/>
      <c r="T9" s="19"/>
      <c r="U9" s="19"/>
      <c r="V9" s="19"/>
    </row>
    <row r="10" spans="2:24" x14ac:dyDescent="0.2">
      <c r="B10" s="2" t="s">
        <v>24</v>
      </c>
      <c r="E10" s="17" t="s">
        <v>25</v>
      </c>
      <c r="G10" s="20">
        <v>0</v>
      </c>
      <c r="H10" s="20">
        <v>0</v>
      </c>
      <c r="I10" s="20">
        <v>0</v>
      </c>
      <c r="J10" s="21">
        <v>0</v>
      </c>
      <c r="K10" s="20">
        <f>G10+H10+I10</f>
        <v>0</v>
      </c>
      <c r="L10" s="5"/>
      <c r="M10" s="20">
        <f>G10</f>
        <v>0</v>
      </c>
      <c r="N10" s="20">
        <f>H10</f>
        <v>0</v>
      </c>
      <c r="O10" s="20">
        <f>I10</f>
        <v>0</v>
      </c>
      <c r="P10" s="21">
        <v>0</v>
      </c>
      <c r="Q10" s="21">
        <f>SUM(M10:P10)</f>
        <v>0</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18">
        <v>0</v>
      </c>
      <c r="H12" s="18">
        <v>0</v>
      </c>
      <c r="I12" s="18">
        <v>0</v>
      </c>
      <c r="J12" s="19">
        <v>0</v>
      </c>
      <c r="K12" s="18">
        <f>G12+H12+I12</f>
        <v>0</v>
      </c>
      <c r="L12" s="5"/>
      <c r="M12" s="18">
        <f t="shared" ref="M12:P13" si="0">G12</f>
        <v>0</v>
      </c>
      <c r="N12" s="18">
        <f t="shared" si="0"/>
        <v>0</v>
      </c>
      <c r="O12" s="18">
        <f t="shared" si="0"/>
        <v>0</v>
      </c>
      <c r="P12" s="18">
        <f t="shared" si="0"/>
        <v>0</v>
      </c>
      <c r="Q12" s="19">
        <f>SUM(M12:P12)</f>
        <v>0</v>
      </c>
      <c r="R12" s="19"/>
      <c r="S12" s="19"/>
      <c r="T12" s="19"/>
      <c r="U12" s="19"/>
      <c r="V12" s="19"/>
    </row>
    <row r="13" spans="2:24" x14ac:dyDescent="0.2">
      <c r="E13" s="17" t="s">
        <v>25</v>
      </c>
      <c r="G13" s="20">
        <v>0</v>
      </c>
      <c r="H13" s="20">
        <v>0</v>
      </c>
      <c r="I13" s="20">
        <v>0</v>
      </c>
      <c r="J13" s="21">
        <v>0</v>
      </c>
      <c r="K13" s="20">
        <f>G13+H13+I13</f>
        <v>0</v>
      </c>
      <c r="L13" s="5"/>
      <c r="M13" s="20">
        <f t="shared" si="0"/>
        <v>0</v>
      </c>
      <c r="N13" s="20">
        <f t="shared" si="0"/>
        <v>0</v>
      </c>
      <c r="O13" s="20">
        <f t="shared" si="0"/>
        <v>0</v>
      </c>
      <c r="P13" s="21">
        <v>0</v>
      </c>
      <c r="Q13" s="21">
        <f>SUM(M13:P13)</f>
        <v>0</v>
      </c>
      <c r="R13" s="22"/>
      <c r="S13" s="22"/>
      <c r="T13" s="22"/>
      <c r="U13" s="22"/>
      <c r="V13" s="22"/>
    </row>
    <row r="14" spans="2:24" x14ac:dyDescent="0.2">
      <c r="E14" s="11"/>
      <c r="G14" s="11"/>
      <c r="H14" s="11"/>
      <c r="I14" s="11"/>
      <c r="K14" s="11"/>
      <c r="L14" s="5"/>
      <c r="M14" s="11"/>
      <c r="N14" s="11"/>
      <c r="O14" s="11"/>
      <c r="X14" s="113" t="s">
        <v>27</v>
      </c>
    </row>
    <row r="15" spans="2:24" x14ac:dyDescent="0.2">
      <c r="D15" s="1" t="s">
        <v>28</v>
      </c>
      <c r="E15" s="17" t="s">
        <v>29</v>
      </c>
      <c r="G15" s="18">
        <v>0</v>
      </c>
      <c r="H15" s="18">
        <v>0</v>
      </c>
      <c r="I15" s="18">
        <v>0</v>
      </c>
      <c r="J15" s="19"/>
      <c r="K15" s="18">
        <f t="shared" ref="K15:K20" si="1">G15+H15+I15</f>
        <v>0</v>
      </c>
      <c r="L15" s="5"/>
      <c r="M15" s="18">
        <v>0</v>
      </c>
      <c r="N15" s="18">
        <v>0</v>
      </c>
      <c r="O15" s="18">
        <v>0</v>
      </c>
      <c r="P15" s="19">
        <v>0</v>
      </c>
      <c r="Q15" s="19">
        <f t="shared" ref="Q15:Q20" si="2">SUM(M15:P15)</f>
        <v>0</v>
      </c>
      <c r="R15" s="19"/>
      <c r="S15" s="19"/>
      <c r="T15" s="19"/>
      <c r="U15" s="19"/>
      <c r="V15" s="19"/>
    </row>
    <row r="16" spans="2:24" x14ac:dyDescent="0.2">
      <c r="D16" s="1" t="s">
        <v>30</v>
      </c>
      <c r="E16" s="17" t="s">
        <v>31</v>
      </c>
      <c r="G16" s="18">
        <v>0</v>
      </c>
      <c r="H16" s="18">
        <v>0</v>
      </c>
      <c r="I16" s="18">
        <v>0</v>
      </c>
      <c r="J16" s="19"/>
      <c r="K16" s="18">
        <f t="shared" si="1"/>
        <v>0</v>
      </c>
      <c r="L16" s="5"/>
      <c r="M16" s="18">
        <f>G16</f>
        <v>0</v>
      </c>
      <c r="N16" s="18">
        <f>H16</f>
        <v>0</v>
      </c>
      <c r="O16" s="18">
        <f>I16</f>
        <v>0</v>
      </c>
      <c r="P16" s="18">
        <f>J16</f>
        <v>0</v>
      </c>
      <c r="Q16" s="19">
        <f t="shared" si="2"/>
        <v>0</v>
      </c>
      <c r="R16" s="19"/>
      <c r="S16" s="19"/>
      <c r="T16" s="19"/>
      <c r="U16" s="19"/>
      <c r="V16" s="19"/>
      <c r="X16" s="112" t="s">
        <v>146</v>
      </c>
    </row>
    <row r="17" spans="2:24" x14ac:dyDescent="0.2">
      <c r="E17" s="17" t="s">
        <v>33</v>
      </c>
      <c r="G17" s="18">
        <v>0</v>
      </c>
      <c r="H17" s="18">
        <v>0</v>
      </c>
      <c r="I17" s="18">
        <v>0</v>
      </c>
      <c r="J17" s="19"/>
      <c r="K17" s="18">
        <f t="shared" si="1"/>
        <v>0</v>
      </c>
      <c r="L17" s="5"/>
      <c r="M17" s="18">
        <v>0</v>
      </c>
      <c r="N17" s="18">
        <v>0</v>
      </c>
      <c r="O17" s="18">
        <v>0</v>
      </c>
      <c r="P17" s="19">
        <v>0</v>
      </c>
      <c r="Q17" s="19">
        <f t="shared" si="2"/>
        <v>0</v>
      </c>
      <c r="R17" s="19"/>
      <c r="S17" s="19"/>
      <c r="T17" s="19"/>
      <c r="U17" s="19"/>
      <c r="V17" s="19"/>
      <c r="X17" s="114">
        <f>395196+21379</f>
        <v>416575</v>
      </c>
    </row>
    <row r="18" spans="2:24" x14ac:dyDescent="0.2">
      <c r="E18" s="17" t="s">
        <v>34</v>
      </c>
      <c r="G18" s="104">
        <v>0</v>
      </c>
      <c r="H18" s="18">
        <v>0</v>
      </c>
      <c r="I18" s="18">
        <v>0</v>
      </c>
      <c r="J18" s="19">
        <v>0</v>
      </c>
      <c r="K18" s="18">
        <f t="shared" si="1"/>
        <v>0</v>
      </c>
      <c r="L18" s="5"/>
      <c r="M18" s="18">
        <v>0</v>
      </c>
      <c r="N18" s="18">
        <v>0</v>
      </c>
      <c r="O18" s="18">
        <v>0</v>
      </c>
      <c r="P18" s="19">
        <v>0</v>
      </c>
      <c r="Q18" s="19">
        <f t="shared" si="2"/>
        <v>0</v>
      </c>
      <c r="R18" s="19"/>
      <c r="S18" s="19"/>
      <c r="T18" s="19"/>
      <c r="U18" s="19"/>
      <c r="V18" s="19"/>
    </row>
    <row r="19" spans="2:24" x14ac:dyDescent="0.2">
      <c r="E19" s="17" t="s">
        <v>35</v>
      </c>
      <c r="G19" s="18">
        <v>243531</v>
      </c>
      <c r="H19" s="18">
        <v>0</v>
      </c>
      <c r="I19" s="18">
        <v>0</v>
      </c>
      <c r="J19" s="19">
        <v>0</v>
      </c>
      <c r="K19" s="18">
        <f t="shared" si="1"/>
        <v>243531</v>
      </c>
      <c r="L19" s="5"/>
      <c r="M19" s="18">
        <f>G19</f>
        <v>243531</v>
      </c>
      <c r="N19" s="18">
        <f>H19</f>
        <v>0</v>
      </c>
      <c r="O19" s="18">
        <f>I19</f>
        <v>0</v>
      </c>
      <c r="P19" s="18">
        <f>J19</f>
        <v>0</v>
      </c>
      <c r="Q19" s="19">
        <f t="shared" si="2"/>
        <v>243531</v>
      </c>
      <c r="R19" s="19"/>
      <c r="S19" s="19"/>
      <c r="T19" s="19"/>
      <c r="U19" s="19"/>
      <c r="V19" s="19"/>
      <c r="X19" s="112" t="s">
        <v>36</v>
      </c>
    </row>
    <row r="20" spans="2:24" x14ac:dyDescent="0.2">
      <c r="E20" s="17" t="s">
        <v>37</v>
      </c>
      <c r="G20" s="27">
        <v>181264</v>
      </c>
      <c r="H20" s="27">
        <v>1249</v>
      </c>
      <c r="I20" s="27">
        <v>62651</v>
      </c>
      <c r="J20" s="26">
        <v>0</v>
      </c>
      <c r="K20" s="27">
        <f t="shared" si="1"/>
        <v>245164</v>
      </c>
      <c r="L20" s="5"/>
      <c r="M20" s="18">
        <v>0</v>
      </c>
      <c r="N20" s="18">
        <v>0</v>
      </c>
      <c r="O20" s="18">
        <v>0</v>
      </c>
      <c r="P20" s="19">
        <v>0</v>
      </c>
      <c r="Q20" s="19">
        <f t="shared" si="2"/>
        <v>0</v>
      </c>
      <c r="R20" s="19"/>
      <c r="S20" s="19"/>
      <c r="T20" s="19"/>
      <c r="U20" s="19"/>
      <c r="V20" s="19"/>
      <c r="X20" s="114">
        <f>31030+1679</f>
        <v>32709</v>
      </c>
    </row>
    <row r="21" spans="2:24" x14ac:dyDescent="0.2">
      <c r="D21" s="2" t="s">
        <v>38</v>
      </c>
      <c r="E21" s="17"/>
      <c r="G21" s="28">
        <f>G9+G12+SUM(G15:G20)</f>
        <v>424795</v>
      </c>
      <c r="H21" s="28">
        <f>SUM(H15:H20)+H12+H9</f>
        <v>1249</v>
      </c>
      <c r="I21" s="28">
        <f>SUM(I15:I20)+I12+I9</f>
        <v>62651</v>
      </c>
      <c r="J21" s="29">
        <f>J9+J12+SUM(J15:J20)</f>
        <v>0</v>
      </c>
      <c r="K21" s="28">
        <f>SUM(G21:J21)</f>
        <v>488695</v>
      </c>
      <c r="L21" s="5"/>
      <c r="M21" s="30">
        <f>M9+M12+SUM(M15:M20)</f>
        <v>243531</v>
      </c>
      <c r="N21" s="30">
        <f>N9+N12+SUM(N15:N20)</f>
        <v>0</v>
      </c>
      <c r="O21" s="30">
        <f>O9+O12+SUM(O15:O20)</f>
        <v>0</v>
      </c>
      <c r="P21" s="31">
        <f>P9+P12+SUM(P15:P20)</f>
        <v>0</v>
      </c>
      <c r="Q21" s="31">
        <f>Q9+Q12+SUM(Q15:Q20)</f>
        <v>243531</v>
      </c>
      <c r="R21" s="32"/>
      <c r="S21" s="32"/>
      <c r="T21" s="32"/>
      <c r="U21" s="32"/>
      <c r="V21" s="32"/>
    </row>
    <row r="22" spans="2:24" x14ac:dyDescent="0.2">
      <c r="E22" s="17"/>
      <c r="G22" s="18"/>
      <c r="H22" s="18"/>
      <c r="I22" s="18"/>
      <c r="J22" s="19"/>
      <c r="K22" s="18"/>
      <c r="L22" s="5"/>
      <c r="M22" s="33"/>
      <c r="N22" s="18"/>
      <c r="O22" s="18"/>
      <c r="P22" s="19"/>
      <c r="Q22" s="19"/>
      <c r="R22" s="19"/>
      <c r="S22" s="19"/>
      <c r="T22" s="19"/>
      <c r="U22" s="19"/>
      <c r="V22" s="19"/>
      <c r="X22" s="112" t="s">
        <v>39</v>
      </c>
    </row>
    <row r="23" spans="2:24" x14ac:dyDescent="0.2">
      <c r="B23" s="2" t="s">
        <v>40</v>
      </c>
      <c r="E23" s="17" t="s">
        <v>41</v>
      </c>
      <c r="G23" s="27">
        <v>0</v>
      </c>
      <c r="H23" s="27">
        <v>0</v>
      </c>
      <c r="I23" s="27">
        <v>0</v>
      </c>
      <c r="J23" s="26">
        <v>0</v>
      </c>
      <c r="K23" s="27">
        <v>0</v>
      </c>
      <c r="L23" s="5"/>
      <c r="M23" s="27">
        <f>$Q$23*G$117</f>
        <v>0</v>
      </c>
      <c r="N23" s="27">
        <f>$Q$23*H$117</f>
        <v>0</v>
      </c>
      <c r="O23" s="27">
        <f>$Q$23*I$117</f>
        <v>0</v>
      </c>
      <c r="P23" s="27">
        <v>0</v>
      </c>
      <c r="Q23" s="27">
        <f>K23*X23</f>
        <v>0</v>
      </c>
      <c r="R23" s="34"/>
      <c r="S23" s="34"/>
      <c r="T23" s="34"/>
      <c r="U23" s="34"/>
      <c r="V23" s="34"/>
      <c r="X23" s="115">
        <f>X20/X17</f>
        <v>7.8518874152313511E-2</v>
      </c>
    </row>
    <row r="24" spans="2:24" x14ac:dyDescent="0.2">
      <c r="B24" s="2"/>
      <c r="D24" s="2" t="s">
        <v>42</v>
      </c>
      <c r="E24" s="17"/>
      <c r="G24" s="28">
        <f>SUM(G23)</f>
        <v>0</v>
      </c>
      <c r="H24" s="28">
        <f>SUM(H23)</f>
        <v>0</v>
      </c>
      <c r="I24" s="28">
        <f>SUM(I23)</f>
        <v>0</v>
      </c>
      <c r="J24" s="29">
        <f>SUM(J23)</f>
        <v>0</v>
      </c>
      <c r="K24" s="28">
        <f>SUM(G24:J24)</f>
        <v>0</v>
      </c>
      <c r="L24" s="5"/>
      <c r="M24" s="28">
        <f>SUM(M23)</f>
        <v>0</v>
      </c>
      <c r="N24" s="28">
        <f>SUM(N23)</f>
        <v>0</v>
      </c>
      <c r="O24" s="28">
        <f>SUM(O23)</f>
        <v>0</v>
      </c>
      <c r="P24" s="29">
        <f>SUM(P23)</f>
        <v>0</v>
      </c>
      <c r="Q24" s="29">
        <f>SUM(M24:P24)</f>
        <v>0</v>
      </c>
      <c r="R24" s="29"/>
      <c r="S24" s="29"/>
      <c r="T24" s="29"/>
      <c r="U24" s="29"/>
      <c r="V24" s="29"/>
    </row>
    <row r="25" spans="2:24" x14ac:dyDescent="0.2">
      <c r="B25" s="2"/>
      <c r="E25" s="11"/>
      <c r="G25" s="11"/>
      <c r="H25" s="11"/>
      <c r="I25" s="11"/>
      <c r="K25" s="11"/>
      <c r="L25" s="5"/>
      <c r="M25" s="11"/>
      <c r="N25" s="11"/>
      <c r="O25" s="11"/>
    </row>
    <row r="26" spans="2:24" x14ac:dyDescent="0.2">
      <c r="B26" s="2" t="s">
        <v>43</v>
      </c>
      <c r="E26" s="17" t="s">
        <v>44</v>
      </c>
      <c r="F26" s="11"/>
      <c r="G26" s="18">
        <v>0</v>
      </c>
      <c r="H26" s="18">
        <v>0</v>
      </c>
      <c r="I26" s="18">
        <v>0</v>
      </c>
      <c r="J26" s="19">
        <v>0</v>
      </c>
      <c r="K26" s="18">
        <f t="shared" ref="K26:K31" si="3">SUM(G26:J26)</f>
        <v>0</v>
      </c>
      <c r="L26" s="5"/>
      <c r="M26" s="34">
        <v>0</v>
      </c>
      <c r="N26" s="34">
        <v>0</v>
      </c>
      <c r="O26" s="34">
        <v>0</v>
      </c>
      <c r="P26" s="19">
        <v>0</v>
      </c>
      <c r="Q26" s="19">
        <f t="shared" ref="Q26:Q31" si="4">SUM(M26:P26)</f>
        <v>0</v>
      </c>
      <c r="R26" s="19"/>
      <c r="S26" s="19"/>
      <c r="T26" s="19"/>
      <c r="U26" s="19"/>
      <c r="V26" s="19"/>
    </row>
    <row r="27" spans="2:24" x14ac:dyDescent="0.2">
      <c r="B27" s="2"/>
      <c r="E27" s="17" t="s">
        <v>45</v>
      </c>
      <c r="G27" s="18">
        <v>0</v>
      </c>
      <c r="H27" s="18">
        <v>0</v>
      </c>
      <c r="I27" s="18">
        <v>0</v>
      </c>
      <c r="J27" s="19">
        <v>0</v>
      </c>
      <c r="K27" s="18">
        <f t="shared" si="3"/>
        <v>0</v>
      </c>
      <c r="L27" s="5"/>
      <c r="M27" s="18">
        <f>G27</f>
        <v>0</v>
      </c>
      <c r="N27" s="18">
        <f>H27</f>
        <v>0</v>
      </c>
      <c r="O27" s="18">
        <f>I27</f>
        <v>0</v>
      </c>
      <c r="P27" s="18">
        <f>J27</f>
        <v>0</v>
      </c>
      <c r="Q27" s="19">
        <f>SUM(M27:P27)</f>
        <v>0</v>
      </c>
      <c r="R27" s="19"/>
      <c r="S27" s="19"/>
      <c r="T27" s="19"/>
      <c r="U27" s="19"/>
      <c r="V27" s="19"/>
    </row>
    <row r="28" spans="2:24" x14ac:dyDescent="0.2">
      <c r="B28" s="2"/>
      <c r="E28" s="11" t="s">
        <v>46</v>
      </c>
      <c r="G28" s="18">
        <v>0</v>
      </c>
      <c r="H28" s="18">
        <v>0</v>
      </c>
      <c r="I28" s="18">
        <v>0</v>
      </c>
      <c r="J28" s="19">
        <v>0</v>
      </c>
      <c r="K28" s="18">
        <f t="shared" si="3"/>
        <v>0</v>
      </c>
      <c r="L28" s="5"/>
      <c r="M28" s="18">
        <v>0</v>
      </c>
      <c r="N28" s="18">
        <v>0</v>
      </c>
      <c r="O28" s="18">
        <v>0</v>
      </c>
      <c r="P28" s="19">
        <v>0</v>
      </c>
      <c r="Q28" s="19">
        <f t="shared" si="4"/>
        <v>0</v>
      </c>
      <c r="R28" s="19"/>
      <c r="S28" s="19"/>
      <c r="T28" s="19"/>
      <c r="U28" s="19"/>
      <c r="V28" s="19"/>
    </row>
    <row r="29" spans="2:24" x14ac:dyDescent="0.2">
      <c r="B29" s="2"/>
      <c r="E29" s="17" t="s">
        <v>47</v>
      </c>
      <c r="G29" s="18">
        <v>0</v>
      </c>
      <c r="H29" s="18">
        <v>0</v>
      </c>
      <c r="I29" s="18">
        <v>0</v>
      </c>
      <c r="J29" s="19">
        <v>0</v>
      </c>
      <c r="K29" s="18">
        <f t="shared" si="3"/>
        <v>0</v>
      </c>
      <c r="L29" s="5"/>
      <c r="M29" s="18">
        <f t="shared" ref="M29:P30" si="5">G29</f>
        <v>0</v>
      </c>
      <c r="N29" s="18">
        <f t="shared" si="5"/>
        <v>0</v>
      </c>
      <c r="O29" s="18">
        <f t="shared" si="5"/>
        <v>0</v>
      </c>
      <c r="P29" s="18">
        <f t="shared" si="5"/>
        <v>0</v>
      </c>
      <c r="Q29" s="19">
        <f t="shared" si="4"/>
        <v>0</v>
      </c>
      <c r="R29" s="19"/>
      <c r="S29" s="19"/>
      <c r="T29" s="19"/>
      <c r="U29" s="19"/>
      <c r="V29" s="19"/>
    </row>
    <row r="30" spans="2:24" x14ac:dyDescent="0.2">
      <c r="B30" s="2"/>
      <c r="E30" s="36" t="s">
        <v>48</v>
      </c>
      <c r="G30" s="27">
        <v>6000</v>
      </c>
      <c r="H30" s="27">
        <v>0</v>
      </c>
      <c r="I30" s="27">
        <v>0</v>
      </c>
      <c r="J30" s="26">
        <v>0</v>
      </c>
      <c r="K30" s="27">
        <f t="shared" si="3"/>
        <v>6000</v>
      </c>
      <c r="L30" s="5"/>
      <c r="M30" s="27">
        <f t="shared" si="5"/>
        <v>6000</v>
      </c>
      <c r="N30" s="27">
        <f t="shared" si="5"/>
        <v>0</v>
      </c>
      <c r="O30" s="27">
        <f t="shared" si="5"/>
        <v>0</v>
      </c>
      <c r="P30" s="27">
        <f>J30</f>
        <v>0</v>
      </c>
      <c r="Q30" s="26">
        <f t="shared" si="4"/>
        <v>6000</v>
      </c>
      <c r="R30" s="37"/>
      <c r="S30" s="37"/>
      <c r="T30" s="37"/>
      <c r="U30" s="37"/>
      <c r="V30" s="37"/>
    </row>
    <row r="31" spans="2:24" x14ac:dyDescent="0.2">
      <c r="B31" s="2"/>
      <c r="D31" s="2" t="s">
        <v>49</v>
      </c>
      <c r="G31" s="29">
        <f>SUM(G26:G30)</f>
        <v>6000</v>
      </c>
      <c r="H31" s="29">
        <f>SUM(H26:H30)</f>
        <v>0</v>
      </c>
      <c r="I31" s="29">
        <f>SUM(I26:I30)</f>
        <v>0</v>
      </c>
      <c r="J31" s="29">
        <f>SUM(J26:J30)</f>
        <v>0</v>
      </c>
      <c r="K31" s="28">
        <f t="shared" si="3"/>
        <v>6000</v>
      </c>
      <c r="L31" s="5"/>
      <c r="M31" s="28">
        <f>SUM(M26:M30)</f>
        <v>6000</v>
      </c>
      <c r="N31" s="28">
        <f>SUM(N26:N30)</f>
        <v>0</v>
      </c>
      <c r="O31" s="28">
        <f>SUM(O26:O30)</f>
        <v>0</v>
      </c>
      <c r="P31" s="29">
        <f>SUM(P26:P30)</f>
        <v>0</v>
      </c>
      <c r="Q31" s="29">
        <f t="shared" si="4"/>
        <v>6000</v>
      </c>
      <c r="R31" s="29"/>
      <c r="S31" s="29"/>
      <c r="T31" s="29"/>
      <c r="U31" s="29"/>
      <c r="V31" s="29"/>
    </row>
    <row r="32" spans="2:24" x14ac:dyDescent="0.2">
      <c r="B32" s="2"/>
      <c r="K32" s="11"/>
      <c r="L32" s="5"/>
    </row>
    <row r="33" spans="2:22" x14ac:dyDescent="0.2">
      <c r="B33" s="2" t="s">
        <v>50</v>
      </c>
      <c r="D33" s="2" t="s">
        <v>51</v>
      </c>
      <c r="E33" s="1" t="s">
        <v>52</v>
      </c>
      <c r="G33" s="18"/>
      <c r="H33" s="18">
        <v>0</v>
      </c>
      <c r="I33" s="18">
        <v>0</v>
      </c>
      <c r="J33" s="18">
        <v>0</v>
      </c>
      <c r="K33" s="18">
        <f>SUM(G33:J33)</f>
        <v>0</v>
      </c>
      <c r="L33" s="5"/>
      <c r="M33" s="19">
        <f t="shared" ref="M33:P34" si="6">G33</f>
        <v>0</v>
      </c>
      <c r="N33" s="19">
        <f t="shared" si="6"/>
        <v>0</v>
      </c>
      <c r="O33" s="19">
        <f t="shared" si="6"/>
        <v>0</v>
      </c>
      <c r="P33" s="19">
        <f t="shared" si="6"/>
        <v>0</v>
      </c>
      <c r="Q33" s="19">
        <f>SUM(M33:P33)</f>
        <v>0</v>
      </c>
      <c r="R33" s="19"/>
      <c r="S33" s="19"/>
      <c r="T33" s="19"/>
      <c r="U33" s="19"/>
      <c r="V33" s="19"/>
    </row>
    <row r="34" spans="2:22" x14ac:dyDescent="0.2">
      <c r="B34" s="2" t="s">
        <v>53</v>
      </c>
      <c r="D34" s="2" t="s">
        <v>54</v>
      </c>
      <c r="E34" s="1" t="s">
        <v>55</v>
      </c>
      <c r="G34" s="18"/>
      <c r="H34" s="18">
        <v>0</v>
      </c>
      <c r="I34" s="18">
        <v>0</v>
      </c>
      <c r="J34" s="18">
        <v>0</v>
      </c>
      <c r="K34" s="18">
        <f>SUM(G34:J34)</f>
        <v>0</v>
      </c>
      <c r="L34" s="5"/>
      <c r="M34" s="19">
        <f t="shared" si="6"/>
        <v>0</v>
      </c>
      <c r="N34" s="19">
        <f t="shared" si="6"/>
        <v>0</v>
      </c>
      <c r="O34" s="19">
        <f t="shared" si="6"/>
        <v>0</v>
      </c>
      <c r="P34" s="19">
        <f t="shared" si="6"/>
        <v>0</v>
      </c>
      <c r="Q34" s="19">
        <f>SUM(M34:P34)</f>
        <v>0</v>
      </c>
      <c r="R34" s="19"/>
      <c r="S34" s="19"/>
      <c r="T34" s="19"/>
      <c r="U34" s="19"/>
      <c r="V34" s="19"/>
    </row>
    <row r="35" spans="2:22" x14ac:dyDescent="0.2">
      <c r="D35" s="2"/>
      <c r="G35" s="11"/>
      <c r="H35" s="11"/>
      <c r="I35" s="11"/>
      <c r="J35" s="11"/>
      <c r="K35" s="11"/>
      <c r="L35" s="5"/>
      <c r="Q35" s="19"/>
      <c r="R35" s="19"/>
      <c r="S35" s="19"/>
      <c r="T35" s="19"/>
      <c r="U35" s="19"/>
      <c r="V35" s="19"/>
    </row>
    <row r="36" spans="2:22" x14ac:dyDescent="0.2">
      <c r="D36" s="2" t="s">
        <v>56</v>
      </c>
      <c r="E36" s="1" t="s">
        <v>57</v>
      </c>
      <c r="G36" s="18"/>
      <c r="H36" s="18"/>
      <c r="I36" s="18">
        <v>0</v>
      </c>
      <c r="J36" s="18">
        <v>0</v>
      </c>
      <c r="K36" s="18">
        <f>SUM(G36:J36)</f>
        <v>0</v>
      </c>
      <c r="L36" s="5"/>
      <c r="M36" s="19">
        <f t="shared" ref="M36:P39" si="7">G36</f>
        <v>0</v>
      </c>
      <c r="N36" s="19">
        <f t="shared" si="7"/>
        <v>0</v>
      </c>
      <c r="O36" s="19">
        <f t="shared" si="7"/>
        <v>0</v>
      </c>
      <c r="P36" s="19">
        <f t="shared" si="7"/>
        <v>0</v>
      </c>
      <c r="Q36" s="19">
        <f>SUM(M36:P36)</f>
        <v>0</v>
      </c>
      <c r="R36" s="19"/>
      <c r="S36" s="19"/>
      <c r="T36" s="19"/>
      <c r="U36" s="19"/>
      <c r="V36" s="19"/>
    </row>
    <row r="37" spans="2:22" x14ac:dyDescent="0.2">
      <c r="D37" s="2" t="s">
        <v>58</v>
      </c>
      <c r="E37" s="1" t="s">
        <v>59</v>
      </c>
      <c r="G37" s="18"/>
      <c r="H37" s="18">
        <v>0</v>
      </c>
      <c r="I37" s="18">
        <v>0</v>
      </c>
      <c r="J37" s="18">
        <v>0</v>
      </c>
      <c r="K37" s="18">
        <f>SUM(G37:J37)</f>
        <v>0</v>
      </c>
      <c r="L37" s="5"/>
      <c r="M37" s="19">
        <f t="shared" si="7"/>
        <v>0</v>
      </c>
      <c r="N37" s="19">
        <f t="shared" si="7"/>
        <v>0</v>
      </c>
      <c r="O37" s="19">
        <f t="shared" si="7"/>
        <v>0</v>
      </c>
      <c r="P37" s="19">
        <f t="shared" si="7"/>
        <v>0</v>
      </c>
      <c r="Q37" s="19">
        <f>SUM(M37:P37)</f>
        <v>0</v>
      </c>
      <c r="R37" s="19"/>
      <c r="S37" s="19"/>
      <c r="T37" s="19"/>
      <c r="U37" s="19"/>
      <c r="V37" s="19"/>
    </row>
    <row r="38" spans="2:22" x14ac:dyDescent="0.2">
      <c r="D38" s="2"/>
      <c r="E38" s="1" t="s">
        <v>60</v>
      </c>
      <c r="G38" s="18"/>
      <c r="H38" s="18">
        <v>0</v>
      </c>
      <c r="I38" s="18">
        <v>0</v>
      </c>
      <c r="J38" s="18">
        <v>0</v>
      </c>
      <c r="K38" s="18">
        <f>SUM(G38:J38)</f>
        <v>0</v>
      </c>
      <c r="L38" s="5"/>
      <c r="M38" s="19">
        <f t="shared" si="7"/>
        <v>0</v>
      </c>
      <c r="N38" s="19">
        <f t="shared" si="7"/>
        <v>0</v>
      </c>
      <c r="O38" s="19">
        <f t="shared" si="7"/>
        <v>0</v>
      </c>
      <c r="P38" s="19">
        <f t="shared" si="7"/>
        <v>0</v>
      </c>
      <c r="Q38" s="19">
        <f>SUM(M38:P38)</f>
        <v>0</v>
      </c>
      <c r="R38" s="19"/>
      <c r="S38" s="19"/>
      <c r="T38" s="19"/>
      <c r="U38" s="19"/>
      <c r="V38" s="19"/>
    </row>
    <row r="39" spans="2:22" x14ac:dyDescent="0.2">
      <c r="D39" s="2"/>
      <c r="E39" s="1" t="s">
        <v>61</v>
      </c>
      <c r="G39" s="18"/>
      <c r="H39" s="18">
        <v>0</v>
      </c>
      <c r="I39" s="18"/>
      <c r="J39" s="18">
        <v>0</v>
      </c>
      <c r="K39" s="18">
        <f>SUM(G39:J39)</f>
        <v>0</v>
      </c>
      <c r="L39" s="5"/>
      <c r="M39" s="19">
        <f t="shared" si="7"/>
        <v>0</v>
      </c>
      <c r="N39" s="19">
        <f t="shared" si="7"/>
        <v>0</v>
      </c>
      <c r="O39" s="19">
        <f t="shared" si="7"/>
        <v>0</v>
      </c>
      <c r="P39" s="19">
        <f t="shared" si="7"/>
        <v>0</v>
      </c>
      <c r="Q39" s="19">
        <f>SUM(M39:P39)</f>
        <v>0</v>
      </c>
      <c r="R39" s="19"/>
      <c r="S39" s="19"/>
      <c r="T39" s="19"/>
      <c r="U39" s="19"/>
      <c r="V39" s="19"/>
    </row>
    <row r="40" spans="2:22" x14ac:dyDescent="0.2">
      <c r="D40" s="2"/>
      <c r="G40" s="11"/>
      <c r="H40" s="11"/>
      <c r="I40" s="11"/>
      <c r="J40" s="11"/>
      <c r="K40" s="11"/>
      <c r="L40" s="5"/>
      <c r="Q40" s="19"/>
      <c r="R40" s="19"/>
      <c r="S40" s="19"/>
      <c r="T40" s="19"/>
      <c r="U40" s="19"/>
      <c r="V40" s="19"/>
    </row>
    <row r="41" spans="2:22" x14ac:dyDescent="0.2">
      <c r="D41" s="2" t="s">
        <v>62</v>
      </c>
      <c r="G41" s="18"/>
      <c r="H41" s="18">
        <f>H11</f>
        <v>0</v>
      </c>
      <c r="I41" s="18">
        <v>0</v>
      </c>
      <c r="J41" s="18">
        <v>0</v>
      </c>
      <c r="K41" s="18">
        <f>SUM(G41:J41)</f>
        <v>0</v>
      </c>
      <c r="L41" s="5"/>
      <c r="M41" s="19">
        <f>G41</f>
        <v>0</v>
      </c>
      <c r="N41" s="19">
        <f>H41</f>
        <v>0</v>
      </c>
      <c r="O41" s="19">
        <f>I41</f>
        <v>0</v>
      </c>
      <c r="P41" s="19">
        <f>J41</f>
        <v>0</v>
      </c>
      <c r="Q41" s="19">
        <f>SUM(M41:P41)</f>
        <v>0</v>
      </c>
      <c r="R41" s="19"/>
      <c r="S41" s="19"/>
      <c r="T41" s="19"/>
      <c r="U41" s="19"/>
      <c r="V41" s="19"/>
    </row>
    <row r="42" spans="2:22" x14ac:dyDescent="0.2">
      <c r="D42" s="2"/>
      <c r="G42" s="11"/>
      <c r="H42" s="11"/>
      <c r="I42" s="11"/>
      <c r="J42" s="11"/>
      <c r="L42" s="5"/>
    </row>
    <row r="43" spans="2:22" x14ac:dyDescent="0.2">
      <c r="D43" s="2" t="s">
        <v>63</v>
      </c>
      <c r="G43" s="18"/>
      <c r="H43" s="18"/>
      <c r="I43" s="18">
        <v>0</v>
      </c>
      <c r="J43" s="18">
        <v>0</v>
      </c>
      <c r="K43" s="19">
        <f>SUM(G43:J43)</f>
        <v>0</v>
      </c>
      <c r="L43" s="5"/>
      <c r="M43" s="19">
        <f>G43</f>
        <v>0</v>
      </c>
      <c r="N43" s="19">
        <f>H43</f>
        <v>0</v>
      </c>
      <c r="O43" s="19">
        <f>I43</f>
        <v>0</v>
      </c>
      <c r="P43" s="19">
        <f>J43</f>
        <v>0</v>
      </c>
      <c r="Q43" s="19">
        <f>SUM(M43:P43)</f>
        <v>0</v>
      </c>
      <c r="R43" s="19"/>
      <c r="S43" s="19"/>
      <c r="T43" s="19"/>
      <c r="U43" s="19"/>
      <c r="V43" s="19"/>
    </row>
    <row r="44" spans="2:22" x14ac:dyDescent="0.2">
      <c r="D44" s="2"/>
      <c r="G44" s="11"/>
      <c r="H44" s="11"/>
      <c r="I44" s="11"/>
      <c r="J44" s="11"/>
      <c r="L44" s="5"/>
    </row>
    <row r="45" spans="2:22" x14ac:dyDescent="0.2">
      <c r="D45" s="2" t="s">
        <v>64</v>
      </c>
      <c r="G45" s="18"/>
      <c r="H45" s="18"/>
      <c r="I45" s="18">
        <v>0</v>
      </c>
      <c r="J45" s="18">
        <v>0</v>
      </c>
      <c r="K45" s="19">
        <f>SUM(G45:J45)</f>
        <v>0</v>
      </c>
      <c r="L45" s="5"/>
      <c r="M45" s="19">
        <f>G45</f>
        <v>0</v>
      </c>
      <c r="N45" s="19">
        <f>H45</f>
        <v>0</v>
      </c>
      <c r="O45" s="19">
        <f>I45</f>
        <v>0</v>
      </c>
      <c r="P45" s="19">
        <f>J45</f>
        <v>0</v>
      </c>
      <c r="Q45" s="19">
        <f>SUM(M45:P45)</f>
        <v>0</v>
      </c>
      <c r="R45" s="19"/>
      <c r="S45" s="19"/>
      <c r="T45" s="19"/>
      <c r="U45" s="19"/>
      <c r="V45" s="19"/>
    </row>
    <row r="46" spans="2:22" x14ac:dyDescent="0.2">
      <c r="D46" s="2"/>
      <c r="G46" s="11"/>
      <c r="H46" s="11"/>
      <c r="I46" s="11"/>
      <c r="J46" s="11"/>
      <c r="L46" s="5"/>
    </row>
    <row r="47" spans="2:22" x14ac:dyDescent="0.2">
      <c r="D47" s="2" t="s">
        <v>65</v>
      </c>
      <c r="G47" s="18"/>
      <c r="H47" s="18">
        <v>0</v>
      </c>
      <c r="I47" s="18">
        <v>0</v>
      </c>
      <c r="J47" s="18">
        <v>0</v>
      </c>
      <c r="K47" s="19">
        <f>SUM(G47:J47)</f>
        <v>0</v>
      </c>
      <c r="L47" s="5"/>
      <c r="M47" s="19">
        <f>G47</f>
        <v>0</v>
      </c>
      <c r="N47" s="19">
        <f>H47</f>
        <v>0</v>
      </c>
      <c r="O47" s="19">
        <f>I47</f>
        <v>0</v>
      </c>
      <c r="P47" s="19">
        <f>J47</f>
        <v>0</v>
      </c>
      <c r="Q47" s="19">
        <f>SUM(M47:P47)</f>
        <v>0</v>
      </c>
      <c r="R47" s="19"/>
      <c r="S47" s="19"/>
      <c r="T47" s="19"/>
      <c r="U47" s="19"/>
      <c r="V47" s="19"/>
    </row>
    <row r="48" spans="2:22" x14ac:dyDescent="0.2">
      <c r="D48" s="2" t="s">
        <v>66</v>
      </c>
      <c r="G48" s="11"/>
      <c r="H48" s="11"/>
      <c r="I48" s="11"/>
      <c r="J48" s="11"/>
      <c r="L48" s="5"/>
    </row>
    <row r="49" spans="2:24" x14ac:dyDescent="0.2">
      <c r="D49" s="2"/>
      <c r="G49" s="11"/>
      <c r="H49" s="11"/>
      <c r="I49" s="11"/>
      <c r="J49" s="11"/>
      <c r="L49" s="5"/>
    </row>
    <row r="50" spans="2:24" x14ac:dyDescent="0.2">
      <c r="B50" s="2"/>
      <c r="D50" s="2" t="s">
        <v>61</v>
      </c>
      <c r="G50" s="27">
        <v>221389</v>
      </c>
      <c r="H50" s="27">
        <v>0</v>
      </c>
      <c r="I50" s="27">
        <v>0</v>
      </c>
      <c r="J50" s="27">
        <v>0</v>
      </c>
      <c r="K50" s="27">
        <f>SUM(G50:J50)</f>
        <v>221389</v>
      </c>
      <c r="L50" s="5"/>
      <c r="M50" s="26">
        <f>G50</f>
        <v>221389</v>
      </c>
      <c r="N50" s="26">
        <f>H50</f>
        <v>0</v>
      </c>
      <c r="O50" s="26">
        <f>I50</f>
        <v>0</v>
      </c>
      <c r="P50" s="26">
        <f>J50</f>
        <v>0</v>
      </c>
      <c r="Q50" s="26">
        <f>SUM(M50:P50)</f>
        <v>221389</v>
      </c>
      <c r="R50" s="37"/>
      <c r="S50" s="37"/>
      <c r="T50" s="37"/>
      <c r="U50" s="37"/>
      <c r="V50" s="37"/>
    </row>
    <row r="51" spans="2:24" x14ac:dyDescent="0.2">
      <c r="D51" s="2" t="s">
        <v>67</v>
      </c>
      <c r="G51" s="29">
        <f>SUM(G33:G50)</f>
        <v>221389</v>
      </c>
      <c r="H51" s="29">
        <f>SUM(H33:H50)</f>
        <v>0</v>
      </c>
      <c r="I51" s="29">
        <f>SUM(I33:I50)</f>
        <v>0</v>
      </c>
      <c r="J51" s="29">
        <f>SUM(J33:J50)</f>
        <v>0</v>
      </c>
      <c r="K51" s="29">
        <f>SUM(G51:J51)</f>
        <v>221389</v>
      </c>
      <c r="L51" s="5"/>
      <c r="M51" s="29">
        <f>SUM(M33:M50)</f>
        <v>221389</v>
      </c>
      <c r="N51" s="29">
        <f>SUM(N33:N50)</f>
        <v>0</v>
      </c>
      <c r="O51" s="29">
        <f>SUM(O33:O50)</f>
        <v>0</v>
      </c>
      <c r="P51" s="29">
        <f>SUM(P33:P50)</f>
        <v>0</v>
      </c>
      <c r="Q51" s="29">
        <f>SUM(M51:P51)</f>
        <v>221389</v>
      </c>
      <c r="R51" s="29"/>
      <c r="S51" s="29"/>
      <c r="T51" s="29"/>
      <c r="U51" s="29"/>
      <c r="V51" s="29"/>
    </row>
    <row r="52" spans="2:24" x14ac:dyDescent="0.2">
      <c r="B52" s="2"/>
      <c r="L52" s="5"/>
    </row>
    <row r="53" spans="2:24" x14ac:dyDescent="0.2">
      <c r="B53" s="2" t="s">
        <v>68</v>
      </c>
      <c r="G53" s="19">
        <v>0</v>
      </c>
      <c r="H53" s="19">
        <v>0</v>
      </c>
      <c r="I53" s="19">
        <v>0</v>
      </c>
      <c r="J53" s="19">
        <v>0</v>
      </c>
      <c r="K53" s="19">
        <f>SUM(G53:J53)</f>
        <v>0</v>
      </c>
      <c r="L53" s="5"/>
      <c r="M53" s="19">
        <v>0</v>
      </c>
      <c r="N53" s="19">
        <v>0</v>
      </c>
      <c r="O53" s="19">
        <v>0</v>
      </c>
      <c r="P53" s="19">
        <v>0</v>
      </c>
      <c r="Q53" s="19">
        <f>SUM(M53:P53)</f>
        <v>0</v>
      </c>
      <c r="R53" s="19"/>
      <c r="S53" s="19"/>
      <c r="T53" s="19"/>
      <c r="U53" s="19"/>
      <c r="V53" s="19"/>
    </row>
    <row r="54" spans="2:24" x14ac:dyDescent="0.2">
      <c r="B54" s="2" t="s">
        <v>69</v>
      </c>
      <c r="L54" s="5"/>
    </row>
    <row r="55" spans="2:24" ht="13.5" thickBot="1" x14ac:dyDescent="0.25">
      <c r="K55" s="19"/>
      <c r="L55" s="5"/>
      <c r="Q55" s="38"/>
      <c r="R55" s="39"/>
      <c r="S55" s="39"/>
      <c r="T55" s="39"/>
      <c r="U55" s="39"/>
      <c r="V55" s="39"/>
    </row>
    <row r="56" spans="2:24" x14ac:dyDescent="0.2">
      <c r="B56" s="2" t="s">
        <v>70</v>
      </c>
      <c r="G56" s="40">
        <f>G21+G24+G31+G51+G53</f>
        <v>652184</v>
      </c>
      <c r="H56" s="40">
        <f>H21+H24+H31+H51+H53</f>
        <v>1249</v>
      </c>
      <c r="I56" s="40">
        <f>I21+I24+I31+I51+I53</f>
        <v>62651</v>
      </c>
      <c r="J56" s="40">
        <f>J21+J24+J31+J51+J53</f>
        <v>0</v>
      </c>
      <c r="K56" s="40">
        <f>SUM(G56:J56)</f>
        <v>716084</v>
      </c>
      <c r="L56" s="41"/>
      <c r="M56" s="40">
        <f>M21+M24+M31+M51+M53</f>
        <v>470920</v>
      </c>
      <c r="N56" s="40">
        <f>N21+N24+N31+N51+N53</f>
        <v>0</v>
      </c>
      <c r="O56" s="40">
        <f>O21+O24+O31+O51+O53</f>
        <v>0</v>
      </c>
      <c r="P56" s="40">
        <f>P21+P24+P31+P51+P53</f>
        <v>0</v>
      </c>
      <c r="Q56" s="40">
        <f>SUM(M56:P56)</f>
        <v>470920</v>
      </c>
      <c r="R56" s="32"/>
      <c r="S56" s="32"/>
      <c r="T56" s="32"/>
      <c r="U56" s="32"/>
      <c r="V56" s="32"/>
    </row>
    <row r="57" spans="2:24" x14ac:dyDescent="0.2">
      <c r="L57" s="5"/>
    </row>
    <row r="58" spans="2:24" x14ac:dyDescent="0.2">
      <c r="L58" s="5"/>
    </row>
    <row r="59" spans="2:24" ht="14.25" x14ac:dyDescent="0.2">
      <c r="B59" s="16" t="s">
        <v>71</v>
      </c>
      <c r="K59" s="11"/>
      <c r="L59" s="5"/>
    </row>
    <row r="60" spans="2:24" x14ac:dyDescent="0.2">
      <c r="D60" s="11" t="s">
        <v>147</v>
      </c>
      <c r="E60" s="36" t="s">
        <v>23</v>
      </c>
      <c r="G60" s="19">
        <v>2257215</v>
      </c>
      <c r="H60" s="19">
        <v>0</v>
      </c>
      <c r="I60" s="19">
        <v>25978</v>
      </c>
      <c r="J60" s="18">
        <v>0</v>
      </c>
      <c r="K60" s="18">
        <v>2283193</v>
      </c>
      <c r="L60" s="5"/>
      <c r="M60" s="19">
        <f t="shared" ref="M60:P61" si="8">G60</f>
        <v>2257215</v>
      </c>
      <c r="N60" s="19">
        <f t="shared" si="8"/>
        <v>0</v>
      </c>
      <c r="O60" s="19">
        <f t="shared" si="8"/>
        <v>25978</v>
      </c>
      <c r="P60" s="18">
        <f t="shared" si="8"/>
        <v>0</v>
      </c>
      <c r="Q60" s="18">
        <f>$K$60</f>
        <v>2283193</v>
      </c>
      <c r="R60" s="18"/>
      <c r="S60" s="18"/>
      <c r="T60" s="18"/>
      <c r="U60" s="18"/>
      <c r="V60" s="18"/>
    </row>
    <row r="61" spans="2:24" x14ac:dyDescent="0.2">
      <c r="D61" s="11"/>
      <c r="E61" s="36" t="s">
        <v>25</v>
      </c>
      <c r="G61" s="42">
        <v>0</v>
      </c>
      <c r="H61" s="42">
        <v>0</v>
      </c>
      <c r="I61" s="42">
        <f>K61</f>
        <v>0</v>
      </c>
      <c r="J61" s="43">
        <v>0</v>
      </c>
      <c r="K61" s="43">
        <v>0</v>
      </c>
      <c r="L61" s="5"/>
      <c r="M61" s="42">
        <f t="shared" si="8"/>
        <v>0</v>
      </c>
      <c r="N61" s="42">
        <f t="shared" si="8"/>
        <v>0</v>
      </c>
      <c r="O61" s="42">
        <f t="shared" si="8"/>
        <v>0</v>
      </c>
      <c r="P61" s="43">
        <f t="shared" si="8"/>
        <v>0</v>
      </c>
      <c r="Q61" s="42">
        <f>K61</f>
        <v>0</v>
      </c>
      <c r="R61" s="42"/>
      <c r="S61" s="42"/>
      <c r="T61" s="42"/>
      <c r="U61" s="42"/>
      <c r="V61" s="42"/>
      <c r="X61" s="116">
        <f>$K$60-(327*25.09*8)</f>
        <v>2217557.56</v>
      </c>
    </row>
    <row r="62" spans="2:24" x14ac:dyDescent="0.2">
      <c r="D62" s="11"/>
      <c r="E62" s="36"/>
      <c r="J62" s="11"/>
      <c r="K62" s="11"/>
      <c r="L62" s="5"/>
      <c r="P62" s="11"/>
    </row>
    <row r="63" spans="2:24" x14ac:dyDescent="0.2">
      <c r="D63" s="11" t="s">
        <v>74</v>
      </c>
      <c r="E63" s="36" t="s">
        <v>23</v>
      </c>
      <c r="G63" s="19">
        <v>0</v>
      </c>
      <c r="H63" s="19">
        <v>0</v>
      </c>
      <c r="I63" s="19">
        <v>0</v>
      </c>
      <c r="J63" s="18">
        <v>0</v>
      </c>
      <c r="K63" s="18">
        <v>0</v>
      </c>
      <c r="L63" s="5"/>
      <c r="M63" s="19">
        <f>$G$103*Q63</f>
        <v>0</v>
      </c>
      <c r="N63" s="19">
        <f>$H$103*Q63</f>
        <v>0</v>
      </c>
      <c r="O63" s="19">
        <f>$I$103*Q63</f>
        <v>0</v>
      </c>
      <c r="P63" s="18">
        <f t="shared" ref="P63:Q64" si="9">J63</f>
        <v>0</v>
      </c>
      <c r="Q63" s="18">
        <f>K63-(0*67.3*8)</f>
        <v>0</v>
      </c>
      <c r="R63" s="18"/>
      <c r="S63" s="18"/>
      <c r="T63" s="18"/>
      <c r="U63" s="18"/>
      <c r="V63" s="18"/>
    </row>
    <row r="64" spans="2:24" ht="12.75" customHeight="1" x14ac:dyDescent="0.2">
      <c r="D64" s="11"/>
      <c r="E64" s="36" t="s">
        <v>25</v>
      </c>
      <c r="G64" s="45">
        <f>$G$103*K64</f>
        <v>0</v>
      </c>
      <c r="H64" s="45">
        <f>$H$103*K64</f>
        <v>0</v>
      </c>
      <c r="I64" s="45">
        <f>$I$103*K64</f>
        <v>0</v>
      </c>
      <c r="J64" s="46">
        <v>0</v>
      </c>
      <c r="K64" s="43">
        <v>0</v>
      </c>
      <c r="L64" s="5"/>
      <c r="M64" s="42">
        <f>G64</f>
        <v>0</v>
      </c>
      <c r="N64" s="42">
        <f>H64</f>
        <v>0</v>
      </c>
      <c r="O64" s="42">
        <f>I64</f>
        <v>0</v>
      </c>
      <c r="P64" s="43">
        <f t="shared" si="9"/>
        <v>0</v>
      </c>
      <c r="Q64" s="42">
        <f t="shared" si="9"/>
        <v>0</v>
      </c>
      <c r="R64" s="42"/>
      <c r="S64" s="42"/>
      <c r="T64" s="42"/>
      <c r="U64" s="42"/>
      <c r="V64" s="42"/>
    </row>
    <row r="65" spans="4:22" ht="12.75" customHeight="1" x14ac:dyDescent="0.2">
      <c r="D65" s="11"/>
      <c r="E65" s="36"/>
      <c r="J65" s="11"/>
      <c r="K65" s="11"/>
      <c r="L65" s="5"/>
      <c r="P65" s="11"/>
    </row>
    <row r="66" spans="4:22" x14ac:dyDescent="0.2">
      <c r="D66" s="11" t="s">
        <v>75</v>
      </c>
      <c r="E66" s="36" t="s">
        <v>23</v>
      </c>
      <c r="G66" s="19">
        <f>$G$103*K66</f>
        <v>0</v>
      </c>
      <c r="H66" s="19"/>
      <c r="I66" s="19"/>
      <c r="J66" s="18">
        <v>0</v>
      </c>
      <c r="K66" s="18">
        <v>0</v>
      </c>
      <c r="L66" s="5"/>
      <c r="M66" s="19">
        <f>$G$103*Q$66</f>
        <v>0</v>
      </c>
      <c r="N66" s="19">
        <f>$H$103*Q$66</f>
        <v>0</v>
      </c>
      <c r="O66" s="19">
        <f>$I$103*Q$66</f>
        <v>0</v>
      </c>
      <c r="P66" s="18">
        <f>J66</f>
        <v>0</v>
      </c>
      <c r="Q66" s="18">
        <f>K66</f>
        <v>0</v>
      </c>
      <c r="R66" s="18"/>
      <c r="S66" s="18"/>
      <c r="T66" s="18"/>
      <c r="U66" s="18"/>
      <c r="V66" s="18"/>
    </row>
    <row r="67" spans="4:22" x14ac:dyDescent="0.2">
      <c r="D67" s="11"/>
      <c r="E67" s="36" t="s">
        <v>25</v>
      </c>
      <c r="G67" s="45">
        <f>$G$103*K67</f>
        <v>0</v>
      </c>
      <c r="H67" s="45"/>
      <c r="I67" s="45"/>
      <c r="J67" s="43">
        <v>0</v>
      </c>
      <c r="K67" s="43">
        <v>0</v>
      </c>
      <c r="L67" s="5"/>
      <c r="M67" s="42">
        <f>G67</f>
        <v>0</v>
      </c>
      <c r="N67" s="42">
        <f>H67</f>
        <v>0</v>
      </c>
      <c r="O67" s="42">
        <f>I67</f>
        <v>0</v>
      </c>
      <c r="P67" s="43">
        <f>J67</f>
        <v>0</v>
      </c>
      <c r="Q67" s="42">
        <f>K67</f>
        <v>0</v>
      </c>
      <c r="R67" s="42"/>
      <c r="S67" s="42"/>
      <c r="T67" s="42"/>
      <c r="U67" s="42"/>
      <c r="V67" s="42"/>
    </row>
    <row r="68" spans="4:22" x14ac:dyDescent="0.2">
      <c r="D68" s="11"/>
      <c r="E68" s="36"/>
      <c r="G68" s="42"/>
      <c r="H68" s="42"/>
      <c r="I68" s="42"/>
      <c r="J68" s="43"/>
      <c r="K68" s="43"/>
      <c r="L68" s="5"/>
      <c r="M68" s="42"/>
      <c r="N68" s="42"/>
      <c r="O68" s="42"/>
      <c r="P68" s="43"/>
      <c r="Q68" s="43"/>
      <c r="R68" s="43"/>
      <c r="S68" s="43"/>
      <c r="T68" s="43"/>
      <c r="U68" s="43"/>
      <c r="V68" s="43"/>
    </row>
    <row r="69" spans="4:22" x14ac:dyDescent="0.2">
      <c r="D69" s="47" t="s">
        <v>76</v>
      </c>
      <c r="E69" s="36" t="s">
        <v>23</v>
      </c>
      <c r="G69" s="19">
        <f>$G$103*K69</f>
        <v>0</v>
      </c>
      <c r="H69" s="19"/>
      <c r="I69" s="19"/>
      <c r="J69" s="18">
        <v>0</v>
      </c>
      <c r="K69" s="18">
        <v>0</v>
      </c>
      <c r="L69" s="5"/>
      <c r="M69" s="19">
        <f t="shared" ref="M69:Q70" si="10">G69</f>
        <v>0</v>
      </c>
      <c r="N69" s="19">
        <f t="shared" si="10"/>
        <v>0</v>
      </c>
      <c r="O69" s="19">
        <f t="shared" si="10"/>
        <v>0</v>
      </c>
      <c r="P69" s="18">
        <f t="shared" si="10"/>
        <v>0</v>
      </c>
      <c r="Q69" s="18">
        <f>K69</f>
        <v>0</v>
      </c>
      <c r="R69" s="18"/>
      <c r="S69" s="18"/>
      <c r="T69" s="18"/>
      <c r="U69" s="18"/>
      <c r="V69" s="18"/>
    </row>
    <row r="70" spans="4:22" x14ac:dyDescent="0.2">
      <c r="D70" s="11"/>
      <c r="E70" s="36" t="s">
        <v>25</v>
      </c>
      <c r="G70" s="45">
        <f>$G$103*K70</f>
        <v>0</v>
      </c>
      <c r="H70" s="45"/>
      <c r="I70" s="45"/>
      <c r="J70" s="43">
        <v>0</v>
      </c>
      <c r="K70" s="43">
        <v>0</v>
      </c>
      <c r="L70" s="5"/>
      <c r="M70" s="42">
        <f t="shared" si="10"/>
        <v>0</v>
      </c>
      <c r="N70" s="42">
        <f t="shared" si="10"/>
        <v>0</v>
      </c>
      <c r="O70" s="42">
        <f t="shared" si="10"/>
        <v>0</v>
      </c>
      <c r="P70" s="43">
        <f t="shared" si="10"/>
        <v>0</v>
      </c>
      <c r="Q70" s="42">
        <f t="shared" si="10"/>
        <v>0</v>
      </c>
      <c r="R70" s="42"/>
      <c r="S70" s="42"/>
      <c r="T70" s="42"/>
      <c r="U70" s="42"/>
      <c r="V70" s="42"/>
    </row>
    <row r="71" spans="4:22" x14ac:dyDescent="0.2">
      <c r="D71" s="11"/>
      <c r="E71" s="36"/>
      <c r="G71" s="45"/>
      <c r="H71" s="45"/>
      <c r="I71" s="45"/>
      <c r="J71" s="43"/>
      <c r="K71" s="43"/>
      <c r="L71" s="5"/>
      <c r="M71" s="42"/>
      <c r="N71" s="42"/>
      <c r="O71" s="42"/>
      <c r="P71" s="43"/>
      <c r="Q71" s="42"/>
      <c r="R71" s="42"/>
      <c r="S71" s="42"/>
      <c r="T71" s="42"/>
      <c r="U71" s="42"/>
      <c r="V71" s="42"/>
    </row>
    <row r="72" spans="4:22" x14ac:dyDescent="0.2">
      <c r="D72" s="11" t="s">
        <v>77</v>
      </c>
      <c r="E72" s="36" t="s">
        <v>23</v>
      </c>
      <c r="G72" s="19">
        <f>$G$103*K72</f>
        <v>0</v>
      </c>
      <c r="H72" s="19"/>
      <c r="I72" s="19"/>
      <c r="J72" s="18">
        <v>0</v>
      </c>
      <c r="K72" s="18">
        <v>0</v>
      </c>
      <c r="L72" s="5"/>
      <c r="M72" s="19">
        <f t="shared" ref="M72:Q73" si="11">G72</f>
        <v>0</v>
      </c>
      <c r="N72" s="19">
        <f t="shared" si="11"/>
        <v>0</v>
      </c>
      <c r="O72" s="19">
        <f t="shared" si="11"/>
        <v>0</v>
      </c>
      <c r="P72" s="18">
        <f t="shared" si="11"/>
        <v>0</v>
      </c>
      <c r="Q72" s="18">
        <f>K72</f>
        <v>0</v>
      </c>
      <c r="R72" s="42"/>
      <c r="S72" s="42"/>
      <c r="T72" s="42"/>
      <c r="U72" s="42"/>
      <c r="V72" s="42"/>
    </row>
    <row r="73" spans="4:22" x14ac:dyDescent="0.2">
      <c r="D73" s="11"/>
      <c r="E73" s="36" t="s">
        <v>25</v>
      </c>
      <c r="G73" s="45">
        <f>$G$103*K73</f>
        <v>0</v>
      </c>
      <c r="H73" s="45"/>
      <c r="I73" s="45"/>
      <c r="J73" s="43">
        <v>0</v>
      </c>
      <c r="K73" s="43">
        <v>0</v>
      </c>
      <c r="L73" s="5"/>
      <c r="M73" s="42">
        <f t="shared" si="11"/>
        <v>0</v>
      </c>
      <c r="N73" s="42">
        <f t="shared" si="11"/>
        <v>0</v>
      </c>
      <c r="O73" s="42">
        <f t="shared" si="11"/>
        <v>0</v>
      </c>
      <c r="P73" s="43">
        <f t="shared" si="11"/>
        <v>0</v>
      </c>
      <c r="Q73" s="42">
        <f t="shared" si="11"/>
        <v>0</v>
      </c>
      <c r="R73" s="42"/>
      <c r="S73" s="42"/>
      <c r="T73" s="42"/>
      <c r="U73" s="42"/>
      <c r="V73" s="42"/>
    </row>
    <row r="74" spans="4:22" x14ac:dyDescent="0.2">
      <c r="D74" s="11"/>
      <c r="E74" s="36"/>
      <c r="J74" s="11"/>
      <c r="K74" s="11"/>
      <c r="L74" s="5"/>
      <c r="P74" s="11"/>
    </row>
    <row r="75" spans="4:22" x14ac:dyDescent="0.2">
      <c r="D75" s="47" t="s">
        <v>78</v>
      </c>
      <c r="E75" s="36" t="s">
        <v>23</v>
      </c>
      <c r="G75" s="19">
        <f>$G$103*K75</f>
        <v>0</v>
      </c>
      <c r="H75" s="19"/>
      <c r="I75" s="19"/>
      <c r="J75" s="18">
        <v>0</v>
      </c>
      <c r="K75" s="18">
        <v>0</v>
      </c>
      <c r="L75" s="5"/>
      <c r="M75" s="19">
        <f t="shared" ref="M75:Q76" si="12">G75</f>
        <v>0</v>
      </c>
      <c r="N75" s="19">
        <f t="shared" si="12"/>
        <v>0</v>
      </c>
      <c r="O75" s="19">
        <f t="shared" si="12"/>
        <v>0</v>
      </c>
      <c r="P75" s="18">
        <f t="shared" si="12"/>
        <v>0</v>
      </c>
      <c r="Q75" s="18">
        <f>K75</f>
        <v>0</v>
      </c>
    </row>
    <row r="76" spans="4:22" x14ac:dyDescent="0.2">
      <c r="D76" s="11"/>
      <c r="E76" s="36" t="s">
        <v>25</v>
      </c>
      <c r="G76" s="45">
        <f>$G$103*K76</f>
        <v>0</v>
      </c>
      <c r="H76" s="45"/>
      <c r="I76" s="45"/>
      <c r="J76" s="43">
        <v>0</v>
      </c>
      <c r="K76" s="43">
        <v>0</v>
      </c>
      <c r="L76" s="5"/>
      <c r="M76" s="42">
        <f t="shared" si="12"/>
        <v>0</v>
      </c>
      <c r="N76" s="42">
        <f t="shared" si="12"/>
        <v>0</v>
      </c>
      <c r="O76" s="42">
        <f t="shared" si="12"/>
        <v>0</v>
      </c>
      <c r="P76" s="43">
        <f t="shared" si="12"/>
        <v>0</v>
      </c>
      <c r="Q76" s="42">
        <f t="shared" si="12"/>
        <v>0</v>
      </c>
    </row>
    <row r="77" spans="4:22" x14ac:dyDescent="0.2">
      <c r="D77" s="11"/>
      <c r="E77" s="36"/>
      <c r="J77" s="11"/>
      <c r="K77" s="11"/>
      <c r="L77" s="5"/>
      <c r="P77" s="11"/>
    </row>
    <row r="78" spans="4:22" x14ac:dyDescent="0.2">
      <c r="D78" s="47" t="s">
        <v>79</v>
      </c>
      <c r="E78" s="36" t="s">
        <v>23</v>
      </c>
      <c r="G78" s="19">
        <f>$G$103*K78</f>
        <v>0</v>
      </c>
      <c r="H78" s="19"/>
      <c r="I78" s="19"/>
      <c r="J78" s="18">
        <v>0</v>
      </c>
      <c r="K78" s="18">
        <v>0</v>
      </c>
      <c r="L78" s="5"/>
      <c r="M78" s="19">
        <f t="shared" ref="M78:Q79" si="13">G78</f>
        <v>0</v>
      </c>
      <c r="N78" s="19">
        <f t="shared" si="13"/>
        <v>0</v>
      </c>
      <c r="O78" s="19">
        <f t="shared" si="13"/>
        <v>0</v>
      </c>
      <c r="P78" s="18">
        <f t="shared" si="13"/>
        <v>0</v>
      </c>
      <c r="Q78" s="18">
        <f>K78</f>
        <v>0</v>
      </c>
    </row>
    <row r="79" spans="4:22" x14ac:dyDescent="0.2">
      <c r="D79" s="11"/>
      <c r="E79" s="36" t="s">
        <v>25</v>
      </c>
      <c r="G79" s="45">
        <f>$G$103*K79</f>
        <v>0</v>
      </c>
      <c r="H79" s="45"/>
      <c r="I79" s="45"/>
      <c r="J79" s="43">
        <v>0</v>
      </c>
      <c r="K79" s="43">
        <v>0</v>
      </c>
      <c r="L79" s="5"/>
      <c r="M79" s="42">
        <f t="shared" si="13"/>
        <v>0</v>
      </c>
      <c r="N79" s="42">
        <f t="shared" si="13"/>
        <v>0</v>
      </c>
      <c r="O79" s="42">
        <f t="shared" si="13"/>
        <v>0</v>
      </c>
      <c r="P79" s="43">
        <f t="shared" si="13"/>
        <v>0</v>
      </c>
      <c r="Q79" s="42">
        <f t="shared" si="13"/>
        <v>0</v>
      </c>
    </row>
    <row r="80" spans="4:22" x14ac:dyDescent="0.2">
      <c r="D80" s="11"/>
      <c r="E80" s="36"/>
      <c r="J80" s="11"/>
      <c r="K80" s="11"/>
      <c r="L80" s="5"/>
      <c r="P80" s="11"/>
    </row>
    <row r="81" spans="2:23" x14ac:dyDescent="0.2">
      <c r="D81" s="47" t="s">
        <v>80</v>
      </c>
      <c r="E81" s="36" t="s">
        <v>23</v>
      </c>
      <c r="G81" s="19">
        <f>$G$103*K81</f>
        <v>0</v>
      </c>
      <c r="H81" s="19"/>
      <c r="I81" s="19"/>
      <c r="J81" s="18">
        <v>0</v>
      </c>
      <c r="K81" s="18">
        <v>0</v>
      </c>
      <c r="L81" s="5"/>
      <c r="M81" s="19">
        <f t="shared" ref="M81:Q82" si="14">G81</f>
        <v>0</v>
      </c>
      <c r="N81" s="19">
        <f t="shared" si="14"/>
        <v>0</v>
      </c>
      <c r="O81" s="19">
        <f t="shared" si="14"/>
        <v>0</v>
      </c>
      <c r="P81" s="18">
        <f t="shared" si="14"/>
        <v>0</v>
      </c>
      <c r="Q81" s="18">
        <f>K81</f>
        <v>0</v>
      </c>
    </row>
    <row r="82" spans="2:23" x14ac:dyDescent="0.2">
      <c r="D82" s="11"/>
      <c r="E82" s="36" t="s">
        <v>25</v>
      </c>
      <c r="G82" s="45"/>
      <c r="H82" s="45"/>
      <c r="I82" s="45"/>
      <c r="J82" s="43">
        <v>0</v>
      </c>
      <c r="K82" s="43"/>
      <c r="L82" s="5"/>
      <c r="M82" s="42">
        <f t="shared" si="14"/>
        <v>0</v>
      </c>
      <c r="N82" s="42">
        <f t="shared" si="14"/>
        <v>0</v>
      </c>
      <c r="O82" s="42">
        <f t="shared" si="14"/>
        <v>0</v>
      </c>
      <c r="P82" s="43">
        <f t="shared" si="14"/>
        <v>0</v>
      </c>
      <c r="Q82" s="42">
        <f t="shared" si="14"/>
        <v>0</v>
      </c>
    </row>
    <row r="83" spans="2:23" x14ac:dyDescent="0.2">
      <c r="D83" s="11"/>
      <c r="E83" s="36"/>
      <c r="J83" s="11"/>
      <c r="K83" s="11"/>
      <c r="L83" s="5"/>
      <c r="P83" s="11"/>
    </row>
    <row r="84" spans="2:23" x14ac:dyDescent="0.2">
      <c r="D84" s="47" t="s">
        <v>81</v>
      </c>
      <c r="E84" s="36" t="s">
        <v>23</v>
      </c>
      <c r="G84" s="19">
        <f>$G$103*K84</f>
        <v>0</v>
      </c>
      <c r="H84" s="19"/>
      <c r="I84" s="19"/>
      <c r="J84" s="18">
        <v>0</v>
      </c>
      <c r="K84" s="18">
        <v>0</v>
      </c>
      <c r="L84" s="5"/>
      <c r="M84" s="19">
        <f t="shared" ref="M84:Q85" si="15">G84</f>
        <v>0</v>
      </c>
      <c r="N84" s="19">
        <f t="shared" si="15"/>
        <v>0</v>
      </c>
      <c r="O84" s="19">
        <f t="shared" si="15"/>
        <v>0</v>
      </c>
      <c r="P84" s="18">
        <f t="shared" si="15"/>
        <v>0</v>
      </c>
      <c r="Q84" s="19">
        <f>K84</f>
        <v>0</v>
      </c>
      <c r="R84" s="19"/>
      <c r="S84" s="19"/>
      <c r="T84" s="19"/>
      <c r="U84" s="19"/>
      <c r="V84" s="19"/>
    </row>
    <row r="85" spans="2:23" x14ac:dyDescent="0.2">
      <c r="E85" s="36" t="s">
        <v>25</v>
      </c>
      <c r="G85" s="45">
        <f>$G$103*K85</f>
        <v>0</v>
      </c>
      <c r="H85" s="45"/>
      <c r="I85" s="45"/>
      <c r="J85" s="43">
        <v>0</v>
      </c>
      <c r="K85" s="43">
        <v>0</v>
      </c>
      <c r="L85" s="5"/>
      <c r="M85" s="42">
        <f t="shared" si="15"/>
        <v>0</v>
      </c>
      <c r="N85" s="42">
        <f t="shared" si="15"/>
        <v>0</v>
      </c>
      <c r="O85" s="42">
        <f t="shared" si="15"/>
        <v>0</v>
      </c>
      <c r="P85" s="43">
        <f t="shared" si="15"/>
        <v>0</v>
      </c>
      <c r="Q85" s="42">
        <f t="shared" si="15"/>
        <v>0</v>
      </c>
      <c r="R85" s="42"/>
      <c r="S85" s="42"/>
      <c r="T85" s="42"/>
      <c r="U85" s="42"/>
      <c r="V85" s="42"/>
    </row>
    <row r="86" spans="2:23" x14ac:dyDescent="0.2">
      <c r="E86" s="36"/>
      <c r="G86" s="45"/>
      <c r="H86" s="45"/>
      <c r="I86" s="45"/>
      <c r="J86" s="43"/>
      <c r="K86" s="43"/>
      <c r="L86" s="5"/>
      <c r="M86" s="42"/>
      <c r="N86" s="42"/>
      <c r="O86" s="42"/>
      <c r="P86" s="43"/>
      <c r="Q86" s="42"/>
      <c r="R86" s="42"/>
      <c r="S86" s="42"/>
      <c r="T86" s="42"/>
      <c r="U86" s="42"/>
      <c r="V86" s="42"/>
    </row>
    <row r="87" spans="2:23" x14ac:dyDescent="0.2">
      <c r="D87" s="11" t="s">
        <v>82</v>
      </c>
      <c r="E87" s="36" t="s">
        <v>23</v>
      </c>
      <c r="G87" s="19">
        <f>$G$103*K87</f>
        <v>0</v>
      </c>
      <c r="H87" s="19">
        <f>$H$103*K87</f>
        <v>0</v>
      </c>
      <c r="I87" s="19">
        <f>$I$103*K87</f>
        <v>0</v>
      </c>
      <c r="J87" s="18">
        <v>0</v>
      </c>
      <c r="K87" s="18">
        <v>0</v>
      </c>
      <c r="L87" s="5"/>
      <c r="M87" s="19">
        <f>G87</f>
        <v>0</v>
      </c>
      <c r="N87" s="19">
        <f>H87</f>
        <v>0</v>
      </c>
      <c r="O87" s="19">
        <f>I87</f>
        <v>0</v>
      </c>
      <c r="P87" s="18">
        <f>J87</f>
        <v>0</v>
      </c>
      <c r="Q87" s="19">
        <f>K87</f>
        <v>0</v>
      </c>
      <c r="R87" s="19"/>
      <c r="S87" s="19"/>
      <c r="T87" s="19"/>
      <c r="U87" s="19"/>
      <c r="V87" s="19"/>
    </row>
    <row r="88" spans="2:23" ht="13.5" thickBot="1" x14ac:dyDescent="0.25">
      <c r="D88" s="11"/>
      <c r="J88" s="11"/>
      <c r="L88" s="5"/>
      <c r="W88" s="48"/>
    </row>
    <row r="89" spans="2:23" ht="13.5" thickBot="1" x14ac:dyDescent="0.25">
      <c r="B89" s="2" t="s">
        <v>83</v>
      </c>
      <c r="E89" s="36" t="s">
        <v>23</v>
      </c>
      <c r="G89" s="40">
        <f>G60+G63+G66+G69+G72+G75+G78+G81+G84+G87</f>
        <v>2257215</v>
      </c>
      <c r="H89" s="40">
        <f t="shared" ref="H89:J89" si="16">H60+H63+H66+H69+H72+H75+H78+H81+H84+H87</f>
        <v>0</v>
      </c>
      <c r="I89" s="40">
        <f t="shared" si="16"/>
        <v>25978</v>
      </c>
      <c r="J89" s="40">
        <f t="shared" si="16"/>
        <v>0</v>
      </c>
      <c r="K89" s="40">
        <f>K60+K63+K66+K69+K72+K75+K78+K81+K84+K87</f>
        <v>2283193</v>
      </c>
      <c r="L89" s="41"/>
      <c r="M89" s="40">
        <f>M60+M63+M66+M69+M72+M75+M78+M81+M84+M87</f>
        <v>2257215</v>
      </c>
      <c r="N89" s="40">
        <f>N60+N63+N66+N69+N72+N75+N78+N81+N84+N87</f>
        <v>0</v>
      </c>
      <c r="O89" s="40">
        <f>O60+O63+O66+O69+O72+O75+O78+O81+O84+O87</f>
        <v>25978</v>
      </c>
      <c r="P89" s="40">
        <f>P60+P63+P66+P69+P72+P75+P78+P81+P84+P87</f>
        <v>0</v>
      </c>
      <c r="Q89" s="40">
        <f>SUM(M89:P89)</f>
        <v>2283193</v>
      </c>
      <c r="R89" s="32"/>
      <c r="S89" s="32"/>
      <c r="T89" s="32"/>
      <c r="U89" s="32"/>
      <c r="V89" s="32"/>
      <c r="W89" s="39"/>
    </row>
    <row r="90" spans="2:23" x14ac:dyDescent="0.2">
      <c r="B90" s="2"/>
      <c r="E90" s="36" t="s">
        <v>25</v>
      </c>
      <c r="G90" s="40">
        <f>G61+G64+G67+G70+G73+G76+G79+G82+G85</f>
        <v>0</v>
      </c>
      <c r="H90" s="40">
        <f>H61+H64+H67+H70+H73+H76+H79+H82+H85</f>
        <v>0</v>
      </c>
      <c r="I90" s="40">
        <f>I61+I64+I67+I70+I73+I76+I79+I82+I85</f>
        <v>0</v>
      </c>
      <c r="J90" s="40">
        <f>J61+J64+J67+J70+J73+J76+J79+J82+J85</f>
        <v>0</v>
      </c>
      <c r="K90" s="49">
        <f>SUM(G90:J90)</f>
        <v>0</v>
      </c>
      <c r="L90" s="50"/>
      <c r="M90" s="40">
        <f>M61+M64+M67+M70+M73+M76+M79+M82+M85</f>
        <v>0</v>
      </c>
      <c r="N90" s="40">
        <f>N61+N64+N67+N70+N73+N76+N79+N82+N85</f>
        <v>0</v>
      </c>
      <c r="O90" s="40">
        <f>O61+O64+O67+O70+O73+O76+O79+O82+O85</f>
        <v>0</v>
      </c>
      <c r="P90" s="40">
        <f>P61+P64+P67+P70+P73+P76+P79+P82+P85</f>
        <v>0</v>
      </c>
      <c r="Q90" s="49">
        <f>SUM(M90:P90)</f>
        <v>0</v>
      </c>
      <c r="R90" s="51"/>
      <c r="S90" s="51"/>
      <c r="T90" s="51"/>
      <c r="U90" s="51"/>
      <c r="V90" s="51"/>
    </row>
    <row r="91" spans="2:23" x14ac:dyDescent="0.2">
      <c r="K91" s="19"/>
      <c r="L91" s="5"/>
      <c r="W91" s="19"/>
    </row>
    <row r="92" spans="2:23" ht="13.5" thickBot="1" x14ac:dyDescent="0.25">
      <c r="L92" s="5"/>
    </row>
    <row r="93" spans="2:23" ht="15" thickBot="1" x14ac:dyDescent="0.25">
      <c r="B93" s="16" t="s">
        <v>84</v>
      </c>
      <c r="G93" s="52">
        <f>G56+G89</f>
        <v>2909399</v>
      </c>
      <c r="H93" s="52">
        <f t="shared" ref="H93:Q93" si="17">H56+H89</f>
        <v>1249</v>
      </c>
      <c r="I93" s="52">
        <f>I56+I89</f>
        <v>88629</v>
      </c>
      <c r="J93" s="52">
        <f t="shared" si="17"/>
        <v>0</v>
      </c>
      <c r="K93" s="52">
        <f>K56+K89</f>
        <v>2999277</v>
      </c>
      <c r="L93" s="53">
        <f t="shared" si="17"/>
        <v>0</v>
      </c>
      <c r="M93" s="52">
        <f t="shared" si="17"/>
        <v>2728135</v>
      </c>
      <c r="N93" s="52">
        <f t="shared" si="17"/>
        <v>0</v>
      </c>
      <c r="O93" s="54">
        <f t="shared" si="17"/>
        <v>25978</v>
      </c>
      <c r="P93" s="52">
        <f t="shared" si="17"/>
        <v>0</v>
      </c>
      <c r="Q93" s="52">
        <f t="shared" si="17"/>
        <v>2754113</v>
      </c>
      <c r="R93" s="32"/>
      <c r="S93" s="32"/>
      <c r="T93" s="32"/>
      <c r="U93" s="32"/>
      <c r="V93" s="32"/>
    </row>
    <row r="94" spans="2:23" ht="13.5" thickTop="1" x14ac:dyDescent="0.2">
      <c r="I94" s="55"/>
      <c r="L94" s="5"/>
      <c r="O94" s="56"/>
    </row>
    <row r="95" spans="2:23" x14ac:dyDescent="0.2">
      <c r="I95" s="55"/>
      <c r="K95" s="19"/>
      <c r="L95" s="5"/>
      <c r="O95" s="56"/>
    </row>
    <row r="96" spans="2:23" x14ac:dyDescent="0.2">
      <c r="I96" s="55"/>
      <c r="K96" s="19"/>
      <c r="L96" s="5"/>
      <c r="O96" s="56"/>
    </row>
    <row r="97" spans="5:17" x14ac:dyDescent="0.2">
      <c r="I97" s="55"/>
      <c r="K97" s="19"/>
      <c r="L97" s="5"/>
      <c r="O97" s="56"/>
    </row>
    <row r="98" spans="5:17" x14ac:dyDescent="0.2">
      <c r="I98" s="55"/>
      <c r="K98" s="19"/>
      <c r="L98" s="5"/>
      <c r="O98" s="56"/>
    </row>
    <row r="99" spans="5:17" x14ac:dyDescent="0.2">
      <c r="I99" s="55"/>
      <c r="L99" s="5"/>
      <c r="O99" s="56"/>
    </row>
    <row r="100" spans="5:17" x14ac:dyDescent="0.2">
      <c r="I100" s="55"/>
      <c r="L100" s="5"/>
      <c r="O100" s="56"/>
    </row>
    <row r="101" spans="5:17" x14ac:dyDescent="0.2">
      <c r="I101" s="55"/>
      <c r="L101" s="5"/>
      <c r="O101" s="56"/>
    </row>
    <row r="102" spans="5:17" ht="13.5" thickBot="1" x14ac:dyDescent="0.25">
      <c r="L102" s="5"/>
    </row>
    <row r="103" spans="5:17" x14ac:dyDescent="0.2">
      <c r="E103" s="63"/>
      <c r="F103" s="64"/>
      <c r="G103" s="65">
        <f>G117</f>
        <v>0.96445238109363596</v>
      </c>
      <c r="H103" s="65">
        <f>H117</f>
        <v>4.9399708506123543E-4</v>
      </c>
      <c r="I103" s="65">
        <f>I117</f>
        <v>3.5053621821302783E-2</v>
      </c>
      <c r="J103" s="64"/>
      <c r="K103" s="66"/>
      <c r="L103" s="5"/>
      <c r="M103" s="67"/>
      <c r="N103" s="67"/>
      <c r="O103" s="67"/>
    </row>
    <row r="104" spans="5:17" x14ac:dyDescent="0.2">
      <c r="E104" s="68"/>
      <c r="F104" s="48"/>
      <c r="G104" s="48"/>
      <c r="H104" s="48"/>
      <c r="I104" s="48"/>
      <c r="J104" s="48"/>
      <c r="K104" s="69"/>
      <c r="L104" s="5"/>
      <c r="M104" s="70"/>
    </row>
    <row r="105" spans="5:17" x14ac:dyDescent="0.2">
      <c r="E105" s="68" t="s">
        <v>143</v>
      </c>
      <c r="F105" s="48"/>
      <c r="G105" s="48"/>
      <c r="H105" s="48"/>
      <c r="I105" s="48"/>
      <c r="J105" s="48"/>
      <c r="K105" s="71">
        <v>2999275</v>
      </c>
      <c r="L105" s="5"/>
      <c r="M105" s="72"/>
    </row>
    <row r="106" spans="5:17" x14ac:dyDescent="0.2">
      <c r="E106" s="68" t="s">
        <v>85</v>
      </c>
      <c r="F106" s="48"/>
      <c r="G106" s="48"/>
      <c r="H106" s="48"/>
      <c r="I106" s="48"/>
      <c r="J106" s="48"/>
      <c r="K106" s="71">
        <v>0</v>
      </c>
      <c r="L106" s="5"/>
    </row>
    <row r="107" spans="5:17" x14ac:dyDescent="0.2">
      <c r="E107" s="68"/>
      <c r="F107" s="48"/>
      <c r="G107" s="48"/>
      <c r="H107" s="48"/>
      <c r="I107" s="48"/>
      <c r="J107" s="48"/>
      <c r="K107" s="71"/>
      <c r="L107" s="5"/>
      <c r="M107" s="72"/>
    </row>
    <row r="108" spans="5:17" x14ac:dyDescent="0.2">
      <c r="E108" s="68" t="s">
        <v>89</v>
      </c>
      <c r="F108" s="48"/>
      <c r="G108" s="48"/>
      <c r="H108" s="48"/>
      <c r="I108" s="48"/>
      <c r="J108" s="48"/>
      <c r="K108" s="73">
        <f>SUM(K105:K107)</f>
        <v>2999275</v>
      </c>
      <c r="L108" s="5"/>
      <c r="M108" s="72"/>
    </row>
    <row r="109" spans="5:17" x14ac:dyDescent="0.2">
      <c r="E109" s="68" t="s">
        <v>86</v>
      </c>
      <c r="F109" s="48"/>
      <c r="G109" s="48"/>
      <c r="H109" s="48"/>
      <c r="I109" s="48"/>
      <c r="J109" s="48"/>
      <c r="K109" s="71"/>
      <c r="L109" s="5"/>
      <c r="M109" s="72"/>
      <c r="O109" s="74"/>
      <c r="P109" s="74"/>
      <c r="Q109" s="59"/>
    </row>
    <row r="110" spans="5:17" x14ac:dyDescent="0.2">
      <c r="E110" s="68" t="s">
        <v>108</v>
      </c>
      <c r="F110" s="48"/>
      <c r="G110" s="48"/>
      <c r="H110" s="48"/>
      <c r="I110" s="48"/>
      <c r="J110" s="48"/>
      <c r="K110" s="71">
        <f>-G51-G30</f>
        <v>-227389</v>
      </c>
      <c r="L110" s="5"/>
      <c r="M110" s="72"/>
      <c r="O110" s="74"/>
      <c r="P110" s="74"/>
      <c r="Q110" s="59"/>
    </row>
    <row r="111" spans="5:17" x14ac:dyDescent="0.2">
      <c r="E111" s="68" t="s">
        <v>109</v>
      </c>
      <c r="F111" s="48"/>
      <c r="G111" s="48"/>
      <c r="H111" s="48"/>
      <c r="I111" s="48"/>
      <c r="J111" s="48"/>
      <c r="K111" s="71">
        <f>-G19</f>
        <v>-243531</v>
      </c>
      <c r="L111" s="5"/>
      <c r="M111" s="72"/>
      <c r="O111" s="74"/>
      <c r="P111" s="74"/>
      <c r="Q111" s="59"/>
    </row>
    <row r="112" spans="5:17" ht="13.5" thickBot="1" x14ac:dyDescent="0.25">
      <c r="E112" s="68" t="s">
        <v>89</v>
      </c>
      <c r="F112" s="48"/>
      <c r="G112" s="48"/>
      <c r="H112" s="48"/>
      <c r="I112" s="48"/>
      <c r="J112" s="48"/>
      <c r="K112" s="75">
        <f>SUM(K108:K111)</f>
        <v>2528355</v>
      </c>
      <c r="L112" s="5"/>
      <c r="M112" s="72"/>
    </row>
    <row r="113" spans="5:17" ht="13.5" thickTop="1" x14ac:dyDescent="0.2">
      <c r="E113" s="68"/>
      <c r="F113" s="48"/>
      <c r="G113" s="48"/>
      <c r="H113" s="48"/>
      <c r="I113" s="48"/>
      <c r="J113" s="76" t="s">
        <v>87</v>
      </c>
      <c r="K113" s="71"/>
      <c r="L113" s="5"/>
      <c r="M113" s="72"/>
      <c r="Q113" s="59"/>
    </row>
    <row r="114" spans="5:17" x14ac:dyDescent="0.2">
      <c r="E114" s="78" t="s">
        <v>104</v>
      </c>
      <c r="F114" s="48"/>
      <c r="G114" s="79">
        <v>2909398</v>
      </c>
      <c r="H114" s="79">
        <v>1249</v>
      </c>
      <c r="I114" s="79">
        <v>88628</v>
      </c>
      <c r="J114" s="79">
        <v>0</v>
      </c>
      <c r="K114" s="71"/>
      <c r="L114" s="5"/>
      <c r="M114" s="72"/>
    </row>
    <row r="115" spans="5:17" x14ac:dyDescent="0.2">
      <c r="E115" s="68" t="s">
        <v>88</v>
      </c>
      <c r="F115" s="48"/>
      <c r="G115" s="80">
        <f>K110+K111</f>
        <v>-470920</v>
      </c>
      <c r="H115" s="81"/>
      <c r="I115" s="81">
        <v>0</v>
      </c>
      <c r="J115" s="1">
        <v>0</v>
      </c>
      <c r="K115" s="69"/>
      <c r="L115" s="5"/>
    </row>
    <row r="116" spans="5:17" ht="13.5" thickBot="1" x14ac:dyDescent="0.25">
      <c r="E116" s="68" t="s">
        <v>89</v>
      </c>
      <c r="F116" s="48"/>
      <c r="G116" s="82">
        <f>G114+G115</f>
        <v>2438478</v>
      </c>
      <c r="H116" s="82">
        <f>SUM(H114:H115)</f>
        <v>1249</v>
      </c>
      <c r="I116" s="82">
        <f>SUM(I114:I115)</f>
        <v>88628</v>
      </c>
      <c r="J116" s="83"/>
      <c r="K116" s="71"/>
      <c r="L116" s="5"/>
    </row>
    <row r="117" spans="5:17" ht="14.25" thickTop="1" thickBot="1" x14ac:dyDescent="0.25">
      <c r="E117" s="68" t="s">
        <v>90</v>
      </c>
      <c r="F117" s="48"/>
      <c r="G117" s="84">
        <f>G116/K112</f>
        <v>0.96445238109363596</v>
      </c>
      <c r="H117" s="84">
        <f>H116/K112</f>
        <v>4.9399708506123543E-4</v>
      </c>
      <c r="I117" s="84">
        <f>I116/K112</f>
        <v>3.5053621821302783E-2</v>
      </c>
      <c r="J117" s="72"/>
      <c r="K117" s="71"/>
      <c r="L117" s="5"/>
    </row>
    <row r="118" spans="5:17" ht="14.25" thickTop="1" thickBot="1" x14ac:dyDescent="0.25">
      <c r="E118" s="85"/>
      <c r="F118" s="86"/>
      <c r="G118" s="87" t="s">
        <v>91</v>
      </c>
      <c r="H118" s="87" t="s">
        <v>92</v>
      </c>
      <c r="I118" s="87" t="s">
        <v>93</v>
      </c>
      <c r="J118" s="86"/>
      <c r="K118" s="88"/>
      <c r="L118" s="5"/>
    </row>
    <row r="119" spans="5:17" x14ac:dyDescent="0.2">
      <c r="J119" s="64"/>
      <c r="K119" s="89"/>
      <c r="L119" s="11"/>
    </row>
    <row r="120" spans="5:17" x14ac:dyDescent="0.2">
      <c r="J120" s="48"/>
      <c r="K120" s="80"/>
      <c r="L120" s="11"/>
    </row>
    <row r="121" spans="5:17" x14ac:dyDescent="0.2">
      <c r="E121" s="90"/>
      <c r="F121" s="91"/>
      <c r="G121" s="72"/>
      <c r="H121" s="72"/>
      <c r="I121" s="92"/>
      <c r="J121" s="93"/>
      <c r="K121" s="94"/>
      <c r="L121" s="11"/>
    </row>
    <row r="122" spans="5:17" x14ac:dyDescent="0.2">
      <c r="E122" s="91"/>
      <c r="F122" s="91"/>
      <c r="G122" s="91"/>
      <c r="H122" s="91"/>
      <c r="I122" s="92"/>
      <c r="J122" s="93"/>
      <c r="K122" s="93"/>
      <c r="M122" s="95"/>
    </row>
    <row r="123" spans="5:17" x14ac:dyDescent="0.2">
      <c r="E123" s="91"/>
      <c r="F123" s="91"/>
      <c r="G123" s="91"/>
      <c r="H123" s="72"/>
      <c r="I123" s="72"/>
      <c r="J123" s="48"/>
      <c r="K123" s="48"/>
    </row>
    <row r="124" spans="5:17" x14ac:dyDescent="0.2">
      <c r="E124" s="91"/>
      <c r="F124" s="91"/>
      <c r="G124" s="96"/>
      <c r="H124" s="96"/>
      <c r="I124" s="96"/>
    </row>
    <row r="125" spans="5:17" x14ac:dyDescent="0.2">
      <c r="E125" s="91"/>
      <c r="F125" s="91"/>
      <c r="G125" s="72"/>
      <c r="H125" s="72"/>
      <c r="I125" s="72"/>
    </row>
    <row r="126" spans="5:17" x14ac:dyDescent="0.2">
      <c r="E126" s="91"/>
      <c r="F126" s="91"/>
      <c r="G126" s="96"/>
      <c r="H126" s="96"/>
      <c r="I126" s="96"/>
    </row>
    <row r="127" spans="5:17" x14ac:dyDescent="0.2">
      <c r="E127" s="91"/>
      <c r="F127" s="91"/>
      <c r="G127" s="97"/>
      <c r="H127" s="97"/>
      <c r="I127" s="97"/>
      <c r="J127" s="48"/>
    </row>
    <row r="128" spans="5:17" x14ac:dyDescent="0.2">
      <c r="G128" s="80"/>
      <c r="H128" s="80"/>
      <c r="I128" s="80"/>
      <c r="J128" s="48"/>
    </row>
    <row r="129" spans="7:10" x14ac:dyDescent="0.2">
      <c r="G129" s="48"/>
      <c r="H129" s="48"/>
      <c r="I129" s="48"/>
      <c r="J129" s="48"/>
    </row>
  </sheetData>
  <mergeCells count="3">
    <mergeCell ref="G1:Q1"/>
    <mergeCell ref="G2:K2"/>
    <mergeCell ref="M2:Q2"/>
  </mergeCells>
  <printOptions horizontalCentered="1"/>
  <pageMargins left="0.25" right="0.25" top="0.25" bottom="0.25" header="0.25" footer="0"/>
  <pageSetup scale="34" orientation="landscape" copies="2" r:id="rId1"/>
  <headerFooter alignWithMargins="0"/>
  <rowBreaks count="1" manualBreakCount="1">
    <brk id="57"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Z194"/>
  <sheetViews>
    <sheetView zoomScaleNormal="100" workbookViewId="0">
      <selection activeCell="K93" sqref="K9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14.7109375" style="1" customWidth="1"/>
    <col min="8" max="8" width="16"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108" hidden="1" customWidth="1"/>
    <col min="25" max="26" width="9.140625" style="108"/>
    <col min="27" max="16384" width="9.140625" style="1"/>
  </cols>
  <sheetData>
    <row r="1" spans="2:24" ht="15" x14ac:dyDescent="0.25">
      <c r="E1" s="2"/>
      <c r="F1" s="2"/>
      <c r="I1"/>
    </row>
    <row r="2" spans="2:24" ht="20.25" thickBot="1" x14ac:dyDescent="0.3">
      <c r="B2" s="3" t="s">
        <v>0</v>
      </c>
      <c r="C2" s="2"/>
      <c r="D2" s="2"/>
      <c r="E2" s="109"/>
      <c r="F2" s="2"/>
      <c r="G2" s="192" t="s">
        <v>118</v>
      </c>
      <c r="H2" s="192"/>
      <c r="I2" s="192"/>
      <c r="J2" s="192"/>
      <c r="K2" s="192"/>
      <c r="L2" s="5"/>
      <c r="M2" s="186" t="s">
        <v>119</v>
      </c>
      <c r="N2" s="186"/>
      <c r="O2" s="186"/>
      <c r="P2" s="186"/>
      <c r="Q2" s="186"/>
      <c r="R2" s="7"/>
      <c r="S2" s="7"/>
      <c r="T2" s="7"/>
      <c r="U2" s="7"/>
      <c r="V2" s="7"/>
    </row>
    <row r="3" spans="2:24" ht="19.5" x14ac:dyDescent="0.25">
      <c r="B3" s="3" t="s">
        <v>3</v>
      </c>
      <c r="C3" s="2"/>
      <c r="D3" s="2"/>
      <c r="L3" s="5"/>
    </row>
    <row r="4" spans="2:24" x14ac:dyDescent="0.2">
      <c r="B4" s="2" t="s">
        <v>120</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18">
        <f>K9*$G$168</f>
        <v>71782.290040287073</v>
      </c>
      <c r="H9" s="18">
        <f>K9*$H$168</f>
        <v>5166.4887915008003</v>
      </c>
      <c r="I9" s="18">
        <f>K9*$I$168</f>
        <v>213254.19719709878</v>
      </c>
      <c r="J9" s="19">
        <v>0</v>
      </c>
      <c r="K9" s="18">
        <v>290203</v>
      </c>
      <c r="L9" s="5"/>
      <c r="M9" s="18">
        <v>0</v>
      </c>
      <c r="N9" s="18">
        <v>0</v>
      </c>
      <c r="O9" s="18">
        <v>0</v>
      </c>
      <c r="P9" s="19">
        <v>0</v>
      </c>
      <c r="Q9" s="19">
        <f>SUM(M9:P9)</f>
        <v>0</v>
      </c>
      <c r="R9" s="19"/>
      <c r="S9" s="19"/>
      <c r="T9" s="19"/>
      <c r="U9" s="19"/>
      <c r="V9" s="19"/>
    </row>
    <row r="10" spans="2:24" x14ac:dyDescent="0.2">
      <c r="B10" s="2" t="s">
        <v>24</v>
      </c>
      <c r="E10" s="17" t="s">
        <v>25</v>
      </c>
      <c r="G10" s="20">
        <f>K10*$G$168</f>
        <v>1479.1401750220111</v>
      </c>
      <c r="H10" s="20">
        <f>K10*$H$168</f>
        <v>106.46025824783216</v>
      </c>
      <c r="I10" s="20">
        <f>K10*$I$168</f>
        <v>4394.2990727832957</v>
      </c>
      <c r="J10" s="21">
        <v>0</v>
      </c>
      <c r="K10" s="20">
        <v>5979.9</v>
      </c>
      <c r="L10" s="5"/>
      <c r="M10" s="20">
        <f>G10</f>
        <v>1479.1401750220111</v>
      </c>
      <c r="N10" s="20">
        <f>H10</f>
        <v>106.46025824783216</v>
      </c>
      <c r="O10" s="20">
        <f>I10</f>
        <v>4394.2990727832957</v>
      </c>
      <c r="P10" s="21">
        <v>0</v>
      </c>
      <c r="Q10" s="21">
        <f>SUM(M10:P10)</f>
        <v>5979.8995060531388</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18">
        <f>K12*$G$168</f>
        <v>434709.00512259547</v>
      </c>
      <c r="H12" s="18">
        <f>K12*$H$168</f>
        <v>31287.929115522147</v>
      </c>
      <c r="I12" s="18">
        <f>K12*$I$168</f>
        <v>1291453.9205943372</v>
      </c>
      <c r="J12" s="19">
        <v>0</v>
      </c>
      <c r="K12" s="18">
        <v>1757451</v>
      </c>
      <c r="L12" s="5"/>
      <c r="M12" s="18">
        <f t="shared" ref="M12:P13" si="0">G12</f>
        <v>434709.00512259547</v>
      </c>
      <c r="N12" s="18">
        <f t="shared" si="0"/>
        <v>31287.929115522147</v>
      </c>
      <c r="O12" s="18">
        <f t="shared" si="0"/>
        <v>1291453.9205943372</v>
      </c>
      <c r="P12" s="18">
        <f t="shared" si="0"/>
        <v>0</v>
      </c>
      <c r="Q12" s="19">
        <f>SUM(M12:P12)</f>
        <v>1757450.8548324548</v>
      </c>
      <c r="R12" s="19"/>
      <c r="S12" s="19"/>
      <c r="T12" s="19"/>
      <c r="U12" s="19"/>
      <c r="V12" s="19"/>
    </row>
    <row r="13" spans="2:24" x14ac:dyDescent="0.2">
      <c r="E13" s="17" t="s">
        <v>25</v>
      </c>
      <c r="G13" s="20">
        <f>K13*$G$168</f>
        <v>8200.0400816413658</v>
      </c>
      <c r="H13" s="20">
        <f>K13*$H$168</f>
        <v>590.19314022832464</v>
      </c>
      <c r="I13" s="20">
        <f>K13*$I$168</f>
        <v>24361.064039793459</v>
      </c>
      <c r="J13" s="21">
        <v>0</v>
      </c>
      <c r="K13" s="20">
        <v>33151.300000000003</v>
      </c>
      <c r="L13" s="5"/>
      <c r="M13" s="20">
        <f t="shared" si="0"/>
        <v>8200.0400816413658</v>
      </c>
      <c r="N13" s="20">
        <f t="shared" si="0"/>
        <v>590.19314022832464</v>
      </c>
      <c r="O13" s="20">
        <f t="shared" si="0"/>
        <v>24361.064039793459</v>
      </c>
      <c r="P13" s="21">
        <v>0</v>
      </c>
      <c r="Q13" s="21">
        <f>SUM(M13:P13)</f>
        <v>33151.297261663145</v>
      </c>
      <c r="R13" s="22"/>
      <c r="S13" s="22"/>
      <c r="T13" s="22"/>
      <c r="U13" s="22"/>
      <c r="V13" s="22"/>
    </row>
    <row r="14" spans="2:24" x14ac:dyDescent="0.2">
      <c r="E14" s="11"/>
      <c r="G14" s="11"/>
      <c r="H14" s="11"/>
      <c r="I14" s="11"/>
      <c r="K14" s="11"/>
      <c r="L14" s="5"/>
      <c r="M14" s="11"/>
      <c r="N14" s="11"/>
      <c r="O14" s="11"/>
      <c r="X14" s="24" t="s">
        <v>27</v>
      </c>
    </row>
    <row r="15" spans="2:24" x14ac:dyDescent="0.2">
      <c r="D15" s="1" t="s">
        <v>28</v>
      </c>
      <c r="E15" s="17" t="s">
        <v>29</v>
      </c>
      <c r="G15" s="18">
        <f>K15*$G$168</f>
        <v>27301.723433206156</v>
      </c>
      <c r="H15" s="18">
        <f>K15*$H$168</f>
        <v>1965.0257469795017</v>
      </c>
      <c r="I15" s="18">
        <f>K15*$I$168</f>
        <v>81109.24170262531</v>
      </c>
      <c r="J15" s="19"/>
      <c r="K15" s="18">
        <v>110376</v>
      </c>
      <c r="L15" s="5"/>
      <c r="M15" s="18">
        <v>0</v>
      </c>
      <c r="N15" s="18">
        <v>0</v>
      </c>
      <c r="O15" s="18">
        <v>0</v>
      </c>
      <c r="P15" s="19">
        <v>0</v>
      </c>
      <c r="Q15" s="19">
        <f t="shared" ref="Q15:Q20" si="1">SUM(M15:P15)</f>
        <v>0</v>
      </c>
      <c r="R15" s="19"/>
      <c r="S15" s="19"/>
      <c r="T15" s="19"/>
      <c r="U15" s="19"/>
      <c r="V15" s="19"/>
      <c r="X15" s="23"/>
    </row>
    <row r="16" spans="2:24" x14ac:dyDescent="0.2">
      <c r="D16" s="1" t="s">
        <v>30</v>
      </c>
      <c r="E16" s="17" t="s">
        <v>31</v>
      </c>
      <c r="G16" s="18">
        <f t="shared" ref="G16:G20" si="2">K16*$G$168</f>
        <v>49127.815826685517</v>
      </c>
      <c r="H16" s="18">
        <f t="shared" ref="H16:H20" si="3">K16*$H$168</f>
        <v>3535.9461181446486</v>
      </c>
      <c r="I16" s="18">
        <f t="shared" ref="I16:I20" si="4">K16*$I$168</f>
        <v>145951.22164933433</v>
      </c>
      <c r="J16" s="19"/>
      <c r="K16" s="18">
        <v>198615</v>
      </c>
      <c r="L16" s="5"/>
      <c r="M16" s="18">
        <f>G16</f>
        <v>49127.815826685517</v>
      </c>
      <c r="N16" s="18">
        <f>H16</f>
        <v>3535.9461181446486</v>
      </c>
      <c r="O16" s="18">
        <f>I16</f>
        <v>145951.22164933433</v>
      </c>
      <c r="P16" s="18">
        <f>J16</f>
        <v>0</v>
      </c>
      <c r="Q16" s="19">
        <f t="shared" si="1"/>
        <v>198614.98359416449</v>
      </c>
      <c r="R16" s="19"/>
      <c r="S16" s="19"/>
      <c r="T16" s="19"/>
      <c r="U16" s="19"/>
      <c r="V16" s="19"/>
      <c r="X16" s="23" t="s">
        <v>32</v>
      </c>
    </row>
    <row r="17" spans="2:24" x14ac:dyDescent="0.2">
      <c r="E17" s="17" t="s">
        <v>33</v>
      </c>
      <c r="G17" s="18">
        <f t="shared" si="2"/>
        <v>-21175.309303380378</v>
      </c>
      <c r="H17" s="18">
        <f t="shared" si="3"/>
        <v>-1524.0806348066717</v>
      </c>
      <c r="I17" s="18">
        <f t="shared" si="4"/>
        <v>-62908.60299049021</v>
      </c>
      <c r="J17" s="19"/>
      <c r="K17" s="18">
        <v>-85608</v>
      </c>
      <c r="L17" s="5"/>
      <c r="M17" s="18">
        <v>0</v>
      </c>
      <c r="N17" s="18">
        <v>0</v>
      </c>
      <c r="O17" s="18">
        <v>0</v>
      </c>
      <c r="P17" s="19">
        <v>0</v>
      </c>
      <c r="Q17" s="19">
        <f t="shared" si="1"/>
        <v>0</v>
      </c>
      <c r="R17" s="19"/>
      <c r="S17" s="19"/>
      <c r="T17" s="19"/>
      <c r="U17" s="19"/>
      <c r="V17" s="19"/>
      <c r="X17" s="25">
        <f>395196+21379</f>
        <v>416575</v>
      </c>
    </row>
    <row r="18" spans="2:24" x14ac:dyDescent="0.2">
      <c r="E18" s="17" t="s">
        <v>34</v>
      </c>
      <c r="G18" s="18">
        <f t="shared" si="2"/>
        <v>-184620.80571489554</v>
      </c>
      <c r="H18" s="18">
        <f t="shared" si="3"/>
        <v>-13287.975667375909</v>
      </c>
      <c r="I18" s="18">
        <f t="shared" si="4"/>
        <v>-548480.15696510836</v>
      </c>
      <c r="J18" s="19">
        <v>0</v>
      </c>
      <c r="K18" s="18">
        <v>-746389</v>
      </c>
      <c r="L18" s="5"/>
      <c r="M18" s="18">
        <v>0</v>
      </c>
      <c r="N18" s="18">
        <v>0</v>
      </c>
      <c r="O18" s="18">
        <v>0</v>
      </c>
      <c r="P18" s="19">
        <v>0</v>
      </c>
      <c r="Q18" s="19">
        <f t="shared" si="1"/>
        <v>0</v>
      </c>
      <c r="R18" s="19"/>
      <c r="S18" s="19"/>
      <c r="T18" s="19"/>
      <c r="U18" s="19"/>
      <c r="V18" s="19"/>
      <c r="X18" s="23"/>
    </row>
    <row r="19" spans="2:24" x14ac:dyDescent="0.2">
      <c r="E19" s="17" t="s">
        <v>35</v>
      </c>
      <c r="G19" s="18">
        <v>554768</v>
      </c>
      <c r="H19" s="18">
        <v>249499</v>
      </c>
      <c r="I19" s="18">
        <v>0</v>
      </c>
      <c r="J19" s="19">
        <v>0</v>
      </c>
      <c r="K19" s="18">
        <f>G19+H19</f>
        <v>804267</v>
      </c>
      <c r="L19" s="5"/>
      <c r="M19" s="18">
        <f>G19</f>
        <v>554768</v>
      </c>
      <c r="N19" s="18">
        <f>H19</f>
        <v>249499</v>
      </c>
      <c r="O19" s="18">
        <f>I19</f>
        <v>0</v>
      </c>
      <c r="P19" s="18">
        <f>J19</f>
        <v>0</v>
      </c>
      <c r="Q19" s="19">
        <f t="shared" si="1"/>
        <v>804267</v>
      </c>
      <c r="R19" s="19"/>
      <c r="S19" s="19"/>
      <c r="T19" s="19"/>
      <c r="U19" s="19"/>
      <c r="V19" s="19"/>
      <c r="X19" s="23" t="s">
        <v>36</v>
      </c>
    </row>
    <row r="20" spans="2:24" x14ac:dyDescent="0.2">
      <c r="E20" s="17" t="s">
        <v>37</v>
      </c>
      <c r="G20" s="26">
        <f t="shared" si="2"/>
        <v>29224.885168485365</v>
      </c>
      <c r="H20" s="26">
        <f t="shared" si="3"/>
        <v>2103.4442001103057</v>
      </c>
      <c r="I20" s="26">
        <f t="shared" si="4"/>
        <v>86822.660871991044</v>
      </c>
      <c r="J20" s="26">
        <v>0</v>
      </c>
      <c r="K20" s="27">
        <v>118151</v>
      </c>
      <c r="L20" s="5"/>
      <c r="M20" s="18">
        <v>0</v>
      </c>
      <c r="N20" s="18">
        <v>0</v>
      </c>
      <c r="O20" s="18">
        <v>0</v>
      </c>
      <c r="P20" s="19">
        <v>0</v>
      </c>
      <c r="Q20" s="19">
        <f t="shared" si="1"/>
        <v>0</v>
      </c>
      <c r="R20" s="19"/>
      <c r="S20" s="19"/>
      <c r="T20" s="19"/>
      <c r="U20" s="19"/>
      <c r="V20" s="19"/>
      <c r="X20" s="25">
        <f>31030+1679</f>
        <v>32709</v>
      </c>
    </row>
    <row r="21" spans="2:24" x14ac:dyDescent="0.2">
      <c r="D21" s="2" t="s">
        <v>38</v>
      </c>
      <c r="E21" s="17"/>
      <c r="G21" s="120">
        <f>G9+G12+SUM(G15:G20)</f>
        <v>961117.60457298369</v>
      </c>
      <c r="H21" s="120">
        <f>SUM(H15:H20)+H12+H9</f>
        <v>278745.77767007484</v>
      </c>
      <c r="I21" s="120">
        <f>SUM(I15:I20)+I12+I9</f>
        <v>1207202.4820597882</v>
      </c>
      <c r="J21" s="29">
        <f>J9+J12+SUM(J15:J20)</f>
        <v>0</v>
      </c>
      <c r="K21" s="28">
        <f>SUM(G21:J21)</f>
        <v>2447065.8643028466</v>
      </c>
      <c r="L21" s="5"/>
      <c r="M21" s="30">
        <f>M9+M12+SUM(M15:M20)</f>
        <v>1038604.820949281</v>
      </c>
      <c r="N21" s="30">
        <f>N9+N12+SUM(N15:N20)</f>
        <v>284322.8752336668</v>
      </c>
      <c r="O21" s="30">
        <f>O9+O12+SUM(O15:O20)</f>
        <v>1437405.1422436715</v>
      </c>
      <c r="P21" s="31">
        <f>P9+P12+SUM(P15:P20)</f>
        <v>0</v>
      </c>
      <c r="Q21" s="31">
        <f>Q9+Q12+SUM(Q15:Q20)</f>
        <v>2760332.8384266193</v>
      </c>
      <c r="R21" s="32"/>
      <c r="S21" s="32"/>
      <c r="T21" s="32"/>
      <c r="U21" s="32"/>
      <c r="V21" s="32"/>
      <c r="X21" s="23"/>
    </row>
    <row r="22" spans="2:24" x14ac:dyDescent="0.2">
      <c r="E22" s="17"/>
      <c r="G22" s="119"/>
      <c r="H22" s="119"/>
      <c r="I22" s="119"/>
      <c r="J22" s="19"/>
      <c r="K22" s="18"/>
      <c r="L22" s="5"/>
      <c r="M22" s="33"/>
      <c r="N22" s="18"/>
      <c r="O22" s="18"/>
      <c r="P22" s="19"/>
      <c r="Q22" s="19"/>
      <c r="R22" s="19"/>
      <c r="S22" s="19"/>
      <c r="T22" s="19"/>
      <c r="U22" s="19"/>
      <c r="V22" s="19"/>
      <c r="X22" s="23" t="s">
        <v>39</v>
      </c>
    </row>
    <row r="23" spans="2:24" x14ac:dyDescent="0.2">
      <c r="B23" s="2" t="s">
        <v>40</v>
      </c>
      <c r="E23" s="17" t="s">
        <v>41</v>
      </c>
      <c r="G23" s="26">
        <f>K23*$G$168</f>
        <v>143843.34577519278</v>
      </c>
      <c r="H23" s="26">
        <f>K23*$H$168</f>
        <v>10353.041582574388</v>
      </c>
      <c r="I23" s="26">
        <f>K23*$I$168</f>
        <v>427336.56460691459</v>
      </c>
      <c r="J23" s="26">
        <v>0</v>
      </c>
      <c r="K23" s="27">
        <v>581533</v>
      </c>
      <c r="L23" s="5"/>
      <c r="M23" s="27">
        <f>$Q$23*G$182</f>
        <v>11294.417564570078</v>
      </c>
      <c r="N23" s="27">
        <f>$Q$23*H$182</f>
        <v>812.90916911582701</v>
      </c>
      <c r="O23" s="27">
        <f>$Q$23*I$182</f>
        <v>33553.985937052319</v>
      </c>
      <c r="P23" s="27">
        <v>0</v>
      </c>
      <c r="Q23" s="27">
        <f>K23*X23</f>
        <v>45661.31644241733</v>
      </c>
      <c r="R23" s="34"/>
      <c r="S23" s="34"/>
      <c r="T23" s="34"/>
      <c r="U23" s="34"/>
      <c r="V23" s="34"/>
      <c r="X23" s="35">
        <f>X20/X17</f>
        <v>7.8518874152313511E-2</v>
      </c>
    </row>
    <row r="24" spans="2:24" x14ac:dyDescent="0.2">
      <c r="B24" s="2"/>
      <c r="D24" s="2" t="s">
        <v>42</v>
      </c>
      <c r="E24" s="17"/>
      <c r="G24" s="120">
        <f>SUM(G23)</f>
        <v>143843.34577519278</v>
      </c>
      <c r="H24" s="120">
        <f>SUM(H23)</f>
        <v>10353.041582574388</v>
      </c>
      <c r="I24" s="120">
        <f>SUM(I23)</f>
        <v>427336.56460691459</v>
      </c>
      <c r="J24" s="29">
        <f>SUM(J23)</f>
        <v>0</v>
      </c>
      <c r="K24" s="28">
        <f>SUM(G24:J24)</f>
        <v>581532.95196468174</v>
      </c>
      <c r="L24" s="5"/>
      <c r="M24" s="28">
        <f>SUM(M23)</f>
        <v>11294.417564570078</v>
      </c>
      <c r="N24" s="28">
        <f>SUM(N23)</f>
        <v>812.90916911582701</v>
      </c>
      <c r="O24" s="28">
        <f>SUM(O23)</f>
        <v>33553.985937052319</v>
      </c>
      <c r="P24" s="29">
        <f>SUM(P23)</f>
        <v>0</v>
      </c>
      <c r="Q24" s="29">
        <f>SUM(M24:P24)</f>
        <v>45661.312670738225</v>
      </c>
      <c r="R24" s="29"/>
      <c r="S24" s="29"/>
      <c r="T24" s="29"/>
      <c r="U24" s="29"/>
      <c r="V24" s="29"/>
    </row>
    <row r="25" spans="2:24" x14ac:dyDescent="0.2">
      <c r="B25" s="2"/>
      <c r="E25" s="11"/>
      <c r="G25" s="119"/>
      <c r="H25" s="119"/>
      <c r="I25" s="119"/>
      <c r="K25" s="11"/>
      <c r="L25" s="5"/>
      <c r="M25" s="11"/>
      <c r="N25" s="11"/>
      <c r="O25" s="11"/>
    </row>
    <row r="26" spans="2:24" x14ac:dyDescent="0.2">
      <c r="B26" s="2" t="s">
        <v>43</v>
      </c>
      <c r="E26" s="17" t="s">
        <v>44</v>
      </c>
      <c r="F26" s="11"/>
      <c r="G26" s="18">
        <f t="shared" ref="G26:G30" si="5">K26*$G$168</f>
        <v>2725.3242442837704</v>
      </c>
      <c r="H26" s="18">
        <f t="shared" ref="H26:H30" si="6">K26*$H$168</f>
        <v>196.15363557494518</v>
      </c>
      <c r="I26" s="18">
        <f t="shared" ref="I26:I30" si="7">K26*$I$168</f>
        <v>8096.5212100413646</v>
      </c>
      <c r="J26" s="19">
        <v>0</v>
      </c>
      <c r="K26" s="18">
        <v>11018</v>
      </c>
      <c r="L26" s="5"/>
      <c r="M26" s="34">
        <v>0</v>
      </c>
      <c r="N26" s="34">
        <v>0</v>
      </c>
      <c r="O26" s="34">
        <v>0</v>
      </c>
      <c r="P26" s="19">
        <v>0</v>
      </c>
      <c r="Q26" s="19">
        <f t="shared" ref="Q26:Q31" si="8">SUM(M26:P26)</f>
        <v>0</v>
      </c>
      <c r="R26" s="19"/>
      <c r="S26" s="19"/>
      <c r="T26" s="19"/>
      <c r="U26" s="19"/>
      <c r="V26" s="19"/>
    </row>
    <row r="27" spans="2:24" x14ac:dyDescent="0.2">
      <c r="B27" s="2"/>
      <c r="E27" s="17" t="s">
        <v>45</v>
      </c>
      <c r="G27" s="18">
        <f t="shared" si="5"/>
        <v>5746.9761745951282</v>
      </c>
      <c r="H27" s="18">
        <f t="shared" si="6"/>
        <v>413.63528489274609</v>
      </c>
      <c r="I27" s="18">
        <f t="shared" si="7"/>
        <v>17073.386621356061</v>
      </c>
      <c r="J27" s="19">
        <v>0</v>
      </c>
      <c r="K27" s="18">
        <v>23234</v>
      </c>
      <c r="L27" s="5"/>
      <c r="M27" s="18">
        <f>G27</f>
        <v>5746.9761745951282</v>
      </c>
      <c r="N27" s="18">
        <f>H27</f>
        <v>413.63528489274609</v>
      </c>
      <c r="O27" s="18">
        <f>I27</f>
        <v>17073.386621356061</v>
      </c>
      <c r="P27" s="18">
        <f>J27</f>
        <v>0</v>
      </c>
      <c r="Q27" s="19">
        <f>SUM(M27:P27)</f>
        <v>23233.998080843936</v>
      </c>
      <c r="R27" s="19"/>
      <c r="S27" s="19"/>
      <c r="T27" s="19"/>
      <c r="U27" s="19"/>
      <c r="V27" s="19"/>
    </row>
    <row r="28" spans="2:24" x14ac:dyDescent="0.2">
      <c r="B28" s="2"/>
      <c r="E28" s="11" t="s">
        <v>46</v>
      </c>
      <c r="G28" s="18">
        <f t="shared" si="5"/>
        <v>0</v>
      </c>
      <c r="H28" s="18">
        <f t="shared" si="6"/>
        <v>0</v>
      </c>
      <c r="I28" s="18">
        <f t="shared" si="7"/>
        <v>0</v>
      </c>
      <c r="J28" s="19">
        <v>0</v>
      </c>
      <c r="K28" s="18">
        <v>0</v>
      </c>
      <c r="L28" s="5"/>
      <c r="M28" s="18">
        <v>0</v>
      </c>
      <c r="N28" s="18">
        <v>0</v>
      </c>
      <c r="O28" s="18">
        <v>0</v>
      </c>
      <c r="P28" s="19">
        <v>0</v>
      </c>
      <c r="Q28" s="19">
        <f t="shared" si="8"/>
        <v>0</v>
      </c>
      <c r="R28" s="19"/>
      <c r="S28" s="19"/>
      <c r="T28" s="19"/>
      <c r="U28" s="19"/>
      <c r="V28" s="19"/>
    </row>
    <row r="29" spans="2:24" x14ac:dyDescent="0.2">
      <c r="B29" s="2"/>
      <c r="E29" s="17" t="s">
        <v>47</v>
      </c>
      <c r="G29" s="18">
        <f t="shared" si="5"/>
        <v>101752.44675969158</v>
      </c>
      <c r="H29" s="18">
        <f t="shared" si="6"/>
        <v>7323.5734802648831</v>
      </c>
      <c r="I29" s="18">
        <f t="shared" si="7"/>
        <v>302290.94578063954</v>
      </c>
      <c r="J29" s="19">
        <v>0</v>
      </c>
      <c r="K29" s="18">
        <v>411367</v>
      </c>
      <c r="L29" s="5"/>
      <c r="M29" s="18">
        <f t="shared" ref="M29:P30" si="9">G29</f>
        <v>101752.44675969158</v>
      </c>
      <c r="N29" s="18">
        <f t="shared" si="9"/>
        <v>7323.5734802648831</v>
      </c>
      <c r="O29" s="18">
        <f t="shared" si="9"/>
        <v>302290.94578063954</v>
      </c>
      <c r="P29" s="18">
        <f t="shared" si="9"/>
        <v>0</v>
      </c>
      <c r="Q29" s="19">
        <f t="shared" si="8"/>
        <v>411366.96602059598</v>
      </c>
      <c r="R29" s="19"/>
      <c r="S29" s="19"/>
      <c r="T29" s="19"/>
      <c r="U29" s="19"/>
      <c r="V29" s="19"/>
    </row>
    <row r="30" spans="2:24" x14ac:dyDescent="0.2">
      <c r="B30" s="2"/>
      <c r="E30" s="36" t="s">
        <v>48</v>
      </c>
      <c r="G30" s="26">
        <f t="shared" si="5"/>
        <v>-336.64606067073981</v>
      </c>
      <c r="H30" s="26">
        <f t="shared" si="6"/>
        <v>-24.229905429070648</v>
      </c>
      <c r="I30" s="26">
        <f t="shared" si="7"/>
        <v>-1000.1239214799689</v>
      </c>
      <c r="J30" s="26">
        <v>0</v>
      </c>
      <c r="K30" s="27">
        <v>-1361</v>
      </c>
      <c r="L30" s="5"/>
      <c r="M30" s="27">
        <f t="shared" si="9"/>
        <v>-336.64606067073981</v>
      </c>
      <c r="N30" s="27">
        <f t="shared" si="9"/>
        <v>-24.229905429070648</v>
      </c>
      <c r="O30" s="27">
        <f t="shared" si="9"/>
        <v>-1000.1239214799689</v>
      </c>
      <c r="P30" s="27">
        <f>J30</f>
        <v>0</v>
      </c>
      <c r="Q30" s="26">
        <f t="shared" si="8"/>
        <v>-1360.9998875797794</v>
      </c>
      <c r="R30" s="37"/>
      <c r="S30" s="37"/>
      <c r="T30" s="37"/>
      <c r="U30" s="37"/>
      <c r="V30" s="37"/>
    </row>
    <row r="31" spans="2:24" x14ac:dyDescent="0.2">
      <c r="B31" s="2"/>
      <c r="D31" s="2" t="s">
        <v>49</v>
      </c>
      <c r="G31" s="29">
        <f>SUM(G26:G30)</f>
        <v>109888.10111789974</v>
      </c>
      <c r="H31" s="29">
        <f>SUM(H26:H30)</f>
        <v>7909.1324953035037</v>
      </c>
      <c r="I31" s="29">
        <f>SUM(I26:I30)</f>
        <v>326460.729690557</v>
      </c>
      <c r="J31" s="29">
        <f>SUM(J26:J30)</f>
        <v>0</v>
      </c>
      <c r="K31" s="28">
        <f t="shared" ref="K31" si="10">SUM(G31:J31)</f>
        <v>444257.96330376028</v>
      </c>
      <c r="L31" s="5"/>
      <c r="M31" s="28">
        <f>SUM(M26:M30)</f>
        <v>107162.77687361596</v>
      </c>
      <c r="N31" s="28">
        <f>SUM(N26:N30)</f>
        <v>7712.9788597285587</v>
      </c>
      <c r="O31" s="28">
        <f>SUM(O26:O30)</f>
        <v>318364.20848051563</v>
      </c>
      <c r="P31" s="29">
        <f>SUM(P26:P30)</f>
        <v>0</v>
      </c>
      <c r="Q31" s="29">
        <f t="shared" si="8"/>
        <v>433239.96421386016</v>
      </c>
      <c r="R31" s="29"/>
      <c r="S31" s="29"/>
      <c r="T31" s="29"/>
      <c r="U31" s="29"/>
      <c r="V31" s="29"/>
    </row>
    <row r="32" spans="2:24" x14ac:dyDescent="0.2">
      <c r="B32" s="2"/>
      <c r="K32" s="11"/>
      <c r="L32" s="5"/>
    </row>
    <row r="33" spans="2:22" x14ac:dyDescent="0.2">
      <c r="B33" s="2" t="s">
        <v>50</v>
      </c>
      <c r="D33" s="2" t="s">
        <v>51</v>
      </c>
      <c r="E33" s="1" t="s">
        <v>52</v>
      </c>
      <c r="G33" s="18">
        <v>64454</v>
      </c>
      <c r="H33" s="18">
        <v>0</v>
      </c>
      <c r="I33" s="18">
        <v>0</v>
      </c>
      <c r="J33" s="18">
        <v>0</v>
      </c>
      <c r="K33" s="18">
        <f>SUM(G33:J33)</f>
        <v>64454</v>
      </c>
      <c r="L33" s="5"/>
      <c r="M33" s="19">
        <f t="shared" ref="M33:P34" si="11">G33</f>
        <v>64454</v>
      </c>
      <c r="N33" s="19">
        <f t="shared" si="11"/>
        <v>0</v>
      </c>
      <c r="O33" s="19">
        <f t="shared" si="11"/>
        <v>0</v>
      </c>
      <c r="P33" s="19">
        <f t="shared" si="11"/>
        <v>0</v>
      </c>
      <c r="Q33" s="19">
        <f>SUM(M33:P33)</f>
        <v>64454</v>
      </c>
      <c r="R33" s="19"/>
      <c r="S33" s="19"/>
      <c r="T33" s="19"/>
      <c r="U33" s="19"/>
      <c r="V33" s="19"/>
    </row>
    <row r="34" spans="2:22" x14ac:dyDescent="0.2">
      <c r="B34" s="2" t="s">
        <v>53</v>
      </c>
      <c r="D34" s="2" t="s">
        <v>54</v>
      </c>
      <c r="E34" s="1" t="s">
        <v>55</v>
      </c>
      <c r="G34" s="18"/>
      <c r="H34" s="18">
        <v>0</v>
      </c>
      <c r="I34" s="18">
        <v>0</v>
      </c>
      <c r="J34" s="18">
        <v>0</v>
      </c>
      <c r="K34" s="18">
        <f>SUM(G34:J34)</f>
        <v>0</v>
      </c>
      <c r="L34" s="5"/>
      <c r="M34" s="19">
        <f t="shared" si="11"/>
        <v>0</v>
      </c>
      <c r="N34" s="19">
        <f t="shared" si="11"/>
        <v>0</v>
      </c>
      <c r="O34" s="19">
        <f t="shared" si="11"/>
        <v>0</v>
      </c>
      <c r="P34" s="19">
        <f t="shared" si="11"/>
        <v>0</v>
      </c>
      <c r="Q34" s="19">
        <f>SUM(M34:P34)</f>
        <v>0</v>
      </c>
      <c r="R34" s="19"/>
      <c r="S34" s="19"/>
      <c r="T34" s="19"/>
      <c r="U34" s="19"/>
      <c r="V34" s="19"/>
    </row>
    <row r="35" spans="2:22" x14ac:dyDescent="0.2">
      <c r="D35" s="2"/>
      <c r="G35" s="11"/>
      <c r="H35" s="11"/>
      <c r="I35" s="11"/>
      <c r="J35" s="11"/>
      <c r="K35" s="11"/>
      <c r="L35" s="5"/>
      <c r="Q35" s="19"/>
      <c r="R35" s="19"/>
      <c r="S35" s="19"/>
      <c r="T35" s="19"/>
      <c r="U35" s="19"/>
      <c r="V35" s="19"/>
    </row>
    <row r="36" spans="2:22" x14ac:dyDescent="0.2">
      <c r="D36" s="2" t="s">
        <v>56</v>
      </c>
      <c r="E36" s="1" t="s">
        <v>57</v>
      </c>
      <c r="G36" s="18">
        <v>63021</v>
      </c>
      <c r="H36" s="18"/>
      <c r="I36" s="18">
        <v>0</v>
      </c>
      <c r="J36" s="18">
        <v>0</v>
      </c>
      <c r="K36" s="18">
        <f t="shared" ref="K36:K41" si="12">SUM(G36:J36)</f>
        <v>63021</v>
      </c>
      <c r="L36" s="5"/>
      <c r="M36" s="19">
        <f t="shared" ref="M36:P41" si="13">G36</f>
        <v>63021</v>
      </c>
      <c r="N36" s="19">
        <f t="shared" si="13"/>
        <v>0</v>
      </c>
      <c r="O36" s="19">
        <f t="shared" si="13"/>
        <v>0</v>
      </c>
      <c r="P36" s="19">
        <f t="shared" si="13"/>
        <v>0</v>
      </c>
      <c r="Q36" s="19">
        <f>SUM(M36:P36)</f>
        <v>63021</v>
      </c>
      <c r="R36" s="19"/>
      <c r="S36" s="19"/>
      <c r="T36" s="19"/>
      <c r="U36" s="19"/>
      <c r="V36" s="19"/>
    </row>
    <row r="37" spans="2:22" x14ac:dyDescent="0.2">
      <c r="D37" s="2" t="s">
        <v>58</v>
      </c>
      <c r="E37" s="1" t="s">
        <v>59</v>
      </c>
      <c r="G37" s="18">
        <f>29106+3539</f>
        <v>32645</v>
      </c>
      <c r="H37" s="18">
        <v>0</v>
      </c>
      <c r="I37" s="18">
        <v>0</v>
      </c>
      <c r="J37" s="18">
        <v>0</v>
      </c>
      <c r="K37" s="18">
        <f t="shared" si="12"/>
        <v>32645</v>
      </c>
      <c r="L37" s="5"/>
      <c r="M37" s="19">
        <f t="shared" si="13"/>
        <v>32645</v>
      </c>
      <c r="N37" s="19">
        <f t="shared" si="13"/>
        <v>0</v>
      </c>
      <c r="O37" s="19">
        <f t="shared" si="13"/>
        <v>0</v>
      </c>
      <c r="P37" s="19">
        <f t="shared" si="13"/>
        <v>0</v>
      </c>
      <c r="Q37" s="19">
        <f>SUM(M37:P37)</f>
        <v>32645</v>
      </c>
      <c r="R37" s="19"/>
      <c r="S37" s="19"/>
      <c r="T37" s="19"/>
      <c r="U37" s="19"/>
      <c r="V37" s="19"/>
    </row>
    <row r="38" spans="2:22" x14ac:dyDescent="0.2">
      <c r="D38" s="2"/>
      <c r="E38" s="1" t="s">
        <v>60</v>
      </c>
      <c r="G38" s="18">
        <v>38001</v>
      </c>
      <c r="H38" s="18">
        <v>0</v>
      </c>
      <c r="I38" s="18">
        <v>0</v>
      </c>
      <c r="J38" s="18">
        <v>0</v>
      </c>
      <c r="K38" s="18">
        <f t="shared" si="12"/>
        <v>38001</v>
      </c>
      <c r="L38" s="5"/>
      <c r="M38" s="19">
        <f t="shared" si="13"/>
        <v>38001</v>
      </c>
      <c r="N38" s="19">
        <f t="shared" si="13"/>
        <v>0</v>
      </c>
      <c r="O38" s="19">
        <f t="shared" si="13"/>
        <v>0</v>
      </c>
      <c r="P38" s="19">
        <f t="shared" si="13"/>
        <v>0</v>
      </c>
      <c r="Q38" s="19">
        <f>SUM(M38:P38)</f>
        <v>38001</v>
      </c>
      <c r="R38" s="19"/>
      <c r="S38" s="19"/>
      <c r="T38" s="19"/>
      <c r="U38" s="19"/>
      <c r="V38" s="19"/>
    </row>
    <row r="39" spans="2:22" x14ac:dyDescent="0.2">
      <c r="D39" s="2"/>
      <c r="E39" s="1" t="s">
        <v>114</v>
      </c>
      <c r="G39" s="18">
        <v>134496</v>
      </c>
      <c r="H39" s="18">
        <v>0</v>
      </c>
      <c r="I39" s="18">
        <v>0</v>
      </c>
      <c r="J39" s="18">
        <v>0</v>
      </c>
      <c r="K39" s="18">
        <f t="shared" si="12"/>
        <v>134496</v>
      </c>
      <c r="L39" s="5"/>
      <c r="M39" s="19">
        <f t="shared" si="13"/>
        <v>134496</v>
      </c>
      <c r="N39" s="19">
        <f t="shared" si="13"/>
        <v>0</v>
      </c>
      <c r="O39" s="19">
        <f t="shared" si="13"/>
        <v>0</v>
      </c>
      <c r="P39" s="19">
        <f t="shared" si="13"/>
        <v>0</v>
      </c>
      <c r="Q39" s="19">
        <f t="shared" ref="Q39:Q40" si="14">SUM(M39:P39)</f>
        <v>134496</v>
      </c>
      <c r="R39" s="19"/>
      <c r="S39" s="19"/>
      <c r="T39" s="19"/>
      <c r="U39" s="19"/>
      <c r="V39" s="19"/>
    </row>
    <row r="40" spans="2:22" x14ac:dyDescent="0.2">
      <c r="D40" s="2"/>
      <c r="E40" s="1" t="s">
        <v>115</v>
      </c>
      <c r="G40" s="18">
        <v>20004</v>
      </c>
      <c r="H40" s="18">
        <v>0</v>
      </c>
      <c r="I40" s="18">
        <v>0</v>
      </c>
      <c r="J40" s="18">
        <v>0</v>
      </c>
      <c r="K40" s="18">
        <f t="shared" si="12"/>
        <v>20004</v>
      </c>
      <c r="L40" s="5"/>
      <c r="M40" s="19">
        <f t="shared" si="13"/>
        <v>20004</v>
      </c>
      <c r="N40" s="19">
        <f t="shared" si="13"/>
        <v>0</v>
      </c>
      <c r="O40" s="19">
        <f t="shared" si="13"/>
        <v>0</v>
      </c>
      <c r="P40" s="19">
        <f t="shared" si="13"/>
        <v>0</v>
      </c>
      <c r="Q40" s="19">
        <f t="shared" si="14"/>
        <v>20004</v>
      </c>
      <c r="R40" s="19"/>
      <c r="S40" s="19"/>
      <c r="T40" s="19"/>
      <c r="U40" s="19"/>
      <c r="V40" s="19"/>
    </row>
    <row r="41" spans="2:22" x14ac:dyDescent="0.2">
      <c r="D41" s="2"/>
      <c r="E41" s="1" t="s">
        <v>61</v>
      </c>
      <c r="G41" s="18">
        <v>123031</v>
      </c>
      <c r="H41" s="18">
        <v>0</v>
      </c>
      <c r="I41" s="18"/>
      <c r="J41" s="18">
        <v>0</v>
      </c>
      <c r="K41" s="18">
        <f t="shared" si="12"/>
        <v>123031</v>
      </c>
      <c r="L41" s="5"/>
      <c r="M41" s="19">
        <f t="shared" si="13"/>
        <v>123031</v>
      </c>
      <c r="N41" s="19">
        <f t="shared" si="13"/>
        <v>0</v>
      </c>
      <c r="O41" s="19">
        <f t="shared" si="13"/>
        <v>0</v>
      </c>
      <c r="P41" s="19">
        <f t="shared" si="13"/>
        <v>0</v>
      </c>
      <c r="Q41" s="19">
        <f>SUM(M41:P41)</f>
        <v>123031</v>
      </c>
      <c r="R41" s="19"/>
      <c r="S41" s="19"/>
      <c r="T41" s="19"/>
      <c r="U41" s="19"/>
      <c r="V41" s="19"/>
    </row>
    <row r="42" spans="2:22" x14ac:dyDescent="0.2">
      <c r="D42" s="2"/>
      <c r="G42" s="11"/>
      <c r="H42" s="11"/>
      <c r="I42" s="11"/>
      <c r="J42" s="11"/>
      <c r="K42" s="11"/>
      <c r="L42" s="5"/>
      <c r="Q42" s="19"/>
      <c r="R42" s="19"/>
      <c r="S42" s="19"/>
      <c r="T42" s="19"/>
      <c r="U42" s="19"/>
      <c r="V42" s="19"/>
    </row>
    <row r="43" spans="2:22" x14ac:dyDescent="0.2">
      <c r="D43" s="2" t="s">
        <v>62</v>
      </c>
      <c r="G43" s="18"/>
      <c r="H43" s="18">
        <f>H11</f>
        <v>0</v>
      </c>
      <c r="I43" s="18">
        <v>0</v>
      </c>
      <c r="J43" s="18">
        <v>0</v>
      </c>
      <c r="K43" s="18">
        <f>SUM(G43:J43)</f>
        <v>0</v>
      </c>
      <c r="L43" s="5"/>
      <c r="M43" s="19">
        <f>G43</f>
        <v>0</v>
      </c>
      <c r="N43" s="19">
        <f>H43</f>
        <v>0</v>
      </c>
      <c r="O43" s="19">
        <f>I43</f>
        <v>0</v>
      </c>
      <c r="P43" s="19">
        <f>J43</f>
        <v>0</v>
      </c>
      <c r="Q43" s="19">
        <f>SUM(M43:P43)</f>
        <v>0</v>
      </c>
      <c r="R43" s="19"/>
      <c r="S43" s="19"/>
      <c r="T43" s="19"/>
      <c r="U43" s="19"/>
      <c r="V43" s="19"/>
    </row>
    <row r="44" spans="2:22" x14ac:dyDescent="0.2">
      <c r="D44" s="2"/>
      <c r="G44" s="11"/>
      <c r="H44" s="11"/>
      <c r="I44" s="11"/>
      <c r="J44" s="11"/>
      <c r="L44" s="5"/>
    </row>
    <row r="45" spans="2:22" x14ac:dyDescent="0.2">
      <c r="D45" s="2" t="s">
        <v>63</v>
      </c>
      <c r="G45" s="18"/>
      <c r="H45" s="18"/>
      <c r="I45" s="18">
        <v>0</v>
      </c>
      <c r="J45" s="18">
        <v>0</v>
      </c>
      <c r="K45" s="19">
        <f>SUM(G45:J45)</f>
        <v>0</v>
      </c>
      <c r="L45" s="5"/>
      <c r="M45" s="19">
        <f>G45</f>
        <v>0</v>
      </c>
      <c r="N45" s="19">
        <f>H45</f>
        <v>0</v>
      </c>
      <c r="O45" s="19">
        <f>I45</f>
        <v>0</v>
      </c>
      <c r="P45" s="19">
        <f>J45</f>
        <v>0</v>
      </c>
      <c r="Q45" s="19">
        <f>SUM(M45:P45)</f>
        <v>0</v>
      </c>
      <c r="R45" s="19"/>
      <c r="S45" s="19"/>
      <c r="T45" s="19"/>
      <c r="U45" s="19"/>
      <c r="V45" s="19"/>
    </row>
    <row r="46" spans="2:22" x14ac:dyDescent="0.2">
      <c r="D46" s="2"/>
      <c r="G46" s="11"/>
      <c r="H46" s="11"/>
      <c r="I46" s="11"/>
      <c r="J46" s="11"/>
      <c r="L46" s="5"/>
    </row>
    <row r="47" spans="2:22" x14ac:dyDescent="0.2">
      <c r="D47" s="2" t="s">
        <v>64</v>
      </c>
      <c r="G47" s="18"/>
      <c r="H47" s="18"/>
      <c r="I47" s="18">
        <v>0</v>
      </c>
      <c r="J47" s="18">
        <v>0</v>
      </c>
      <c r="K47" s="19">
        <f>SUM(G47:J47)</f>
        <v>0</v>
      </c>
      <c r="L47" s="5"/>
      <c r="M47" s="19">
        <f>G47</f>
        <v>0</v>
      </c>
      <c r="N47" s="19">
        <f>H47</f>
        <v>0</v>
      </c>
      <c r="O47" s="19">
        <f>I47</f>
        <v>0</v>
      </c>
      <c r="P47" s="19">
        <f>J47</f>
        <v>0</v>
      </c>
      <c r="Q47" s="19">
        <f>SUM(M47:P47)</f>
        <v>0</v>
      </c>
      <c r="R47" s="19"/>
      <c r="S47" s="19"/>
      <c r="T47" s="19"/>
      <c r="U47" s="19"/>
      <c r="V47" s="19"/>
    </row>
    <row r="48" spans="2:22" x14ac:dyDescent="0.2">
      <c r="D48" s="2"/>
      <c r="G48" s="11"/>
      <c r="H48" s="11"/>
      <c r="I48" s="11"/>
      <c r="J48" s="11"/>
      <c r="L48" s="5"/>
    </row>
    <row r="49" spans="2:24" x14ac:dyDescent="0.2">
      <c r="D49" s="2" t="s">
        <v>65</v>
      </c>
      <c r="G49" s="18"/>
      <c r="H49" s="18">
        <v>0</v>
      </c>
      <c r="I49" s="18">
        <v>0</v>
      </c>
      <c r="J49" s="18">
        <v>0</v>
      </c>
      <c r="K49" s="19">
        <f>SUM(G49:J49)</f>
        <v>0</v>
      </c>
      <c r="L49" s="5"/>
      <c r="M49" s="19">
        <f>G49</f>
        <v>0</v>
      </c>
      <c r="N49" s="19">
        <f>H49</f>
        <v>0</v>
      </c>
      <c r="O49" s="19">
        <f>I49</f>
        <v>0</v>
      </c>
      <c r="P49" s="19">
        <f>J49</f>
        <v>0</v>
      </c>
      <c r="Q49" s="19">
        <f>SUM(M49:P49)</f>
        <v>0</v>
      </c>
      <c r="R49" s="19"/>
      <c r="S49" s="19"/>
      <c r="T49" s="19"/>
      <c r="U49" s="19"/>
      <c r="V49" s="19"/>
    </row>
    <row r="50" spans="2:24" x14ac:dyDescent="0.2">
      <c r="D50" s="2" t="s">
        <v>66</v>
      </c>
      <c r="G50" s="11"/>
      <c r="H50" s="11"/>
      <c r="I50" s="11"/>
      <c r="J50" s="11"/>
      <c r="L50" s="5"/>
    </row>
    <row r="51" spans="2:24" x14ac:dyDescent="0.2">
      <c r="D51" s="2"/>
      <c r="G51" s="11"/>
      <c r="H51" s="11"/>
      <c r="I51" s="11"/>
      <c r="J51" s="11"/>
      <c r="L51" s="5"/>
    </row>
    <row r="52" spans="2:24" x14ac:dyDescent="0.2">
      <c r="B52" s="2"/>
      <c r="D52" s="2" t="s">
        <v>61</v>
      </c>
      <c r="G52" s="27">
        <v>53358</v>
      </c>
      <c r="H52" s="27">
        <v>0</v>
      </c>
      <c r="I52" s="27">
        <v>0</v>
      </c>
      <c r="J52" s="27">
        <v>0</v>
      </c>
      <c r="K52" s="27">
        <f>SUM(G52:J52)</f>
        <v>53358</v>
      </c>
      <c r="L52" s="5"/>
      <c r="M52" s="26">
        <f>G52</f>
        <v>53358</v>
      </c>
      <c r="N52" s="26">
        <f>H52</f>
        <v>0</v>
      </c>
      <c r="O52" s="26">
        <f>I52</f>
        <v>0</v>
      </c>
      <c r="P52" s="26">
        <f>J52</f>
        <v>0</v>
      </c>
      <c r="Q52" s="26">
        <f>SUM(M52:P52)</f>
        <v>53358</v>
      </c>
      <c r="R52" s="37"/>
      <c r="S52" s="37"/>
      <c r="T52" s="37"/>
      <c r="U52" s="37"/>
      <c r="V52" s="37"/>
    </row>
    <row r="53" spans="2:24" x14ac:dyDescent="0.2">
      <c r="D53" s="2" t="s">
        <v>67</v>
      </c>
      <c r="G53" s="29">
        <f>SUM(G33:G52)</f>
        <v>529010</v>
      </c>
      <c r="H53" s="29">
        <f>SUM(H33:H52)</f>
        <v>0</v>
      </c>
      <c r="I53" s="29">
        <f>SUM(I33:I52)</f>
        <v>0</v>
      </c>
      <c r="J53" s="29">
        <f>SUM(J33:J52)</f>
        <v>0</v>
      </c>
      <c r="K53" s="29">
        <f>SUM(G53:J53)</f>
        <v>529010</v>
      </c>
      <c r="L53" s="5"/>
      <c r="M53" s="29">
        <f>SUM(M33:M52)</f>
        <v>529010</v>
      </c>
      <c r="N53" s="29">
        <f>SUM(N33:N52)</f>
        <v>0</v>
      </c>
      <c r="O53" s="29">
        <f>SUM(O33:O52)</f>
        <v>0</v>
      </c>
      <c r="P53" s="29">
        <f>SUM(P33:P52)</f>
        <v>0</v>
      </c>
      <c r="Q53" s="29">
        <f>SUM(M53:P53)</f>
        <v>529010</v>
      </c>
      <c r="R53" s="29"/>
      <c r="S53" s="29"/>
      <c r="T53" s="29"/>
      <c r="U53" s="29"/>
      <c r="V53" s="29"/>
    </row>
    <row r="54" spans="2:24" x14ac:dyDescent="0.2">
      <c r="B54" s="2"/>
      <c r="E54" s="19"/>
      <c r="L54" s="5"/>
    </row>
    <row r="55" spans="2:24" x14ac:dyDescent="0.2">
      <c r="B55" s="2" t="s">
        <v>68</v>
      </c>
      <c r="G55" s="19">
        <v>0</v>
      </c>
      <c r="H55" s="19">
        <v>0</v>
      </c>
      <c r="I55" s="19">
        <v>0</v>
      </c>
      <c r="J55" s="19">
        <v>0</v>
      </c>
      <c r="K55" s="19">
        <f>SUM(G55:J55)</f>
        <v>0</v>
      </c>
      <c r="L55" s="5"/>
      <c r="M55" s="19">
        <v>0</v>
      </c>
      <c r="N55" s="19">
        <v>0</v>
      </c>
      <c r="O55" s="19">
        <v>0</v>
      </c>
      <c r="P55" s="19">
        <v>0</v>
      </c>
      <c r="Q55" s="19">
        <f>SUM(M55:P55)</f>
        <v>0</v>
      </c>
      <c r="R55" s="19"/>
      <c r="S55" s="19"/>
      <c r="T55" s="19"/>
      <c r="U55" s="19"/>
      <c r="V55" s="19"/>
    </row>
    <row r="56" spans="2:24" x14ac:dyDescent="0.2">
      <c r="B56" s="2" t="s">
        <v>69</v>
      </c>
      <c r="L56" s="5"/>
    </row>
    <row r="57" spans="2:24" ht="13.5" thickBot="1" x14ac:dyDescent="0.25">
      <c r="K57" s="19"/>
      <c r="L57" s="5"/>
      <c r="Q57" s="38"/>
      <c r="R57" s="39"/>
      <c r="S57" s="39"/>
      <c r="T57" s="39"/>
      <c r="U57" s="39"/>
      <c r="V57" s="39"/>
    </row>
    <row r="58" spans="2:24" x14ac:dyDescent="0.2">
      <c r="B58" s="2" t="s">
        <v>70</v>
      </c>
      <c r="G58" s="40">
        <f>G21+G24+G31+G53+G55</f>
        <v>1743859.0514660762</v>
      </c>
      <c r="H58" s="40">
        <f>H21+H24+H31+H53+H55</f>
        <v>297007.95174795273</v>
      </c>
      <c r="I58" s="40">
        <f>I21+I24+I31+I53+I55</f>
        <v>1960999.7763572596</v>
      </c>
      <c r="J58" s="40">
        <f>J21+J24+J31+J53+J55</f>
        <v>0</v>
      </c>
      <c r="K58" s="40">
        <f>SUM(G58:J58)</f>
        <v>4001866.7795712883</v>
      </c>
      <c r="L58" s="41"/>
      <c r="M58" s="40">
        <f>M21+M24+M31+M53+M55</f>
        <v>1686072.0153874671</v>
      </c>
      <c r="N58" s="40">
        <f>N21+N24+N31+N53+N55</f>
        <v>292848.76326251117</v>
      </c>
      <c r="O58" s="40">
        <f>O21+O24+O31+O53+O55</f>
        <v>1789323.3366612396</v>
      </c>
      <c r="P58" s="40">
        <f>P21+P24+P31+P53+P55</f>
        <v>0</v>
      </c>
      <c r="Q58" s="40">
        <f>SUM(M58:P58)</f>
        <v>3768244.115311218</v>
      </c>
      <c r="R58" s="32"/>
      <c r="S58" s="32"/>
      <c r="T58" s="32"/>
      <c r="U58" s="32"/>
      <c r="V58" s="32"/>
    </row>
    <row r="59" spans="2:24" x14ac:dyDescent="0.2">
      <c r="I59" s="19"/>
      <c r="L59" s="5"/>
    </row>
    <row r="60" spans="2:24" x14ac:dyDescent="0.2">
      <c r="L60" s="5"/>
    </row>
    <row r="61" spans="2:24" ht="14.25" x14ac:dyDescent="0.2">
      <c r="B61" s="16" t="s">
        <v>71</v>
      </c>
      <c r="K61" s="11"/>
      <c r="L61" s="5"/>
    </row>
    <row r="62" spans="2:24" x14ac:dyDescent="0.2">
      <c r="D62" s="11" t="s">
        <v>72</v>
      </c>
      <c r="E62" s="36" t="s">
        <v>23</v>
      </c>
      <c r="G62" s="19">
        <v>0</v>
      </c>
      <c r="H62" s="19">
        <v>0</v>
      </c>
      <c r="I62" s="19">
        <f>K62</f>
        <v>1376547</v>
      </c>
      <c r="J62" s="18">
        <v>0</v>
      </c>
      <c r="K62" s="18">
        <v>1376547</v>
      </c>
      <c r="L62" s="5"/>
      <c r="M62" s="19">
        <f>G62</f>
        <v>0</v>
      </c>
      <c r="N62" s="19">
        <f>H62</f>
        <v>0</v>
      </c>
      <c r="O62" s="19">
        <f>Q62</f>
        <v>1376547</v>
      </c>
      <c r="P62" s="18">
        <f>J62</f>
        <v>0</v>
      </c>
      <c r="Q62" s="18">
        <f>$K$62</f>
        <v>1376547</v>
      </c>
      <c r="R62" s="18"/>
      <c r="S62" s="18"/>
      <c r="T62" s="18"/>
      <c r="U62" s="18"/>
      <c r="V62" s="18"/>
      <c r="X62" s="108" t="s">
        <v>73</v>
      </c>
    </row>
    <row r="63" spans="2:24" x14ac:dyDescent="0.2">
      <c r="D63" s="11"/>
      <c r="E63" s="36" t="s">
        <v>25</v>
      </c>
      <c r="G63" s="42">
        <v>0</v>
      </c>
      <c r="H63" s="42">
        <v>0</v>
      </c>
      <c r="I63" s="42">
        <f>K63</f>
        <v>0</v>
      </c>
      <c r="J63" s="43">
        <v>0</v>
      </c>
      <c r="K63" s="43">
        <v>0</v>
      </c>
      <c r="L63" s="5"/>
      <c r="M63" s="42">
        <f>G63</f>
        <v>0</v>
      </c>
      <c r="N63" s="42">
        <f>H63</f>
        <v>0</v>
      </c>
      <c r="O63" s="42">
        <f>I63</f>
        <v>0</v>
      </c>
      <c r="P63" s="43">
        <f>J63</f>
        <v>0</v>
      </c>
      <c r="Q63" s="42">
        <f>K63</f>
        <v>0</v>
      </c>
      <c r="R63" s="42"/>
      <c r="S63" s="42"/>
      <c r="T63" s="42"/>
      <c r="U63" s="42"/>
      <c r="V63" s="42"/>
      <c r="X63" s="110">
        <f>$K$62-(327*25.09*8)</f>
        <v>1310911.56</v>
      </c>
    </row>
    <row r="64" spans="2:24" x14ac:dyDescent="0.2">
      <c r="D64" s="11"/>
      <c r="E64" s="36"/>
      <c r="J64" s="11"/>
      <c r="K64" s="11"/>
      <c r="L64" s="5"/>
      <c r="P64" s="11"/>
    </row>
    <row r="65" spans="4:22" x14ac:dyDescent="0.2">
      <c r="D65" s="11" t="s">
        <v>121</v>
      </c>
      <c r="E65" s="36" t="s">
        <v>23</v>
      </c>
      <c r="G65" s="59">
        <f>K65*$G$168</f>
        <v>185820.21552253142</v>
      </c>
      <c r="H65" s="59">
        <f>K65*$H$168</f>
        <v>13374.302494286683</v>
      </c>
      <c r="I65" s="59">
        <f>K65*$I$168</f>
        <v>552043.41993002861</v>
      </c>
      <c r="J65" s="18">
        <v>0</v>
      </c>
      <c r="K65" s="18">
        <v>751238</v>
      </c>
      <c r="L65" s="5"/>
      <c r="M65" s="59">
        <f>$G$168*Q$65</f>
        <v>185820.21552253142</v>
      </c>
      <c r="N65" s="59">
        <f>$H$168*Q$65</f>
        <v>13374.302494286683</v>
      </c>
      <c r="O65" s="59">
        <f>$I$168*Q$65</f>
        <v>552043.41993002861</v>
      </c>
      <c r="P65" s="18">
        <f>J65</f>
        <v>0</v>
      </c>
      <c r="Q65" s="18">
        <f>K65</f>
        <v>751238</v>
      </c>
      <c r="R65" s="18"/>
      <c r="S65" s="18"/>
      <c r="T65" s="18"/>
      <c r="U65" s="18"/>
      <c r="V65" s="18"/>
    </row>
    <row r="66" spans="4:22" x14ac:dyDescent="0.2">
      <c r="D66" s="11"/>
      <c r="E66" s="36" t="s">
        <v>25</v>
      </c>
      <c r="G66" s="59"/>
      <c r="H66" s="59"/>
      <c r="I66" s="59"/>
      <c r="J66" s="43">
        <v>0</v>
      </c>
      <c r="K66" s="43">
        <v>0</v>
      </c>
      <c r="L66" s="5"/>
      <c r="M66" s="42">
        <f>G66</f>
        <v>0</v>
      </c>
      <c r="N66" s="42">
        <f>H66</f>
        <v>0</v>
      </c>
      <c r="O66" s="42">
        <f>I66</f>
        <v>0</v>
      </c>
      <c r="P66" s="43">
        <f>J66</f>
        <v>0</v>
      </c>
      <c r="Q66" s="42">
        <f>K66</f>
        <v>0</v>
      </c>
      <c r="R66" s="42"/>
      <c r="S66" s="42"/>
      <c r="T66" s="42"/>
      <c r="U66" s="42"/>
      <c r="V66" s="42"/>
    </row>
    <row r="67" spans="4:22" x14ac:dyDescent="0.2">
      <c r="D67" s="11"/>
      <c r="E67" s="36"/>
      <c r="G67" s="59"/>
      <c r="H67" s="59"/>
      <c r="I67" s="59"/>
      <c r="J67" s="43"/>
      <c r="K67" s="43"/>
      <c r="L67" s="5"/>
      <c r="M67" s="42"/>
      <c r="N67" s="42"/>
      <c r="O67" s="42"/>
      <c r="P67" s="43"/>
      <c r="Q67" s="43"/>
      <c r="R67" s="43"/>
      <c r="S67" s="43"/>
      <c r="T67" s="43"/>
      <c r="U67" s="43"/>
      <c r="V67" s="43"/>
    </row>
    <row r="68" spans="4:22" x14ac:dyDescent="0.2">
      <c r="D68" s="11" t="s">
        <v>74</v>
      </c>
      <c r="E68" s="36" t="s">
        <v>23</v>
      </c>
      <c r="G68" s="59">
        <f>K68*$G$168</f>
        <v>591674.12670419679</v>
      </c>
      <c r="H68" s="59">
        <f>K68*$H$168</f>
        <v>42585.402919335895</v>
      </c>
      <c r="I68" s="59">
        <f>K68*$I$168</f>
        <v>1757773.2727916932</v>
      </c>
      <c r="J68" s="18">
        <v>0</v>
      </c>
      <c r="K68" s="18">
        <v>2392033</v>
      </c>
      <c r="L68" s="5"/>
      <c r="M68" s="19">
        <f>$G$168*Q68</f>
        <v>395058.97556095087</v>
      </c>
      <c r="N68" s="19">
        <f>$H$168*Q68</f>
        <v>28434.141179835762</v>
      </c>
      <c r="O68" s="19">
        <f>$I$168*Q68</f>
        <v>1173659.7513324737</v>
      </c>
      <c r="P68" s="18">
        <f t="shared" ref="P68:Q69" si="15">J68</f>
        <v>0</v>
      </c>
      <c r="Q68" s="18">
        <f>K68-(((20*124.2)*8)*40)</f>
        <v>1597153</v>
      </c>
      <c r="R68" s="18"/>
      <c r="S68" s="18"/>
      <c r="T68" s="18"/>
      <c r="U68" s="18"/>
      <c r="V68" s="18"/>
    </row>
    <row r="69" spans="4:22" ht="12.75" customHeight="1" x14ac:dyDescent="0.2">
      <c r="D69" s="11"/>
      <c r="E69" s="36" t="s">
        <v>25</v>
      </c>
      <c r="G69" s="59">
        <f t="shared" ref="G69:G94" si="16">K69*$G$168</f>
        <v>0</v>
      </c>
      <c r="H69" s="59">
        <f t="shared" ref="H69:H94" si="17">K69*$H$168</f>
        <v>0</v>
      </c>
      <c r="I69" s="59">
        <f t="shared" ref="I69:I94" si="18">K69*$I$168</f>
        <v>0</v>
      </c>
      <c r="J69" s="46">
        <v>0</v>
      </c>
      <c r="K69" s="43">
        <v>0</v>
      </c>
      <c r="L69" s="5"/>
      <c r="M69" s="42">
        <f>G69</f>
        <v>0</v>
      </c>
      <c r="N69" s="42">
        <f>H69</f>
        <v>0</v>
      </c>
      <c r="O69" s="42">
        <f>I69</f>
        <v>0</v>
      </c>
      <c r="P69" s="43">
        <f t="shared" si="15"/>
        <v>0</v>
      </c>
      <c r="Q69" s="42">
        <f t="shared" si="15"/>
        <v>0</v>
      </c>
      <c r="R69" s="42"/>
      <c r="S69" s="42"/>
      <c r="T69" s="42"/>
      <c r="U69" s="42"/>
      <c r="V69" s="42"/>
    </row>
    <row r="70" spans="4:22" ht="12.75" customHeight="1" x14ac:dyDescent="0.2">
      <c r="D70" s="11"/>
      <c r="E70" s="36"/>
      <c r="G70" s="59">
        <f t="shared" si="16"/>
        <v>0</v>
      </c>
      <c r="H70" s="59">
        <f t="shared" si="17"/>
        <v>0</v>
      </c>
      <c r="I70" s="59">
        <f t="shared" si="18"/>
        <v>0</v>
      </c>
      <c r="J70" s="11"/>
      <c r="K70" s="11"/>
      <c r="L70" s="5"/>
      <c r="P70" s="11"/>
    </row>
    <row r="71" spans="4:22" x14ac:dyDescent="0.2">
      <c r="D71" s="11" t="s">
        <v>75</v>
      </c>
      <c r="E71" s="36" t="s">
        <v>23</v>
      </c>
      <c r="G71" s="59">
        <f>K71*$G$168</f>
        <v>33077.145086844001</v>
      </c>
      <c r="H71" s="59">
        <f>K71*$H$168</f>
        <v>2380.7083787674301</v>
      </c>
      <c r="I71" s="59">
        <f>K71*$I$168</f>
        <v>98267.135488544343</v>
      </c>
      <c r="J71" s="18">
        <v>0</v>
      </c>
      <c r="K71" s="18">
        <v>133725</v>
      </c>
      <c r="L71" s="5"/>
      <c r="M71" s="19">
        <f>$G$168*Q$71</f>
        <v>33077.145086844001</v>
      </c>
      <c r="N71" s="19">
        <f>$H$168*Q$71</f>
        <v>2380.7083787674301</v>
      </c>
      <c r="O71" s="19">
        <f>$I$168*Q$71</f>
        <v>98267.135488544343</v>
      </c>
      <c r="P71" s="18">
        <f>J71</f>
        <v>0</v>
      </c>
      <c r="Q71" s="18">
        <f>K71</f>
        <v>133725</v>
      </c>
      <c r="R71" s="18"/>
      <c r="S71" s="18"/>
      <c r="T71" s="18"/>
      <c r="U71" s="18"/>
      <c r="V71" s="18"/>
    </row>
    <row r="72" spans="4:22" x14ac:dyDescent="0.2">
      <c r="D72" s="11"/>
      <c r="E72" s="36" t="s">
        <v>25</v>
      </c>
      <c r="G72" s="59">
        <f t="shared" si="16"/>
        <v>0</v>
      </c>
      <c r="H72" s="59">
        <f t="shared" si="17"/>
        <v>0</v>
      </c>
      <c r="I72" s="59">
        <f t="shared" si="18"/>
        <v>0</v>
      </c>
      <c r="J72" s="43">
        <v>0</v>
      </c>
      <c r="K72" s="43">
        <v>0</v>
      </c>
      <c r="L72" s="5"/>
      <c r="M72" s="42">
        <f>G72</f>
        <v>0</v>
      </c>
      <c r="N72" s="42">
        <f>H72</f>
        <v>0</v>
      </c>
      <c r="O72" s="42">
        <f>I72</f>
        <v>0</v>
      </c>
      <c r="P72" s="43">
        <f>J72</f>
        <v>0</v>
      </c>
      <c r="Q72" s="42">
        <f>K72</f>
        <v>0</v>
      </c>
      <c r="R72" s="42"/>
      <c r="S72" s="42"/>
      <c r="T72" s="42"/>
      <c r="U72" s="42"/>
      <c r="V72" s="42"/>
    </row>
    <row r="73" spans="4:22" x14ac:dyDescent="0.2">
      <c r="D73" s="11"/>
      <c r="E73" s="36"/>
      <c r="G73" s="59">
        <f t="shared" si="16"/>
        <v>0</v>
      </c>
      <c r="H73" s="59">
        <f t="shared" si="17"/>
        <v>0</v>
      </c>
      <c r="I73" s="59">
        <f t="shared" si="18"/>
        <v>0</v>
      </c>
      <c r="J73" s="43"/>
      <c r="K73" s="43"/>
      <c r="L73" s="5"/>
      <c r="M73" s="42"/>
      <c r="N73" s="42"/>
      <c r="O73" s="42"/>
      <c r="P73" s="43"/>
      <c r="Q73" s="43"/>
      <c r="R73" s="43"/>
      <c r="S73" s="43"/>
      <c r="T73" s="43"/>
      <c r="U73" s="43"/>
      <c r="V73" s="43"/>
    </row>
    <row r="74" spans="4:22" x14ac:dyDescent="0.2">
      <c r="D74" s="47" t="s">
        <v>122</v>
      </c>
      <c r="E74" s="36" t="s">
        <v>23</v>
      </c>
      <c r="G74" s="59">
        <f>K74*$G$168</f>
        <v>229455.3330220645</v>
      </c>
      <c r="H74" s="59">
        <f>K74*$H$168</f>
        <v>16514.914828479868</v>
      </c>
      <c r="I74" s="59">
        <f>K74*$I$168</f>
        <v>681676.67552470881</v>
      </c>
      <c r="J74" s="18">
        <v>0</v>
      </c>
      <c r="K74" s="18">
        <v>927647</v>
      </c>
      <c r="L74" s="5"/>
      <c r="M74" s="19">
        <f t="shared" ref="M74:Q75" si="19">G74</f>
        <v>229455.3330220645</v>
      </c>
      <c r="N74" s="19">
        <f t="shared" si="19"/>
        <v>16514.914828479868</v>
      </c>
      <c r="O74" s="19">
        <f t="shared" si="19"/>
        <v>681676.67552470881</v>
      </c>
      <c r="P74" s="18">
        <f t="shared" si="19"/>
        <v>0</v>
      </c>
      <c r="Q74" s="18">
        <f>K74</f>
        <v>927647</v>
      </c>
      <c r="R74" s="18"/>
      <c r="S74" s="18"/>
      <c r="T74" s="18"/>
      <c r="U74" s="18"/>
      <c r="V74" s="18"/>
    </row>
    <row r="75" spans="4:22" x14ac:dyDescent="0.2">
      <c r="D75" s="11"/>
      <c r="E75" s="36" t="s">
        <v>25</v>
      </c>
      <c r="G75" s="59">
        <f t="shared" si="16"/>
        <v>0</v>
      </c>
      <c r="H75" s="59">
        <f t="shared" si="17"/>
        <v>0</v>
      </c>
      <c r="I75" s="59">
        <f t="shared" si="18"/>
        <v>0</v>
      </c>
      <c r="J75" s="43">
        <v>0</v>
      </c>
      <c r="K75" s="43">
        <v>0</v>
      </c>
      <c r="L75" s="5"/>
      <c r="M75" s="42">
        <f t="shared" si="19"/>
        <v>0</v>
      </c>
      <c r="N75" s="42">
        <f t="shared" si="19"/>
        <v>0</v>
      </c>
      <c r="O75" s="42">
        <f t="shared" si="19"/>
        <v>0</v>
      </c>
      <c r="P75" s="43">
        <f t="shared" si="19"/>
        <v>0</v>
      </c>
      <c r="Q75" s="42">
        <f t="shared" si="19"/>
        <v>0</v>
      </c>
      <c r="R75" s="42"/>
      <c r="S75" s="42"/>
      <c r="T75" s="42"/>
      <c r="U75" s="42"/>
      <c r="V75" s="42"/>
    </row>
    <row r="76" spans="4:22" x14ac:dyDescent="0.2">
      <c r="D76" s="11"/>
      <c r="E76" s="36"/>
      <c r="G76" s="59">
        <f t="shared" si="16"/>
        <v>0</v>
      </c>
      <c r="H76" s="59">
        <f t="shared" si="17"/>
        <v>0</v>
      </c>
      <c r="I76" s="59">
        <f t="shared" si="18"/>
        <v>0</v>
      </c>
      <c r="J76" s="43"/>
      <c r="K76" s="43"/>
      <c r="L76" s="5"/>
      <c r="M76" s="42"/>
      <c r="N76" s="42"/>
      <c r="O76" s="42"/>
      <c r="P76" s="43"/>
      <c r="Q76" s="42"/>
      <c r="R76" s="42"/>
      <c r="S76" s="42"/>
      <c r="T76" s="42"/>
      <c r="U76" s="42"/>
      <c r="V76" s="42"/>
    </row>
    <row r="77" spans="4:22" x14ac:dyDescent="0.2">
      <c r="D77" s="47" t="s">
        <v>123</v>
      </c>
      <c r="E77" s="36" t="s">
        <v>23</v>
      </c>
      <c r="G77" s="59">
        <f>K77*$G$168</f>
        <v>187.98751367359463</v>
      </c>
      <c r="H77" s="59">
        <f>K77*$H$168</f>
        <v>13.530292524683095</v>
      </c>
      <c r="I77" s="59">
        <f>K77*$I$168</f>
        <v>558.48213102481736</v>
      </c>
      <c r="J77" s="18">
        <v>0</v>
      </c>
      <c r="K77" s="18">
        <v>760</v>
      </c>
      <c r="L77" s="5"/>
      <c r="M77" s="19">
        <f t="shared" ref="M77:Q78" si="20">G77</f>
        <v>187.98751367359463</v>
      </c>
      <c r="N77" s="19">
        <f t="shared" si="20"/>
        <v>13.530292524683095</v>
      </c>
      <c r="O77" s="19">
        <f t="shared" si="20"/>
        <v>558.48213102481736</v>
      </c>
      <c r="P77" s="18">
        <f t="shared" si="20"/>
        <v>0</v>
      </c>
      <c r="Q77" s="18">
        <f>K77</f>
        <v>760</v>
      </c>
      <c r="R77" s="18"/>
      <c r="S77" s="18"/>
      <c r="T77" s="18"/>
      <c r="U77" s="18"/>
      <c r="V77" s="18"/>
    </row>
    <row r="78" spans="4:22" x14ac:dyDescent="0.2">
      <c r="D78" s="11"/>
      <c r="E78" s="36" t="s">
        <v>25</v>
      </c>
      <c r="G78" s="59">
        <f t="shared" si="16"/>
        <v>0</v>
      </c>
      <c r="H78" s="59">
        <f t="shared" si="17"/>
        <v>0</v>
      </c>
      <c r="I78" s="59">
        <f t="shared" si="18"/>
        <v>0</v>
      </c>
      <c r="J78" s="43">
        <v>0</v>
      </c>
      <c r="K78" s="43">
        <v>0</v>
      </c>
      <c r="L78" s="5"/>
      <c r="M78" s="42">
        <f t="shared" si="20"/>
        <v>0</v>
      </c>
      <c r="N78" s="42">
        <f t="shared" si="20"/>
        <v>0</v>
      </c>
      <c r="O78" s="42">
        <f t="shared" si="20"/>
        <v>0</v>
      </c>
      <c r="P78" s="43">
        <f t="shared" si="20"/>
        <v>0</v>
      </c>
      <c r="Q78" s="42">
        <f t="shared" si="20"/>
        <v>0</v>
      </c>
      <c r="R78" s="42"/>
      <c r="S78" s="42"/>
      <c r="T78" s="42"/>
      <c r="U78" s="42"/>
      <c r="V78" s="42"/>
    </row>
    <row r="79" spans="4:22" x14ac:dyDescent="0.2">
      <c r="D79" s="11"/>
      <c r="E79" s="36"/>
      <c r="G79" s="59">
        <f t="shared" si="16"/>
        <v>0</v>
      </c>
      <c r="H79" s="59">
        <f t="shared" si="17"/>
        <v>0</v>
      </c>
      <c r="I79" s="59">
        <f t="shared" si="18"/>
        <v>0</v>
      </c>
      <c r="J79" s="43"/>
      <c r="K79" s="43"/>
      <c r="L79" s="5"/>
      <c r="M79" s="42"/>
      <c r="N79" s="42"/>
      <c r="O79" s="42"/>
      <c r="P79" s="43"/>
      <c r="Q79" s="42"/>
      <c r="R79" s="42"/>
      <c r="S79" s="42"/>
      <c r="T79" s="42"/>
      <c r="U79" s="42"/>
      <c r="V79" s="42"/>
    </row>
    <row r="80" spans="4:22" x14ac:dyDescent="0.2">
      <c r="D80" s="47" t="s">
        <v>124</v>
      </c>
      <c r="E80" s="36" t="s">
        <v>23</v>
      </c>
      <c r="G80" s="59">
        <f>K80*$G$168</f>
        <v>1955.0701422053839</v>
      </c>
      <c r="H80" s="59">
        <f>K80*$H$168</f>
        <v>140.71504225670418</v>
      </c>
      <c r="I80" s="59">
        <f>K80*$I$168</f>
        <v>5808.2141626581006</v>
      </c>
      <c r="J80" s="18">
        <v>0</v>
      </c>
      <c r="K80" s="18">
        <v>7904</v>
      </c>
      <c r="L80" s="5"/>
      <c r="M80" s="19">
        <f t="shared" ref="M80:Q81" si="21">G80</f>
        <v>1955.0701422053839</v>
      </c>
      <c r="N80" s="19">
        <f t="shared" si="21"/>
        <v>140.71504225670418</v>
      </c>
      <c r="O80" s="19">
        <f t="shared" si="21"/>
        <v>5808.2141626581006</v>
      </c>
      <c r="P80" s="18">
        <f t="shared" si="21"/>
        <v>0</v>
      </c>
      <c r="Q80" s="18">
        <f>K80</f>
        <v>7904</v>
      </c>
      <c r="R80" s="18"/>
      <c r="S80" s="18"/>
      <c r="T80" s="18"/>
      <c r="U80" s="18"/>
      <c r="V80" s="18"/>
    </row>
    <row r="81" spans="4:22" x14ac:dyDescent="0.2">
      <c r="D81" s="11"/>
      <c r="E81" s="36" t="s">
        <v>25</v>
      </c>
      <c r="G81" s="59">
        <f t="shared" si="16"/>
        <v>0</v>
      </c>
      <c r="H81" s="59">
        <f t="shared" si="17"/>
        <v>0</v>
      </c>
      <c r="I81" s="59">
        <f t="shared" si="18"/>
        <v>0</v>
      </c>
      <c r="J81" s="43">
        <v>0</v>
      </c>
      <c r="K81" s="43">
        <v>0</v>
      </c>
      <c r="L81" s="5"/>
      <c r="M81" s="42">
        <f t="shared" si="21"/>
        <v>0</v>
      </c>
      <c r="N81" s="42">
        <f t="shared" si="21"/>
        <v>0</v>
      </c>
      <c r="O81" s="42">
        <f t="shared" si="21"/>
        <v>0</v>
      </c>
      <c r="P81" s="43">
        <f t="shared" si="21"/>
        <v>0</v>
      </c>
      <c r="Q81" s="42">
        <f t="shared" si="21"/>
        <v>0</v>
      </c>
      <c r="R81" s="42"/>
      <c r="S81" s="42"/>
      <c r="T81" s="42"/>
      <c r="U81" s="42"/>
      <c r="V81" s="42"/>
    </row>
    <row r="82" spans="4:22" x14ac:dyDescent="0.2">
      <c r="D82" s="11"/>
      <c r="E82" s="36"/>
      <c r="G82" s="59">
        <f t="shared" si="16"/>
        <v>0</v>
      </c>
      <c r="H82" s="59">
        <f t="shared" si="17"/>
        <v>0</v>
      </c>
      <c r="I82" s="59">
        <f t="shared" si="18"/>
        <v>0</v>
      </c>
      <c r="J82" s="43"/>
      <c r="K82" s="43"/>
      <c r="L82" s="5"/>
      <c r="M82" s="42"/>
      <c r="N82" s="42"/>
      <c r="O82" s="42"/>
      <c r="P82" s="43"/>
      <c r="Q82" s="42"/>
      <c r="R82" s="42"/>
      <c r="S82" s="42"/>
      <c r="T82" s="42"/>
      <c r="U82" s="42"/>
      <c r="V82" s="42"/>
    </row>
    <row r="83" spans="4:22" x14ac:dyDescent="0.2">
      <c r="D83" s="47" t="s">
        <v>125</v>
      </c>
      <c r="E83" s="36" t="s">
        <v>23</v>
      </c>
      <c r="G83" s="59">
        <f>K83*$G$168</f>
        <v>3428.7933086096955</v>
      </c>
      <c r="H83" s="59">
        <f>K83*$H$168</f>
        <v>246.78541444362773</v>
      </c>
      <c r="I83" s="59">
        <f>K83*$I$168</f>
        <v>10186.420131928971</v>
      </c>
      <c r="J83" s="18">
        <v>0</v>
      </c>
      <c r="K83" s="18">
        <v>13862</v>
      </c>
      <c r="L83" s="5"/>
      <c r="M83" s="19">
        <f t="shared" ref="M83:Q84" si="22">G83</f>
        <v>3428.7933086096955</v>
      </c>
      <c r="N83" s="19">
        <f t="shared" si="22"/>
        <v>246.78541444362773</v>
      </c>
      <c r="O83" s="19">
        <f t="shared" si="22"/>
        <v>10186.420131928971</v>
      </c>
      <c r="P83" s="18">
        <f t="shared" si="22"/>
        <v>0</v>
      </c>
      <c r="Q83" s="18">
        <f>K83</f>
        <v>13862</v>
      </c>
      <c r="R83" s="18"/>
      <c r="S83" s="18"/>
      <c r="T83" s="18"/>
      <c r="U83" s="18"/>
      <c r="V83" s="18"/>
    </row>
    <row r="84" spans="4:22" x14ac:dyDescent="0.2">
      <c r="D84" s="11"/>
      <c r="E84" s="36" t="s">
        <v>25</v>
      </c>
      <c r="G84" s="59">
        <f t="shared" si="16"/>
        <v>0</v>
      </c>
      <c r="H84" s="59">
        <f t="shared" si="17"/>
        <v>0</v>
      </c>
      <c r="I84" s="59">
        <f t="shared" si="18"/>
        <v>0</v>
      </c>
      <c r="J84" s="43">
        <v>0</v>
      </c>
      <c r="K84" s="43">
        <v>0</v>
      </c>
      <c r="L84" s="5"/>
      <c r="M84" s="42">
        <f t="shared" si="22"/>
        <v>0</v>
      </c>
      <c r="N84" s="42">
        <f t="shared" si="22"/>
        <v>0</v>
      </c>
      <c r="O84" s="42">
        <f t="shared" si="22"/>
        <v>0</v>
      </c>
      <c r="P84" s="43">
        <f t="shared" si="22"/>
        <v>0</v>
      </c>
      <c r="Q84" s="42">
        <f t="shared" si="22"/>
        <v>0</v>
      </c>
      <c r="R84" s="42"/>
      <c r="S84" s="42"/>
      <c r="T84" s="42"/>
      <c r="U84" s="42"/>
      <c r="V84" s="42"/>
    </row>
    <row r="85" spans="4:22" x14ac:dyDescent="0.2">
      <c r="D85" s="11"/>
      <c r="E85" s="36"/>
      <c r="G85" s="59">
        <f t="shared" si="16"/>
        <v>0</v>
      </c>
      <c r="H85" s="59">
        <f t="shared" si="17"/>
        <v>0</v>
      </c>
      <c r="I85" s="59">
        <f t="shared" si="18"/>
        <v>0</v>
      </c>
      <c r="J85" s="43"/>
      <c r="K85" s="43"/>
      <c r="L85" s="5"/>
      <c r="M85" s="42"/>
      <c r="N85" s="42"/>
      <c r="O85" s="42"/>
      <c r="P85" s="43"/>
      <c r="Q85" s="42"/>
      <c r="R85" s="42"/>
      <c r="S85" s="42"/>
      <c r="T85" s="42"/>
      <c r="U85" s="42"/>
      <c r="V85" s="42"/>
    </row>
    <row r="86" spans="4:22" x14ac:dyDescent="0.2">
      <c r="D86" s="47" t="s">
        <v>126</v>
      </c>
      <c r="E86" s="36" t="s">
        <v>23</v>
      </c>
      <c r="G86" s="59">
        <f>K86*$G$168</f>
        <v>3792.8954403564471</v>
      </c>
      <c r="H86" s="59">
        <f>K86*$H$168</f>
        <v>272.99145470196129</v>
      </c>
      <c r="I86" s="59">
        <f>K86*$I$168</f>
        <v>11268.111838334933</v>
      </c>
      <c r="J86" s="18"/>
      <c r="K86" s="18">
        <v>15334</v>
      </c>
      <c r="L86" s="5"/>
      <c r="M86" s="19">
        <f t="shared" ref="M86:Q87" si="23">G86</f>
        <v>3792.8954403564471</v>
      </c>
      <c r="N86" s="19">
        <f t="shared" si="23"/>
        <v>272.99145470196129</v>
      </c>
      <c r="O86" s="19">
        <f t="shared" si="23"/>
        <v>11268.111838334933</v>
      </c>
      <c r="P86" s="18">
        <f t="shared" si="23"/>
        <v>0</v>
      </c>
      <c r="Q86" s="18">
        <f>K86</f>
        <v>15334</v>
      </c>
      <c r="R86" s="18"/>
      <c r="S86" s="18"/>
      <c r="T86" s="18"/>
      <c r="U86" s="18"/>
      <c r="V86" s="18"/>
    </row>
    <row r="87" spans="4:22" x14ac:dyDescent="0.2">
      <c r="D87" s="11"/>
      <c r="E87" s="36" t="s">
        <v>25</v>
      </c>
      <c r="G87" s="59">
        <f t="shared" si="16"/>
        <v>0</v>
      </c>
      <c r="H87" s="59">
        <f t="shared" si="17"/>
        <v>0</v>
      </c>
      <c r="I87" s="59">
        <f t="shared" si="18"/>
        <v>0</v>
      </c>
      <c r="J87" s="43">
        <v>0</v>
      </c>
      <c r="K87" s="43">
        <v>0</v>
      </c>
      <c r="L87" s="5"/>
      <c r="M87" s="42">
        <f t="shared" si="23"/>
        <v>0</v>
      </c>
      <c r="N87" s="42">
        <f t="shared" si="23"/>
        <v>0</v>
      </c>
      <c r="O87" s="42">
        <f t="shared" si="23"/>
        <v>0</v>
      </c>
      <c r="P87" s="43">
        <f t="shared" si="23"/>
        <v>0</v>
      </c>
      <c r="Q87" s="42">
        <f t="shared" si="23"/>
        <v>0</v>
      </c>
      <c r="R87" s="42"/>
      <c r="S87" s="42"/>
      <c r="T87" s="42"/>
      <c r="U87" s="42"/>
      <c r="V87" s="42"/>
    </row>
    <row r="88" spans="4:22" x14ac:dyDescent="0.2">
      <c r="D88" s="11"/>
      <c r="E88" s="36"/>
      <c r="G88" s="59">
        <f t="shared" si="16"/>
        <v>0</v>
      </c>
      <c r="H88" s="59">
        <f t="shared" si="17"/>
        <v>0</v>
      </c>
      <c r="I88" s="59">
        <f t="shared" si="18"/>
        <v>0</v>
      </c>
      <c r="J88" s="43"/>
      <c r="K88" s="43"/>
      <c r="L88" s="5"/>
      <c r="M88" s="42"/>
      <c r="N88" s="42"/>
      <c r="O88" s="42"/>
      <c r="P88" s="43"/>
      <c r="Q88" s="42"/>
      <c r="R88" s="42"/>
      <c r="S88" s="42"/>
      <c r="T88" s="42"/>
      <c r="U88" s="42"/>
      <c r="V88" s="42"/>
    </row>
    <row r="89" spans="4:22" x14ac:dyDescent="0.2">
      <c r="D89" s="47" t="s">
        <v>127</v>
      </c>
      <c r="E89" s="36" t="s">
        <v>23</v>
      </c>
      <c r="G89" s="59">
        <f>K89*$G$168</f>
        <v>845.94381153117581</v>
      </c>
      <c r="H89" s="59">
        <f>K89*$H$168</f>
        <v>60.886316361073931</v>
      </c>
      <c r="I89" s="59">
        <f>K89*$I$168</f>
        <v>2513.169589611678</v>
      </c>
      <c r="J89" s="18">
        <v>0</v>
      </c>
      <c r="K89" s="18">
        <v>3420</v>
      </c>
      <c r="L89" s="5"/>
      <c r="M89" s="19">
        <f t="shared" ref="M89:Q90" si="24">G89</f>
        <v>845.94381153117581</v>
      </c>
      <c r="N89" s="19">
        <f t="shared" si="24"/>
        <v>60.886316361073931</v>
      </c>
      <c r="O89" s="19">
        <f t="shared" si="24"/>
        <v>2513.169589611678</v>
      </c>
      <c r="P89" s="18">
        <f t="shared" si="24"/>
        <v>0</v>
      </c>
      <c r="Q89" s="18">
        <f>K89</f>
        <v>3420</v>
      </c>
      <c r="R89" s="18"/>
      <c r="S89" s="18"/>
      <c r="T89" s="18"/>
      <c r="U89" s="18"/>
      <c r="V89" s="18"/>
    </row>
    <row r="90" spans="4:22" x14ac:dyDescent="0.2">
      <c r="D90" s="11"/>
      <c r="E90" s="36" t="s">
        <v>25</v>
      </c>
      <c r="G90" s="59">
        <f t="shared" si="16"/>
        <v>0</v>
      </c>
      <c r="H90" s="59">
        <f t="shared" si="17"/>
        <v>0</v>
      </c>
      <c r="I90" s="59">
        <f t="shared" si="18"/>
        <v>0</v>
      </c>
      <c r="J90" s="43">
        <v>0</v>
      </c>
      <c r="K90" s="43">
        <v>0</v>
      </c>
      <c r="L90" s="5"/>
      <c r="M90" s="42">
        <f t="shared" si="24"/>
        <v>0</v>
      </c>
      <c r="N90" s="42">
        <f t="shared" si="24"/>
        <v>0</v>
      </c>
      <c r="O90" s="42">
        <f t="shared" si="24"/>
        <v>0</v>
      </c>
      <c r="P90" s="43">
        <f t="shared" si="24"/>
        <v>0</v>
      </c>
      <c r="Q90" s="42">
        <f t="shared" si="24"/>
        <v>0</v>
      </c>
      <c r="R90" s="42"/>
      <c r="S90" s="42"/>
      <c r="T90" s="42"/>
      <c r="U90" s="42"/>
      <c r="V90" s="42"/>
    </row>
    <row r="91" spans="4:22" x14ac:dyDescent="0.2">
      <c r="D91" s="11"/>
      <c r="E91" s="36"/>
      <c r="G91" s="59">
        <f t="shared" si="16"/>
        <v>0</v>
      </c>
      <c r="H91" s="59">
        <f t="shared" si="17"/>
        <v>0</v>
      </c>
      <c r="I91" s="59">
        <f t="shared" si="18"/>
        <v>0</v>
      </c>
      <c r="J91" s="43"/>
      <c r="K91" s="43"/>
      <c r="L91" s="5"/>
      <c r="M91" s="42"/>
      <c r="N91" s="42"/>
      <c r="O91" s="42"/>
      <c r="P91" s="43"/>
      <c r="Q91" s="42"/>
      <c r="R91" s="42"/>
      <c r="S91" s="42"/>
      <c r="T91" s="42"/>
      <c r="U91" s="42"/>
      <c r="V91" s="42"/>
    </row>
    <row r="92" spans="4:22" x14ac:dyDescent="0.2">
      <c r="D92" s="47" t="s">
        <v>76</v>
      </c>
      <c r="E92" s="36" t="s">
        <v>23</v>
      </c>
      <c r="G92" s="59">
        <f>K92*$G$168</f>
        <v>280.49715856033725</v>
      </c>
      <c r="H92" s="59">
        <f>K92*$H$168</f>
        <v>20.188620688145566</v>
      </c>
      <c r="I92" s="59">
        <f>K92*$I$168</f>
        <v>833.31412708176686</v>
      </c>
      <c r="J92" s="18">
        <v>0</v>
      </c>
      <c r="K92" s="18">
        <v>1134</v>
      </c>
      <c r="L92" s="5"/>
      <c r="M92" s="19">
        <f t="shared" ref="M92:Q93" si="25">G92</f>
        <v>280.49715856033725</v>
      </c>
      <c r="N92" s="19">
        <f t="shared" si="25"/>
        <v>20.188620688145566</v>
      </c>
      <c r="O92" s="19">
        <f t="shared" si="25"/>
        <v>833.31412708176686</v>
      </c>
      <c r="P92" s="18">
        <f t="shared" si="25"/>
        <v>0</v>
      </c>
      <c r="Q92" s="18">
        <f>K92</f>
        <v>1134</v>
      </c>
      <c r="R92" s="18"/>
      <c r="S92" s="18"/>
      <c r="T92" s="18"/>
      <c r="U92" s="18"/>
      <c r="V92" s="18"/>
    </row>
    <row r="93" spans="4:22" x14ac:dyDescent="0.2">
      <c r="D93" s="11"/>
      <c r="E93" s="36" t="s">
        <v>25</v>
      </c>
      <c r="G93" s="59">
        <f t="shared" si="16"/>
        <v>0</v>
      </c>
      <c r="H93" s="59">
        <f t="shared" si="17"/>
        <v>0</v>
      </c>
      <c r="I93" s="59">
        <f t="shared" si="18"/>
        <v>0</v>
      </c>
      <c r="J93" s="43">
        <v>0</v>
      </c>
      <c r="K93" s="43">
        <v>0</v>
      </c>
      <c r="L93" s="5"/>
      <c r="M93" s="42">
        <f t="shared" si="25"/>
        <v>0</v>
      </c>
      <c r="N93" s="42">
        <f t="shared" si="25"/>
        <v>0</v>
      </c>
      <c r="O93" s="42">
        <f t="shared" si="25"/>
        <v>0</v>
      </c>
      <c r="P93" s="43">
        <f t="shared" si="25"/>
        <v>0</v>
      </c>
      <c r="Q93" s="42">
        <f t="shared" si="25"/>
        <v>0</v>
      </c>
      <c r="R93" s="42"/>
      <c r="S93" s="42"/>
      <c r="T93" s="42"/>
      <c r="U93" s="42"/>
      <c r="V93" s="42"/>
    </row>
    <row r="94" spans="4:22" x14ac:dyDescent="0.2">
      <c r="D94" s="11"/>
      <c r="E94" s="36"/>
      <c r="G94" s="59">
        <f t="shared" si="16"/>
        <v>0</v>
      </c>
      <c r="H94" s="59">
        <f t="shared" si="17"/>
        <v>0</v>
      </c>
      <c r="I94" s="59">
        <f t="shared" si="18"/>
        <v>0</v>
      </c>
      <c r="J94" s="43"/>
      <c r="K94" s="43"/>
      <c r="L94" s="5"/>
      <c r="M94" s="42"/>
      <c r="N94" s="42"/>
      <c r="O94" s="42"/>
      <c r="P94" s="43"/>
      <c r="Q94" s="42"/>
      <c r="R94" s="42"/>
      <c r="S94" s="42"/>
      <c r="T94" s="42"/>
      <c r="U94" s="42"/>
      <c r="V94" s="42"/>
    </row>
    <row r="95" spans="4:22" x14ac:dyDescent="0.2">
      <c r="D95" s="11" t="s">
        <v>128</v>
      </c>
      <c r="E95" s="36" t="s">
        <v>23</v>
      </c>
      <c r="G95" s="59">
        <f>K95*$G$168</f>
        <v>2814.8656652704035</v>
      </c>
      <c r="H95" s="59">
        <f>K95*$H$168</f>
        <v>202.59832754064951</v>
      </c>
      <c r="I95" s="59">
        <f>K95*$I$168</f>
        <v>8362.5350671873966</v>
      </c>
      <c r="J95" s="18">
        <v>0</v>
      </c>
      <c r="K95" s="18">
        <v>11380</v>
      </c>
      <c r="L95" s="5"/>
      <c r="M95" s="19">
        <f t="shared" ref="M95:Q96" si="26">G95</f>
        <v>2814.8656652704035</v>
      </c>
      <c r="N95" s="19">
        <f t="shared" si="26"/>
        <v>202.59832754064951</v>
      </c>
      <c r="O95" s="19">
        <f t="shared" si="26"/>
        <v>8362.5350671873966</v>
      </c>
      <c r="P95" s="18">
        <f t="shared" si="26"/>
        <v>0</v>
      </c>
      <c r="Q95" s="18">
        <f>K95</f>
        <v>11380</v>
      </c>
      <c r="R95" s="42"/>
      <c r="S95" s="42"/>
      <c r="T95" s="42"/>
      <c r="U95" s="42"/>
      <c r="V95" s="42"/>
    </row>
    <row r="96" spans="4:22" x14ac:dyDescent="0.2">
      <c r="D96" s="11"/>
      <c r="E96" s="36" t="s">
        <v>25</v>
      </c>
      <c r="G96" s="59">
        <f t="shared" ref="G96:G115" si="27">K96*$G$168</f>
        <v>0</v>
      </c>
      <c r="H96" s="59">
        <f t="shared" ref="H96:H115" si="28">K96*$H$168</f>
        <v>0</v>
      </c>
      <c r="I96" s="59">
        <f t="shared" ref="I96:I115" si="29">K96*$I$168</f>
        <v>0</v>
      </c>
      <c r="J96" s="43">
        <v>0</v>
      </c>
      <c r="K96" s="43">
        <v>0</v>
      </c>
      <c r="L96" s="5"/>
      <c r="M96" s="42">
        <f t="shared" si="26"/>
        <v>0</v>
      </c>
      <c r="N96" s="42">
        <f t="shared" si="26"/>
        <v>0</v>
      </c>
      <c r="O96" s="42">
        <f t="shared" si="26"/>
        <v>0</v>
      </c>
      <c r="P96" s="43">
        <f t="shared" si="26"/>
        <v>0</v>
      </c>
      <c r="Q96" s="42">
        <f t="shared" si="26"/>
        <v>0</v>
      </c>
      <c r="R96" s="42"/>
      <c r="S96" s="42"/>
      <c r="T96" s="42"/>
      <c r="U96" s="42"/>
      <c r="V96" s="42"/>
    </row>
    <row r="97" spans="4:22" x14ac:dyDescent="0.2">
      <c r="D97" s="11"/>
      <c r="E97" s="36"/>
      <c r="G97" s="59">
        <f t="shared" si="27"/>
        <v>0</v>
      </c>
      <c r="H97" s="59">
        <f t="shared" si="28"/>
        <v>0</v>
      </c>
      <c r="I97" s="59">
        <f t="shared" si="29"/>
        <v>0</v>
      </c>
      <c r="J97" s="11"/>
      <c r="K97" s="11"/>
      <c r="L97" s="5"/>
      <c r="P97" s="11"/>
    </row>
    <row r="98" spans="4:22" x14ac:dyDescent="0.2">
      <c r="D98" s="11" t="s">
        <v>129</v>
      </c>
      <c r="E98" s="36" t="s">
        <v>23</v>
      </c>
      <c r="G98" s="59">
        <f>K98*$G$168</f>
        <v>11920.634534830981</v>
      </c>
      <c r="H98" s="59">
        <f>K98*$H$168</f>
        <v>857.98077321322683</v>
      </c>
      <c r="I98" s="59">
        <f>K98*$I$168</f>
        <v>35414.380711156606</v>
      </c>
      <c r="J98" s="18">
        <v>0</v>
      </c>
      <c r="K98" s="18">
        <v>48193</v>
      </c>
      <c r="L98" s="5"/>
      <c r="M98" s="19">
        <f t="shared" ref="M98:Q99" si="30">G98</f>
        <v>11920.634534830981</v>
      </c>
      <c r="N98" s="19">
        <f t="shared" si="30"/>
        <v>857.98077321322683</v>
      </c>
      <c r="O98" s="19">
        <f t="shared" si="30"/>
        <v>35414.380711156606</v>
      </c>
      <c r="P98" s="18">
        <f t="shared" si="30"/>
        <v>0</v>
      </c>
      <c r="Q98" s="18">
        <f>K98</f>
        <v>48193</v>
      </c>
      <c r="R98" s="42"/>
      <c r="S98" s="42"/>
      <c r="T98" s="42"/>
      <c r="U98" s="42"/>
      <c r="V98" s="42"/>
    </row>
    <row r="99" spans="4:22" x14ac:dyDescent="0.2">
      <c r="D99" s="11"/>
      <c r="E99" s="36" t="s">
        <v>25</v>
      </c>
      <c r="G99" s="59">
        <f t="shared" si="27"/>
        <v>0</v>
      </c>
      <c r="H99" s="59">
        <f t="shared" si="28"/>
        <v>0</v>
      </c>
      <c r="I99" s="59">
        <f t="shared" si="29"/>
        <v>0</v>
      </c>
      <c r="J99" s="43">
        <v>0</v>
      </c>
      <c r="K99" s="43">
        <v>0</v>
      </c>
      <c r="L99" s="5"/>
      <c r="M99" s="42">
        <f t="shared" si="30"/>
        <v>0</v>
      </c>
      <c r="N99" s="42">
        <f t="shared" si="30"/>
        <v>0</v>
      </c>
      <c r="O99" s="42">
        <f t="shared" si="30"/>
        <v>0</v>
      </c>
      <c r="P99" s="43">
        <f t="shared" si="30"/>
        <v>0</v>
      </c>
      <c r="Q99" s="42">
        <f t="shared" si="30"/>
        <v>0</v>
      </c>
      <c r="R99" s="42"/>
      <c r="S99" s="42"/>
      <c r="T99" s="42"/>
      <c r="U99" s="42"/>
      <c r="V99" s="42"/>
    </row>
    <row r="100" spans="4:22" x14ac:dyDescent="0.2">
      <c r="D100" s="11"/>
      <c r="E100" s="36"/>
      <c r="G100" s="59">
        <f t="shared" si="27"/>
        <v>0</v>
      </c>
      <c r="H100" s="59">
        <f t="shared" si="28"/>
        <v>0</v>
      </c>
      <c r="I100" s="59">
        <f t="shared" si="29"/>
        <v>0</v>
      </c>
      <c r="J100" s="11"/>
      <c r="K100" s="11"/>
      <c r="L100" s="5"/>
      <c r="P100" s="11"/>
    </row>
    <row r="101" spans="4:22" x14ac:dyDescent="0.2">
      <c r="D101" s="11" t="s">
        <v>130</v>
      </c>
      <c r="E101" s="36" t="s">
        <v>23</v>
      </c>
      <c r="G101" s="59">
        <f>K101*$G$168</f>
        <v>16616.61209679571</v>
      </c>
      <c r="H101" s="59">
        <f>K101*$H$168</f>
        <v>1195.9710410831065</v>
      </c>
      <c r="I101" s="59">
        <f>K101*$I$168</f>
        <v>49365.411313138393</v>
      </c>
      <c r="J101" s="18">
        <v>0</v>
      </c>
      <c r="K101" s="18">
        <v>67178</v>
      </c>
      <c r="L101" s="5"/>
      <c r="M101" s="19">
        <f t="shared" ref="M101:Q102" si="31">G101</f>
        <v>16616.61209679571</v>
      </c>
      <c r="N101" s="19">
        <f t="shared" si="31"/>
        <v>1195.9710410831065</v>
      </c>
      <c r="O101" s="19">
        <f t="shared" si="31"/>
        <v>49365.411313138393</v>
      </c>
      <c r="P101" s="18">
        <f t="shared" si="31"/>
        <v>0</v>
      </c>
      <c r="Q101" s="18">
        <f>K101</f>
        <v>67178</v>
      </c>
      <c r="R101" s="42"/>
      <c r="S101" s="42"/>
      <c r="T101" s="42"/>
      <c r="U101" s="42"/>
      <c r="V101" s="42"/>
    </row>
    <row r="102" spans="4:22" x14ac:dyDescent="0.2">
      <c r="D102" s="11"/>
      <c r="E102" s="36" t="s">
        <v>25</v>
      </c>
      <c r="G102" s="59">
        <f t="shared" si="27"/>
        <v>0</v>
      </c>
      <c r="H102" s="59">
        <f t="shared" si="28"/>
        <v>0</v>
      </c>
      <c r="I102" s="59">
        <f t="shared" si="29"/>
        <v>0</v>
      </c>
      <c r="J102" s="43">
        <v>0</v>
      </c>
      <c r="K102" s="43">
        <v>0</v>
      </c>
      <c r="L102" s="5"/>
      <c r="M102" s="42">
        <f t="shared" si="31"/>
        <v>0</v>
      </c>
      <c r="N102" s="42">
        <f t="shared" si="31"/>
        <v>0</v>
      </c>
      <c r="O102" s="42">
        <f t="shared" si="31"/>
        <v>0</v>
      </c>
      <c r="P102" s="43">
        <f t="shared" si="31"/>
        <v>0</v>
      </c>
      <c r="Q102" s="42">
        <f t="shared" si="31"/>
        <v>0</v>
      </c>
      <c r="R102" s="42"/>
      <c r="S102" s="42"/>
      <c r="T102" s="42"/>
      <c r="U102" s="42"/>
      <c r="V102" s="42"/>
    </row>
    <row r="103" spans="4:22" x14ac:dyDescent="0.2">
      <c r="D103" s="11"/>
      <c r="E103" s="36"/>
      <c r="G103" s="59">
        <f t="shared" si="27"/>
        <v>0</v>
      </c>
      <c r="H103" s="59">
        <f t="shared" si="28"/>
        <v>0</v>
      </c>
      <c r="I103" s="59">
        <f t="shared" si="29"/>
        <v>0</v>
      </c>
      <c r="J103" s="11"/>
      <c r="K103" s="11"/>
      <c r="L103" s="5"/>
      <c r="P103" s="11"/>
    </row>
    <row r="104" spans="4:22" x14ac:dyDescent="0.2">
      <c r="D104" s="11" t="s">
        <v>131</v>
      </c>
      <c r="E104" s="36" t="s">
        <v>23</v>
      </c>
      <c r="G104" s="59">
        <f>K104*$G$168</f>
        <v>2139.8420799871933</v>
      </c>
      <c r="H104" s="59">
        <f>K104*$H$168</f>
        <v>154.01389556714929</v>
      </c>
      <c r="I104" s="59">
        <f>K104*$I$168</f>
        <v>6357.1433098627558</v>
      </c>
      <c r="J104" s="18">
        <v>0</v>
      </c>
      <c r="K104" s="18">
        <v>8651</v>
      </c>
      <c r="L104" s="5"/>
      <c r="M104" s="19">
        <f t="shared" ref="M104:Q105" si="32">G104</f>
        <v>2139.8420799871933</v>
      </c>
      <c r="N104" s="19">
        <f t="shared" si="32"/>
        <v>154.01389556714929</v>
      </c>
      <c r="O104" s="19">
        <f t="shared" si="32"/>
        <v>6357.1433098627558</v>
      </c>
      <c r="P104" s="18">
        <f t="shared" si="32"/>
        <v>0</v>
      </c>
      <c r="Q104" s="18">
        <f>K104</f>
        <v>8651</v>
      </c>
      <c r="R104" s="42"/>
      <c r="S104" s="42"/>
      <c r="T104" s="42"/>
      <c r="U104" s="42"/>
      <c r="V104" s="42"/>
    </row>
    <row r="105" spans="4:22" x14ac:dyDescent="0.2">
      <c r="D105" s="11"/>
      <c r="E105" s="36" t="s">
        <v>25</v>
      </c>
      <c r="G105" s="59">
        <f t="shared" si="27"/>
        <v>0</v>
      </c>
      <c r="H105" s="59">
        <f t="shared" si="28"/>
        <v>0</v>
      </c>
      <c r="I105" s="59">
        <f t="shared" si="29"/>
        <v>0</v>
      </c>
      <c r="J105" s="43">
        <v>0</v>
      </c>
      <c r="K105" s="43">
        <v>0</v>
      </c>
      <c r="L105" s="5"/>
      <c r="M105" s="42">
        <f t="shared" si="32"/>
        <v>0</v>
      </c>
      <c r="N105" s="42">
        <f t="shared" si="32"/>
        <v>0</v>
      </c>
      <c r="O105" s="42">
        <f t="shared" si="32"/>
        <v>0</v>
      </c>
      <c r="P105" s="43">
        <f t="shared" si="32"/>
        <v>0</v>
      </c>
      <c r="Q105" s="42">
        <f t="shared" si="32"/>
        <v>0</v>
      </c>
      <c r="R105" s="42"/>
      <c r="S105" s="42"/>
      <c r="T105" s="42"/>
      <c r="U105" s="42"/>
      <c r="V105" s="42"/>
    </row>
    <row r="106" spans="4:22" x14ac:dyDescent="0.2">
      <c r="D106" s="11"/>
      <c r="E106" s="36"/>
      <c r="G106" s="59">
        <f t="shared" si="27"/>
        <v>0</v>
      </c>
      <c r="H106" s="59">
        <f t="shared" si="28"/>
        <v>0</v>
      </c>
      <c r="I106" s="59">
        <f t="shared" si="29"/>
        <v>0</v>
      </c>
      <c r="J106" s="11"/>
      <c r="K106" s="11"/>
      <c r="L106" s="5"/>
      <c r="P106" s="11"/>
    </row>
    <row r="107" spans="4:22" x14ac:dyDescent="0.2">
      <c r="D107" s="11" t="s">
        <v>132</v>
      </c>
      <c r="E107" s="36" t="s">
        <v>23</v>
      </c>
      <c r="G107" s="59">
        <f>K107*$G$168</f>
        <v>448.94386489154505</v>
      </c>
      <c r="H107" s="59">
        <f>K107*$H$168</f>
        <v>32.312474910920812</v>
      </c>
      <c r="I107" s="59">
        <f>K107*$I$168</f>
        <v>1333.7435102763729</v>
      </c>
      <c r="J107" s="18">
        <v>0</v>
      </c>
      <c r="K107" s="18">
        <v>1815</v>
      </c>
      <c r="L107" s="5"/>
      <c r="M107" s="19">
        <f t="shared" ref="M107:Q108" si="33">G107</f>
        <v>448.94386489154505</v>
      </c>
      <c r="N107" s="19">
        <f t="shared" si="33"/>
        <v>32.312474910920812</v>
      </c>
      <c r="O107" s="19">
        <f t="shared" si="33"/>
        <v>1333.7435102763729</v>
      </c>
      <c r="P107" s="18">
        <f t="shared" si="33"/>
        <v>0</v>
      </c>
      <c r="Q107" s="18">
        <f>K107</f>
        <v>1815</v>
      </c>
      <c r="R107" s="42"/>
      <c r="S107" s="42"/>
      <c r="T107" s="42"/>
      <c r="U107" s="42"/>
      <c r="V107" s="42"/>
    </row>
    <row r="108" spans="4:22" x14ac:dyDescent="0.2">
      <c r="D108" s="11"/>
      <c r="E108" s="36" t="s">
        <v>25</v>
      </c>
      <c r="G108" s="59">
        <f t="shared" si="27"/>
        <v>0</v>
      </c>
      <c r="H108" s="59">
        <f t="shared" si="28"/>
        <v>0</v>
      </c>
      <c r="I108" s="59">
        <f t="shared" si="29"/>
        <v>0</v>
      </c>
      <c r="J108" s="43">
        <v>0</v>
      </c>
      <c r="K108" s="43">
        <v>0</v>
      </c>
      <c r="L108" s="5"/>
      <c r="M108" s="42">
        <f t="shared" si="33"/>
        <v>0</v>
      </c>
      <c r="N108" s="42">
        <f t="shared" si="33"/>
        <v>0</v>
      </c>
      <c r="O108" s="42">
        <f t="shared" si="33"/>
        <v>0</v>
      </c>
      <c r="P108" s="43">
        <f t="shared" si="33"/>
        <v>0</v>
      </c>
      <c r="Q108" s="42">
        <f t="shared" si="33"/>
        <v>0</v>
      </c>
      <c r="R108" s="42"/>
      <c r="S108" s="42"/>
      <c r="T108" s="42"/>
      <c r="U108" s="42"/>
      <c r="V108" s="42"/>
    </row>
    <row r="109" spans="4:22" x14ac:dyDescent="0.2">
      <c r="D109" s="11"/>
      <c r="E109" s="36"/>
      <c r="G109" s="59">
        <f t="shared" si="27"/>
        <v>0</v>
      </c>
      <c r="H109" s="59">
        <f t="shared" si="28"/>
        <v>0</v>
      </c>
      <c r="I109" s="59">
        <f t="shared" si="29"/>
        <v>0</v>
      </c>
      <c r="J109" s="11"/>
      <c r="K109" s="11"/>
      <c r="L109" s="5"/>
      <c r="P109" s="11"/>
    </row>
    <row r="110" spans="4:22" x14ac:dyDescent="0.2">
      <c r="D110" s="11" t="s">
        <v>133</v>
      </c>
      <c r="E110" s="36" t="s">
        <v>23</v>
      </c>
      <c r="G110" s="59">
        <f>K110*$G$168</f>
        <v>178138.20471705665</v>
      </c>
      <c r="H110" s="59">
        <f>K110*$H$168</f>
        <v>12821.394211472101</v>
      </c>
      <c r="I110" s="59">
        <f>K110*$I$168</f>
        <v>529221.34158366313</v>
      </c>
      <c r="J110" s="18">
        <v>0</v>
      </c>
      <c r="K110" s="18">
        <v>720181</v>
      </c>
      <c r="L110" s="5"/>
      <c r="M110" s="19">
        <f t="shared" ref="M110:Q111" si="34">G110</f>
        <v>178138.20471705665</v>
      </c>
      <c r="N110" s="19">
        <f t="shared" si="34"/>
        <v>12821.394211472101</v>
      </c>
      <c r="O110" s="19">
        <f t="shared" si="34"/>
        <v>529221.34158366313</v>
      </c>
      <c r="P110" s="18">
        <f t="shared" si="34"/>
        <v>0</v>
      </c>
      <c r="Q110" s="18">
        <f>K110</f>
        <v>720181</v>
      </c>
      <c r="R110" s="42"/>
      <c r="S110" s="42"/>
      <c r="T110" s="42"/>
      <c r="U110" s="42"/>
      <c r="V110" s="42"/>
    </row>
    <row r="111" spans="4:22" x14ac:dyDescent="0.2">
      <c r="D111" s="11"/>
      <c r="E111" s="36" t="s">
        <v>25</v>
      </c>
      <c r="G111" s="59">
        <f t="shared" si="27"/>
        <v>0</v>
      </c>
      <c r="H111" s="59">
        <f t="shared" si="28"/>
        <v>0</v>
      </c>
      <c r="I111" s="59">
        <f t="shared" si="29"/>
        <v>0</v>
      </c>
      <c r="J111" s="43">
        <v>0</v>
      </c>
      <c r="K111" s="43">
        <v>0</v>
      </c>
      <c r="L111" s="5"/>
      <c r="M111" s="42">
        <f t="shared" si="34"/>
        <v>0</v>
      </c>
      <c r="N111" s="42">
        <f t="shared" si="34"/>
        <v>0</v>
      </c>
      <c r="O111" s="42">
        <f t="shared" si="34"/>
        <v>0</v>
      </c>
      <c r="P111" s="43">
        <f t="shared" si="34"/>
        <v>0</v>
      </c>
      <c r="Q111" s="42">
        <f t="shared" si="34"/>
        <v>0</v>
      </c>
      <c r="R111" s="42"/>
      <c r="S111" s="42"/>
      <c r="T111" s="42"/>
      <c r="U111" s="42"/>
      <c r="V111" s="42"/>
    </row>
    <row r="112" spans="4:22" x14ac:dyDescent="0.2">
      <c r="D112" s="11"/>
      <c r="E112" s="36"/>
      <c r="G112" s="59">
        <f t="shared" si="27"/>
        <v>0</v>
      </c>
      <c r="H112" s="59">
        <f t="shared" si="28"/>
        <v>0</v>
      </c>
      <c r="I112" s="59">
        <f t="shared" si="29"/>
        <v>0</v>
      </c>
      <c r="J112" s="11"/>
      <c r="K112" s="11"/>
      <c r="L112" s="5"/>
      <c r="P112" s="11"/>
    </row>
    <row r="113" spans="4:22" x14ac:dyDescent="0.2">
      <c r="D113" s="11" t="s">
        <v>134</v>
      </c>
      <c r="E113" s="36" t="s">
        <v>23</v>
      </c>
      <c r="G113" s="59">
        <f>K113*$G$168</f>
        <v>2063.9050185427282</v>
      </c>
      <c r="H113" s="59">
        <f>K113*$H$168</f>
        <v>148.5483695078365</v>
      </c>
      <c r="I113" s="59">
        <f>K113*$I$168</f>
        <v>6131.5459227250994</v>
      </c>
      <c r="J113" s="18">
        <v>0</v>
      </c>
      <c r="K113" s="18">
        <v>8344</v>
      </c>
      <c r="L113" s="5"/>
      <c r="M113" s="19">
        <f t="shared" ref="M113:Q114" si="35">G113</f>
        <v>2063.9050185427282</v>
      </c>
      <c r="N113" s="19">
        <f t="shared" si="35"/>
        <v>148.5483695078365</v>
      </c>
      <c r="O113" s="19">
        <f t="shared" si="35"/>
        <v>6131.5459227250994</v>
      </c>
      <c r="P113" s="18">
        <f t="shared" si="35"/>
        <v>0</v>
      </c>
      <c r="Q113" s="18">
        <f>K113</f>
        <v>8344</v>
      </c>
      <c r="R113" s="42"/>
      <c r="S113" s="42"/>
      <c r="T113" s="42"/>
      <c r="U113" s="42"/>
      <c r="V113" s="42"/>
    </row>
    <row r="114" spans="4:22" x14ac:dyDescent="0.2">
      <c r="D114" s="11"/>
      <c r="E114" s="36" t="s">
        <v>25</v>
      </c>
      <c r="G114" s="59">
        <f t="shared" si="27"/>
        <v>0</v>
      </c>
      <c r="H114" s="59">
        <f t="shared" si="28"/>
        <v>0</v>
      </c>
      <c r="I114" s="59">
        <f t="shared" si="29"/>
        <v>0</v>
      </c>
      <c r="J114" s="43">
        <v>0</v>
      </c>
      <c r="K114" s="43">
        <v>0</v>
      </c>
      <c r="L114" s="5"/>
      <c r="M114" s="42">
        <f t="shared" si="35"/>
        <v>0</v>
      </c>
      <c r="N114" s="42">
        <f t="shared" si="35"/>
        <v>0</v>
      </c>
      <c r="O114" s="42">
        <f t="shared" si="35"/>
        <v>0</v>
      </c>
      <c r="P114" s="43">
        <f t="shared" si="35"/>
        <v>0</v>
      </c>
      <c r="Q114" s="42">
        <f t="shared" si="35"/>
        <v>0</v>
      </c>
      <c r="R114" s="42"/>
      <c r="S114" s="42"/>
      <c r="T114" s="42"/>
      <c r="U114" s="42"/>
      <c r="V114" s="42"/>
    </row>
    <row r="115" spans="4:22" x14ac:dyDescent="0.2">
      <c r="D115" s="11"/>
      <c r="E115" s="36"/>
      <c r="G115" s="59">
        <f t="shared" si="27"/>
        <v>0</v>
      </c>
      <c r="H115" s="59">
        <f t="shared" si="28"/>
        <v>0</v>
      </c>
      <c r="I115" s="59">
        <f t="shared" si="29"/>
        <v>0</v>
      </c>
      <c r="J115" s="11"/>
      <c r="K115" s="11"/>
      <c r="L115" s="5"/>
      <c r="P115" s="11"/>
    </row>
    <row r="116" spans="4:22" x14ac:dyDescent="0.2">
      <c r="D116" s="11" t="s">
        <v>116</v>
      </c>
      <c r="E116" s="36" t="s">
        <v>23</v>
      </c>
      <c r="G116" s="59">
        <f>K116*$G$168</f>
        <v>7083.171633627705</v>
      </c>
      <c r="H116" s="59">
        <f>K116*$H$168</f>
        <v>509.80717991687516</v>
      </c>
      <c r="I116" s="59">
        <f>K116*$I$168</f>
        <v>21043.01882108772</v>
      </c>
      <c r="J116" s="18">
        <v>0</v>
      </c>
      <c r="K116" s="18">
        <f>28036+600</f>
        <v>28636</v>
      </c>
      <c r="L116" s="5"/>
      <c r="M116" s="19">
        <f t="shared" ref="M116:Q117" si="36">G116</f>
        <v>7083.171633627705</v>
      </c>
      <c r="N116" s="19">
        <f t="shared" si="36"/>
        <v>509.80717991687516</v>
      </c>
      <c r="O116" s="19">
        <f t="shared" si="36"/>
        <v>21043.01882108772</v>
      </c>
      <c r="P116" s="18">
        <f t="shared" si="36"/>
        <v>0</v>
      </c>
      <c r="Q116" s="18">
        <f>K116</f>
        <v>28636</v>
      </c>
      <c r="R116" s="42"/>
      <c r="S116" s="42"/>
      <c r="T116" s="42"/>
      <c r="U116" s="42"/>
      <c r="V116" s="42"/>
    </row>
    <row r="117" spans="4:22" x14ac:dyDescent="0.2">
      <c r="D117" s="11"/>
      <c r="E117" s="36" t="s">
        <v>25</v>
      </c>
      <c r="G117" s="45">
        <f>$G$168*K117</f>
        <v>0</v>
      </c>
      <c r="H117" s="45">
        <f>$H$168*K117</f>
        <v>0</v>
      </c>
      <c r="I117" s="45">
        <f>$I$168*K117</f>
        <v>0</v>
      </c>
      <c r="J117" s="43">
        <v>0</v>
      </c>
      <c r="K117" s="43">
        <v>0</v>
      </c>
      <c r="L117" s="5"/>
      <c r="M117" s="42">
        <f t="shared" si="36"/>
        <v>0</v>
      </c>
      <c r="N117" s="42">
        <f t="shared" si="36"/>
        <v>0</v>
      </c>
      <c r="O117" s="42">
        <f t="shared" si="36"/>
        <v>0</v>
      </c>
      <c r="P117" s="43">
        <f t="shared" si="36"/>
        <v>0</v>
      </c>
      <c r="Q117" s="42">
        <f t="shared" si="36"/>
        <v>0</v>
      </c>
      <c r="R117" s="42"/>
      <c r="S117" s="42"/>
      <c r="T117" s="42"/>
      <c r="U117" s="42"/>
      <c r="V117" s="42"/>
    </row>
    <row r="118" spans="4:22" x14ac:dyDescent="0.2">
      <c r="D118" s="11"/>
      <c r="E118" s="36"/>
      <c r="J118" s="11"/>
      <c r="K118" s="11"/>
      <c r="L118" s="5"/>
      <c r="P118" s="11"/>
    </row>
    <row r="119" spans="4:22" x14ac:dyDescent="0.2">
      <c r="D119" s="47" t="s">
        <v>135</v>
      </c>
      <c r="E119" s="36" t="s">
        <v>23</v>
      </c>
      <c r="G119" s="19">
        <v>0</v>
      </c>
      <c r="H119" s="19">
        <v>0</v>
      </c>
      <c r="I119" s="19">
        <v>262849</v>
      </c>
      <c r="J119" s="18">
        <v>0</v>
      </c>
      <c r="K119" s="18">
        <v>262849</v>
      </c>
      <c r="L119" s="5"/>
      <c r="M119" s="19">
        <f t="shared" ref="M119:Q120" si="37">G119</f>
        <v>0</v>
      </c>
      <c r="N119" s="19">
        <f t="shared" si="37"/>
        <v>0</v>
      </c>
      <c r="O119" s="19">
        <f t="shared" si="37"/>
        <v>262849</v>
      </c>
      <c r="P119" s="18">
        <f t="shared" si="37"/>
        <v>0</v>
      </c>
      <c r="Q119" s="18">
        <f>K119</f>
        <v>262849</v>
      </c>
    </row>
    <row r="120" spans="4:22" x14ac:dyDescent="0.2">
      <c r="D120" s="11"/>
      <c r="E120" s="36" t="s">
        <v>25</v>
      </c>
      <c r="G120" s="45">
        <f>$G$168*K120</f>
        <v>0</v>
      </c>
      <c r="H120" s="45">
        <f>$H$168*K120</f>
        <v>0</v>
      </c>
      <c r="I120" s="45">
        <f>$I$168*K120</f>
        <v>0</v>
      </c>
      <c r="J120" s="43">
        <v>0</v>
      </c>
      <c r="K120" s="43">
        <v>0</v>
      </c>
      <c r="L120" s="5"/>
      <c r="M120" s="42">
        <f t="shared" si="37"/>
        <v>0</v>
      </c>
      <c r="N120" s="42">
        <f t="shared" si="37"/>
        <v>0</v>
      </c>
      <c r="O120" s="42">
        <f t="shared" si="37"/>
        <v>0</v>
      </c>
      <c r="P120" s="43">
        <f t="shared" si="37"/>
        <v>0</v>
      </c>
      <c r="Q120" s="42">
        <f t="shared" si="37"/>
        <v>0</v>
      </c>
    </row>
    <row r="121" spans="4:22" x14ac:dyDescent="0.2">
      <c r="D121" s="11"/>
      <c r="E121" s="36"/>
      <c r="J121" s="11"/>
      <c r="K121" s="11"/>
      <c r="L121" s="5"/>
      <c r="P121" s="11"/>
    </row>
    <row r="122" spans="4:22" x14ac:dyDescent="0.2">
      <c r="D122" s="11" t="s">
        <v>136</v>
      </c>
      <c r="E122" s="36" t="s">
        <v>23</v>
      </c>
      <c r="G122" s="59">
        <f>K122*$G$168</f>
        <v>537.49587791147519</v>
      </c>
      <c r="H122" s="59">
        <f>K122*$H$168</f>
        <v>38.685954810705745</v>
      </c>
      <c r="I122" s="59">
        <f>K122*$I$168</f>
        <v>1596.8179877854316</v>
      </c>
      <c r="J122" s="18">
        <v>0</v>
      </c>
      <c r="K122" s="18">
        <v>2173</v>
      </c>
      <c r="L122" s="5"/>
      <c r="M122" s="19">
        <f t="shared" ref="M122:Q123" si="38">G122</f>
        <v>537.49587791147519</v>
      </c>
      <c r="N122" s="19">
        <f t="shared" si="38"/>
        <v>38.685954810705745</v>
      </c>
      <c r="O122" s="19">
        <f t="shared" si="38"/>
        <v>1596.8179877854316</v>
      </c>
      <c r="P122" s="18">
        <f t="shared" si="38"/>
        <v>0</v>
      </c>
      <c r="Q122" s="18">
        <f>K122</f>
        <v>2173</v>
      </c>
      <c r="R122" s="42"/>
      <c r="S122" s="42"/>
      <c r="T122" s="42"/>
      <c r="U122" s="42"/>
      <c r="V122" s="42"/>
    </row>
    <row r="123" spans="4:22" x14ac:dyDescent="0.2">
      <c r="D123" s="11"/>
      <c r="E123" s="36" t="s">
        <v>25</v>
      </c>
      <c r="G123" s="59">
        <f t="shared" ref="G123:G127" si="39">K123*$G$168</f>
        <v>0</v>
      </c>
      <c r="H123" s="59">
        <f t="shared" ref="H123:H127" si="40">K123*$H$168</f>
        <v>0</v>
      </c>
      <c r="I123" s="59">
        <f t="shared" ref="I123:I127" si="41">K123*$I$168</f>
        <v>0</v>
      </c>
      <c r="J123" s="43">
        <v>0</v>
      </c>
      <c r="K123" s="43">
        <v>0</v>
      </c>
      <c r="L123" s="5"/>
      <c r="M123" s="42">
        <f t="shared" si="38"/>
        <v>0</v>
      </c>
      <c r="N123" s="42">
        <f t="shared" si="38"/>
        <v>0</v>
      </c>
      <c r="O123" s="42">
        <f t="shared" si="38"/>
        <v>0</v>
      </c>
      <c r="P123" s="43">
        <f t="shared" si="38"/>
        <v>0</v>
      </c>
      <c r="Q123" s="42">
        <f t="shared" si="38"/>
        <v>0</v>
      </c>
      <c r="R123" s="42"/>
      <c r="S123" s="42"/>
      <c r="T123" s="42"/>
      <c r="U123" s="42"/>
      <c r="V123" s="42"/>
    </row>
    <row r="124" spans="4:22" ht="12" customHeight="1" x14ac:dyDescent="0.2">
      <c r="D124" s="11"/>
      <c r="E124" s="36"/>
      <c r="G124" s="59">
        <f t="shared" si="39"/>
        <v>0</v>
      </c>
      <c r="H124" s="59">
        <f t="shared" si="40"/>
        <v>0</v>
      </c>
      <c r="I124" s="59">
        <f t="shared" si="41"/>
        <v>0</v>
      </c>
      <c r="J124" s="11"/>
      <c r="K124" s="11"/>
      <c r="L124" s="5"/>
      <c r="P124" s="11"/>
    </row>
    <row r="125" spans="4:22" x14ac:dyDescent="0.2">
      <c r="D125" s="11" t="s">
        <v>137</v>
      </c>
      <c r="E125" s="36" t="s">
        <v>23</v>
      </c>
      <c r="G125" s="59">
        <f>K125*$G$168</f>
        <v>30844.298657986714</v>
      </c>
      <c r="H125" s="59">
        <f>K125*$H$168</f>
        <v>2220.0005490038589</v>
      </c>
      <c r="I125" s="59">
        <f>K125*$I$168</f>
        <v>91633.690492806141</v>
      </c>
      <c r="J125" s="18">
        <v>0</v>
      </c>
      <c r="K125" s="18">
        <v>124698</v>
      </c>
      <c r="L125" s="5"/>
      <c r="M125" s="19">
        <f t="shared" ref="M125:Q126" si="42">G125</f>
        <v>30844.298657986714</v>
      </c>
      <c r="N125" s="19">
        <f t="shared" si="42"/>
        <v>2220.0005490038589</v>
      </c>
      <c r="O125" s="19">
        <f t="shared" si="42"/>
        <v>91633.690492806141</v>
      </c>
      <c r="P125" s="18">
        <f t="shared" si="42"/>
        <v>0</v>
      </c>
      <c r="Q125" s="18">
        <f>K125</f>
        <v>124698</v>
      </c>
      <c r="R125" s="42"/>
      <c r="S125" s="42"/>
      <c r="T125" s="42"/>
      <c r="U125" s="42"/>
      <c r="V125" s="42"/>
    </row>
    <row r="126" spans="4:22" x14ac:dyDescent="0.2">
      <c r="D126" s="11"/>
      <c r="E126" s="36" t="s">
        <v>25</v>
      </c>
      <c r="G126" s="59">
        <f t="shared" si="39"/>
        <v>0</v>
      </c>
      <c r="H126" s="59">
        <f t="shared" si="40"/>
        <v>0</v>
      </c>
      <c r="I126" s="59">
        <f t="shared" si="41"/>
        <v>0</v>
      </c>
      <c r="J126" s="43">
        <v>0</v>
      </c>
      <c r="K126" s="43">
        <v>0</v>
      </c>
      <c r="L126" s="5"/>
      <c r="M126" s="42">
        <f t="shared" si="42"/>
        <v>0</v>
      </c>
      <c r="N126" s="42">
        <f t="shared" si="42"/>
        <v>0</v>
      </c>
      <c r="O126" s="42">
        <f t="shared" si="42"/>
        <v>0</v>
      </c>
      <c r="P126" s="43">
        <f t="shared" si="42"/>
        <v>0</v>
      </c>
      <c r="Q126" s="42">
        <f t="shared" si="42"/>
        <v>0</v>
      </c>
      <c r="R126" s="42"/>
      <c r="S126" s="42"/>
      <c r="T126" s="42"/>
      <c r="U126" s="42"/>
      <c r="V126" s="42"/>
    </row>
    <row r="127" spans="4:22" x14ac:dyDescent="0.2">
      <c r="D127" s="11"/>
      <c r="E127" s="36"/>
      <c r="G127" s="59">
        <f t="shared" si="39"/>
        <v>0</v>
      </c>
      <c r="H127" s="59">
        <f t="shared" si="40"/>
        <v>0</v>
      </c>
      <c r="I127" s="59">
        <f t="shared" si="41"/>
        <v>0</v>
      </c>
      <c r="J127" s="11"/>
      <c r="K127" s="11"/>
      <c r="L127" s="5"/>
      <c r="P127" s="11"/>
    </row>
    <row r="128" spans="4:22" x14ac:dyDescent="0.2">
      <c r="D128" s="11" t="s">
        <v>138</v>
      </c>
      <c r="E128" s="36" t="s">
        <v>23</v>
      </c>
      <c r="G128" s="59">
        <f>K128*$G$168</f>
        <v>142186.82948694006</v>
      </c>
      <c r="H128" s="59">
        <f>K128*$H$168</f>
        <v>10233.814781208857</v>
      </c>
      <c r="I128" s="59">
        <f>K128*$I$168</f>
        <v>422415.30824971304</v>
      </c>
      <c r="J128" s="18">
        <v>0</v>
      </c>
      <c r="K128" s="18">
        <v>574836</v>
      </c>
      <c r="L128" s="5"/>
      <c r="M128" s="19">
        <f t="shared" ref="M128:Q129" si="43">G128</f>
        <v>142186.82948694006</v>
      </c>
      <c r="N128" s="19">
        <f t="shared" si="43"/>
        <v>10233.814781208857</v>
      </c>
      <c r="O128" s="19">
        <f t="shared" si="43"/>
        <v>422415.30824971304</v>
      </c>
      <c r="P128" s="18">
        <f t="shared" si="43"/>
        <v>0</v>
      </c>
      <c r="Q128" s="18">
        <f>K128</f>
        <v>574836</v>
      </c>
      <c r="R128" s="42"/>
      <c r="S128" s="42"/>
      <c r="T128" s="42"/>
      <c r="U128" s="42"/>
      <c r="V128" s="42"/>
    </row>
    <row r="129" spans="4:22" x14ac:dyDescent="0.2">
      <c r="D129" s="11"/>
      <c r="E129" s="36" t="s">
        <v>25</v>
      </c>
      <c r="G129" s="59">
        <f>K129*$G$168</f>
        <v>0</v>
      </c>
      <c r="H129" s="59">
        <f t="shared" ref="H129:H136" si="44">K129*$H$168</f>
        <v>0</v>
      </c>
      <c r="I129" s="59">
        <f t="shared" ref="I129:I136" si="45">K129*$I$168</f>
        <v>0</v>
      </c>
      <c r="J129" s="43">
        <v>0</v>
      </c>
      <c r="K129" s="43">
        <v>0</v>
      </c>
      <c r="L129" s="5"/>
      <c r="M129" s="42">
        <f t="shared" si="43"/>
        <v>0</v>
      </c>
      <c r="N129" s="42">
        <f t="shared" si="43"/>
        <v>0</v>
      </c>
      <c r="O129" s="42">
        <f t="shared" si="43"/>
        <v>0</v>
      </c>
      <c r="P129" s="43">
        <f t="shared" si="43"/>
        <v>0</v>
      </c>
      <c r="Q129" s="42">
        <f t="shared" si="43"/>
        <v>0</v>
      </c>
      <c r="R129" s="42"/>
      <c r="S129" s="42"/>
      <c r="T129" s="42"/>
      <c r="U129" s="42"/>
      <c r="V129" s="42"/>
    </row>
    <row r="130" spans="4:22" x14ac:dyDescent="0.2">
      <c r="D130" s="11"/>
      <c r="E130" s="36"/>
      <c r="G130" s="59">
        <f t="shared" ref="G130:G136" si="46">K130*$G$168</f>
        <v>0</v>
      </c>
      <c r="H130" s="59">
        <f t="shared" si="44"/>
        <v>0</v>
      </c>
      <c r="I130" s="59">
        <f t="shared" si="45"/>
        <v>0</v>
      </c>
      <c r="J130" s="11"/>
      <c r="K130" s="11"/>
      <c r="L130" s="5"/>
      <c r="P130" s="11"/>
    </row>
    <row r="131" spans="4:22" x14ac:dyDescent="0.2">
      <c r="D131" s="11" t="s">
        <v>77</v>
      </c>
      <c r="E131" s="36" t="s">
        <v>23</v>
      </c>
      <c r="G131" s="59">
        <f>K131*$G$168</f>
        <v>36903.927750060029</v>
      </c>
      <c r="H131" s="59">
        <f>K131*$H$168</f>
        <v>2656.1388467271304</v>
      </c>
      <c r="I131" s="59">
        <f>K131*$I$168</f>
        <v>109635.92107944559</v>
      </c>
      <c r="J131" s="18">
        <v>0</v>
      </c>
      <c r="K131" s="18">
        <v>149196</v>
      </c>
      <c r="L131" s="5"/>
      <c r="M131" s="19">
        <f t="shared" ref="M131:Q132" si="47">G131</f>
        <v>36903.927750060029</v>
      </c>
      <c r="N131" s="19">
        <f t="shared" si="47"/>
        <v>2656.1388467271304</v>
      </c>
      <c r="O131" s="19">
        <f t="shared" si="47"/>
        <v>109635.92107944559</v>
      </c>
      <c r="P131" s="18">
        <f t="shared" si="47"/>
        <v>0</v>
      </c>
      <c r="Q131" s="18">
        <f>K131</f>
        <v>149196</v>
      </c>
      <c r="R131" s="42"/>
      <c r="S131" s="42"/>
      <c r="T131" s="42"/>
      <c r="U131" s="42"/>
      <c r="V131" s="42"/>
    </row>
    <row r="132" spans="4:22" x14ac:dyDescent="0.2">
      <c r="D132" s="11"/>
      <c r="E132" s="36" t="s">
        <v>25</v>
      </c>
      <c r="G132" s="59">
        <f t="shared" si="46"/>
        <v>0</v>
      </c>
      <c r="H132" s="59">
        <f t="shared" si="44"/>
        <v>0</v>
      </c>
      <c r="I132" s="59">
        <f t="shared" si="45"/>
        <v>0</v>
      </c>
      <c r="J132" s="43">
        <v>0</v>
      </c>
      <c r="K132" s="43">
        <v>0</v>
      </c>
      <c r="L132" s="5"/>
      <c r="M132" s="42">
        <f t="shared" si="47"/>
        <v>0</v>
      </c>
      <c r="N132" s="42">
        <f t="shared" si="47"/>
        <v>0</v>
      </c>
      <c r="O132" s="42">
        <f t="shared" si="47"/>
        <v>0</v>
      </c>
      <c r="P132" s="43">
        <f t="shared" si="47"/>
        <v>0</v>
      </c>
      <c r="Q132" s="42">
        <f t="shared" si="47"/>
        <v>0</v>
      </c>
      <c r="R132" s="42"/>
      <c r="S132" s="42"/>
      <c r="T132" s="42"/>
      <c r="U132" s="42"/>
      <c r="V132" s="42"/>
    </row>
    <row r="133" spans="4:22" x14ac:dyDescent="0.2">
      <c r="D133" s="11"/>
      <c r="E133" s="36"/>
      <c r="G133" s="59">
        <f t="shared" si="46"/>
        <v>0</v>
      </c>
      <c r="H133" s="59">
        <f t="shared" si="44"/>
        <v>0</v>
      </c>
      <c r="I133" s="59">
        <f t="shared" si="45"/>
        <v>0</v>
      </c>
      <c r="J133" s="11"/>
      <c r="K133" s="11"/>
      <c r="L133" s="5"/>
      <c r="P133" s="11"/>
    </row>
    <row r="134" spans="4:22" x14ac:dyDescent="0.2">
      <c r="D134" s="47" t="s">
        <v>139</v>
      </c>
      <c r="E134" s="36" t="s">
        <v>23</v>
      </c>
      <c r="G134" s="59">
        <f>K134*$G$168</f>
        <v>264658.9631813452</v>
      </c>
      <c r="H134" s="59">
        <f>K134*$H$168</f>
        <v>19048.675739924536</v>
      </c>
      <c r="I134" s="59">
        <f>K134*$I$168</f>
        <v>786261.27269801684</v>
      </c>
      <c r="J134" s="18">
        <v>0</v>
      </c>
      <c r="K134" s="18">
        <v>1069969</v>
      </c>
      <c r="L134" s="5"/>
      <c r="M134" s="19">
        <f t="shared" ref="M134:Q135" si="48">G134</f>
        <v>264658.9631813452</v>
      </c>
      <c r="N134" s="19">
        <f t="shared" si="48"/>
        <v>19048.675739924536</v>
      </c>
      <c r="O134" s="19">
        <f t="shared" si="48"/>
        <v>786261.27269801684</v>
      </c>
      <c r="P134" s="18">
        <f t="shared" si="48"/>
        <v>0</v>
      </c>
      <c r="Q134" s="18">
        <f>K134</f>
        <v>1069969</v>
      </c>
    </row>
    <row r="135" spans="4:22" x14ac:dyDescent="0.2">
      <c r="D135" s="11"/>
      <c r="E135" s="36" t="s">
        <v>25</v>
      </c>
      <c r="G135" s="59">
        <f t="shared" si="46"/>
        <v>0</v>
      </c>
      <c r="H135" s="59">
        <f t="shared" si="44"/>
        <v>0</v>
      </c>
      <c r="I135" s="59">
        <f t="shared" si="45"/>
        <v>0</v>
      </c>
      <c r="J135" s="43">
        <v>0</v>
      </c>
      <c r="K135" s="43">
        <v>0</v>
      </c>
      <c r="L135" s="5"/>
      <c r="M135" s="42">
        <f t="shared" si="48"/>
        <v>0</v>
      </c>
      <c r="N135" s="42">
        <f t="shared" si="48"/>
        <v>0</v>
      </c>
      <c r="O135" s="42">
        <f t="shared" si="48"/>
        <v>0</v>
      </c>
      <c r="P135" s="43">
        <f t="shared" si="48"/>
        <v>0</v>
      </c>
      <c r="Q135" s="42">
        <f t="shared" si="48"/>
        <v>0</v>
      </c>
    </row>
    <row r="136" spans="4:22" x14ac:dyDescent="0.2">
      <c r="D136" s="11"/>
      <c r="E136" s="36"/>
      <c r="G136" s="59">
        <f t="shared" si="46"/>
        <v>0</v>
      </c>
      <c r="H136" s="59">
        <f t="shared" si="44"/>
        <v>0</v>
      </c>
      <c r="I136" s="59">
        <f t="shared" si="45"/>
        <v>0</v>
      </c>
      <c r="J136" s="11"/>
      <c r="K136" s="11"/>
      <c r="L136" s="5"/>
      <c r="P136" s="11"/>
    </row>
    <row r="137" spans="4:22" x14ac:dyDescent="0.2">
      <c r="D137" s="47" t="s">
        <v>140</v>
      </c>
      <c r="E137" s="36" t="s">
        <v>23</v>
      </c>
      <c r="G137" s="59">
        <f>K137*$G$168</f>
        <v>284413.2352925482</v>
      </c>
      <c r="H137" s="59">
        <f>K137*$H$168</f>
        <v>20470.478045054489</v>
      </c>
      <c r="I137" s="59">
        <f>K137*$I$168</f>
        <v>844948.19168490497</v>
      </c>
      <c r="J137" s="18">
        <v>0</v>
      </c>
      <c r="K137" s="18">
        <v>1149832</v>
      </c>
      <c r="L137" s="5"/>
      <c r="M137" s="19">
        <f t="shared" ref="M137:Q138" si="49">G137</f>
        <v>284413.2352925482</v>
      </c>
      <c r="N137" s="19">
        <f t="shared" si="49"/>
        <v>20470.478045054489</v>
      </c>
      <c r="O137" s="19">
        <f t="shared" si="49"/>
        <v>844948.19168490497</v>
      </c>
      <c r="P137" s="18">
        <f t="shared" si="49"/>
        <v>0</v>
      </c>
      <c r="Q137" s="18">
        <f>K137</f>
        <v>1149832</v>
      </c>
    </row>
    <row r="138" spans="4:22" x14ac:dyDescent="0.2">
      <c r="D138" s="11"/>
      <c r="E138" s="36" t="s">
        <v>25</v>
      </c>
      <c r="G138" s="45">
        <f>$G$168*K138</f>
        <v>0</v>
      </c>
      <c r="H138" s="45">
        <f>$H$168*K138</f>
        <v>0</v>
      </c>
      <c r="I138" s="45">
        <f>$I$168*K138</f>
        <v>0</v>
      </c>
      <c r="J138" s="43">
        <v>0</v>
      </c>
      <c r="K138" s="43">
        <v>0</v>
      </c>
      <c r="L138" s="5"/>
      <c r="M138" s="42">
        <f t="shared" si="49"/>
        <v>0</v>
      </c>
      <c r="N138" s="42">
        <f t="shared" si="49"/>
        <v>0</v>
      </c>
      <c r="O138" s="42">
        <f t="shared" si="49"/>
        <v>0</v>
      </c>
      <c r="P138" s="43">
        <f t="shared" si="49"/>
        <v>0</v>
      </c>
      <c r="Q138" s="42">
        <f t="shared" si="49"/>
        <v>0</v>
      </c>
    </row>
    <row r="139" spans="4:22" x14ac:dyDescent="0.2">
      <c r="D139" s="11"/>
      <c r="E139" s="36"/>
      <c r="J139" s="11"/>
      <c r="K139" s="11"/>
      <c r="L139" s="5"/>
      <c r="P139" s="11"/>
    </row>
    <row r="140" spans="4:22" x14ac:dyDescent="0.2">
      <c r="D140" s="47" t="s">
        <v>78</v>
      </c>
      <c r="E140" s="36" t="s">
        <v>23</v>
      </c>
      <c r="G140" s="19">
        <v>0</v>
      </c>
      <c r="H140" s="19">
        <v>0</v>
      </c>
      <c r="I140" s="19">
        <v>106704</v>
      </c>
      <c r="J140" s="18">
        <v>0</v>
      </c>
      <c r="K140" s="18">
        <f>I140</f>
        <v>106704</v>
      </c>
      <c r="L140" s="5"/>
      <c r="M140" s="19">
        <f t="shared" ref="M140:Q141" si="50">G140</f>
        <v>0</v>
      </c>
      <c r="N140" s="19">
        <f t="shared" si="50"/>
        <v>0</v>
      </c>
      <c r="O140" s="19">
        <f t="shared" si="50"/>
        <v>106704</v>
      </c>
      <c r="P140" s="18">
        <f t="shared" si="50"/>
        <v>0</v>
      </c>
      <c r="Q140" s="18">
        <f>K140</f>
        <v>106704</v>
      </c>
    </row>
    <row r="141" spans="4:22" x14ac:dyDescent="0.2">
      <c r="D141" s="11"/>
      <c r="E141" s="36" t="s">
        <v>25</v>
      </c>
      <c r="G141" s="45">
        <f>$G$168*K141</f>
        <v>0</v>
      </c>
      <c r="H141" s="45">
        <f>$H$168*K141</f>
        <v>0</v>
      </c>
      <c r="I141" s="45">
        <f>$I$168*K141</f>
        <v>0</v>
      </c>
      <c r="J141" s="43">
        <v>0</v>
      </c>
      <c r="K141" s="43">
        <v>0</v>
      </c>
      <c r="L141" s="5"/>
      <c r="M141" s="42">
        <f t="shared" si="50"/>
        <v>0</v>
      </c>
      <c r="N141" s="42">
        <f t="shared" si="50"/>
        <v>0</v>
      </c>
      <c r="O141" s="42">
        <f t="shared" si="50"/>
        <v>0</v>
      </c>
      <c r="P141" s="43">
        <f t="shared" si="50"/>
        <v>0</v>
      </c>
      <c r="Q141" s="42">
        <f t="shared" si="50"/>
        <v>0</v>
      </c>
    </row>
    <row r="142" spans="4:22" x14ac:dyDescent="0.2">
      <c r="D142" s="11"/>
      <c r="E142" s="36"/>
      <c r="J142" s="11"/>
      <c r="K142" s="11"/>
      <c r="L142" s="5"/>
      <c r="P142" s="11"/>
    </row>
    <row r="143" spans="4:22" x14ac:dyDescent="0.2">
      <c r="D143" s="47" t="s">
        <v>79</v>
      </c>
      <c r="E143" s="36" t="s">
        <v>23</v>
      </c>
      <c r="G143" s="59">
        <f t="shared" ref="G143" si="51">K143*$G$168</f>
        <v>0</v>
      </c>
      <c r="H143" s="59">
        <f t="shared" ref="H143" si="52">K143*$H$168</f>
        <v>0</v>
      </c>
      <c r="I143" s="59">
        <f t="shared" ref="I143" si="53">K143*$I$168</f>
        <v>0</v>
      </c>
      <c r="J143" s="18">
        <v>0</v>
      </c>
      <c r="K143" s="18">
        <v>0</v>
      </c>
      <c r="L143" s="5"/>
      <c r="M143" s="19">
        <f t="shared" ref="M143:Q144" si="54">G143</f>
        <v>0</v>
      </c>
      <c r="N143" s="19">
        <f t="shared" si="54"/>
        <v>0</v>
      </c>
      <c r="O143" s="19">
        <f t="shared" si="54"/>
        <v>0</v>
      </c>
      <c r="P143" s="18">
        <f t="shared" si="54"/>
        <v>0</v>
      </c>
      <c r="Q143" s="18">
        <f>K143</f>
        <v>0</v>
      </c>
    </row>
    <row r="144" spans="4:22" x14ac:dyDescent="0.2">
      <c r="D144" s="11"/>
      <c r="E144" s="36" t="s">
        <v>25</v>
      </c>
      <c r="G144" s="45">
        <f>$G$168*K144</f>
        <v>0</v>
      </c>
      <c r="H144" s="45">
        <f>$H$168*K144</f>
        <v>0</v>
      </c>
      <c r="I144" s="45">
        <f>$I$168*K144</f>
        <v>0</v>
      </c>
      <c r="J144" s="43">
        <v>0</v>
      </c>
      <c r="K144" s="43">
        <v>0</v>
      </c>
      <c r="L144" s="5"/>
      <c r="M144" s="42">
        <f t="shared" si="54"/>
        <v>0</v>
      </c>
      <c r="N144" s="42">
        <f t="shared" si="54"/>
        <v>0</v>
      </c>
      <c r="O144" s="42">
        <f t="shared" si="54"/>
        <v>0</v>
      </c>
      <c r="P144" s="43">
        <f t="shared" si="54"/>
        <v>0</v>
      </c>
      <c r="Q144" s="42">
        <f t="shared" si="54"/>
        <v>0</v>
      </c>
    </row>
    <row r="145" spans="2:23" x14ac:dyDescent="0.2">
      <c r="D145" s="11"/>
      <c r="E145" s="36"/>
      <c r="J145" s="11"/>
      <c r="K145" s="11"/>
      <c r="L145" s="5"/>
      <c r="P145" s="11"/>
    </row>
    <row r="146" spans="2:23" x14ac:dyDescent="0.2">
      <c r="D146" s="47" t="s">
        <v>80</v>
      </c>
      <c r="E146" s="36" t="s">
        <v>23</v>
      </c>
      <c r="G146" s="59">
        <f>K146*$G$168</f>
        <v>255756.27029695045</v>
      </c>
      <c r="H146" s="59">
        <f>K146*$H$168</f>
        <v>18407.909570781911</v>
      </c>
      <c r="I146" s="59">
        <f>K146*$I$168</f>
        <v>759812.73472453619</v>
      </c>
      <c r="J146" s="18">
        <v>0</v>
      </c>
      <c r="K146" s="18">
        <v>1033977</v>
      </c>
      <c r="L146" s="5"/>
      <c r="M146" s="19">
        <f t="shared" ref="M146:Q147" si="55">G146</f>
        <v>255756.27029695045</v>
      </c>
      <c r="N146" s="19">
        <f t="shared" si="55"/>
        <v>18407.909570781911</v>
      </c>
      <c r="O146" s="19">
        <f t="shared" si="55"/>
        <v>759812.73472453619</v>
      </c>
      <c r="P146" s="18">
        <f t="shared" si="55"/>
        <v>0</v>
      </c>
      <c r="Q146" s="18">
        <f>K146</f>
        <v>1033977</v>
      </c>
    </row>
    <row r="147" spans="2:23" x14ac:dyDescent="0.2">
      <c r="D147" s="11"/>
      <c r="E147" s="36" t="s">
        <v>25</v>
      </c>
      <c r="G147" s="45"/>
      <c r="H147" s="45"/>
      <c r="I147" s="45">
        <f>$I$168*K147</f>
        <v>0</v>
      </c>
      <c r="J147" s="43">
        <v>0</v>
      </c>
      <c r="K147" s="43"/>
      <c r="L147" s="5"/>
      <c r="M147" s="42">
        <f t="shared" si="55"/>
        <v>0</v>
      </c>
      <c r="N147" s="42">
        <f t="shared" si="55"/>
        <v>0</v>
      </c>
      <c r="O147" s="42">
        <f t="shared" si="55"/>
        <v>0</v>
      </c>
      <c r="P147" s="43">
        <f t="shared" si="55"/>
        <v>0</v>
      </c>
      <c r="Q147" s="42">
        <f t="shared" si="55"/>
        <v>0</v>
      </c>
    </row>
    <row r="148" spans="2:23" x14ac:dyDescent="0.2">
      <c r="D148" s="11"/>
      <c r="E148" s="36"/>
      <c r="J148" s="11"/>
      <c r="K148" s="11"/>
      <c r="L148" s="5"/>
      <c r="P148" s="11"/>
    </row>
    <row r="149" spans="2:23" x14ac:dyDescent="0.2">
      <c r="D149" s="47" t="s">
        <v>141</v>
      </c>
      <c r="E149" s="36" t="s">
        <v>23</v>
      </c>
      <c r="G149" s="59">
        <f>K149*$G$168</f>
        <v>33230.99802566634</v>
      </c>
      <c r="H149" s="59">
        <f>K149*$H$168</f>
        <v>2391.7818550178945</v>
      </c>
      <c r="I149" s="59">
        <f>K149*$I$168</f>
        <v>98724.209022093593</v>
      </c>
      <c r="J149" s="18">
        <v>0</v>
      </c>
      <c r="K149" s="18">
        <v>134347</v>
      </c>
      <c r="L149" s="5"/>
      <c r="M149" s="19">
        <f t="shared" ref="M149:Q150" si="56">G149</f>
        <v>33230.99802566634</v>
      </c>
      <c r="N149" s="19">
        <f t="shared" si="56"/>
        <v>2391.7818550178945</v>
      </c>
      <c r="O149" s="19">
        <f t="shared" si="56"/>
        <v>98724.209022093593</v>
      </c>
      <c r="P149" s="18">
        <f t="shared" si="56"/>
        <v>0</v>
      </c>
      <c r="Q149" s="19">
        <f>K149</f>
        <v>134347</v>
      </c>
      <c r="R149" s="19"/>
      <c r="S149" s="19"/>
      <c r="T149" s="19"/>
      <c r="U149" s="19"/>
      <c r="V149" s="19"/>
    </row>
    <row r="150" spans="2:23" x14ac:dyDescent="0.2">
      <c r="E150" s="36" t="s">
        <v>25</v>
      </c>
      <c r="G150" s="45">
        <f>$G$168*K150</f>
        <v>0</v>
      </c>
      <c r="H150" s="45">
        <f>$H$168*K150</f>
        <v>0</v>
      </c>
      <c r="I150" s="45">
        <f>$I$168*K150</f>
        <v>0</v>
      </c>
      <c r="J150" s="43">
        <v>0</v>
      </c>
      <c r="K150" s="43">
        <v>0</v>
      </c>
      <c r="L150" s="5"/>
      <c r="M150" s="42">
        <f t="shared" si="56"/>
        <v>0</v>
      </c>
      <c r="N150" s="42">
        <f t="shared" si="56"/>
        <v>0</v>
      </c>
      <c r="O150" s="42">
        <f t="shared" si="56"/>
        <v>0</v>
      </c>
      <c r="P150" s="43">
        <f t="shared" si="56"/>
        <v>0</v>
      </c>
      <c r="Q150" s="42">
        <f t="shared" si="56"/>
        <v>0</v>
      </c>
      <c r="R150" s="42"/>
      <c r="S150" s="42"/>
      <c r="T150" s="42"/>
      <c r="U150" s="42"/>
      <c r="V150" s="42"/>
    </row>
    <row r="151" spans="2:23" x14ac:dyDescent="0.2">
      <c r="E151" s="36"/>
      <c r="G151" s="45"/>
      <c r="H151" s="45"/>
      <c r="I151" s="45"/>
      <c r="J151" s="43"/>
      <c r="K151" s="43"/>
      <c r="L151" s="5"/>
      <c r="M151" s="42"/>
      <c r="N151" s="42"/>
      <c r="O151" s="42"/>
      <c r="P151" s="43"/>
      <c r="Q151" s="42"/>
      <c r="R151" s="42"/>
      <c r="S151" s="42"/>
      <c r="T151" s="42"/>
      <c r="U151" s="42"/>
      <c r="V151" s="42"/>
    </row>
    <row r="152" spans="2:23" x14ac:dyDescent="0.2">
      <c r="D152" s="11" t="s">
        <v>142</v>
      </c>
      <c r="E152" s="36" t="s">
        <v>23</v>
      </c>
      <c r="G152" s="59">
        <f>K152*$G$168</f>
        <v>14175.742642939089</v>
      </c>
      <c r="H152" s="59">
        <f>K152*$H$168</f>
        <v>1020.2908744599845</v>
      </c>
      <c r="I152" s="59">
        <f>K152*$I$168</f>
        <v>42113.961748726688</v>
      </c>
      <c r="J152" s="18">
        <v>0</v>
      </c>
      <c r="K152" s="18">
        <f>57310</f>
        <v>57310</v>
      </c>
      <c r="L152" s="5"/>
      <c r="M152" s="19">
        <f>G152</f>
        <v>14175.742642939089</v>
      </c>
      <c r="N152" s="19">
        <f>H152</f>
        <v>1020.2908744599845</v>
      </c>
      <c r="O152" s="19">
        <f>I152</f>
        <v>42113.961748726688</v>
      </c>
      <c r="P152" s="18">
        <f>J152</f>
        <v>0</v>
      </c>
      <c r="Q152" s="19">
        <f>K152</f>
        <v>57310</v>
      </c>
      <c r="R152" s="19"/>
      <c r="S152" s="19"/>
      <c r="T152" s="19"/>
      <c r="U152" s="19"/>
      <c r="V152" s="19"/>
    </row>
    <row r="153" spans="2:23" ht="13.5" thickBot="1" x14ac:dyDescent="0.25">
      <c r="D153" s="11"/>
      <c r="J153" s="11"/>
      <c r="L153" s="5"/>
      <c r="W153" s="48"/>
    </row>
    <row r="154" spans="2:23" ht="13.5" thickBot="1" x14ac:dyDescent="0.25">
      <c r="B154" s="2" t="s">
        <v>83</v>
      </c>
      <c r="E154" s="36" t="s">
        <v>23</v>
      </c>
      <c r="G154" s="40">
        <f>G62+G65+G68++G74+G77+G80+G83+G86+G89+G92+G95+G98+G101+G104+G107+G110+G113+G116+G119+G122+G125+G128+G131+G134+G137+G140+G143+G146+G149+G152+G71</f>
        <v>2334451.9485339243</v>
      </c>
      <c r="H154" s="40">
        <f>H62+H65+H68++H74+H77+H80+H83+H86+H89+H92+H95+H98+H101+H104+H107+H110+H113+H116+H119+H122+H125+H128+H131+H134+H137+H140+H143+H146+H149+H152+H71</f>
        <v>168020.82825204733</v>
      </c>
      <c r="I154" s="40">
        <f>I62+I65+I68++I74+I77+I80+I83+I86+I89+I92+I95+I98+I101+I104+I107+I110+I113+I116+I119+I122+I125+I128+I131+I134+I137+I140+I143+I146+I149+I152+I71</f>
        <v>8681399.4436427411</v>
      </c>
      <c r="J154" s="40">
        <f>J62+J65+J68++J74+J77+J80+J83+J86+J89+J92+J95+J98+J101+J104+J107+J110+J113+J116+J119+J122+J125+J128+J131+J134+J137+J140+J143+J146+J149+J152</f>
        <v>0</v>
      </c>
      <c r="K154" s="40">
        <f>K62+K65+K68++K74+K77+K80+K83+K86+K89+K92+K95+K98+K101+K104+K107+K110+K113+K116+K119+K122+K125+K128+K131+K134+K137+K140+K143+K146+K149+K152+K71</f>
        <v>11183873</v>
      </c>
      <c r="L154" s="41"/>
      <c r="M154" s="40">
        <f>M62+M65+M68++M74+M77+M80+M83+M86+M89+M92+M95+M98+M101+M104+M107+M110+M113+M116+M119+M122+M125+M128+M131+M134+M137+M140+M143+M146+M149+M152+M71</f>
        <v>2137836.797390678</v>
      </c>
      <c r="N154" s="40">
        <f>N62+N65+N68++N74+N77+N80+N83+N86+N89+N92+N95+N98+N101+N104+N107+N110+N113+N116+N119+N122+N125+N128+N131+N134+N137+N140+N143+N146+N149+N152+N71</f>
        <v>153869.56651254717</v>
      </c>
      <c r="O154" s="40">
        <f>O62+O65+O68++O74+O77+O80+O83+O86+O89+O92+O95+O98+O101+O104+O107+O110+O113+O116+O119+O122+O125+O128+O131+O134+O137+O140+O143+O146+O149+O152+O71</f>
        <v>8097285.922183522</v>
      </c>
      <c r="P154" s="40">
        <f t="shared" ref="P154" si="57">P62+P65+P68++P74+P77+P80+P83+P86+P89+P92+P95+P98+P101+P104+P107+P110+P113+P116+P119+P122+P125+P128+P131+P134+P137+P140+P143+P146+P149+P152</f>
        <v>0</v>
      </c>
      <c r="Q154" s="40">
        <f>Q62+Q65+Q68++Q74+Q77+Q80+Q83+Q86+Q89+Q92+Q95+Q98+Q101+Q104+Q107+Q110+Q113+Q116+Q119+Q122+Q125+Q128+Q131+Q134+Q137+Q140+Q143+Q146+Q149+Q152+Q71</f>
        <v>10388993</v>
      </c>
      <c r="R154" s="32"/>
      <c r="S154" s="32"/>
      <c r="T154" s="32"/>
      <c r="U154" s="32"/>
      <c r="V154" s="32"/>
      <c r="W154" s="39"/>
    </row>
    <row r="155" spans="2:23" x14ac:dyDescent="0.2">
      <c r="B155" s="2"/>
      <c r="E155" s="36" t="s">
        <v>25</v>
      </c>
      <c r="G155" s="40">
        <f>G63+G69+G72+G93+G132+G141+G144+G147+G150</f>
        <v>0</v>
      </c>
      <c r="H155" s="40">
        <f>H63+H69+H72+H93+H132+H141+H144+H147+H150</f>
        <v>0</v>
      </c>
      <c r="I155" s="40">
        <f>I63+I69+I72+I93+I132+I141+I144+I147+I150</f>
        <v>0</v>
      </c>
      <c r="J155" s="40">
        <f>J63+J69+J72+J93+J132+J141+J144+J147+J150</f>
        <v>0</v>
      </c>
      <c r="K155" s="49">
        <f>SUM(G155:J155)</f>
        <v>0</v>
      </c>
      <c r="L155" s="50"/>
      <c r="M155" s="40">
        <f>M63+M69+M72+M93+M132+M141+M144+M147+M150</f>
        <v>0</v>
      </c>
      <c r="N155" s="40">
        <f>N63+N69+N72+N93+N132+N141+N144+N147+N150</f>
        <v>0</v>
      </c>
      <c r="O155" s="40">
        <f>O63+O69+O72+O93+O132+O141+O144+O147+O150</f>
        <v>0</v>
      </c>
      <c r="P155" s="40">
        <f>P63+P69+P72+P93+P132+P141+P144+P147+P150</f>
        <v>0</v>
      </c>
      <c r="Q155" s="49">
        <f>SUM(M155:P155)</f>
        <v>0</v>
      </c>
      <c r="R155" s="51"/>
      <c r="S155" s="51"/>
      <c r="T155" s="51"/>
      <c r="U155" s="51"/>
      <c r="V155" s="51"/>
    </row>
    <row r="156" spans="2:23" x14ac:dyDescent="0.2">
      <c r="K156" s="19"/>
      <c r="L156" s="5"/>
      <c r="W156" s="19"/>
    </row>
    <row r="157" spans="2:23" ht="13.5" thickBot="1" x14ac:dyDescent="0.25">
      <c r="L157" s="5"/>
    </row>
    <row r="158" spans="2:23" ht="15" thickBot="1" x14ac:dyDescent="0.25">
      <c r="B158" s="16" t="s">
        <v>84</v>
      </c>
      <c r="G158" s="52">
        <f>G58+G154</f>
        <v>4078311.0000000005</v>
      </c>
      <c r="H158" s="52">
        <f>H58+H154</f>
        <v>465028.78</v>
      </c>
      <c r="I158" s="52">
        <f>I58+I154</f>
        <v>10642399.220000001</v>
      </c>
      <c r="J158" s="52">
        <f t="shared" ref="J158:Q158" si="58">J58+J154</f>
        <v>0</v>
      </c>
      <c r="K158" s="52">
        <f>K58+K154</f>
        <v>15185739.779571287</v>
      </c>
      <c r="L158" s="53">
        <f t="shared" si="58"/>
        <v>0</v>
      </c>
      <c r="M158" s="52">
        <f t="shared" si="58"/>
        <v>3823908.8127781451</v>
      </c>
      <c r="N158" s="52">
        <f t="shared" si="58"/>
        <v>446718.32977505832</v>
      </c>
      <c r="O158" s="54">
        <f t="shared" si="58"/>
        <v>9886609.2588447612</v>
      </c>
      <c r="P158" s="52">
        <f t="shared" si="58"/>
        <v>0</v>
      </c>
      <c r="Q158" s="52">
        <f t="shared" si="58"/>
        <v>14157237.115311218</v>
      </c>
      <c r="R158" s="32"/>
      <c r="S158" s="32"/>
      <c r="T158" s="32"/>
      <c r="U158" s="32"/>
      <c r="V158" s="32"/>
    </row>
    <row r="159" spans="2:23" ht="13.5" thickTop="1" x14ac:dyDescent="0.2">
      <c r="I159" s="55"/>
      <c r="L159" s="5"/>
      <c r="O159" s="56"/>
    </row>
    <row r="160" spans="2:23" x14ac:dyDescent="0.2">
      <c r="I160" s="55"/>
      <c r="K160" s="19"/>
      <c r="L160" s="5"/>
      <c r="O160" s="56"/>
    </row>
    <row r="161" spans="5:17" x14ac:dyDescent="0.2">
      <c r="G161" s="59"/>
      <c r="H161" s="59"/>
      <c r="I161" s="59"/>
      <c r="K161" s="59"/>
      <c r="L161" s="5"/>
      <c r="O161" s="105"/>
    </row>
    <row r="162" spans="5:17" x14ac:dyDescent="0.2">
      <c r="G162" s="124"/>
      <c r="H162" s="124"/>
      <c r="I162" s="124"/>
      <c r="K162" s="19"/>
      <c r="L162" s="5"/>
      <c r="O162" s="56"/>
    </row>
    <row r="163" spans="5:17" x14ac:dyDescent="0.2">
      <c r="G163" s="59"/>
      <c r="H163" s="59"/>
      <c r="I163" s="59"/>
      <c r="K163" s="19"/>
      <c r="L163" s="5"/>
      <c r="O163" s="56"/>
    </row>
    <row r="164" spans="5:17" x14ac:dyDescent="0.2">
      <c r="I164" s="55"/>
      <c r="L164" s="5"/>
      <c r="O164" s="56"/>
    </row>
    <row r="165" spans="5:17" x14ac:dyDescent="0.2">
      <c r="G165" s="55"/>
      <c r="H165" s="55"/>
      <c r="I165" s="55"/>
      <c r="J165" s="60"/>
      <c r="K165" s="59"/>
      <c r="L165" s="5"/>
      <c r="O165" s="56"/>
    </row>
    <row r="166" spans="5:17" x14ac:dyDescent="0.2">
      <c r="I166" s="55"/>
      <c r="L166" s="5"/>
      <c r="O166" s="56"/>
    </row>
    <row r="167" spans="5:17" ht="13.5" thickBot="1" x14ac:dyDescent="0.25">
      <c r="L167" s="5"/>
    </row>
    <row r="168" spans="5:17" x14ac:dyDescent="0.2">
      <c r="E168" s="63"/>
      <c r="F168" s="64"/>
      <c r="G168" s="123">
        <f>G182</f>
        <v>0.2473519916757824</v>
      </c>
      <c r="H168" s="123">
        <f>H182</f>
        <v>1.7803016479846178E-2</v>
      </c>
      <c r="I168" s="123">
        <f>I182</f>
        <v>0.73484490924318069</v>
      </c>
      <c r="J168" s="64"/>
      <c r="K168" s="66"/>
      <c r="L168" s="5"/>
      <c r="M168" s="67"/>
      <c r="N168" s="67"/>
      <c r="O168" s="67"/>
    </row>
    <row r="169" spans="5:17" x14ac:dyDescent="0.2">
      <c r="E169" s="68"/>
      <c r="F169" s="48"/>
      <c r="G169" s="48"/>
      <c r="H169" s="48"/>
      <c r="I169" s="48"/>
      <c r="J169" s="48"/>
      <c r="K169" s="69"/>
      <c r="L169" s="5"/>
      <c r="M169" s="70"/>
    </row>
    <row r="170" spans="5:17" x14ac:dyDescent="0.2">
      <c r="E170" s="68" t="s">
        <v>143</v>
      </c>
      <c r="F170" s="48"/>
      <c r="G170" s="48"/>
      <c r="H170" s="48"/>
      <c r="I170" s="48"/>
      <c r="J170" s="48"/>
      <c r="K170" s="71">
        <f>15185740</f>
        <v>15185740</v>
      </c>
      <c r="L170" s="5"/>
      <c r="M170" s="72"/>
    </row>
    <row r="171" spans="5:17" x14ac:dyDescent="0.2">
      <c r="E171" s="68" t="s">
        <v>85</v>
      </c>
      <c r="F171" s="48"/>
      <c r="G171" s="48"/>
      <c r="H171" s="48"/>
      <c r="I171" s="48"/>
      <c r="J171" s="48"/>
      <c r="K171" s="71">
        <v>0</v>
      </c>
      <c r="L171" s="5"/>
      <c r="N171" s="95"/>
    </row>
    <row r="172" spans="5:17" x14ac:dyDescent="0.2">
      <c r="E172" s="68"/>
      <c r="F172" s="48"/>
      <c r="G172" s="48"/>
      <c r="H172" s="48"/>
      <c r="I172" s="48"/>
      <c r="J172" s="48"/>
      <c r="K172" s="71"/>
      <c r="L172" s="5"/>
      <c r="M172" s="72"/>
      <c r="N172" s="125"/>
      <c r="O172" s="36"/>
      <c r="P172" s="36"/>
    </row>
    <row r="173" spans="5:17" x14ac:dyDescent="0.2">
      <c r="E173" s="68" t="s">
        <v>106</v>
      </c>
      <c r="F173" s="48"/>
      <c r="G173" s="48"/>
      <c r="H173" s="48"/>
      <c r="I173" s="48"/>
      <c r="J173" s="48"/>
      <c r="K173" s="73">
        <f>SUM(K170:K172)</f>
        <v>15185740</v>
      </c>
      <c r="L173" s="5"/>
      <c r="M173" s="72"/>
      <c r="N173" s="125"/>
      <c r="O173" s="62"/>
      <c r="P173" s="62"/>
    </row>
    <row r="174" spans="5:17" x14ac:dyDescent="0.2">
      <c r="E174" s="68" t="s">
        <v>159</v>
      </c>
      <c r="F174" s="48"/>
      <c r="G174" s="48"/>
      <c r="H174" s="48"/>
      <c r="I174" s="48"/>
      <c r="J174" s="48"/>
      <c r="K174" s="71">
        <f>-I62-I119-I140</f>
        <v>-1746100</v>
      </c>
      <c r="L174" s="5"/>
      <c r="M174" s="72"/>
      <c r="O174" s="74"/>
      <c r="P174" s="74"/>
      <c r="Q174" s="59"/>
    </row>
    <row r="175" spans="5:17" x14ac:dyDescent="0.2">
      <c r="E175" s="68" t="s">
        <v>108</v>
      </c>
      <c r="F175" s="48"/>
      <c r="G175" s="48"/>
      <c r="H175" s="48"/>
      <c r="I175" s="48"/>
      <c r="J175" s="48"/>
      <c r="K175" s="71">
        <f>-G53</f>
        <v>-529010</v>
      </c>
      <c r="L175" s="5"/>
      <c r="M175" s="72"/>
      <c r="O175" s="74"/>
      <c r="P175" s="74"/>
      <c r="Q175" s="59"/>
    </row>
    <row r="176" spans="5:17" x14ac:dyDescent="0.2">
      <c r="E176" s="68" t="s">
        <v>109</v>
      </c>
      <c r="F176" s="48"/>
      <c r="G176" s="48"/>
      <c r="H176" s="48"/>
      <c r="I176" s="48"/>
      <c r="J176" s="48"/>
      <c r="K176" s="71">
        <f>-K19</f>
        <v>-804267</v>
      </c>
      <c r="L176" s="5"/>
      <c r="M176" s="72"/>
      <c r="N176" s="74"/>
      <c r="O176" s="74"/>
      <c r="P176" s="74"/>
      <c r="Q176" s="59"/>
    </row>
    <row r="177" spans="2:17" ht="13.5" thickBot="1" x14ac:dyDescent="0.25">
      <c r="E177" s="68" t="s">
        <v>107</v>
      </c>
      <c r="F177" s="48"/>
      <c r="G177" s="48"/>
      <c r="H177" s="48"/>
      <c r="I177" s="48"/>
      <c r="J177" s="48"/>
      <c r="K177" s="75">
        <f>SUM(K173:K176)</f>
        <v>12106363</v>
      </c>
      <c r="L177" s="5"/>
      <c r="M177" s="72"/>
      <c r="N177" s="74"/>
      <c r="O177" s="74"/>
    </row>
    <row r="178" spans="2:17" ht="13.5" thickTop="1" x14ac:dyDescent="0.2">
      <c r="E178" s="68"/>
      <c r="F178" s="48"/>
      <c r="G178" s="48"/>
      <c r="H178" s="48"/>
      <c r="I178" s="48"/>
      <c r="J178" s="76" t="s">
        <v>87</v>
      </c>
      <c r="K178" s="71"/>
      <c r="L178" s="5"/>
      <c r="M178" s="72"/>
      <c r="N178" s="74"/>
      <c r="O178" s="74"/>
      <c r="P178" s="77"/>
      <c r="Q178" s="59"/>
    </row>
    <row r="179" spans="2:17" x14ac:dyDescent="0.2">
      <c r="E179" s="78" t="s">
        <v>104</v>
      </c>
      <c r="F179" s="48"/>
      <c r="G179" s="79">
        <v>4078311</v>
      </c>
      <c r="H179" s="79">
        <v>465028.78</v>
      </c>
      <c r="I179" s="79">
        <v>10642399.220000001</v>
      </c>
      <c r="J179" s="79"/>
      <c r="K179" s="71"/>
      <c r="L179" s="5"/>
      <c r="M179" s="72"/>
      <c r="N179" s="74"/>
      <c r="O179" s="74"/>
    </row>
    <row r="180" spans="2:17" x14ac:dyDescent="0.2">
      <c r="E180" s="68" t="s">
        <v>88</v>
      </c>
      <c r="F180" s="48"/>
      <c r="G180" s="80">
        <f>-G53-G19</f>
        <v>-1083778</v>
      </c>
      <c r="H180" s="81">
        <f>-H19</f>
        <v>-249499</v>
      </c>
      <c r="I180" s="81">
        <f>K174</f>
        <v>-1746100</v>
      </c>
      <c r="K180" s="69"/>
      <c r="L180" s="5"/>
      <c r="M180" s="95"/>
      <c r="N180" s="122"/>
      <c r="O180" s="122"/>
      <c r="P180" s="122"/>
    </row>
    <row r="181" spans="2:17" ht="13.5" thickBot="1" x14ac:dyDescent="0.25">
      <c r="E181" s="68" t="s">
        <v>89</v>
      </c>
      <c r="F181" s="48"/>
      <c r="G181" s="82">
        <f>G179+G180</f>
        <v>2994533</v>
      </c>
      <c r="H181" s="82">
        <f t="shared" ref="H181:I181" si="59">H179+H180</f>
        <v>215529.78000000003</v>
      </c>
      <c r="I181" s="82">
        <f t="shared" si="59"/>
        <v>8896299.2200000007</v>
      </c>
      <c r="J181" s="121"/>
      <c r="K181" s="71"/>
      <c r="L181" s="5"/>
    </row>
    <row r="182" spans="2:17" ht="14.25" thickTop="1" thickBot="1" x14ac:dyDescent="0.25">
      <c r="E182" s="68" t="s">
        <v>90</v>
      </c>
      <c r="F182" s="48"/>
      <c r="G182" s="84">
        <f>G181/K177</f>
        <v>0.2473519916757824</v>
      </c>
      <c r="H182" s="84">
        <f>H181/K177</f>
        <v>1.7803016479846178E-2</v>
      </c>
      <c r="I182" s="84">
        <f>I181/K177</f>
        <v>0.73484490924318069</v>
      </c>
      <c r="J182" s="72"/>
      <c r="K182" s="71"/>
      <c r="L182" s="5"/>
    </row>
    <row r="183" spans="2:17" ht="14.25" thickTop="1" thickBot="1" x14ac:dyDescent="0.25">
      <c r="E183" s="85"/>
      <c r="F183" s="86"/>
      <c r="G183" s="87" t="s">
        <v>91</v>
      </c>
      <c r="H183" s="87" t="s">
        <v>92</v>
      </c>
      <c r="I183" s="87" t="s">
        <v>93</v>
      </c>
      <c r="J183" s="86"/>
      <c r="K183" s="88"/>
      <c r="L183" s="5"/>
      <c r="N183" s="77"/>
      <c r="O183" s="77"/>
      <c r="P183" s="77"/>
    </row>
    <row r="184" spans="2:17" x14ac:dyDescent="0.2">
      <c r="J184" s="64"/>
      <c r="K184" s="89"/>
      <c r="L184" s="11"/>
    </row>
    <row r="185" spans="2:17" x14ac:dyDescent="0.2">
      <c r="J185" s="48"/>
      <c r="K185" s="80"/>
      <c r="L185" s="11"/>
    </row>
    <row r="186" spans="2:17" x14ac:dyDescent="0.2">
      <c r="E186" s="90"/>
      <c r="F186" s="91"/>
      <c r="G186" s="72"/>
      <c r="H186" s="72"/>
      <c r="I186" s="92"/>
      <c r="J186" s="93"/>
      <c r="K186" s="94"/>
      <c r="L186" s="11"/>
      <c r="N186" s="74"/>
    </row>
    <row r="187" spans="2:17" x14ac:dyDescent="0.2">
      <c r="B187" s="2"/>
      <c r="D187" s="2"/>
      <c r="E187" s="91"/>
      <c r="F187" s="91"/>
      <c r="G187" s="91"/>
      <c r="H187" s="91"/>
      <c r="I187" s="92"/>
      <c r="J187" s="93"/>
      <c r="K187" s="93"/>
      <c r="M187" s="95"/>
    </row>
    <row r="188" spans="2:17" x14ac:dyDescent="0.2">
      <c r="D188" s="98"/>
      <c r="E188" s="91"/>
      <c r="F188" s="91"/>
      <c r="G188" s="91"/>
      <c r="H188" s="72"/>
      <c r="I188" s="72"/>
      <c r="J188" s="48"/>
      <c r="K188" s="48"/>
    </row>
    <row r="189" spans="2:17" x14ac:dyDescent="0.2">
      <c r="E189" s="91"/>
      <c r="F189" s="91"/>
      <c r="G189" s="96"/>
      <c r="H189" s="96"/>
      <c r="I189" s="96"/>
      <c r="K189" s="19"/>
    </row>
    <row r="190" spans="2:17" x14ac:dyDescent="0.2">
      <c r="E190" s="91"/>
      <c r="F190" s="91"/>
      <c r="G190" s="72"/>
      <c r="H190" s="72"/>
      <c r="I190" s="72"/>
    </row>
    <row r="191" spans="2:17" x14ac:dyDescent="0.2">
      <c r="E191" s="91"/>
      <c r="F191" s="91"/>
      <c r="G191" s="96"/>
      <c r="H191" s="96"/>
      <c r="I191" s="96"/>
    </row>
    <row r="192" spans="2:17" x14ac:dyDescent="0.2">
      <c r="E192" s="91"/>
      <c r="F192" s="91"/>
      <c r="G192" s="97"/>
      <c r="H192" s="97"/>
      <c r="I192" s="97"/>
      <c r="J192" s="48"/>
    </row>
    <row r="193" spans="7:10" x14ac:dyDescent="0.2">
      <c r="G193" s="80"/>
      <c r="H193" s="80"/>
      <c r="I193" s="80"/>
      <c r="J193" s="48"/>
    </row>
    <row r="194" spans="7:10" x14ac:dyDescent="0.2">
      <c r="G194" s="48"/>
      <c r="H194" s="48"/>
      <c r="I194" s="48"/>
      <c r="J194" s="48"/>
    </row>
  </sheetData>
  <mergeCells count="2">
    <mergeCell ref="G2:K2"/>
    <mergeCell ref="M2:Q2"/>
  </mergeCells>
  <printOptions horizontalCentered="1"/>
  <pageMargins left="0.25" right="0.25" top="0.25" bottom="0.25" header="0.25" footer="0"/>
  <pageSetup scale="23"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29"/>
  <sheetViews>
    <sheetView zoomScaleNormal="100" workbookViewId="0">
      <selection activeCell="K93" sqref="K9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23" hidden="1" customWidth="1"/>
    <col min="25" max="16384" width="9.140625" style="1"/>
  </cols>
  <sheetData>
    <row r="1" spans="2:24" ht="15" customHeight="1" x14ac:dyDescent="0.2">
      <c r="E1" s="2"/>
      <c r="F1" s="2"/>
      <c r="G1" s="193" t="s">
        <v>144</v>
      </c>
      <c r="H1" s="193"/>
      <c r="I1" s="193"/>
      <c r="J1" s="193"/>
      <c r="K1" s="193"/>
      <c r="L1" s="193"/>
      <c r="M1" s="193"/>
      <c r="N1" s="193"/>
      <c r="O1" s="193"/>
      <c r="P1" s="193"/>
      <c r="Q1" s="193"/>
    </row>
    <row r="2" spans="2:24" ht="20.25" thickBot="1" x14ac:dyDescent="0.3">
      <c r="B2" s="3" t="s">
        <v>0</v>
      </c>
      <c r="C2" s="2"/>
      <c r="D2" s="2"/>
      <c r="E2" s="2"/>
      <c r="F2" s="2"/>
      <c r="G2" s="192" t="s">
        <v>111</v>
      </c>
      <c r="H2" s="192"/>
      <c r="I2" s="192"/>
      <c r="J2" s="192"/>
      <c r="K2" s="192"/>
      <c r="L2" s="5"/>
      <c r="M2" s="186" t="s">
        <v>112</v>
      </c>
      <c r="N2" s="186"/>
      <c r="O2" s="186"/>
      <c r="P2" s="186"/>
      <c r="Q2" s="186"/>
      <c r="R2" s="7"/>
      <c r="S2" s="7"/>
      <c r="T2" s="7"/>
      <c r="U2" s="7"/>
      <c r="V2" s="7"/>
    </row>
    <row r="3" spans="2:24" ht="19.5" x14ac:dyDescent="0.25">
      <c r="B3" s="3" t="s">
        <v>3</v>
      </c>
      <c r="C3" s="2"/>
      <c r="D3" s="2"/>
      <c r="L3" s="5"/>
    </row>
    <row r="4" spans="2:24" x14ac:dyDescent="0.2">
      <c r="B4" s="2" t="s">
        <v>4</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18">
        <v>0</v>
      </c>
      <c r="H9" s="18">
        <v>0</v>
      </c>
      <c r="I9" s="18">
        <v>0</v>
      </c>
      <c r="J9" s="19">
        <v>0</v>
      </c>
      <c r="K9" s="18">
        <f>G9+H9+I9</f>
        <v>0</v>
      </c>
      <c r="L9" s="5"/>
      <c r="M9" s="18">
        <v>0</v>
      </c>
      <c r="N9" s="18">
        <v>0</v>
      </c>
      <c r="O9" s="18">
        <v>0</v>
      </c>
      <c r="P9" s="19">
        <v>0</v>
      </c>
      <c r="Q9" s="19">
        <f>SUM(M9:P9)</f>
        <v>0</v>
      </c>
      <c r="R9" s="19"/>
      <c r="S9" s="19"/>
      <c r="T9" s="19"/>
      <c r="U9" s="19"/>
      <c r="V9" s="19"/>
    </row>
    <row r="10" spans="2:24" x14ac:dyDescent="0.2">
      <c r="B10" s="2" t="s">
        <v>24</v>
      </c>
      <c r="E10" s="17" t="s">
        <v>25</v>
      </c>
      <c r="G10" s="20">
        <v>0</v>
      </c>
      <c r="H10" s="20">
        <v>0</v>
      </c>
      <c r="I10" s="20">
        <v>0</v>
      </c>
      <c r="J10" s="21">
        <v>0</v>
      </c>
      <c r="K10" s="20">
        <f>G10+H10+I10</f>
        <v>0</v>
      </c>
      <c r="L10" s="5"/>
      <c r="M10" s="20">
        <f>G10</f>
        <v>0</v>
      </c>
      <c r="N10" s="20">
        <f>H10</f>
        <v>0</v>
      </c>
      <c r="O10" s="20">
        <f>I10</f>
        <v>0</v>
      </c>
      <c r="P10" s="21">
        <v>0</v>
      </c>
      <c r="Q10" s="21">
        <f>SUM(M10:P10)</f>
        <v>0</v>
      </c>
      <c r="R10" s="22"/>
      <c r="S10" s="22"/>
      <c r="T10" s="22"/>
      <c r="U10" s="22"/>
      <c r="V10" s="22"/>
    </row>
    <row r="11" spans="2:24" x14ac:dyDescent="0.2">
      <c r="E11" s="17"/>
      <c r="G11" s="11">
        <v>0</v>
      </c>
      <c r="H11" s="11"/>
      <c r="I11" s="11"/>
      <c r="K11" s="11"/>
      <c r="L11" s="5"/>
      <c r="M11" s="11"/>
      <c r="N11" s="11"/>
      <c r="O11" s="11"/>
    </row>
    <row r="12" spans="2:24" ht="13.5" thickBot="1" x14ac:dyDescent="0.25">
      <c r="D12" s="1" t="s">
        <v>26</v>
      </c>
      <c r="E12" s="17" t="s">
        <v>23</v>
      </c>
      <c r="G12" s="18">
        <v>0</v>
      </c>
      <c r="H12" s="18">
        <v>0</v>
      </c>
      <c r="I12" s="18">
        <v>0</v>
      </c>
      <c r="J12" s="19">
        <v>0</v>
      </c>
      <c r="K12" s="18">
        <f>G12+H12+I12</f>
        <v>0</v>
      </c>
      <c r="L12" s="5"/>
      <c r="M12" s="18">
        <f t="shared" ref="M12:P13" si="0">G12</f>
        <v>0</v>
      </c>
      <c r="N12" s="18">
        <f t="shared" si="0"/>
        <v>0</v>
      </c>
      <c r="O12" s="18">
        <f t="shared" si="0"/>
        <v>0</v>
      </c>
      <c r="P12" s="18">
        <f t="shared" si="0"/>
        <v>0</v>
      </c>
      <c r="Q12" s="19">
        <f>SUM(M12:P12)</f>
        <v>0</v>
      </c>
      <c r="R12" s="19"/>
      <c r="S12" s="19"/>
      <c r="T12" s="19"/>
      <c r="U12" s="19"/>
      <c r="V12" s="19"/>
    </row>
    <row r="13" spans="2:24" x14ac:dyDescent="0.2">
      <c r="E13" s="17" t="s">
        <v>25</v>
      </c>
      <c r="G13" s="20">
        <v>0</v>
      </c>
      <c r="H13" s="20">
        <v>0</v>
      </c>
      <c r="I13" s="20">
        <v>0</v>
      </c>
      <c r="J13" s="21">
        <v>0</v>
      </c>
      <c r="K13" s="20">
        <f>G13+H13+I13</f>
        <v>0</v>
      </c>
      <c r="L13" s="5"/>
      <c r="M13" s="20">
        <f t="shared" si="0"/>
        <v>0</v>
      </c>
      <c r="N13" s="20">
        <f t="shared" si="0"/>
        <v>0</v>
      </c>
      <c r="O13" s="20">
        <f t="shared" si="0"/>
        <v>0</v>
      </c>
      <c r="P13" s="21">
        <v>0</v>
      </c>
      <c r="Q13" s="21">
        <f>SUM(M13:P13)</f>
        <v>0</v>
      </c>
      <c r="R13" s="22"/>
      <c r="S13" s="22"/>
      <c r="T13" s="22"/>
      <c r="U13" s="22"/>
      <c r="V13" s="22"/>
    </row>
    <row r="14" spans="2:24" x14ac:dyDescent="0.2">
      <c r="E14" s="11"/>
      <c r="G14" s="11"/>
      <c r="H14" s="11"/>
      <c r="I14" s="11"/>
      <c r="K14" s="11"/>
      <c r="L14" s="5"/>
      <c r="M14" s="11"/>
      <c r="N14" s="11"/>
      <c r="O14" s="11"/>
      <c r="X14" s="24" t="s">
        <v>27</v>
      </c>
    </row>
    <row r="15" spans="2:24" x14ac:dyDescent="0.2">
      <c r="D15" s="1" t="s">
        <v>28</v>
      </c>
      <c r="E15" s="17" t="s">
        <v>29</v>
      </c>
      <c r="G15" s="18">
        <v>0</v>
      </c>
      <c r="H15" s="18">
        <v>0</v>
      </c>
      <c r="I15" s="18">
        <v>0</v>
      </c>
      <c r="J15" s="19"/>
      <c r="K15" s="18">
        <f t="shared" ref="K15:K20" si="1">G15+H15+I15</f>
        <v>0</v>
      </c>
      <c r="L15" s="5"/>
      <c r="M15" s="18">
        <v>0</v>
      </c>
      <c r="N15" s="18">
        <v>0</v>
      </c>
      <c r="O15" s="18">
        <v>0</v>
      </c>
      <c r="P15" s="19">
        <v>0</v>
      </c>
      <c r="Q15" s="19">
        <f t="shared" ref="Q15:Q20" si="2">SUM(M15:P15)</f>
        <v>0</v>
      </c>
      <c r="R15" s="19"/>
      <c r="S15" s="19"/>
      <c r="T15" s="19"/>
      <c r="U15" s="19"/>
      <c r="V15" s="19"/>
    </row>
    <row r="16" spans="2:24" x14ac:dyDescent="0.2">
      <c r="D16" s="1" t="s">
        <v>30</v>
      </c>
      <c r="E16" s="17" t="s">
        <v>31</v>
      </c>
      <c r="G16" s="18">
        <v>0</v>
      </c>
      <c r="H16" s="18">
        <v>0</v>
      </c>
      <c r="I16" s="18">
        <v>0</v>
      </c>
      <c r="J16" s="19">
        <v>0</v>
      </c>
      <c r="K16" s="18">
        <f t="shared" si="1"/>
        <v>0</v>
      </c>
      <c r="L16" s="5"/>
      <c r="M16" s="18">
        <f>G16</f>
        <v>0</v>
      </c>
      <c r="N16" s="18">
        <f>H16</f>
        <v>0</v>
      </c>
      <c r="O16" s="18">
        <f>I16</f>
        <v>0</v>
      </c>
      <c r="P16" s="18">
        <f>J16</f>
        <v>0</v>
      </c>
      <c r="Q16" s="19">
        <f t="shared" si="2"/>
        <v>0</v>
      </c>
      <c r="R16" s="19"/>
      <c r="S16" s="19"/>
      <c r="T16" s="19"/>
      <c r="U16" s="19"/>
      <c r="V16" s="19"/>
      <c r="X16" s="23" t="s">
        <v>32</v>
      </c>
    </row>
    <row r="17" spans="2:24" x14ac:dyDescent="0.2">
      <c r="E17" s="17" t="s">
        <v>33</v>
      </c>
      <c r="G17" s="18">
        <v>0</v>
      </c>
      <c r="H17" s="18">
        <v>0</v>
      </c>
      <c r="I17" s="18">
        <v>0</v>
      </c>
      <c r="J17" s="19">
        <v>0</v>
      </c>
      <c r="K17" s="18">
        <f t="shared" si="1"/>
        <v>0</v>
      </c>
      <c r="L17" s="5"/>
      <c r="M17" s="18">
        <v>0</v>
      </c>
      <c r="N17" s="18">
        <v>0</v>
      </c>
      <c r="O17" s="18">
        <v>0</v>
      </c>
      <c r="P17" s="19">
        <v>0</v>
      </c>
      <c r="Q17" s="19">
        <f t="shared" si="2"/>
        <v>0</v>
      </c>
      <c r="R17" s="19"/>
      <c r="S17" s="19"/>
      <c r="T17" s="19"/>
      <c r="U17" s="19"/>
      <c r="V17" s="19"/>
      <c r="X17" s="25">
        <v>614800</v>
      </c>
    </row>
    <row r="18" spans="2:24" x14ac:dyDescent="0.2">
      <c r="E18" s="17" t="s">
        <v>34</v>
      </c>
      <c r="G18" s="104">
        <v>0</v>
      </c>
      <c r="H18" s="18">
        <v>0</v>
      </c>
      <c r="I18" s="18">
        <v>0</v>
      </c>
      <c r="J18" s="19">
        <v>0</v>
      </c>
      <c r="K18" s="18">
        <f t="shared" si="1"/>
        <v>0</v>
      </c>
      <c r="L18" s="5"/>
      <c r="M18" s="18">
        <v>0</v>
      </c>
      <c r="N18" s="18">
        <v>0</v>
      </c>
      <c r="O18" s="18">
        <v>0</v>
      </c>
      <c r="P18" s="19">
        <v>0</v>
      </c>
      <c r="Q18" s="19">
        <f t="shared" si="2"/>
        <v>0</v>
      </c>
      <c r="R18" s="19"/>
      <c r="S18" s="19"/>
      <c r="T18" s="19"/>
      <c r="U18" s="19"/>
      <c r="V18" s="19"/>
    </row>
    <row r="19" spans="2:24" x14ac:dyDescent="0.2">
      <c r="E19" s="17" t="s">
        <v>35</v>
      </c>
      <c r="G19" s="18">
        <v>11655</v>
      </c>
      <c r="H19" s="18">
        <v>0</v>
      </c>
      <c r="I19" s="18">
        <v>0</v>
      </c>
      <c r="J19" s="19">
        <v>0</v>
      </c>
      <c r="K19" s="18">
        <f t="shared" si="1"/>
        <v>11655</v>
      </c>
      <c r="L19" s="5"/>
      <c r="M19" s="18">
        <f>G19</f>
        <v>11655</v>
      </c>
      <c r="N19" s="18">
        <f>H19</f>
        <v>0</v>
      </c>
      <c r="O19" s="18">
        <f>I19</f>
        <v>0</v>
      </c>
      <c r="P19" s="18">
        <f>J19</f>
        <v>0</v>
      </c>
      <c r="Q19" s="19">
        <f t="shared" si="2"/>
        <v>11655</v>
      </c>
      <c r="R19" s="19"/>
      <c r="S19" s="19"/>
      <c r="T19" s="19"/>
      <c r="U19" s="19"/>
      <c r="V19" s="19"/>
      <c r="X19" s="23" t="s">
        <v>36</v>
      </c>
    </row>
    <row r="20" spans="2:24" x14ac:dyDescent="0.2">
      <c r="E20" s="17" t="s">
        <v>37</v>
      </c>
      <c r="G20" s="27">
        <v>28352</v>
      </c>
      <c r="H20" s="27">
        <v>222</v>
      </c>
      <c r="I20" s="27">
        <v>19007</v>
      </c>
      <c r="J20" s="26">
        <v>0</v>
      </c>
      <c r="K20" s="27">
        <f t="shared" si="1"/>
        <v>47581</v>
      </c>
      <c r="L20" s="5"/>
      <c r="M20" s="18">
        <v>0</v>
      </c>
      <c r="N20" s="18">
        <v>0</v>
      </c>
      <c r="O20" s="18">
        <v>0</v>
      </c>
      <c r="P20" s="19">
        <v>0</v>
      </c>
      <c r="Q20" s="19">
        <f t="shared" si="2"/>
        <v>0</v>
      </c>
      <c r="R20" s="19"/>
      <c r="S20" s="19"/>
      <c r="T20" s="19"/>
      <c r="U20" s="19"/>
      <c r="V20" s="19"/>
      <c r="X20" s="25">
        <f>31030+1679</f>
        <v>32709</v>
      </c>
    </row>
    <row r="21" spans="2:24" x14ac:dyDescent="0.2">
      <c r="D21" s="2" t="s">
        <v>38</v>
      </c>
      <c r="E21" s="17"/>
      <c r="G21" s="28">
        <f>G9+G12+SUM(G15:G20)</f>
        <v>40007</v>
      </c>
      <c r="H21" s="28">
        <f>SUM(H15:H20)+H12+H9</f>
        <v>222</v>
      </c>
      <c r="I21" s="28">
        <f>SUM(I15:I20)+I12+I9</f>
        <v>19007</v>
      </c>
      <c r="J21" s="29">
        <f>J9+J12+SUM(J15:J20)</f>
        <v>0</v>
      </c>
      <c r="K21" s="28">
        <f>SUM(G21:J21)</f>
        <v>59236</v>
      </c>
      <c r="L21" s="5"/>
      <c r="M21" s="30">
        <f>M9+M12+SUM(M15:M20)</f>
        <v>11655</v>
      </c>
      <c r="N21" s="30">
        <f>N9+N12+SUM(N15:N20)</f>
        <v>0</v>
      </c>
      <c r="O21" s="30">
        <f>O9+O12+SUM(O15:O20)</f>
        <v>0</v>
      </c>
      <c r="P21" s="31">
        <f>P9+P12+SUM(P15:P20)</f>
        <v>0</v>
      </c>
      <c r="Q21" s="31">
        <f>Q9+Q12+SUM(Q15:Q20)</f>
        <v>11655</v>
      </c>
      <c r="R21" s="32"/>
      <c r="S21" s="32"/>
      <c r="T21" s="32"/>
      <c r="U21" s="32"/>
      <c r="V21" s="32"/>
    </row>
    <row r="22" spans="2:24" x14ac:dyDescent="0.2">
      <c r="E22" s="17"/>
      <c r="G22" s="18"/>
      <c r="H22" s="18"/>
      <c r="I22" s="18"/>
      <c r="J22" s="19"/>
      <c r="K22" s="18"/>
      <c r="L22" s="5"/>
      <c r="M22" s="33"/>
      <c r="N22" s="18"/>
      <c r="O22" s="18"/>
      <c r="P22" s="19"/>
      <c r="Q22" s="19"/>
      <c r="R22" s="19"/>
      <c r="S22" s="19"/>
      <c r="T22" s="19"/>
      <c r="U22" s="19"/>
      <c r="V22" s="19"/>
      <c r="X22" s="23" t="s">
        <v>39</v>
      </c>
    </row>
    <row r="23" spans="2:24" x14ac:dyDescent="0.2">
      <c r="B23" s="2" t="s">
        <v>40</v>
      </c>
      <c r="E23" s="17" t="s">
        <v>41</v>
      </c>
      <c r="G23" s="27">
        <v>0</v>
      </c>
      <c r="H23" s="27">
        <v>0</v>
      </c>
      <c r="I23" s="27">
        <v>0</v>
      </c>
      <c r="J23" s="26">
        <v>0</v>
      </c>
      <c r="K23" s="27">
        <f>I23+H23+G23</f>
        <v>0</v>
      </c>
      <c r="L23" s="5"/>
      <c r="M23" s="27">
        <f>$Q$23*G$117</f>
        <v>0</v>
      </c>
      <c r="N23" s="27">
        <f>$Q$23*H$117</f>
        <v>0</v>
      </c>
      <c r="O23" s="27">
        <f>$Q$23*I$117</f>
        <v>0</v>
      </c>
      <c r="P23" s="27">
        <v>0</v>
      </c>
      <c r="Q23" s="27">
        <f>K23*X23</f>
        <v>0</v>
      </c>
      <c r="R23" s="34"/>
      <c r="S23" s="34"/>
      <c r="T23" s="34"/>
      <c r="U23" s="34"/>
      <c r="V23" s="34"/>
      <c r="X23" s="35">
        <f>X20/X17</f>
        <v>5.320266753415745E-2</v>
      </c>
    </row>
    <row r="24" spans="2:24" x14ac:dyDescent="0.2">
      <c r="B24" s="2"/>
      <c r="D24" s="2" t="s">
        <v>42</v>
      </c>
      <c r="E24" s="17"/>
      <c r="G24" s="28">
        <f>SUM(G23)</f>
        <v>0</v>
      </c>
      <c r="H24" s="28">
        <f>SUM(H23)</f>
        <v>0</v>
      </c>
      <c r="I24" s="28">
        <f>SUM(I23)</f>
        <v>0</v>
      </c>
      <c r="J24" s="29">
        <f>SUM(J23)</f>
        <v>0</v>
      </c>
      <c r="K24" s="28">
        <f>SUM(G24:J24)</f>
        <v>0</v>
      </c>
      <c r="L24" s="5"/>
      <c r="M24" s="28">
        <f>SUM(M23)</f>
        <v>0</v>
      </c>
      <c r="N24" s="28">
        <f>SUM(N23)</f>
        <v>0</v>
      </c>
      <c r="O24" s="28">
        <f>SUM(O23)</f>
        <v>0</v>
      </c>
      <c r="P24" s="29">
        <f>SUM(P23)</f>
        <v>0</v>
      </c>
      <c r="Q24" s="29">
        <f>SUM(M24:P24)</f>
        <v>0</v>
      </c>
      <c r="R24" s="29"/>
      <c r="S24" s="29"/>
      <c r="T24" s="29"/>
      <c r="U24" s="29"/>
      <c r="V24" s="29"/>
    </row>
    <row r="25" spans="2:24" x14ac:dyDescent="0.2">
      <c r="B25" s="2"/>
      <c r="E25" s="11"/>
      <c r="G25" s="11"/>
      <c r="H25" s="11"/>
      <c r="I25" s="11"/>
      <c r="K25" s="11"/>
      <c r="L25" s="5"/>
      <c r="M25" s="11"/>
      <c r="N25" s="11"/>
      <c r="O25" s="11"/>
    </row>
    <row r="26" spans="2:24" x14ac:dyDescent="0.2">
      <c r="B26" s="2" t="s">
        <v>43</v>
      </c>
      <c r="E26" s="17" t="s">
        <v>44</v>
      </c>
      <c r="F26" s="11"/>
      <c r="G26" s="18">
        <v>0</v>
      </c>
      <c r="H26" s="18">
        <v>0</v>
      </c>
      <c r="I26" s="18">
        <v>0</v>
      </c>
      <c r="J26" s="19">
        <v>0</v>
      </c>
      <c r="K26" s="18">
        <f t="shared" ref="K26:K31" si="3">SUM(G26:J26)</f>
        <v>0</v>
      </c>
      <c r="L26" s="5"/>
      <c r="M26" s="34">
        <v>0</v>
      </c>
      <c r="N26" s="34">
        <v>0</v>
      </c>
      <c r="O26" s="34">
        <v>0</v>
      </c>
      <c r="P26" s="19">
        <v>0</v>
      </c>
      <c r="Q26" s="19">
        <f t="shared" ref="Q26:Q31" si="4">SUM(M26:P26)</f>
        <v>0</v>
      </c>
      <c r="R26" s="19"/>
      <c r="S26" s="19"/>
      <c r="T26" s="19"/>
      <c r="U26" s="19"/>
      <c r="V26" s="19"/>
    </row>
    <row r="27" spans="2:24" x14ac:dyDescent="0.2">
      <c r="B27" s="2"/>
      <c r="E27" s="17" t="s">
        <v>45</v>
      </c>
      <c r="G27" s="18">
        <v>0</v>
      </c>
      <c r="H27" s="18">
        <v>0</v>
      </c>
      <c r="I27" s="18">
        <v>0</v>
      </c>
      <c r="J27" s="19">
        <v>0</v>
      </c>
      <c r="K27" s="18">
        <f t="shared" si="3"/>
        <v>0</v>
      </c>
      <c r="L27" s="5"/>
      <c r="M27" s="18">
        <f>G27</f>
        <v>0</v>
      </c>
      <c r="N27" s="18">
        <f>H27</f>
        <v>0</v>
      </c>
      <c r="O27" s="18">
        <f>I27</f>
        <v>0</v>
      </c>
      <c r="P27" s="18">
        <f>J27</f>
        <v>0</v>
      </c>
      <c r="Q27" s="19">
        <f>SUM(M27:P27)</f>
        <v>0</v>
      </c>
      <c r="R27" s="19"/>
      <c r="S27" s="19"/>
      <c r="T27" s="19"/>
      <c r="U27" s="19"/>
      <c r="V27" s="19"/>
    </row>
    <row r="28" spans="2:24" x14ac:dyDescent="0.2">
      <c r="B28" s="2"/>
      <c r="E28" s="11" t="s">
        <v>46</v>
      </c>
      <c r="G28" s="18"/>
      <c r="H28" s="18">
        <v>0</v>
      </c>
      <c r="I28" s="18">
        <v>0</v>
      </c>
      <c r="J28" s="19">
        <v>0</v>
      </c>
      <c r="K28" s="18">
        <f t="shared" si="3"/>
        <v>0</v>
      </c>
      <c r="L28" s="5"/>
      <c r="M28" s="18">
        <v>0</v>
      </c>
      <c r="N28" s="18">
        <v>0</v>
      </c>
      <c r="O28" s="18">
        <v>0</v>
      </c>
      <c r="P28" s="19">
        <v>0</v>
      </c>
      <c r="Q28" s="19">
        <f t="shared" si="4"/>
        <v>0</v>
      </c>
      <c r="R28" s="19"/>
      <c r="S28" s="19"/>
      <c r="T28" s="19"/>
      <c r="U28" s="19"/>
      <c r="V28" s="19"/>
    </row>
    <row r="29" spans="2:24" x14ac:dyDescent="0.2">
      <c r="B29" s="2"/>
      <c r="E29" s="17" t="s">
        <v>47</v>
      </c>
      <c r="G29" s="18">
        <v>0</v>
      </c>
      <c r="H29" s="18">
        <v>0</v>
      </c>
      <c r="I29" s="18">
        <v>0</v>
      </c>
      <c r="J29" s="19">
        <v>0</v>
      </c>
      <c r="K29" s="18">
        <f t="shared" si="3"/>
        <v>0</v>
      </c>
      <c r="L29" s="5"/>
      <c r="M29" s="18">
        <f t="shared" ref="M29:P30" si="5">G29</f>
        <v>0</v>
      </c>
      <c r="N29" s="18">
        <f t="shared" si="5"/>
        <v>0</v>
      </c>
      <c r="O29" s="18">
        <f t="shared" si="5"/>
        <v>0</v>
      </c>
      <c r="P29" s="18">
        <f t="shared" si="5"/>
        <v>0</v>
      </c>
      <c r="Q29" s="19">
        <f t="shared" si="4"/>
        <v>0</v>
      </c>
      <c r="R29" s="19"/>
      <c r="S29" s="19"/>
      <c r="T29" s="19"/>
      <c r="U29" s="19"/>
      <c r="V29" s="19"/>
    </row>
    <row r="30" spans="2:24" x14ac:dyDescent="0.2">
      <c r="B30" s="2"/>
      <c r="E30" s="36" t="s">
        <v>48</v>
      </c>
      <c r="G30" s="27">
        <v>0</v>
      </c>
      <c r="H30" s="27">
        <v>0</v>
      </c>
      <c r="I30" s="27">
        <v>0</v>
      </c>
      <c r="J30" s="26">
        <v>0</v>
      </c>
      <c r="K30" s="27">
        <f t="shared" si="3"/>
        <v>0</v>
      </c>
      <c r="L30" s="5"/>
      <c r="M30" s="27">
        <f t="shared" si="5"/>
        <v>0</v>
      </c>
      <c r="N30" s="27">
        <f t="shared" si="5"/>
        <v>0</v>
      </c>
      <c r="O30" s="27">
        <f t="shared" si="5"/>
        <v>0</v>
      </c>
      <c r="P30" s="27">
        <f>J30</f>
        <v>0</v>
      </c>
      <c r="Q30" s="26">
        <f t="shared" si="4"/>
        <v>0</v>
      </c>
      <c r="R30" s="37"/>
      <c r="S30" s="37"/>
      <c r="T30" s="37"/>
      <c r="U30" s="37"/>
      <c r="V30" s="37"/>
    </row>
    <row r="31" spans="2:24" x14ac:dyDescent="0.2">
      <c r="B31" s="2"/>
      <c r="D31" s="2" t="s">
        <v>49</v>
      </c>
      <c r="G31" s="29">
        <f>SUM(G26:G30)</f>
        <v>0</v>
      </c>
      <c r="H31" s="29">
        <f>SUM(H26:H30)</f>
        <v>0</v>
      </c>
      <c r="I31" s="29">
        <f>SUM(I26:I30)</f>
        <v>0</v>
      </c>
      <c r="J31" s="29">
        <f>SUM(J26:J30)</f>
        <v>0</v>
      </c>
      <c r="K31" s="28">
        <f t="shared" si="3"/>
        <v>0</v>
      </c>
      <c r="L31" s="5"/>
      <c r="M31" s="28">
        <f>SUM(M26:M30)</f>
        <v>0</v>
      </c>
      <c r="N31" s="28">
        <f>SUM(N26:N30)</f>
        <v>0</v>
      </c>
      <c r="O31" s="28">
        <f>SUM(O26:O30)</f>
        <v>0</v>
      </c>
      <c r="P31" s="29">
        <f>SUM(P26:P30)</f>
        <v>0</v>
      </c>
      <c r="Q31" s="29">
        <f t="shared" si="4"/>
        <v>0</v>
      </c>
      <c r="R31" s="29"/>
      <c r="S31" s="29"/>
      <c r="T31" s="29"/>
      <c r="U31" s="29"/>
      <c r="V31" s="29"/>
    </row>
    <row r="32" spans="2:24" x14ac:dyDescent="0.2">
      <c r="B32" s="2"/>
      <c r="K32" s="11"/>
      <c r="L32" s="5"/>
    </row>
    <row r="33" spans="2:22" x14ac:dyDescent="0.2">
      <c r="B33" s="2" t="s">
        <v>50</v>
      </c>
      <c r="D33" s="2" t="s">
        <v>51</v>
      </c>
      <c r="E33" s="1" t="s">
        <v>52</v>
      </c>
      <c r="G33" s="18">
        <v>0</v>
      </c>
      <c r="H33" s="18">
        <v>0</v>
      </c>
      <c r="I33" s="18">
        <v>0</v>
      </c>
      <c r="J33" s="18">
        <v>0</v>
      </c>
      <c r="K33" s="18">
        <f>SUM(G33:J33)</f>
        <v>0</v>
      </c>
      <c r="L33" s="5"/>
      <c r="M33" s="19">
        <f t="shared" ref="M33:P34" si="6">G33</f>
        <v>0</v>
      </c>
      <c r="N33" s="19">
        <f t="shared" si="6"/>
        <v>0</v>
      </c>
      <c r="O33" s="19">
        <f t="shared" si="6"/>
        <v>0</v>
      </c>
      <c r="P33" s="19">
        <f t="shared" si="6"/>
        <v>0</v>
      </c>
      <c r="Q33" s="19">
        <f>SUM(M33:P33)</f>
        <v>0</v>
      </c>
      <c r="R33" s="19"/>
      <c r="S33" s="19"/>
      <c r="T33" s="19"/>
      <c r="U33" s="19"/>
      <c r="V33" s="19"/>
    </row>
    <row r="34" spans="2:22" x14ac:dyDescent="0.2">
      <c r="B34" s="2" t="s">
        <v>53</v>
      </c>
      <c r="D34" s="2" t="s">
        <v>54</v>
      </c>
      <c r="E34" s="1" t="s">
        <v>55</v>
      </c>
      <c r="G34" s="18"/>
      <c r="H34" s="18">
        <v>0</v>
      </c>
      <c r="I34" s="18">
        <v>0</v>
      </c>
      <c r="J34" s="18">
        <v>0</v>
      </c>
      <c r="K34" s="18">
        <f>SUM(G34:J34)</f>
        <v>0</v>
      </c>
      <c r="L34" s="5"/>
      <c r="M34" s="19">
        <f t="shared" si="6"/>
        <v>0</v>
      </c>
      <c r="N34" s="19">
        <f t="shared" si="6"/>
        <v>0</v>
      </c>
      <c r="O34" s="19">
        <f t="shared" si="6"/>
        <v>0</v>
      </c>
      <c r="P34" s="19">
        <f t="shared" si="6"/>
        <v>0</v>
      </c>
      <c r="Q34" s="19">
        <f>SUM(M34:P34)</f>
        <v>0</v>
      </c>
      <c r="R34" s="19"/>
      <c r="S34" s="19"/>
      <c r="T34" s="19"/>
      <c r="U34" s="19"/>
      <c r="V34" s="19"/>
    </row>
    <row r="35" spans="2:22" x14ac:dyDescent="0.2">
      <c r="D35" s="2"/>
      <c r="G35" s="11"/>
      <c r="H35" s="11"/>
      <c r="I35" s="11"/>
      <c r="J35" s="11"/>
      <c r="K35" s="11"/>
      <c r="L35" s="5"/>
      <c r="Q35" s="19"/>
      <c r="R35" s="19"/>
      <c r="S35" s="19"/>
      <c r="T35" s="19"/>
      <c r="U35" s="19"/>
      <c r="V35" s="19"/>
    </row>
    <row r="36" spans="2:22" x14ac:dyDescent="0.2">
      <c r="D36" s="2" t="s">
        <v>56</v>
      </c>
      <c r="E36" s="1" t="s">
        <v>57</v>
      </c>
      <c r="G36" s="18">
        <v>0</v>
      </c>
      <c r="H36" s="18"/>
      <c r="I36" s="18">
        <v>0</v>
      </c>
      <c r="J36" s="18">
        <v>0</v>
      </c>
      <c r="K36" s="18">
        <f>SUM(G36:J36)</f>
        <v>0</v>
      </c>
      <c r="L36" s="5"/>
      <c r="M36" s="19">
        <f t="shared" ref="M36:P39" si="7">G36</f>
        <v>0</v>
      </c>
      <c r="N36" s="19">
        <f t="shared" si="7"/>
        <v>0</v>
      </c>
      <c r="O36" s="19">
        <f t="shared" si="7"/>
        <v>0</v>
      </c>
      <c r="P36" s="19">
        <f t="shared" si="7"/>
        <v>0</v>
      </c>
      <c r="Q36" s="19">
        <f>SUM(M36:P36)</f>
        <v>0</v>
      </c>
      <c r="R36" s="19"/>
      <c r="S36" s="19"/>
      <c r="T36" s="19"/>
      <c r="U36" s="19"/>
      <c r="V36" s="19"/>
    </row>
    <row r="37" spans="2:22" x14ac:dyDescent="0.2">
      <c r="D37" s="2" t="s">
        <v>58</v>
      </c>
      <c r="E37" s="1" t="s">
        <v>59</v>
      </c>
      <c r="G37" s="18">
        <v>0</v>
      </c>
      <c r="H37" s="18">
        <v>0</v>
      </c>
      <c r="I37" s="18">
        <v>0</v>
      </c>
      <c r="J37" s="18">
        <v>0</v>
      </c>
      <c r="K37" s="18">
        <f>SUM(G37:J37)</f>
        <v>0</v>
      </c>
      <c r="L37" s="5"/>
      <c r="M37" s="19">
        <f t="shared" si="7"/>
        <v>0</v>
      </c>
      <c r="N37" s="19">
        <f t="shared" si="7"/>
        <v>0</v>
      </c>
      <c r="O37" s="19">
        <f t="shared" si="7"/>
        <v>0</v>
      </c>
      <c r="P37" s="19">
        <f t="shared" si="7"/>
        <v>0</v>
      </c>
      <c r="Q37" s="19">
        <f>SUM(M37:P37)</f>
        <v>0</v>
      </c>
      <c r="R37" s="19"/>
      <c r="S37" s="19"/>
      <c r="T37" s="19"/>
      <c r="U37" s="19"/>
      <c r="V37" s="19"/>
    </row>
    <row r="38" spans="2:22" x14ac:dyDescent="0.2">
      <c r="D38" s="2"/>
      <c r="E38" s="1" t="s">
        <v>60</v>
      </c>
      <c r="G38" s="18">
        <v>0</v>
      </c>
      <c r="H38" s="18">
        <v>0</v>
      </c>
      <c r="I38" s="18">
        <v>0</v>
      </c>
      <c r="J38" s="18">
        <v>0</v>
      </c>
      <c r="K38" s="18">
        <f>SUM(G38:J38)</f>
        <v>0</v>
      </c>
      <c r="L38" s="5"/>
      <c r="M38" s="19">
        <f t="shared" si="7"/>
        <v>0</v>
      </c>
      <c r="N38" s="19">
        <f t="shared" si="7"/>
        <v>0</v>
      </c>
      <c r="O38" s="19">
        <f t="shared" si="7"/>
        <v>0</v>
      </c>
      <c r="P38" s="19">
        <f t="shared" si="7"/>
        <v>0</v>
      </c>
      <c r="Q38" s="19">
        <f>SUM(M38:P38)</f>
        <v>0</v>
      </c>
      <c r="R38" s="19"/>
      <c r="S38" s="19"/>
      <c r="T38" s="19"/>
      <c r="U38" s="19"/>
      <c r="V38" s="19"/>
    </row>
    <row r="39" spans="2:22" x14ac:dyDescent="0.2">
      <c r="D39" s="2"/>
      <c r="E39" s="1" t="s">
        <v>61</v>
      </c>
      <c r="G39" s="18">
        <v>14927</v>
      </c>
      <c r="H39" s="18">
        <v>0</v>
      </c>
      <c r="I39" s="18"/>
      <c r="J39" s="18">
        <v>0</v>
      </c>
      <c r="K39" s="18">
        <f>SUM(G39:J39)</f>
        <v>14927</v>
      </c>
      <c r="L39" s="5"/>
      <c r="M39" s="19">
        <f t="shared" si="7"/>
        <v>14927</v>
      </c>
      <c r="N39" s="19">
        <f t="shared" si="7"/>
        <v>0</v>
      </c>
      <c r="O39" s="19">
        <f t="shared" si="7"/>
        <v>0</v>
      </c>
      <c r="P39" s="19">
        <f t="shared" si="7"/>
        <v>0</v>
      </c>
      <c r="Q39" s="19">
        <f>SUM(M39:P39)</f>
        <v>14927</v>
      </c>
      <c r="R39" s="19"/>
      <c r="S39" s="19"/>
      <c r="T39" s="19"/>
      <c r="U39" s="19"/>
      <c r="V39" s="19"/>
    </row>
    <row r="40" spans="2:22" x14ac:dyDescent="0.2">
      <c r="D40" s="2"/>
      <c r="G40" s="11"/>
      <c r="H40" s="11"/>
      <c r="I40" s="11"/>
      <c r="J40" s="11"/>
      <c r="K40" s="11"/>
      <c r="L40" s="5"/>
      <c r="Q40" s="19"/>
      <c r="R40" s="19"/>
      <c r="S40" s="19"/>
      <c r="T40" s="19"/>
      <c r="U40" s="19"/>
      <c r="V40" s="19"/>
    </row>
    <row r="41" spans="2:22" x14ac:dyDescent="0.2">
      <c r="D41" s="2" t="s">
        <v>62</v>
      </c>
      <c r="G41" s="18"/>
      <c r="H41" s="18">
        <f>H11</f>
        <v>0</v>
      </c>
      <c r="I41" s="18">
        <v>0</v>
      </c>
      <c r="J41" s="18">
        <v>0</v>
      </c>
      <c r="K41" s="18">
        <f>SUM(G41:J41)</f>
        <v>0</v>
      </c>
      <c r="L41" s="5"/>
      <c r="M41" s="19">
        <f>G41</f>
        <v>0</v>
      </c>
      <c r="N41" s="19">
        <f>H41</f>
        <v>0</v>
      </c>
      <c r="O41" s="19">
        <f>I41</f>
        <v>0</v>
      </c>
      <c r="P41" s="19">
        <f>J41</f>
        <v>0</v>
      </c>
      <c r="Q41" s="19">
        <f>SUM(M41:P41)</f>
        <v>0</v>
      </c>
      <c r="R41" s="19"/>
      <c r="S41" s="19"/>
      <c r="T41" s="19"/>
      <c r="U41" s="19"/>
      <c r="V41" s="19"/>
    </row>
    <row r="42" spans="2:22" x14ac:dyDescent="0.2">
      <c r="D42" s="2"/>
      <c r="G42" s="11"/>
      <c r="H42" s="11"/>
      <c r="I42" s="11"/>
      <c r="J42" s="11"/>
      <c r="L42" s="5"/>
    </row>
    <row r="43" spans="2:22" x14ac:dyDescent="0.2">
      <c r="D43" s="2" t="s">
        <v>63</v>
      </c>
      <c r="G43" s="18"/>
      <c r="H43" s="18"/>
      <c r="I43" s="18">
        <v>0</v>
      </c>
      <c r="J43" s="18">
        <v>0</v>
      </c>
      <c r="K43" s="19">
        <f>SUM(G43:J43)</f>
        <v>0</v>
      </c>
      <c r="L43" s="5"/>
      <c r="M43" s="19">
        <f>G43</f>
        <v>0</v>
      </c>
      <c r="N43" s="19">
        <f>H43</f>
        <v>0</v>
      </c>
      <c r="O43" s="19">
        <f>I43</f>
        <v>0</v>
      </c>
      <c r="P43" s="19">
        <f>J43</f>
        <v>0</v>
      </c>
      <c r="Q43" s="19">
        <f>SUM(M43:P43)</f>
        <v>0</v>
      </c>
      <c r="R43" s="19"/>
      <c r="S43" s="19"/>
      <c r="T43" s="19"/>
      <c r="U43" s="19"/>
      <c r="V43" s="19"/>
    </row>
    <row r="44" spans="2:22" x14ac:dyDescent="0.2">
      <c r="D44" s="2"/>
      <c r="G44" s="11"/>
      <c r="H44" s="11"/>
      <c r="I44" s="11"/>
      <c r="J44" s="11"/>
      <c r="L44" s="5"/>
    </row>
    <row r="45" spans="2:22" x14ac:dyDescent="0.2">
      <c r="D45" s="2" t="s">
        <v>64</v>
      </c>
      <c r="G45" s="18"/>
      <c r="H45" s="18"/>
      <c r="I45" s="18">
        <v>0</v>
      </c>
      <c r="J45" s="18">
        <v>0</v>
      </c>
      <c r="K45" s="19">
        <f>SUM(G45:J45)</f>
        <v>0</v>
      </c>
      <c r="L45" s="5"/>
      <c r="M45" s="19">
        <f>G45</f>
        <v>0</v>
      </c>
      <c r="N45" s="19">
        <f>H45</f>
        <v>0</v>
      </c>
      <c r="O45" s="19">
        <f>I45</f>
        <v>0</v>
      </c>
      <c r="P45" s="19">
        <f>J45</f>
        <v>0</v>
      </c>
      <c r="Q45" s="19">
        <f>SUM(M45:P45)</f>
        <v>0</v>
      </c>
      <c r="R45" s="19"/>
      <c r="S45" s="19"/>
      <c r="T45" s="19"/>
      <c r="U45" s="19"/>
      <c r="V45" s="19"/>
    </row>
    <row r="46" spans="2:22" x14ac:dyDescent="0.2">
      <c r="D46" s="2"/>
      <c r="G46" s="11"/>
      <c r="H46" s="11"/>
      <c r="I46" s="11"/>
      <c r="J46" s="11"/>
      <c r="L46" s="5"/>
    </row>
    <row r="47" spans="2:22" x14ac:dyDescent="0.2">
      <c r="D47" s="2" t="s">
        <v>65</v>
      </c>
      <c r="G47" s="18"/>
      <c r="H47" s="18">
        <v>0</v>
      </c>
      <c r="I47" s="18">
        <v>0</v>
      </c>
      <c r="J47" s="18">
        <v>0</v>
      </c>
      <c r="K47" s="19">
        <f>SUM(G47:J47)</f>
        <v>0</v>
      </c>
      <c r="L47" s="5"/>
      <c r="M47" s="19">
        <f>G47</f>
        <v>0</v>
      </c>
      <c r="N47" s="19">
        <f>H47</f>
        <v>0</v>
      </c>
      <c r="O47" s="19">
        <f>I47</f>
        <v>0</v>
      </c>
      <c r="P47" s="19">
        <f>J47</f>
        <v>0</v>
      </c>
      <c r="Q47" s="19">
        <f>SUM(M47:P47)</f>
        <v>0</v>
      </c>
      <c r="R47" s="19"/>
      <c r="S47" s="19"/>
      <c r="T47" s="19"/>
      <c r="U47" s="19"/>
      <c r="V47" s="19"/>
    </row>
    <row r="48" spans="2:22" x14ac:dyDescent="0.2">
      <c r="D48" s="2" t="s">
        <v>66</v>
      </c>
      <c r="G48" s="11"/>
      <c r="H48" s="11"/>
      <c r="I48" s="11"/>
      <c r="J48" s="11"/>
      <c r="L48" s="5"/>
    </row>
    <row r="49" spans="2:24" x14ac:dyDescent="0.2">
      <c r="D49" s="2"/>
      <c r="G49" s="11"/>
      <c r="H49" s="11"/>
      <c r="I49" s="11"/>
      <c r="J49" s="11"/>
      <c r="L49" s="5"/>
    </row>
    <row r="50" spans="2:24" x14ac:dyDescent="0.2">
      <c r="B50" s="2"/>
      <c r="D50" s="2" t="s">
        <v>61</v>
      </c>
      <c r="G50" s="27">
        <v>0</v>
      </c>
      <c r="H50" s="27">
        <v>0</v>
      </c>
      <c r="I50" s="27">
        <v>0</v>
      </c>
      <c r="J50" s="27">
        <v>0</v>
      </c>
      <c r="K50" s="27">
        <f>SUM(G50:J50)</f>
        <v>0</v>
      </c>
      <c r="L50" s="5"/>
      <c r="M50" s="26">
        <f>G50</f>
        <v>0</v>
      </c>
      <c r="N50" s="26">
        <f>H50</f>
        <v>0</v>
      </c>
      <c r="O50" s="26">
        <f>I50</f>
        <v>0</v>
      </c>
      <c r="P50" s="26">
        <f>J50</f>
        <v>0</v>
      </c>
      <c r="Q50" s="26">
        <f>SUM(M50:P50)</f>
        <v>0</v>
      </c>
      <c r="R50" s="37"/>
      <c r="S50" s="37"/>
      <c r="T50" s="37"/>
      <c r="U50" s="37"/>
      <c r="V50" s="37"/>
    </row>
    <row r="51" spans="2:24" x14ac:dyDescent="0.2">
      <c r="D51" s="2" t="s">
        <v>67</v>
      </c>
      <c r="G51" s="29">
        <f>SUM(G33:G50)</f>
        <v>14927</v>
      </c>
      <c r="H51" s="29">
        <f>SUM(H33:H50)</f>
        <v>0</v>
      </c>
      <c r="I51" s="29">
        <f>SUM(I33:I50)</f>
        <v>0</v>
      </c>
      <c r="J51" s="29">
        <f>SUM(J33:J50)</f>
        <v>0</v>
      </c>
      <c r="K51" s="29">
        <f>SUM(G51:J51)</f>
        <v>14927</v>
      </c>
      <c r="L51" s="5"/>
      <c r="M51" s="29">
        <f>SUM(M33:M50)</f>
        <v>14927</v>
      </c>
      <c r="N51" s="29">
        <f>SUM(N33:N50)</f>
        <v>0</v>
      </c>
      <c r="O51" s="29">
        <f>SUM(O33:O50)</f>
        <v>0</v>
      </c>
      <c r="P51" s="29">
        <f>SUM(P33:P50)</f>
        <v>0</v>
      </c>
      <c r="Q51" s="29">
        <f>SUM(M51:P51)</f>
        <v>14927</v>
      </c>
      <c r="R51" s="29"/>
      <c r="S51" s="29"/>
      <c r="T51" s="29"/>
      <c r="U51" s="29"/>
      <c r="V51" s="29"/>
    </row>
    <row r="52" spans="2:24" x14ac:dyDescent="0.2">
      <c r="B52" s="2"/>
      <c r="L52" s="5"/>
    </row>
    <row r="53" spans="2:24" x14ac:dyDescent="0.2">
      <c r="B53" s="2" t="s">
        <v>68</v>
      </c>
      <c r="G53" s="19">
        <v>0</v>
      </c>
      <c r="H53" s="19">
        <v>0</v>
      </c>
      <c r="I53" s="19">
        <v>0</v>
      </c>
      <c r="J53" s="19">
        <v>0</v>
      </c>
      <c r="K53" s="19">
        <f>SUM(G53:J53)</f>
        <v>0</v>
      </c>
      <c r="L53" s="5"/>
      <c r="M53" s="19">
        <v>0</v>
      </c>
      <c r="N53" s="19">
        <v>0</v>
      </c>
      <c r="O53" s="19">
        <v>0</v>
      </c>
      <c r="P53" s="19">
        <v>0</v>
      </c>
      <c r="Q53" s="19">
        <f>SUM(M53:P53)</f>
        <v>0</v>
      </c>
      <c r="R53" s="19"/>
      <c r="S53" s="19"/>
      <c r="T53" s="19"/>
      <c r="U53" s="19"/>
      <c r="V53" s="19"/>
    </row>
    <row r="54" spans="2:24" x14ac:dyDescent="0.2">
      <c r="B54" s="2" t="s">
        <v>69</v>
      </c>
      <c r="L54" s="5"/>
    </row>
    <row r="55" spans="2:24" ht="13.5" thickBot="1" x14ac:dyDescent="0.25">
      <c r="K55" s="19"/>
      <c r="L55" s="5"/>
      <c r="Q55" s="38"/>
      <c r="R55" s="39"/>
      <c r="S55" s="39"/>
      <c r="T55" s="39"/>
      <c r="U55" s="39"/>
      <c r="V55" s="39"/>
    </row>
    <row r="56" spans="2:24" x14ac:dyDescent="0.2">
      <c r="B56" s="2" t="s">
        <v>70</v>
      </c>
      <c r="G56" s="40">
        <f>G21+G24+G31+G51+G53</f>
        <v>54934</v>
      </c>
      <c r="H56" s="40">
        <f>H21+H24+H31+H51+H53</f>
        <v>222</v>
      </c>
      <c r="I56" s="40">
        <f>I21+I24+I31+I51+I53</f>
        <v>19007</v>
      </c>
      <c r="J56" s="40">
        <f>J21+J24+J31+J51+J53</f>
        <v>0</v>
      </c>
      <c r="K56" s="40">
        <f>SUM(G56:J56)</f>
        <v>74163</v>
      </c>
      <c r="L56" s="41"/>
      <c r="M56" s="40">
        <f>M21+M24+M31+M51+M53</f>
        <v>26582</v>
      </c>
      <c r="N56" s="40">
        <f>N21+N24+N31+N51+N53</f>
        <v>0</v>
      </c>
      <c r="O56" s="40">
        <f>O21+O24+O31+O51+O53</f>
        <v>0</v>
      </c>
      <c r="P56" s="40">
        <f>P21+P24+P31+P51+P53</f>
        <v>0</v>
      </c>
      <c r="Q56" s="40">
        <f>SUM(M56:P56)</f>
        <v>26582</v>
      </c>
      <c r="R56" s="32"/>
      <c r="S56" s="32"/>
      <c r="T56" s="32"/>
      <c r="U56" s="32"/>
      <c r="V56" s="32"/>
    </row>
    <row r="57" spans="2:24" x14ac:dyDescent="0.2">
      <c r="L57" s="5"/>
    </row>
    <row r="58" spans="2:24" x14ac:dyDescent="0.2">
      <c r="L58" s="5"/>
    </row>
    <row r="59" spans="2:24" ht="14.25" x14ac:dyDescent="0.2">
      <c r="B59" s="16" t="s">
        <v>71</v>
      </c>
      <c r="K59" s="11"/>
      <c r="L59" s="5"/>
    </row>
    <row r="60" spans="2:24" x14ac:dyDescent="0.2">
      <c r="D60" s="11"/>
      <c r="E60" s="36" t="s">
        <v>23</v>
      </c>
      <c r="G60" s="19">
        <v>0</v>
      </c>
      <c r="H60" s="19">
        <v>0</v>
      </c>
      <c r="I60" s="19">
        <f>K60</f>
        <v>0</v>
      </c>
      <c r="J60" s="18">
        <v>0</v>
      </c>
      <c r="K60" s="18">
        <v>0</v>
      </c>
      <c r="L60" s="5"/>
      <c r="M60" s="19">
        <f>G60</f>
        <v>0</v>
      </c>
      <c r="N60" s="19">
        <f>H60</f>
        <v>0</v>
      </c>
      <c r="O60" s="19">
        <f>Q60</f>
        <v>0</v>
      </c>
      <c r="P60" s="18">
        <f>J60</f>
        <v>0</v>
      </c>
      <c r="Q60" s="18">
        <f>$K$60</f>
        <v>0</v>
      </c>
      <c r="R60" s="18"/>
      <c r="S60" s="18"/>
      <c r="T60" s="18"/>
      <c r="U60" s="18"/>
      <c r="V60" s="18"/>
      <c r="X60" s="23" t="s">
        <v>73</v>
      </c>
    </row>
    <row r="61" spans="2:24" x14ac:dyDescent="0.2">
      <c r="D61" s="11"/>
      <c r="E61" s="36" t="s">
        <v>25</v>
      </c>
      <c r="G61" s="42">
        <v>0</v>
      </c>
      <c r="H61" s="42">
        <v>0</v>
      </c>
      <c r="I61" s="42">
        <f>K61</f>
        <v>0</v>
      </c>
      <c r="J61" s="43">
        <v>0</v>
      </c>
      <c r="K61" s="43">
        <v>0</v>
      </c>
      <c r="L61" s="5"/>
      <c r="M61" s="42">
        <f>G61</f>
        <v>0</v>
      </c>
      <c r="N61" s="42">
        <f>H61</f>
        <v>0</v>
      </c>
      <c r="O61" s="42">
        <f>I61</f>
        <v>0</v>
      </c>
      <c r="P61" s="43">
        <f>J61</f>
        <v>0</v>
      </c>
      <c r="Q61" s="42">
        <f>K61</f>
        <v>0</v>
      </c>
      <c r="R61" s="42"/>
      <c r="S61" s="42"/>
      <c r="T61" s="42"/>
      <c r="U61" s="42"/>
      <c r="V61" s="42"/>
      <c r="X61" s="44">
        <f>$K$60-(327*25.09*8)</f>
        <v>-65635.44</v>
      </c>
    </row>
    <row r="62" spans="2:24" x14ac:dyDescent="0.2">
      <c r="D62" s="11"/>
      <c r="E62" s="36"/>
      <c r="J62" s="11"/>
      <c r="K62" s="11"/>
      <c r="L62" s="5"/>
      <c r="P62" s="11"/>
    </row>
    <row r="63" spans="2:24" x14ac:dyDescent="0.2">
      <c r="D63" s="11" t="s">
        <v>147</v>
      </c>
      <c r="E63" s="36" t="s">
        <v>23</v>
      </c>
      <c r="G63" s="19">
        <v>47395</v>
      </c>
      <c r="H63" s="19">
        <v>0</v>
      </c>
      <c r="I63" s="19">
        <v>139087</v>
      </c>
      <c r="J63" s="18">
        <v>0</v>
      </c>
      <c r="K63" s="18">
        <v>186482</v>
      </c>
      <c r="L63" s="5"/>
      <c r="M63" s="19">
        <f>G63</f>
        <v>47395</v>
      </c>
      <c r="N63" s="19">
        <v>0</v>
      </c>
      <c r="O63" s="19">
        <f>I63</f>
        <v>139087</v>
      </c>
      <c r="P63" s="18">
        <f t="shared" ref="P63:Q64" si="8">J63</f>
        <v>0</v>
      </c>
      <c r="Q63" s="18">
        <f>K63-(0*67.3*8)</f>
        <v>186482</v>
      </c>
      <c r="R63" s="18"/>
      <c r="S63" s="18"/>
      <c r="T63" s="18"/>
      <c r="U63" s="18"/>
      <c r="V63" s="18"/>
    </row>
    <row r="64" spans="2:24" ht="12.75" customHeight="1" x14ac:dyDescent="0.2">
      <c r="D64" s="11"/>
      <c r="E64" s="36" t="s">
        <v>25</v>
      </c>
      <c r="G64" s="45">
        <f>$G$103*K64</f>
        <v>0</v>
      </c>
      <c r="H64" s="45">
        <f>$H$103*K64</f>
        <v>0</v>
      </c>
      <c r="I64" s="45">
        <f>$I$103*K64</f>
        <v>0</v>
      </c>
      <c r="J64" s="46">
        <v>0</v>
      </c>
      <c r="K64" s="43">
        <v>0</v>
      </c>
      <c r="L64" s="5"/>
      <c r="M64" s="42">
        <f>G64</f>
        <v>0</v>
      </c>
      <c r="N64" s="42">
        <f>H64</f>
        <v>0</v>
      </c>
      <c r="O64" s="42">
        <f>I64</f>
        <v>0</v>
      </c>
      <c r="P64" s="43">
        <f t="shared" si="8"/>
        <v>0</v>
      </c>
      <c r="Q64" s="42">
        <f t="shared" si="8"/>
        <v>0</v>
      </c>
      <c r="R64" s="42"/>
      <c r="S64" s="42"/>
      <c r="T64" s="42"/>
      <c r="U64" s="42"/>
      <c r="V64" s="42"/>
    </row>
    <row r="65" spans="4:22" ht="12.75" customHeight="1" x14ac:dyDescent="0.2">
      <c r="D65" s="11"/>
      <c r="E65" s="36"/>
      <c r="J65" s="11"/>
      <c r="K65" s="11"/>
      <c r="L65" s="5"/>
      <c r="P65" s="11"/>
    </row>
    <row r="66" spans="4:22" x14ac:dyDescent="0.2">
      <c r="D66" s="11" t="s">
        <v>75</v>
      </c>
      <c r="E66" s="36" t="s">
        <v>23</v>
      </c>
      <c r="G66" s="19">
        <v>0</v>
      </c>
      <c r="H66" s="19">
        <v>0</v>
      </c>
      <c r="I66" s="19">
        <f t="shared" ref="I66:I85" si="9">K66</f>
        <v>0</v>
      </c>
      <c r="J66" s="18">
        <v>0</v>
      </c>
      <c r="K66" s="18">
        <v>0</v>
      </c>
      <c r="L66" s="5"/>
      <c r="M66" s="19">
        <f>$G$103*Q$66</f>
        <v>0</v>
      </c>
      <c r="N66" s="19">
        <f>$H$103*Q$66</f>
        <v>0</v>
      </c>
      <c r="O66" s="19">
        <f>$I$103*Q$66</f>
        <v>0</v>
      </c>
      <c r="P66" s="18">
        <f>J66</f>
        <v>0</v>
      </c>
      <c r="Q66" s="18">
        <f>K66</f>
        <v>0</v>
      </c>
      <c r="R66" s="18"/>
      <c r="S66" s="18"/>
      <c r="T66" s="18"/>
      <c r="U66" s="18"/>
      <c r="V66" s="18"/>
    </row>
    <row r="67" spans="4:22" x14ac:dyDescent="0.2">
      <c r="D67" s="11"/>
      <c r="E67" s="36" t="s">
        <v>25</v>
      </c>
      <c r="G67" s="19">
        <v>0</v>
      </c>
      <c r="H67" s="19">
        <v>0</v>
      </c>
      <c r="I67" s="19">
        <f t="shared" si="9"/>
        <v>0</v>
      </c>
      <c r="J67" s="43">
        <v>0</v>
      </c>
      <c r="K67" s="43">
        <v>0</v>
      </c>
      <c r="L67" s="5"/>
      <c r="M67" s="42">
        <f>G67</f>
        <v>0</v>
      </c>
      <c r="N67" s="42">
        <f>H67</f>
        <v>0</v>
      </c>
      <c r="O67" s="42">
        <f>I67</f>
        <v>0</v>
      </c>
      <c r="P67" s="43">
        <f>J67</f>
        <v>0</v>
      </c>
      <c r="Q67" s="42">
        <f>K67</f>
        <v>0</v>
      </c>
      <c r="R67" s="42"/>
      <c r="S67" s="42"/>
      <c r="T67" s="42"/>
      <c r="U67" s="42"/>
      <c r="V67" s="42"/>
    </row>
    <row r="68" spans="4:22" x14ac:dyDescent="0.2">
      <c r="D68" s="11"/>
      <c r="E68" s="36"/>
      <c r="G68" s="19">
        <v>0</v>
      </c>
      <c r="H68" s="19">
        <v>0</v>
      </c>
      <c r="I68" s="19">
        <f t="shared" si="9"/>
        <v>0</v>
      </c>
      <c r="J68" s="43"/>
      <c r="K68" s="43"/>
      <c r="L68" s="5"/>
      <c r="M68" s="42"/>
      <c r="N68" s="42"/>
      <c r="O68" s="42"/>
      <c r="P68" s="43"/>
      <c r="Q68" s="43"/>
      <c r="R68" s="43"/>
      <c r="S68" s="43"/>
      <c r="T68" s="43"/>
      <c r="U68" s="43"/>
      <c r="V68" s="43"/>
    </row>
    <row r="69" spans="4:22" x14ac:dyDescent="0.2">
      <c r="D69" s="47" t="s">
        <v>76</v>
      </c>
      <c r="E69" s="36" t="s">
        <v>23</v>
      </c>
      <c r="G69" s="19">
        <v>0</v>
      </c>
      <c r="H69" s="19">
        <v>0</v>
      </c>
      <c r="I69" s="19">
        <f t="shared" si="9"/>
        <v>0</v>
      </c>
      <c r="J69" s="18">
        <v>0</v>
      </c>
      <c r="K69" s="18">
        <v>0</v>
      </c>
      <c r="L69" s="5"/>
      <c r="M69" s="19">
        <f t="shared" ref="M69:Q70" si="10">G69</f>
        <v>0</v>
      </c>
      <c r="N69" s="19">
        <f t="shared" si="10"/>
        <v>0</v>
      </c>
      <c r="O69" s="19">
        <f t="shared" si="10"/>
        <v>0</v>
      </c>
      <c r="P69" s="18">
        <f t="shared" si="10"/>
        <v>0</v>
      </c>
      <c r="Q69" s="18">
        <f>K69</f>
        <v>0</v>
      </c>
      <c r="R69" s="18"/>
      <c r="S69" s="18"/>
      <c r="T69" s="18"/>
      <c r="U69" s="18"/>
      <c r="V69" s="18"/>
    </row>
    <row r="70" spans="4:22" x14ac:dyDescent="0.2">
      <c r="D70" s="11"/>
      <c r="E70" s="36" t="s">
        <v>25</v>
      </c>
      <c r="G70" s="19">
        <v>0</v>
      </c>
      <c r="H70" s="19">
        <v>0</v>
      </c>
      <c r="I70" s="19">
        <f t="shared" si="9"/>
        <v>0</v>
      </c>
      <c r="J70" s="43">
        <v>0</v>
      </c>
      <c r="K70" s="43">
        <v>0</v>
      </c>
      <c r="L70" s="5"/>
      <c r="M70" s="42">
        <f t="shared" si="10"/>
        <v>0</v>
      </c>
      <c r="N70" s="42">
        <f t="shared" si="10"/>
        <v>0</v>
      </c>
      <c r="O70" s="42">
        <f t="shared" si="10"/>
        <v>0</v>
      </c>
      <c r="P70" s="43">
        <f t="shared" si="10"/>
        <v>0</v>
      </c>
      <c r="Q70" s="42">
        <f t="shared" si="10"/>
        <v>0</v>
      </c>
      <c r="R70" s="42"/>
      <c r="S70" s="42"/>
      <c r="T70" s="42"/>
      <c r="U70" s="42"/>
      <c r="V70" s="42"/>
    </row>
    <row r="71" spans="4:22" x14ac:dyDescent="0.2">
      <c r="D71" s="11"/>
      <c r="E71" s="36"/>
      <c r="G71" s="19">
        <v>0</v>
      </c>
      <c r="H71" s="19">
        <v>0</v>
      </c>
      <c r="I71" s="19">
        <f t="shared" si="9"/>
        <v>0</v>
      </c>
      <c r="J71" s="43"/>
      <c r="K71" s="43"/>
      <c r="L71" s="5"/>
      <c r="M71" s="42"/>
      <c r="N71" s="42"/>
      <c r="O71" s="42"/>
      <c r="P71" s="43"/>
      <c r="Q71" s="42"/>
      <c r="R71" s="42"/>
      <c r="S71" s="42"/>
      <c r="T71" s="42"/>
      <c r="U71" s="42"/>
      <c r="V71" s="42"/>
    </row>
    <row r="72" spans="4:22" x14ac:dyDescent="0.2">
      <c r="D72" s="11" t="s">
        <v>77</v>
      </c>
      <c r="E72" s="36" t="s">
        <v>23</v>
      </c>
      <c r="G72" s="19">
        <v>0</v>
      </c>
      <c r="H72" s="19">
        <v>0</v>
      </c>
      <c r="I72" s="19">
        <f t="shared" si="9"/>
        <v>0</v>
      </c>
      <c r="J72" s="18">
        <v>0</v>
      </c>
      <c r="K72" s="18">
        <v>0</v>
      </c>
      <c r="L72" s="5"/>
      <c r="M72" s="19">
        <f t="shared" ref="M72:Q73" si="11">G72</f>
        <v>0</v>
      </c>
      <c r="N72" s="19">
        <f t="shared" si="11"/>
        <v>0</v>
      </c>
      <c r="O72" s="19">
        <f t="shared" si="11"/>
        <v>0</v>
      </c>
      <c r="P72" s="18">
        <f t="shared" si="11"/>
        <v>0</v>
      </c>
      <c r="Q72" s="18">
        <f>K72</f>
        <v>0</v>
      </c>
      <c r="R72" s="42"/>
      <c r="S72" s="42"/>
      <c r="T72" s="42"/>
      <c r="U72" s="42"/>
      <c r="V72" s="42"/>
    </row>
    <row r="73" spans="4:22" x14ac:dyDescent="0.2">
      <c r="D73" s="11"/>
      <c r="E73" s="36" t="s">
        <v>25</v>
      </c>
      <c r="G73" s="19">
        <v>0</v>
      </c>
      <c r="H73" s="19">
        <v>0</v>
      </c>
      <c r="I73" s="19">
        <f t="shared" si="9"/>
        <v>0</v>
      </c>
      <c r="J73" s="43">
        <v>0</v>
      </c>
      <c r="K73" s="43">
        <v>0</v>
      </c>
      <c r="L73" s="5"/>
      <c r="M73" s="42">
        <f t="shared" si="11"/>
        <v>0</v>
      </c>
      <c r="N73" s="42">
        <f t="shared" si="11"/>
        <v>0</v>
      </c>
      <c r="O73" s="42">
        <f t="shared" si="11"/>
        <v>0</v>
      </c>
      <c r="P73" s="43">
        <f t="shared" si="11"/>
        <v>0</v>
      </c>
      <c r="Q73" s="42">
        <f t="shared" si="11"/>
        <v>0</v>
      </c>
      <c r="R73" s="42"/>
      <c r="S73" s="42"/>
      <c r="T73" s="42"/>
      <c r="U73" s="42"/>
      <c r="V73" s="42"/>
    </row>
    <row r="74" spans="4:22" x14ac:dyDescent="0.2">
      <c r="D74" s="11"/>
      <c r="E74" s="36"/>
      <c r="G74" s="19">
        <v>0</v>
      </c>
      <c r="H74" s="19">
        <v>0</v>
      </c>
      <c r="I74" s="19">
        <f t="shared" si="9"/>
        <v>0</v>
      </c>
      <c r="J74" s="11"/>
      <c r="K74" s="11"/>
      <c r="L74" s="5"/>
      <c r="P74" s="11"/>
    </row>
    <row r="75" spans="4:22" x14ac:dyDescent="0.2">
      <c r="D75" s="47" t="s">
        <v>78</v>
      </c>
      <c r="E75" s="36" t="s">
        <v>23</v>
      </c>
      <c r="G75" s="19">
        <v>0</v>
      </c>
      <c r="H75" s="19">
        <v>0</v>
      </c>
      <c r="I75" s="19">
        <f t="shared" si="9"/>
        <v>0</v>
      </c>
      <c r="J75" s="18">
        <v>0</v>
      </c>
      <c r="K75" s="18">
        <v>0</v>
      </c>
      <c r="L75" s="5"/>
      <c r="M75" s="19">
        <f t="shared" ref="M75:Q76" si="12">G75</f>
        <v>0</v>
      </c>
      <c r="N75" s="19">
        <f t="shared" si="12"/>
        <v>0</v>
      </c>
      <c r="O75" s="19">
        <f t="shared" si="12"/>
        <v>0</v>
      </c>
      <c r="P75" s="18">
        <f t="shared" si="12"/>
        <v>0</v>
      </c>
      <c r="Q75" s="18">
        <f>K75</f>
        <v>0</v>
      </c>
    </row>
    <row r="76" spans="4:22" x14ac:dyDescent="0.2">
      <c r="D76" s="11"/>
      <c r="E76" s="36" t="s">
        <v>25</v>
      </c>
      <c r="G76" s="19">
        <v>0</v>
      </c>
      <c r="H76" s="19">
        <v>0</v>
      </c>
      <c r="I76" s="19">
        <f t="shared" si="9"/>
        <v>0</v>
      </c>
      <c r="J76" s="43">
        <v>0</v>
      </c>
      <c r="K76" s="43">
        <v>0</v>
      </c>
      <c r="L76" s="5"/>
      <c r="M76" s="42">
        <f t="shared" si="12"/>
        <v>0</v>
      </c>
      <c r="N76" s="42">
        <f t="shared" si="12"/>
        <v>0</v>
      </c>
      <c r="O76" s="42">
        <f t="shared" si="12"/>
        <v>0</v>
      </c>
      <c r="P76" s="43">
        <f t="shared" si="12"/>
        <v>0</v>
      </c>
      <c r="Q76" s="42">
        <f t="shared" si="12"/>
        <v>0</v>
      </c>
    </row>
    <row r="77" spans="4:22" x14ac:dyDescent="0.2">
      <c r="D77" s="11"/>
      <c r="E77" s="36"/>
      <c r="G77" s="19">
        <v>0</v>
      </c>
      <c r="H77" s="19">
        <v>0</v>
      </c>
      <c r="I77" s="19">
        <f t="shared" si="9"/>
        <v>0</v>
      </c>
      <c r="J77" s="11"/>
      <c r="K77" s="11"/>
      <c r="L77" s="5"/>
      <c r="P77" s="11"/>
    </row>
    <row r="78" spans="4:22" x14ac:dyDescent="0.2">
      <c r="D78" s="47" t="s">
        <v>79</v>
      </c>
      <c r="E78" s="36" t="s">
        <v>23</v>
      </c>
      <c r="G78" s="19">
        <v>0</v>
      </c>
      <c r="H78" s="19">
        <v>0</v>
      </c>
      <c r="I78" s="19">
        <f t="shared" si="9"/>
        <v>0</v>
      </c>
      <c r="J78" s="18">
        <v>0</v>
      </c>
      <c r="K78" s="18">
        <v>0</v>
      </c>
      <c r="L78" s="5"/>
      <c r="M78" s="19">
        <f t="shared" ref="M78:Q79" si="13">G78</f>
        <v>0</v>
      </c>
      <c r="N78" s="19">
        <f t="shared" si="13"/>
        <v>0</v>
      </c>
      <c r="O78" s="19">
        <f t="shared" si="13"/>
        <v>0</v>
      </c>
      <c r="P78" s="18">
        <f t="shared" si="13"/>
        <v>0</v>
      </c>
      <c r="Q78" s="18">
        <f>K78</f>
        <v>0</v>
      </c>
    </row>
    <row r="79" spans="4:22" x14ac:dyDescent="0.2">
      <c r="D79" s="11"/>
      <c r="E79" s="36" t="s">
        <v>25</v>
      </c>
      <c r="G79" s="19">
        <v>0</v>
      </c>
      <c r="H79" s="19">
        <v>0</v>
      </c>
      <c r="I79" s="19">
        <f t="shared" si="9"/>
        <v>0</v>
      </c>
      <c r="J79" s="43">
        <v>0</v>
      </c>
      <c r="K79" s="43">
        <v>0</v>
      </c>
      <c r="L79" s="5"/>
      <c r="M79" s="42">
        <f t="shared" si="13"/>
        <v>0</v>
      </c>
      <c r="N79" s="42">
        <f t="shared" si="13"/>
        <v>0</v>
      </c>
      <c r="O79" s="42">
        <f t="shared" si="13"/>
        <v>0</v>
      </c>
      <c r="P79" s="43">
        <f t="shared" si="13"/>
        <v>0</v>
      </c>
      <c r="Q79" s="42">
        <f t="shared" si="13"/>
        <v>0</v>
      </c>
    </row>
    <row r="80" spans="4:22" x14ac:dyDescent="0.2">
      <c r="D80" s="11"/>
      <c r="E80" s="36"/>
      <c r="G80" s="19">
        <v>0</v>
      </c>
      <c r="H80" s="19">
        <v>0</v>
      </c>
      <c r="I80" s="19">
        <f t="shared" si="9"/>
        <v>0</v>
      </c>
      <c r="J80" s="11"/>
      <c r="K80" s="11"/>
      <c r="L80" s="5"/>
      <c r="P80" s="11"/>
    </row>
    <row r="81" spans="2:23" x14ac:dyDescent="0.2">
      <c r="D81" s="47" t="s">
        <v>80</v>
      </c>
      <c r="E81" s="36" t="s">
        <v>23</v>
      </c>
      <c r="G81" s="19">
        <v>0</v>
      </c>
      <c r="H81" s="19">
        <v>0</v>
      </c>
      <c r="I81" s="19">
        <f t="shared" si="9"/>
        <v>0</v>
      </c>
      <c r="J81" s="18">
        <v>0</v>
      </c>
      <c r="K81" s="18">
        <v>0</v>
      </c>
      <c r="L81" s="5"/>
      <c r="M81" s="19">
        <f t="shared" ref="M81:Q82" si="14">G81</f>
        <v>0</v>
      </c>
      <c r="N81" s="19">
        <f t="shared" si="14"/>
        <v>0</v>
      </c>
      <c r="O81" s="19">
        <f t="shared" si="14"/>
        <v>0</v>
      </c>
      <c r="P81" s="18">
        <f t="shared" si="14"/>
        <v>0</v>
      </c>
      <c r="Q81" s="18">
        <f>K81</f>
        <v>0</v>
      </c>
    </row>
    <row r="82" spans="2:23" x14ac:dyDescent="0.2">
      <c r="D82" s="11"/>
      <c r="E82" s="36" t="s">
        <v>25</v>
      </c>
      <c r="G82" s="19">
        <v>0</v>
      </c>
      <c r="H82" s="19">
        <v>0</v>
      </c>
      <c r="I82" s="19">
        <f t="shared" si="9"/>
        <v>0</v>
      </c>
      <c r="J82" s="43">
        <v>0</v>
      </c>
      <c r="K82" s="43">
        <v>0</v>
      </c>
      <c r="L82" s="5"/>
      <c r="M82" s="42">
        <f t="shared" si="14"/>
        <v>0</v>
      </c>
      <c r="N82" s="42">
        <f t="shared" si="14"/>
        <v>0</v>
      </c>
      <c r="O82" s="42">
        <f t="shared" si="14"/>
        <v>0</v>
      </c>
      <c r="P82" s="43">
        <f t="shared" si="14"/>
        <v>0</v>
      </c>
      <c r="Q82" s="42">
        <f t="shared" si="14"/>
        <v>0</v>
      </c>
    </row>
    <row r="83" spans="2:23" x14ac:dyDescent="0.2">
      <c r="D83" s="11"/>
      <c r="E83" s="36"/>
      <c r="G83" s="19">
        <v>0</v>
      </c>
      <c r="H83" s="19">
        <v>0</v>
      </c>
      <c r="I83" s="19">
        <f t="shared" si="9"/>
        <v>0</v>
      </c>
      <c r="J83" s="11"/>
      <c r="K83" s="11"/>
      <c r="L83" s="5"/>
      <c r="P83" s="11"/>
    </row>
    <row r="84" spans="2:23" x14ac:dyDescent="0.2">
      <c r="D84" s="47" t="s">
        <v>81</v>
      </c>
      <c r="E84" s="36" t="s">
        <v>23</v>
      </c>
      <c r="G84" s="19">
        <v>0</v>
      </c>
      <c r="H84" s="19">
        <v>0</v>
      </c>
      <c r="I84" s="19">
        <f t="shared" si="9"/>
        <v>0</v>
      </c>
      <c r="J84" s="18">
        <v>0</v>
      </c>
      <c r="K84" s="18">
        <v>0</v>
      </c>
      <c r="L84" s="5"/>
      <c r="M84" s="19">
        <f t="shared" ref="M84:Q85" si="15">G84</f>
        <v>0</v>
      </c>
      <c r="N84" s="19">
        <f t="shared" si="15"/>
        <v>0</v>
      </c>
      <c r="O84" s="19">
        <f t="shared" si="15"/>
        <v>0</v>
      </c>
      <c r="P84" s="18">
        <f t="shared" si="15"/>
        <v>0</v>
      </c>
      <c r="Q84" s="19">
        <f>K84</f>
        <v>0</v>
      </c>
      <c r="R84" s="19"/>
      <c r="S84" s="19"/>
      <c r="T84" s="19"/>
      <c r="U84" s="19"/>
      <c r="V84" s="19"/>
    </row>
    <row r="85" spans="2:23" x14ac:dyDescent="0.2">
      <c r="E85" s="36" t="s">
        <v>25</v>
      </c>
      <c r="G85" s="19">
        <v>0</v>
      </c>
      <c r="H85" s="19">
        <v>0</v>
      </c>
      <c r="I85" s="19">
        <f t="shared" si="9"/>
        <v>0</v>
      </c>
      <c r="J85" s="43">
        <v>0</v>
      </c>
      <c r="K85" s="43">
        <v>0</v>
      </c>
      <c r="L85" s="5"/>
      <c r="M85" s="42">
        <f t="shared" si="15"/>
        <v>0</v>
      </c>
      <c r="N85" s="42">
        <f t="shared" si="15"/>
        <v>0</v>
      </c>
      <c r="O85" s="42">
        <f t="shared" si="15"/>
        <v>0</v>
      </c>
      <c r="P85" s="43">
        <f t="shared" si="15"/>
        <v>0</v>
      </c>
      <c r="Q85" s="42">
        <f t="shared" si="15"/>
        <v>0</v>
      </c>
      <c r="R85" s="42"/>
      <c r="S85" s="42"/>
      <c r="T85" s="42"/>
      <c r="U85" s="42"/>
      <c r="V85" s="42"/>
    </row>
    <row r="86" spans="2:23" x14ac:dyDescent="0.2">
      <c r="E86" s="36"/>
      <c r="G86" s="45"/>
      <c r="H86" s="45"/>
      <c r="I86" s="45"/>
      <c r="J86" s="43"/>
      <c r="K86" s="43"/>
      <c r="L86" s="5"/>
      <c r="M86" s="42"/>
      <c r="N86" s="42"/>
      <c r="O86" s="42"/>
      <c r="P86" s="43"/>
      <c r="Q86" s="42"/>
      <c r="R86" s="42"/>
      <c r="S86" s="42"/>
      <c r="T86" s="42"/>
      <c r="U86" s="42"/>
      <c r="V86" s="42"/>
    </row>
    <row r="87" spans="2:23" x14ac:dyDescent="0.2">
      <c r="D87" s="11" t="s">
        <v>82</v>
      </c>
      <c r="E87" s="36" t="s">
        <v>23</v>
      </c>
      <c r="G87" s="19">
        <f>$G$103*K87</f>
        <v>0</v>
      </c>
      <c r="H87" s="19">
        <f>$H$103*K87</f>
        <v>0</v>
      </c>
      <c r="I87" s="19">
        <f>$I$103*K87</f>
        <v>0</v>
      </c>
      <c r="J87" s="18">
        <v>0</v>
      </c>
      <c r="K87" s="18">
        <v>0</v>
      </c>
      <c r="L87" s="5"/>
      <c r="M87" s="19">
        <f>G87</f>
        <v>0</v>
      </c>
      <c r="N87" s="19">
        <f>H87</f>
        <v>0</v>
      </c>
      <c r="O87" s="19">
        <f>I87</f>
        <v>0</v>
      </c>
      <c r="P87" s="18">
        <f>J87</f>
        <v>0</v>
      </c>
      <c r="Q87" s="19">
        <f>K87</f>
        <v>0</v>
      </c>
      <c r="R87" s="19"/>
      <c r="S87" s="19"/>
      <c r="T87" s="19"/>
      <c r="U87" s="19"/>
      <c r="V87" s="19"/>
    </row>
    <row r="88" spans="2:23" ht="13.5" thickBot="1" x14ac:dyDescent="0.25">
      <c r="D88" s="11"/>
      <c r="J88" s="11"/>
      <c r="L88" s="5"/>
      <c r="W88" s="48"/>
    </row>
    <row r="89" spans="2:23" ht="13.5" thickBot="1" x14ac:dyDescent="0.25">
      <c r="B89" s="2" t="s">
        <v>83</v>
      </c>
      <c r="E89" s="36" t="s">
        <v>23</v>
      </c>
      <c r="G89" s="40">
        <f>G60+G63+G66+G69+G72+G75+G78+G81+G84+G87</f>
        <v>47395</v>
      </c>
      <c r="H89" s="40">
        <f t="shared" ref="H89:J89" si="16">H60+H63+H66+H69+H72+H75+H78+H81+H84+H87</f>
        <v>0</v>
      </c>
      <c r="I89" s="40">
        <f t="shared" si="16"/>
        <v>139087</v>
      </c>
      <c r="J89" s="40">
        <f t="shared" si="16"/>
        <v>0</v>
      </c>
      <c r="K89" s="40">
        <f>K60+K63+K66+K69+K72+K75+K78+K81+K84+K87</f>
        <v>186482</v>
      </c>
      <c r="L89" s="41"/>
      <c r="M89" s="40">
        <f>M60+M63+M66+M69+M72+M75+M78+M81+M84+M87</f>
        <v>47395</v>
      </c>
      <c r="N89" s="40">
        <f>N60+N63+N66+N69+N72+N75+N78+N81+N84+N87</f>
        <v>0</v>
      </c>
      <c r="O89" s="40">
        <f>O60+O63+O66+O69+O72+O75+O78+O81+O84+O87</f>
        <v>139087</v>
      </c>
      <c r="P89" s="40">
        <f>P60+P63+P66+P69+P72+P75+P78+P81+P84+P87</f>
        <v>0</v>
      </c>
      <c r="Q89" s="40">
        <f>SUM(M89:P89)</f>
        <v>186482</v>
      </c>
      <c r="R89" s="32"/>
      <c r="S89" s="32"/>
      <c r="T89" s="32"/>
      <c r="U89" s="32"/>
      <c r="V89" s="32"/>
      <c r="W89" s="39"/>
    </row>
    <row r="90" spans="2:23" x14ac:dyDescent="0.2">
      <c r="B90" s="2"/>
      <c r="E90" s="36" t="s">
        <v>25</v>
      </c>
      <c r="G90" s="40">
        <f>G61+G64+G67+G70+G73+G76+G79+G82+G85</f>
        <v>0</v>
      </c>
      <c r="H90" s="40">
        <f>H61+H64+H67+H70+H73+H76+H79+H82+H85</f>
        <v>0</v>
      </c>
      <c r="I90" s="40">
        <f>I61+I64+I67+I70+I73+I76+I79+I82+I85</f>
        <v>0</v>
      </c>
      <c r="J90" s="40">
        <f>J61+J64+J67+J70+J73+J76+J79+J82+J85</f>
        <v>0</v>
      </c>
      <c r="K90" s="49">
        <f>SUM(G90:J90)</f>
        <v>0</v>
      </c>
      <c r="L90" s="50"/>
      <c r="M90" s="40">
        <f>M61+M64+M67+M70+M73+M76+M79+M82+M85</f>
        <v>0</v>
      </c>
      <c r="N90" s="40">
        <f>N61+N64+N67+N70+N73+N76+N79+N82+N85</f>
        <v>0</v>
      </c>
      <c r="O90" s="40">
        <f>O61+O64+O67+O70+O73+O76+O79+O82+O85</f>
        <v>0</v>
      </c>
      <c r="P90" s="40">
        <f>P61+P64+P67+P70+P73+P76+P79+P82+P85</f>
        <v>0</v>
      </c>
      <c r="Q90" s="49">
        <f>SUM(M90:P90)</f>
        <v>0</v>
      </c>
      <c r="R90" s="51"/>
      <c r="S90" s="51"/>
      <c r="T90" s="51"/>
      <c r="U90" s="51"/>
      <c r="V90" s="51"/>
    </row>
    <row r="91" spans="2:23" x14ac:dyDescent="0.2">
      <c r="K91" s="19"/>
      <c r="L91" s="5"/>
      <c r="W91" s="19"/>
    </row>
    <row r="92" spans="2:23" ht="13.5" thickBot="1" x14ac:dyDescent="0.25">
      <c r="L92" s="5"/>
    </row>
    <row r="93" spans="2:23" ht="15" thickBot="1" x14ac:dyDescent="0.25">
      <c r="B93" s="16" t="s">
        <v>84</v>
      </c>
      <c r="G93" s="52">
        <f>G56+G89</f>
        <v>102329</v>
      </c>
      <c r="H93" s="52">
        <f t="shared" ref="H93:Q93" si="17">H56+H89</f>
        <v>222</v>
      </c>
      <c r="I93" s="52">
        <f>I56+I89</f>
        <v>158094</v>
      </c>
      <c r="J93" s="52">
        <f t="shared" si="17"/>
        <v>0</v>
      </c>
      <c r="K93" s="52">
        <f>K56+K89</f>
        <v>260645</v>
      </c>
      <c r="L93" s="53">
        <f t="shared" si="17"/>
        <v>0</v>
      </c>
      <c r="M93" s="52">
        <f t="shared" si="17"/>
        <v>73977</v>
      </c>
      <c r="N93" s="52">
        <f t="shared" si="17"/>
        <v>0</v>
      </c>
      <c r="O93" s="54">
        <f t="shared" si="17"/>
        <v>139087</v>
      </c>
      <c r="P93" s="52">
        <f t="shared" si="17"/>
        <v>0</v>
      </c>
      <c r="Q93" s="52">
        <f t="shared" si="17"/>
        <v>213064</v>
      </c>
      <c r="R93" s="32"/>
      <c r="S93" s="32"/>
      <c r="T93" s="32"/>
      <c r="U93" s="32"/>
      <c r="V93" s="32"/>
    </row>
    <row r="94" spans="2:23" ht="13.5" thickTop="1" x14ac:dyDescent="0.2">
      <c r="I94" s="55"/>
      <c r="L94" s="5"/>
      <c r="O94" s="56"/>
    </row>
    <row r="95" spans="2:23" x14ac:dyDescent="0.2">
      <c r="I95" s="55"/>
      <c r="K95" s="19"/>
      <c r="L95" s="5"/>
      <c r="O95" s="56"/>
    </row>
    <row r="96" spans="2:23" x14ac:dyDescent="0.2">
      <c r="I96" s="55"/>
      <c r="K96" s="19"/>
      <c r="L96" s="5"/>
      <c r="O96" s="56"/>
    </row>
    <row r="97" spans="5:17" x14ac:dyDescent="0.2">
      <c r="I97" s="55"/>
      <c r="K97" s="19"/>
      <c r="L97" s="5"/>
      <c r="O97" s="56"/>
    </row>
    <row r="98" spans="5:17" x14ac:dyDescent="0.2">
      <c r="I98" s="55"/>
      <c r="K98" s="19"/>
      <c r="L98" s="5"/>
      <c r="O98" s="56"/>
    </row>
    <row r="99" spans="5:17" x14ac:dyDescent="0.2">
      <c r="I99" s="55"/>
      <c r="L99" s="5"/>
      <c r="O99" s="56"/>
    </row>
    <row r="100" spans="5:17" x14ac:dyDescent="0.2">
      <c r="I100" s="55"/>
      <c r="L100" s="5"/>
      <c r="O100" s="56"/>
    </row>
    <row r="101" spans="5:17" x14ac:dyDescent="0.2">
      <c r="I101" s="55"/>
      <c r="L101" s="5"/>
      <c r="O101" s="56"/>
    </row>
    <row r="102" spans="5:17" ht="13.5" thickBot="1" x14ac:dyDescent="0.25">
      <c r="L102" s="5"/>
    </row>
    <row r="103" spans="5:17" x14ac:dyDescent="0.2">
      <c r="E103" s="63"/>
      <c r="F103" s="64"/>
      <c r="G103" s="65">
        <f>G117</f>
        <v>0.43746450364891815</v>
      </c>
      <c r="H103" s="65">
        <f>H117</f>
        <v>9.4799277475777078E-4</v>
      </c>
      <c r="I103" s="65">
        <f>I117</f>
        <v>0.67509896275925685</v>
      </c>
      <c r="J103" s="64"/>
      <c r="K103" s="66"/>
      <c r="L103" s="5"/>
      <c r="M103" s="67"/>
      <c r="N103" s="67"/>
      <c r="O103" s="67"/>
    </row>
    <row r="104" spans="5:17" x14ac:dyDescent="0.2">
      <c r="E104" s="68"/>
      <c r="F104" s="48"/>
      <c r="G104" s="48"/>
      <c r="H104" s="48"/>
      <c r="I104" s="48"/>
      <c r="J104" s="48"/>
      <c r="K104" s="69"/>
      <c r="L104" s="5"/>
      <c r="M104" s="70"/>
    </row>
    <row r="105" spans="5:17" x14ac:dyDescent="0.2">
      <c r="E105" s="68" t="s">
        <v>143</v>
      </c>
      <c r="F105" s="48"/>
      <c r="G105" s="48"/>
      <c r="H105" s="48"/>
      <c r="I105" s="48"/>
      <c r="J105" s="48"/>
      <c r="K105" s="71">
        <v>260761</v>
      </c>
      <c r="L105" s="5"/>
      <c r="M105" s="72"/>
    </row>
    <row r="106" spans="5:17" x14ac:dyDescent="0.2">
      <c r="E106" s="68" t="s">
        <v>85</v>
      </c>
      <c r="F106" s="48"/>
      <c r="G106" s="48"/>
      <c r="H106" s="48"/>
      <c r="I106" s="48"/>
      <c r="J106" s="48"/>
      <c r="K106" s="71">
        <v>0</v>
      </c>
      <c r="L106" s="5"/>
    </row>
    <row r="107" spans="5:17" x14ac:dyDescent="0.2">
      <c r="E107" s="68"/>
      <c r="F107" s="48"/>
      <c r="G107" s="48"/>
      <c r="H107" s="48"/>
      <c r="I107" s="48"/>
      <c r="J107" s="48"/>
      <c r="K107" s="71"/>
      <c r="L107" s="5"/>
      <c r="M107" s="72"/>
    </row>
    <row r="108" spans="5:17" x14ac:dyDescent="0.2">
      <c r="E108" s="68" t="s">
        <v>89</v>
      </c>
      <c r="F108" s="48"/>
      <c r="G108" s="48"/>
      <c r="H108" s="48"/>
      <c r="I108" s="48"/>
      <c r="J108" s="48"/>
      <c r="K108" s="73">
        <f>SUM(K105:K107)</f>
        <v>260761</v>
      </c>
      <c r="L108" s="5"/>
      <c r="M108" s="72"/>
    </row>
    <row r="109" spans="5:17" x14ac:dyDescent="0.2">
      <c r="E109" s="68" t="s">
        <v>86</v>
      </c>
      <c r="F109" s="48"/>
      <c r="G109" s="48"/>
      <c r="H109" s="48"/>
      <c r="I109" s="48"/>
      <c r="J109" s="48"/>
      <c r="K109" s="71">
        <f>-K60</f>
        <v>0</v>
      </c>
      <c r="L109" s="5"/>
      <c r="M109" s="72"/>
      <c r="O109" s="74"/>
      <c r="P109" s="74"/>
      <c r="Q109" s="59"/>
    </row>
    <row r="110" spans="5:17" x14ac:dyDescent="0.2">
      <c r="E110" s="68" t="s">
        <v>108</v>
      </c>
      <c r="F110" s="48"/>
      <c r="G110" s="48"/>
      <c r="H110" s="48"/>
      <c r="I110" s="48"/>
      <c r="J110" s="48"/>
      <c r="K110" s="71">
        <f>-G51</f>
        <v>-14927</v>
      </c>
      <c r="L110" s="5"/>
      <c r="M110" s="72"/>
      <c r="O110" s="74"/>
      <c r="P110" s="74"/>
      <c r="Q110" s="59"/>
    </row>
    <row r="111" spans="5:17" x14ac:dyDescent="0.2">
      <c r="E111" s="68" t="s">
        <v>109</v>
      </c>
      <c r="F111" s="48"/>
      <c r="G111" s="48"/>
      <c r="H111" s="48"/>
      <c r="I111" s="48"/>
      <c r="J111" s="48"/>
      <c r="K111" s="71">
        <f>-G19</f>
        <v>-11655</v>
      </c>
      <c r="L111" s="5"/>
      <c r="M111" s="72"/>
      <c r="O111" s="74"/>
      <c r="P111" s="74"/>
      <c r="Q111" s="59"/>
    </row>
    <row r="112" spans="5:17" ht="13.5" thickBot="1" x14ac:dyDescent="0.25">
      <c r="E112" s="68" t="s">
        <v>89</v>
      </c>
      <c r="F112" s="48"/>
      <c r="G112" s="48"/>
      <c r="H112" s="48"/>
      <c r="I112" s="48"/>
      <c r="J112" s="48"/>
      <c r="K112" s="75">
        <f>SUM(K108:K111)</f>
        <v>234179</v>
      </c>
      <c r="L112" s="5"/>
      <c r="M112" s="72"/>
    </row>
    <row r="113" spans="4:17" ht="13.5" thickTop="1" x14ac:dyDescent="0.2">
      <c r="E113" s="68"/>
      <c r="F113" s="48"/>
      <c r="G113" s="48"/>
      <c r="H113" s="48"/>
      <c r="I113" s="48"/>
      <c r="J113" s="76" t="s">
        <v>87</v>
      </c>
      <c r="K113" s="71"/>
      <c r="L113" s="5"/>
      <c r="M113" s="72"/>
      <c r="Q113" s="59"/>
    </row>
    <row r="114" spans="4:17" x14ac:dyDescent="0.2">
      <c r="E114" s="78" t="s">
        <v>104</v>
      </c>
      <c r="F114" s="48"/>
      <c r="G114" s="79">
        <v>102445</v>
      </c>
      <c r="H114" s="79">
        <v>222</v>
      </c>
      <c r="I114" s="79">
        <v>158094</v>
      </c>
      <c r="J114" s="79">
        <v>0</v>
      </c>
      <c r="K114" s="71"/>
      <c r="L114" s="5"/>
      <c r="M114" s="72"/>
    </row>
    <row r="115" spans="4:17" x14ac:dyDescent="0.2">
      <c r="E115" s="68" t="s">
        <v>88</v>
      </c>
      <c r="F115" s="48"/>
      <c r="G115" s="80">
        <f>K110+K111</f>
        <v>-26582</v>
      </c>
      <c r="H115" s="81"/>
      <c r="I115" s="81">
        <f>-K60</f>
        <v>0</v>
      </c>
      <c r="K115" s="69"/>
      <c r="L115" s="5"/>
    </row>
    <row r="116" spans="4:17" ht="13.5" thickBot="1" x14ac:dyDescent="0.25">
      <c r="E116" s="68" t="s">
        <v>89</v>
      </c>
      <c r="F116" s="48"/>
      <c r="G116" s="82">
        <f>G114</f>
        <v>102445</v>
      </c>
      <c r="H116" s="82">
        <f>SUM(H114:H115)</f>
        <v>222</v>
      </c>
      <c r="I116" s="82">
        <f>SUM(I114:I115)</f>
        <v>158094</v>
      </c>
      <c r="J116" s="83"/>
      <c r="K116" s="71"/>
      <c r="L116" s="5"/>
    </row>
    <row r="117" spans="4:17" ht="14.25" thickTop="1" thickBot="1" x14ac:dyDescent="0.25">
      <c r="E117" s="68" t="s">
        <v>90</v>
      </c>
      <c r="F117" s="48"/>
      <c r="G117" s="84">
        <f>G116/K112</f>
        <v>0.43746450364891815</v>
      </c>
      <c r="H117" s="84">
        <f>H116/K112</f>
        <v>9.4799277475777078E-4</v>
      </c>
      <c r="I117" s="84">
        <f>I116/K112</f>
        <v>0.67509896275925685</v>
      </c>
      <c r="J117" s="72"/>
      <c r="K117" s="71"/>
      <c r="L117" s="5"/>
    </row>
    <row r="118" spans="4:17" ht="14.25" thickTop="1" thickBot="1" x14ac:dyDescent="0.25">
      <c r="E118" s="85"/>
      <c r="F118" s="86"/>
      <c r="G118" s="87" t="s">
        <v>91</v>
      </c>
      <c r="H118" s="87" t="s">
        <v>92</v>
      </c>
      <c r="I118" s="87" t="s">
        <v>93</v>
      </c>
      <c r="J118" s="86"/>
      <c r="K118" s="88"/>
      <c r="L118" s="5"/>
    </row>
    <row r="119" spans="4:17" x14ac:dyDescent="0.2">
      <c r="J119" s="64"/>
      <c r="K119" s="89"/>
      <c r="L119" s="11"/>
    </row>
    <row r="120" spans="4:17" x14ac:dyDescent="0.2">
      <c r="J120" s="48"/>
      <c r="K120" s="80"/>
      <c r="L120" s="11"/>
    </row>
    <row r="121" spans="4:17" x14ac:dyDescent="0.2">
      <c r="D121" s="98"/>
      <c r="E121" s="90"/>
      <c r="F121" s="91"/>
      <c r="G121" s="72"/>
      <c r="H121" s="72"/>
      <c r="I121" s="92"/>
      <c r="J121" s="93"/>
      <c r="K121" s="94"/>
      <c r="L121" s="11"/>
    </row>
    <row r="122" spans="4:17" x14ac:dyDescent="0.2">
      <c r="E122" s="91"/>
      <c r="F122" s="91"/>
      <c r="G122" s="91"/>
      <c r="H122" s="91"/>
      <c r="I122" s="92"/>
      <c r="J122" s="93"/>
      <c r="K122" s="93"/>
      <c r="M122" s="95"/>
    </row>
    <row r="123" spans="4:17" x14ac:dyDescent="0.2">
      <c r="E123" s="91"/>
      <c r="F123" s="91"/>
      <c r="G123" s="91"/>
      <c r="H123" s="72"/>
      <c r="I123" s="72"/>
      <c r="J123" s="48"/>
      <c r="K123" s="48"/>
    </row>
    <row r="124" spans="4:17" x14ac:dyDescent="0.2">
      <c r="E124" s="91"/>
      <c r="F124" s="91"/>
      <c r="G124" s="96"/>
      <c r="H124" s="96"/>
      <c r="I124" s="96"/>
    </row>
    <row r="125" spans="4:17" x14ac:dyDescent="0.2">
      <c r="E125" s="91"/>
      <c r="F125" s="91"/>
      <c r="G125" s="72"/>
      <c r="H125" s="72"/>
      <c r="I125" s="72"/>
    </row>
    <row r="126" spans="4:17" x14ac:dyDescent="0.2">
      <c r="E126" s="91"/>
      <c r="F126" s="91"/>
      <c r="G126" s="96"/>
      <c r="H126" s="96"/>
      <c r="I126" s="96"/>
    </row>
    <row r="127" spans="4:17" x14ac:dyDescent="0.2">
      <c r="E127" s="91"/>
      <c r="F127" s="91"/>
      <c r="G127" s="97"/>
      <c r="H127" s="97"/>
      <c r="I127" s="97"/>
      <c r="J127" s="48"/>
    </row>
    <row r="128" spans="4:17" x14ac:dyDescent="0.2">
      <c r="G128" s="80"/>
      <c r="H128" s="80"/>
      <c r="I128" s="80"/>
      <c r="J128" s="48"/>
    </row>
    <row r="129" spans="7:10" x14ac:dyDescent="0.2">
      <c r="G129" s="48"/>
      <c r="H129" s="48"/>
      <c r="I129" s="48"/>
      <c r="J129" s="48"/>
    </row>
  </sheetData>
  <mergeCells count="3">
    <mergeCell ref="G1:Q1"/>
    <mergeCell ref="G2:K2"/>
    <mergeCell ref="M2:Q2"/>
  </mergeCells>
  <printOptions horizontalCentered="1"/>
  <pageMargins left="0.25" right="0.25" top="0.25" bottom="0.25" header="0.25" footer="0"/>
  <pageSetup scale="34" orientation="landscape" copies="2" r:id="rId1"/>
  <headerFooter alignWithMargins="0"/>
  <rowBreaks count="1" manualBreakCount="1">
    <brk id="57"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X131"/>
  <sheetViews>
    <sheetView topLeftCell="A103" zoomScaleNormal="100" workbookViewId="0">
      <selection activeCell="K93" sqref="K9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8" width="2.5703125" style="1" customWidth="1"/>
    <col min="19" max="22" width="16.140625" style="1" customWidth="1"/>
    <col min="23" max="23" width="2.7109375" style="1" customWidth="1"/>
    <col min="24" max="24" width="47" style="23" hidden="1" customWidth="1"/>
    <col min="25" max="16384" width="9.140625" style="1"/>
  </cols>
  <sheetData>
    <row r="1" spans="2:24" ht="15" x14ac:dyDescent="0.25">
      <c r="E1" s="2"/>
      <c r="F1" s="2"/>
      <c r="I1"/>
    </row>
    <row r="2" spans="2:24" ht="20.25" thickBot="1" x14ac:dyDescent="0.3">
      <c r="B2" s="3" t="s">
        <v>0</v>
      </c>
      <c r="C2" s="2"/>
      <c r="D2" s="2"/>
      <c r="E2" s="2"/>
      <c r="F2" s="2"/>
      <c r="G2" s="192" t="s">
        <v>111</v>
      </c>
      <c r="H2" s="192"/>
      <c r="I2" s="192"/>
      <c r="J2" s="192"/>
      <c r="K2" s="192"/>
      <c r="L2" s="5"/>
      <c r="M2" s="186" t="s">
        <v>112</v>
      </c>
      <c r="N2" s="186"/>
      <c r="O2" s="186"/>
      <c r="P2" s="186"/>
      <c r="Q2" s="186"/>
      <c r="R2" s="7"/>
      <c r="S2" s="7"/>
      <c r="T2" s="7"/>
      <c r="U2" s="7"/>
      <c r="V2" s="7"/>
    </row>
    <row r="3" spans="2:24" ht="19.5" x14ac:dyDescent="0.25">
      <c r="B3" s="3" t="s">
        <v>3</v>
      </c>
      <c r="C3" s="2"/>
      <c r="D3" s="2"/>
      <c r="L3" s="5"/>
    </row>
    <row r="4" spans="2:24" x14ac:dyDescent="0.2">
      <c r="B4" s="2" t="s">
        <v>113</v>
      </c>
      <c r="C4" s="2"/>
      <c r="D4" s="2"/>
      <c r="G4" s="8" t="s">
        <v>5</v>
      </c>
      <c r="H4" s="8" t="s">
        <v>6</v>
      </c>
      <c r="I4" s="8" t="s">
        <v>7</v>
      </c>
      <c r="J4" s="8" t="s">
        <v>8</v>
      </c>
      <c r="K4" s="8" t="s">
        <v>9</v>
      </c>
      <c r="L4" s="5"/>
      <c r="M4" s="8" t="s">
        <v>5</v>
      </c>
      <c r="N4" s="8" t="s">
        <v>6</v>
      </c>
      <c r="O4" s="8" t="s">
        <v>7</v>
      </c>
      <c r="P4" s="8" t="s">
        <v>8</v>
      </c>
      <c r="Q4" s="8" t="s">
        <v>9</v>
      </c>
      <c r="R4" s="8"/>
      <c r="S4" s="8"/>
      <c r="T4" s="8"/>
      <c r="U4" s="8"/>
      <c r="V4" s="8"/>
    </row>
    <row r="5" spans="2:24" ht="15" x14ac:dyDescent="0.2">
      <c r="B5" s="9"/>
      <c r="C5" s="2"/>
      <c r="D5" s="9" t="s">
        <v>10</v>
      </c>
      <c r="G5" s="8" t="s">
        <v>11</v>
      </c>
      <c r="H5" s="8" t="s">
        <v>12</v>
      </c>
      <c r="I5" s="8" t="s">
        <v>13</v>
      </c>
      <c r="J5" s="8" t="s">
        <v>14</v>
      </c>
      <c r="K5" s="8" t="s">
        <v>15</v>
      </c>
      <c r="L5" s="5"/>
      <c r="M5" s="8" t="s">
        <v>11</v>
      </c>
      <c r="N5" s="8" t="s">
        <v>12</v>
      </c>
      <c r="O5" s="8" t="s">
        <v>13</v>
      </c>
      <c r="P5" s="8" t="s">
        <v>14</v>
      </c>
      <c r="Q5" s="8" t="s">
        <v>15</v>
      </c>
      <c r="R5" s="8"/>
      <c r="S5" s="8"/>
      <c r="T5" s="8"/>
      <c r="U5" s="8"/>
      <c r="V5" s="8"/>
    </row>
    <row r="6" spans="2:24" x14ac:dyDescent="0.2">
      <c r="D6" s="10"/>
      <c r="E6" s="11"/>
      <c r="G6" s="8"/>
      <c r="H6" s="8" t="s">
        <v>16</v>
      </c>
      <c r="I6" s="8"/>
      <c r="J6" s="8"/>
      <c r="K6" s="8"/>
      <c r="L6" s="5"/>
      <c r="M6" s="8"/>
      <c r="N6" s="8" t="s">
        <v>16</v>
      </c>
      <c r="O6" s="8"/>
      <c r="P6" s="8"/>
      <c r="Q6" s="8"/>
      <c r="R6" s="8"/>
      <c r="S6" s="8"/>
      <c r="T6" s="8"/>
      <c r="U6" s="8"/>
      <c r="V6" s="8"/>
    </row>
    <row r="7" spans="2:24" ht="13.5" thickBot="1" x14ac:dyDescent="0.25">
      <c r="B7" s="2"/>
      <c r="E7" s="11"/>
      <c r="G7" s="12" t="s">
        <v>17</v>
      </c>
      <c r="H7" s="12" t="s">
        <v>18</v>
      </c>
      <c r="I7" s="12" t="s">
        <v>19</v>
      </c>
      <c r="J7" s="12"/>
      <c r="K7" s="12" t="s">
        <v>20</v>
      </c>
      <c r="L7" s="5"/>
      <c r="M7" s="12" t="s">
        <v>17</v>
      </c>
      <c r="N7" s="12" t="s">
        <v>18</v>
      </c>
      <c r="O7" s="12" t="s">
        <v>19</v>
      </c>
      <c r="P7" s="12"/>
      <c r="Q7" s="12" t="s">
        <v>20</v>
      </c>
      <c r="R7" s="13"/>
      <c r="S7" s="13"/>
      <c r="T7" s="13"/>
      <c r="U7" s="13"/>
      <c r="V7" s="13"/>
    </row>
    <row r="8" spans="2:24" ht="5.0999999999999996" customHeight="1" x14ac:dyDescent="0.2">
      <c r="B8" s="2"/>
      <c r="E8" s="11"/>
      <c r="G8" s="14"/>
      <c r="H8" s="14"/>
      <c r="I8" s="14"/>
      <c r="J8" s="14"/>
      <c r="K8" s="14"/>
      <c r="L8" s="5"/>
      <c r="M8" s="14"/>
      <c r="N8" s="14"/>
      <c r="O8" s="14"/>
      <c r="P8" s="14"/>
      <c r="Q8" s="14"/>
      <c r="R8" s="15"/>
      <c r="S8" s="15"/>
      <c r="T8" s="15"/>
      <c r="U8" s="15"/>
      <c r="V8" s="15"/>
    </row>
    <row r="9" spans="2:24" ht="15" thickBot="1" x14ac:dyDescent="0.25">
      <c r="B9" s="16" t="s">
        <v>21</v>
      </c>
      <c r="D9" s="1" t="s">
        <v>22</v>
      </c>
      <c r="E9" s="17" t="s">
        <v>23</v>
      </c>
      <c r="G9" s="18">
        <f>K9*$G$105</f>
        <v>15028.000659752204</v>
      </c>
      <c r="H9" s="18">
        <f>K9*$H$105</f>
        <v>973.69657608010175</v>
      </c>
      <c r="I9" s="18">
        <f>K9*$I$105</f>
        <v>44740.302764167696</v>
      </c>
      <c r="J9" s="19">
        <v>0</v>
      </c>
      <c r="K9" s="18">
        <v>60742</v>
      </c>
      <c r="L9" s="5"/>
      <c r="M9" s="18">
        <v>0</v>
      </c>
      <c r="N9" s="18">
        <v>0</v>
      </c>
      <c r="O9" s="18">
        <v>0</v>
      </c>
      <c r="P9" s="19">
        <v>0</v>
      </c>
      <c r="Q9" s="19">
        <f>SUM(M9:P9)</f>
        <v>0</v>
      </c>
      <c r="R9" s="19"/>
      <c r="S9" s="19"/>
      <c r="T9" s="19"/>
      <c r="U9" s="19"/>
      <c r="V9" s="19"/>
    </row>
    <row r="10" spans="2:24" x14ac:dyDescent="0.2">
      <c r="B10" s="2" t="s">
        <v>24</v>
      </c>
      <c r="E10" s="17" t="s">
        <v>25</v>
      </c>
      <c r="G10" s="20">
        <f>K10*$G$105</f>
        <v>205.94165073882544</v>
      </c>
      <c r="H10" s="20">
        <f>K10*$H$105</f>
        <v>13.343403739242644</v>
      </c>
      <c r="I10" s="20">
        <f>K10*$I$105</f>
        <v>613.11494552193187</v>
      </c>
      <c r="J10" s="21">
        <v>0</v>
      </c>
      <c r="K10" s="20">
        <v>832.4</v>
      </c>
      <c r="L10" s="5"/>
      <c r="M10" s="20">
        <f>G10</f>
        <v>205.94165073882544</v>
      </c>
      <c r="N10" s="20">
        <f>H10</f>
        <v>13.343403739242644</v>
      </c>
      <c r="O10" s="20">
        <f>I10</f>
        <v>613.11494552193187</v>
      </c>
      <c r="P10" s="21">
        <v>0</v>
      </c>
      <c r="Q10" s="21">
        <f>SUM(M10:P10)</f>
        <v>832.4</v>
      </c>
      <c r="R10" s="22"/>
      <c r="S10" s="22"/>
      <c r="T10" s="22"/>
      <c r="U10" s="22"/>
      <c r="V10" s="22"/>
    </row>
    <row r="11" spans="2:24" x14ac:dyDescent="0.2">
      <c r="E11" s="17"/>
      <c r="G11" s="11"/>
      <c r="H11" s="11"/>
      <c r="I11" s="11"/>
      <c r="K11" s="11"/>
      <c r="L11" s="5"/>
      <c r="M11" s="11"/>
      <c r="N11" s="11"/>
      <c r="O11" s="11"/>
    </row>
    <row r="12" spans="2:24" ht="13.5" thickBot="1" x14ac:dyDescent="0.25">
      <c r="D12" s="1" t="s">
        <v>26</v>
      </c>
      <c r="E12" s="17" t="s">
        <v>23</v>
      </c>
      <c r="G12" s="18">
        <f>K12*$G$105</f>
        <v>37436.154420824882</v>
      </c>
      <c r="H12" s="18">
        <f>K12*$H$105</f>
        <v>2425.5691895720342</v>
      </c>
      <c r="I12" s="18">
        <f>K12*$I$105</f>
        <v>111452.27638960308</v>
      </c>
      <c r="J12" s="19">
        <v>0</v>
      </c>
      <c r="K12" s="18">
        <v>151314</v>
      </c>
      <c r="L12" s="5"/>
      <c r="M12" s="18">
        <f t="shared" ref="M12:P13" si="0">G12</f>
        <v>37436.154420824882</v>
      </c>
      <c r="N12" s="18">
        <f t="shared" si="0"/>
        <v>2425.5691895720342</v>
      </c>
      <c r="O12" s="18">
        <f t="shared" si="0"/>
        <v>111452.27638960308</v>
      </c>
      <c r="P12" s="18">
        <f t="shared" si="0"/>
        <v>0</v>
      </c>
      <c r="Q12" s="19">
        <f>SUM(M12:P12)</f>
        <v>151314</v>
      </c>
      <c r="R12" s="19"/>
      <c r="S12" s="19"/>
      <c r="T12" s="19"/>
      <c r="U12" s="19"/>
      <c r="V12" s="19"/>
    </row>
    <row r="13" spans="2:24" x14ac:dyDescent="0.2">
      <c r="E13" s="17" t="s">
        <v>25</v>
      </c>
      <c r="G13" s="20">
        <f>K13*$G$105</f>
        <v>417.30151645984722</v>
      </c>
      <c r="H13" s="20">
        <f>K13*$H$105</f>
        <v>27.037865313527828</v>
      </c>
      <c r="I13" s="20">
        <f>K13*$I$105</f>
        <v>1242.3606182266249</v>
      </c>
      <c r="J13" s="21">
        <v>0</v>
      </c>
      <c r="K13" s="20">
        <v>1686.6999999999998</v>
      </c>
      <c r="L13" s="5"/>
      <c r="M13" s="20">
        <f t="shared" si="0"/>
        <v>417.30151645984722</v>
      </c>
      <c r="N13" s="20">
        <f t="shared" si="0"/>
        <v>27.037865313527828</v>
      </c>
      <c r="O13" s="20">
        <f t="shared" si="0"/>
        <v>1242.3606182266249</v>
      </c>
      <c r="P13" s="21">
        <v>0</v>
      </c>
      <c r="Q13" s="21">
        <f>SUM(M13:P13)</f>
        <v>1686.6999999999998</v>
      </c>
      <c r="R13" s="22"/>
      <c r="S13" s="22"/>
      <c r="T13" s="22"/>
      <c r="U13" s="22"/>
      <c r="V13" s="22"/>
    </row>
    <row r="14" spans="2:24" x14ac:dyDescent="0.2">
      <c r="E14" s="11"/>
      <c r="G14" s="11"/>
      <c r="H14" s="11"/>
      <c r="I14" s="11"/>
      <c r="K14" s="11"/>
      <c r="L14" s="5"/>
      <c r="M14" s="11"/>
      <c r="N14" s="11"/>
      <c r="O14" s="11"/>
      <c r="X14" s="24" t="s">
        <v>27</v>
      </c>
    </row>
    <row r="15" spans="2:24" x14ac:dyDescent="0.2">
      <c r="D15" s="1" t="s">
        <v>28</v>
      </c>
      <c r="E15" s="17" t="s">
        <v>29</v>
      </c>
      <c r="G15" s="18">
        <f>K15*$G$105</f>
        <v>3522.8293667349058</v>
      </c>
      <c r="H15" s="18">
        <f>K15*$H$105</f>
        <v>228.251712930173</v>
      </c>
      <c r="I15" s="19">
        <f>K15*$I$105</f>
        <v>10487.918920334921</v>
      </c>
      <c r="J15" s="19"/>
      <c r="K15" s="18">
        <v>14239</v>
      </c>
      <c r="L15" s="5"/>
      <c r="M15" s="18">
        <v>0</v>
      </c>
      <c r="N15" s="18">
        <v>0</v>
      </c>
      <c r="O15" s="18">
        <v>0</v>
      </c>
      <c r="P15" s="19">
        <v>0</v>
      </c>
      <c r="Q15" s="19">
        <f t="shared" ref="Q15:Q20" si="1">SUM(M15:P15)</f>
        <v>0</v>
      </c>
      <c r="R15" s="19"/>
      <c r="S15" s="19"/>
      <c r="T15" s="19"/>
      <c r="U15" s="19"/>
      <c r="V15" s="19"/>
    </row>
    <row r="16" spans="2:24" x14ac:dyDescent="0.2">
      <c r="D16" s="1" t="s">
        <v>30</v>
      </c>
      <c r="E16" s="17" t="s">
        <v>31</v>
      </c>
      <c r="G16" s="18">
        <f>K16*$G$105</f>
        <v>2563.1373157787502</v>
      </c>
      <c r="H16" s="18">
        <f>K16*$H$105</f>
        <v>166.0711950246922</v>
      </c>
      <c r="I16" s="19">
        <f>K16*$I$105</f>
        <v>7630.7914891965584</v>
      </c>
      <c r="J16" s="19"/>
      <c r="K16" s="18">
        <v>10360</v>
      </c>
      <c r="L16" s="5"/>
      <c r="M16" s="18">
        <f>G16</f>
        <v>2563.1373157787502</v>
      </c>
      <c r="N16" s="18">
        <f>H16</f>
        <v>166.0711950246922</v>
      </c>
      <c r="O16" s="18">
        <f>I16</f>
        <v>7630.7914891965584</v>
      </c>
      <c r="P16" s="18">
        <f>J16</f>
        <v>0</v>
      </c>
      <c r="Q16" s="19">
        <f t="shared" si="1"/>
        <v>10360</v>
      </c>
      <c r="R16" s="19"/>
      <c r="S16" s="19"/>
      <c r="T16" s="19"/>
      <c r="U16" s="19"/>
      <c r="V16" s="19"/>
      <c r="X16" s="23" t="s">
        <v>32</v>
      </c>
    </row>
    <row r="17" spans="2:24" x14ac:dyDescent="0.2">
      <c r="E17" s="17" t="s">
        <v>33</v>
      </c>
      <c r="G17" s="18">
        <f>K17*$G$105</f>
        <v>-1828.8331117988919</v>
      </c>
      <c r="H17" s="18">
        <f>K17*$H$105</f>
        <v>-118.49404185545606</v>
      </c>
      <c r="I17" s="19">
        <f>K17*$I$105</f>
        <v>-5444.672846345652</v>
      </c>
      <c r="J17" s="19"/>
      <c r="K17" s="18">
        <v>-7392</v>
      </c>
      <c r="L17" s="5"/>
      <c r="M17" s="18">
        <v>0</v>
      </c>
      <c r="N17" s="18">
        <v>0</v>
      </c>
      <c r="O17" s="18">
        <v>0</v>
      </c>
      <c r="P17" s="19">
        <v>0</v>
      </c>
      <c r="Q17" s="19">
        <f t="shared" si="1"/>
        <v>0</v>
      </c>
      <c r="R17" s="19"/>
      <c r="S17" s="19"/>
      <c r="T17" s="19"/>
      <c r="U17" s="19"/>
      <c r="V17" s="19"/>
      <c r="X17" s="25">
        <v>614800</v>
      </c>
    </row>
    <row r="18" spans="2:24" x14ac:dyDescent="0.2">
      <c r="E18" s="17" t="s">
        <v>34</v>
      </c>
      <c r="G18" s="18">
        <f>K18*$G$105</f>
        <v>-16144.053983253936</v>
      </c>
      <c r="H18" s="18">
        <f>K18*$H$105</f>
        <v>-1046.008078083614</v>
      </c>
      <c r="I18" s="18">
        <f>K18*$I$105</f>
        <v>-48062.93793866245</v>
      </c>
      <c r="J18" s="19">
        <v>0</v>
      </c>
      <c r="K18" s="18">
        <v>-65253</v>
      </c>
      <c r="L18" s="5"/>
      <c r="M18" s="18">
        <v>0</v>
      </c>
      <c r="N18" s="18">
        <v>0</v>
      </c>
      <c r="O18" s="18">
        <v>0</v>
      </c>
      <c r="P18" s="19">
        <v>0</v>
      </c>
      <c r="Q18" s="19">
        <f t="shared" si="1"/>
        <v>0</v>
      </c>
      <c r="R18" s="19"/>
      <c r="S18" s="19"/>
      <c r="T18" s="19"/>
      <c r="U18" s="19"/>
      <c r="V18" s="19"/>
    </row>
    <row r="19" spans="2:24" x14ac:dyDescent="0.2">
      <c r="E19" s="17" t="s">
        <v>35</v>
      </c>
      <c r="G19" s="18">
        <v>33214</v>
      </c>
      <c r="H19" s="18">
        <v>479</v>
      </c>
      <c r="I19" s="18">
        <v>0</v>
      </c>
      <c r="J19" s="19">
        <v>0</v>
      </c>
      <c r="K19" s="18">
        <f>G19+H19</f>
        <v>33693</v>
      </c>
      <c r="L19" s="5"/>
      <c r="M19" s="18">
        <f>G19</f>
        <v>33214</v>
      </c>
      <c r="N19" s="18">
        <f>H19</f>
        <v>479</v>
      </c>
      <c r="O19" s="18">
        <f>I19</f>
        <v>0</v>
      </c>
      <c r="P19" s="18">
        <f>J19</f>
        <v>0</v>
      </c>
      <c r="Q19" s="19">
        <f t="shared" si="1"/>
        <v>33693</v>
      </c>
      <c r="R19" s="19"/>
      <c r="S19" s="19"/>
      <c r="T19" s="19"/>
      <c r="U19" s="19"/>
      <c r="V19" s="19"/>
      <c r="X19" s="23" t="s">
        <v>36</v>
      </c>
    </row>
    <row r="20" spans="2:24" x14ac:dyDescent="0.2">
      <c r="E20" s="17" t="s">
        <v>37</v>
      </c>
      <c r="G20" s="26">
        <f>K20*$G$105</f>
        <v>296.39367802151958</v>
      </c>
      <c r="H20" s="26">
        <f>K20*$H$105</f>
        <v>19.20398567949626</v>
      </c>
      <c r="I20" s="26">
        <f>K20*$I$105</f>
        <v>882.40233629898421</v>
      </c>
      <c r="J20" s="26">
        <v>0</v>
      </c>
      <c r="K20" s="27">
        <v>1198</v>
      </c>
      <c r="L20" s="5"/>
      <c r="M20" s="18">
        <v>0</v>
      </c>
      <c r="N20" s="18">
        <v>0</v>
      </c>
      <c r="O20" s="18">
        <v>0</v>
      </c>
      <c r="P20" s="19">
        <v>0</v>
      </c>
      <c r="Q20" s="19">
        <f t="shared" si="1"/>
        <v>0</v>
      </c>
      <c r="R20" s="19"/>
      <c r="S20" s="19"/>
      <c r="T20" s="19"/>
      <c r="U20" s="19"/>
      <c r="V20" s="19"/>
      <c r="X20" s="25">
        <f>31030+1679</f>
        <v>32709</v>
      </c>
    </row>
    <row r="21" spans="2:24" x14ac:dyDescent="0.2">
      <c r="D21" s="2" t="s">
        <v>38</v>
      </c>
      <c r="E21" s="17"/>
      <c r="G21" s="28">
        <f>G9+G12+SUM(G15:G20)</f>
        <v>74087.628346059428</v>
      </c>
      <c r="H21" s="28">
        <f>SUM(H15:H20)+H12+H9</f>
        <v>3127.2905393474275</v>
      </c>
      <c r="I21" s="28">
        <f>SUM(I15:I20)+I12+I9</f>
        <v>121686.08111459314</v>
      </c>
      <c r="J21" s="29">
        <f>J9+J12+SUM(J15:J20)</f>
        <v>0</v>
      </c>
      <c r="K21" s="28">
        <f>SUM(G21:J21)</f>
        <v>198901</v>
      </c>
      <c r="L21" s="5"/>
      <c r="M21" s="30">
        <f>M9+M12+SUM(M15:M20)</f>
        <v>73213.291736603627</v>
      </c>
      <c r="N21" s="30">
        <f>N9+N12+SUM(N15:N20)</f>
        <v>3070.6403845967266</v>
      </c>
      <c r="O21" s="30">
        <f>O9+O12+SUM(O15:O20)</f>
        <v>119083.06787879964</v>
      </c>
      <c r="P21" s="31">
        <f>P9+P12+SUM(P15:P20)</f>
        <v>0</v>
      </c>
      <c r="Q21" s="31">
        <f>Q9+Q12+SUM(Q15:Q20)</f>
        <v>195367</v>
      </c>
      <c r="R21" s="32"/>
      <c r="S21" s="32"/>
      <c r="T21" s="32"/>
      <c r="U21" s="32"/>
      <c r="V21" s="32"/>
    </row>
    <row r="22" spans="2:24" x14ac:dyDescent="0.2">
      <c r="E22" s="17"/>
      <c r="G22" s="18"/>
      <c r="H22" s="18"/>
      <c r="I22" s="18"/>
      <c r="J22" s="19"/>
      <c r="K22" s="18"/>
      <c r="L22" s="5"/>
      <c r="M22" s="33"/>
      <c r="N22" s="18"/>
      <c r="O22" s="18"/>
      <c r="P22" s="19"/>
      <c r="Q22" s="19"/>
      <c r="R22" s="19"/>
      <c r="S22" s="19"/>
      <c r="T22" s="19"/>
      <c r="U22" s="19"/>
      <c r="V22" s="19"/>
      <c r="X22" s="23" t="s">
        <v>39</v>
      </c>
    </row>
    <row r="23" spans="2:24" x14ac:dyDescent="0.2">
      <c r="B23" s="2" t="s">
        <v>40</v>
      </c>
      <c r="E23" s="17" t="s">
        <v>41</v>
      </c>
      <c r="G23" s="26">
        <f>K23*$G$105</f>
        <v>7346.7531459507709</v>
      </c>
      <c r="H23" s="26">
        <f>K23*$H$105</f>
        <v>476.01198226430841</v>
      </c>
      <c r="I23" s="26">
        <f>K23*$I$105</f>
        <v>21872.234871784924</v>
      </c>
      <c r="J23" s="26">
        <v>0</v>
      </c>
      <c r="K23" s="27">
        <v>29695</v>
      </c>
      <c r="L23" s="5"/>
      <c r="M23" s="27">
        <f>$Q$23*G$105</f>
        <v>390.86686507954414</v>
      </c>
      <c r="N23" s="27">
        <f>$Q$23*H$105</f>
        <v>25.325107234683252</v>
      </c>
      <c r="O23" s="27">
        <f>$Q$23*I$105</f>
        <v>1163.6612401125781</v>
      </c>
      <c r="P23" s="27">
        <v>0</v>
      </c>
      <c r="Q23" s="27">
        <f>K23*X23</f>
        <v>1579.8532124268054</v>
      </c>
      <c r="R23" s="34"/>
      <c r="S23" s="34"/>
      <c r="T23" s="34"/>
      <c r="U23" s="34"/>
      <c r="V23" s="34"/>
      <c r="X23" s="35">
        <f>X20/X17</f>
        <v>5.320266753415745E-2</v>
      </c>
    </row>
    <row r="24" spans="2:24" x14ac:dyDescent="0.2">
      <c r="B24" s="2"/>
      <c r="D24" s="2" t="s">
        <v>42</v>
      </c>
      <c r="E24" s="17"/>
      <c r="G24" s="28">
        <f>SUM(G23)</f>
        <v>7346.7531459507709</v>
      </c>
      <c r="H24" s="28">
        <f>SUM(H23)</f>
        <v>476.01198226430841</v>
      </c>
      <c r="I24" s="28">
        <f>SUM(I23)</f>
        <v>21872.234871784924</v>
      </c>
      <c r="J24" s="29">
        <f>SUM(J23)</f>
        <v>0</v>
      </c>
      <c r="K24" s="28">
        <f>SUM(G24:J24)</f>
        <v>29695.000000000004</v>
      </c>
      <c r="L24" s="5"/>
      <c r="M24" s="28">
        <f>SUM(M23)</f>
        <v>390.86686507954414</v>
      </c>
      <c r="N24" s="28">
        <f>SUM(N23)</f>
        <v>25.325107234683252</v>
      </c>
      <c r="O24" s="28">
        <f>SUM(O23)</f>
        <v>1163.6612401125781</v>
      </c>
      <c r="P24" s="29">
        <f>SUM(P23)</f>
        <v>0</v>
      </c>
      <c r="Q24" s="29">
        <f>SUM(M24:P24)</f>
        <v>1579.8532124268054</v>
      </c>
      <c r="R24" s="29"/>
      <c r="S24" s="29"/>
      <c r="T24" s="29"/>
      <c r="U24" s="29"/>
      <c r="V24" s="29"/>
    </row>
    <row r="25" spans="2:24" x14ac:dyDescent="0.2">
      <c r="B25" s="2"/>
      <c r="E25" s="11"/>
      <c r="G25" s="11"/>
      <c r="H25" s="11"/>
      <c r="I25" s="11"/>
      <c r="K25" s="11"/>
      <c r="L25" s="5"/>
      <c r="M25" s="11"/>
      <c r="N25" s="11"/>
      <c r="O25" s="11"/>
    </row>
    <row r="26" spans="2:24" x14ac:dyDescent="0.2">
      <c r="B26" s="2" t="s">
        <v>43</v>
      </c>
      <c r="E26" s="17" t="s">
        <v>44</v>
      </c>
      <c r="F26" s="11"/>
      <c r="G26" s="18">
        <f t="shared" ref="G26:G30" si="2">K26*$G$105</f>
        <v>220.93451959367025</v>
      </c>
      <c r="H26" s="18">
        <f t="shared" ref="H26:H30" si="3">K26*$H$105</f>
        <v>14.314824049908315</v>
      </c>
      <c r="I26" s="18">
        <f t="shared" ref="I26:I30" si="4">K26*$I$105</f>
        <v>657.75065635642147</v>
      </c>
      <c r="J26" s="19">
        <v>0</v>
      </c>
      <c r="K26" s="18">
        <v>893</v>
      </c>
      <c r="L26" s="5"/>
      <c r="M26" s="34">
        <v>0</v>
      </c>
      <c r="N26" s="34">
        <v>0</v>
      </c>
      <c r="O26" s="34">
        <v>0</v>
      </c>
      <c r="P26" s="19">
        <v>0</v>
      </c>
      <c r="Q26" s="19">
        <f t="shared" ref="Q26:Q31" si="5">SUM(M26:P26)</f>
        <v>0</v>
      </c>
      <c r="R26" s="19"/>
      <c r="S26" s="19"/>
      <c r="T26" s="19"/>
      <c r="U26" s="19"/>
      <c r="V26" s="19"/>
    </row>
    <row r="27" spans="2:24" x14ac:dyDescent="0.2">
      <c r="B27" s="2"/>
      <c r="E27" s="17" t="s">
        <v>45</v>
      </c>
      <c r="G27" s="18">
        <f t="shared" si="2"/>
        <v>748.90122151180276</v>
      </c>
      <c r="H27" s="18">
        <f t="shared" si="3"/>
        <v>48.52292541889414</v>
      </c>
      <c r="I27" s="18">
        <f t="shared" si="4"/>
        <v>2229.5758530693033</v>
      </c>
      <c r="J27" s="19">
        <v>0</v>
      </c>
      <c r="K27" s="18">
        <v>3027</v>
      </c>
      <c r="L27" s="5"/>
      <c r="M27" s="18">
        <f>G27</f>
        <v>748.90122151180276</v>
      </c>
      <c r="N27" s="18">
        <f>H27</f>
        <v>48.52292541889414</v>
      </c>
      <c r="O27" s="18">
        <f>I27</f>
        <v>2229.5758530693033</v>
      </c>
      <c r="P27" s="18">
        <f>J27</f>
        <v>0</v>
      </c>
      <c r="Q27" s="19">
        <f>SUM(M27:P27)</f>
        <v>3027</v>
      </c>
      <c r="R27" s="19"/>
      <c r="S27" s="19"/>
      <c r="T27" s="19"/>
      <c r="U27" s="19"/>
      <c r="V27" s="19"/>
    </row>
    <row r="28" spans="2:24" x14ac:dyDescent="0.2">
      <c r="B28" s="2"/>
      <c r="E28" s="11" t="s">
        <v>46</v>
      </c>
      <c r="G28" s="18">
        <f t="shared" si="2"/>
        <v>0</v>
      </c>
      <c r="H28" s="18">
        <f t="shared" si="3"/>
        <v>0</v>
      </c>
      <c r="I28" s="18">
        <f t="shared" si="4"/>
        <v>0</v>
      </c>
      <c r="J28" s="19">
        <v>0</v>
      </c>
      <c r="K28" s="18">
        <v>0</v>
      </c>
      <c r="L28" s="5"/>
      <c r="M28" s="18">
        <v>0</v>
      </c>
      <c r="N28" s="18">
        <v>0</v>
      </c>
      <c r="O28" s="18">
        <v>0</v>
      </c>
      <c r="P28" s="19">
        <v>0</v>
      </c>
      <c r="Q28" s="19">
        <f t="shared" si="5"/>
        <v>0</v>
      </c>
      <c r="R28" s="19"/>
      <c r="S28" s="19"/>
      <c r="T28" s="19"/>
      <c r="U28" s="19"/>
      <c r="V28" s="19"/>
    </row>
    <row r="29" spans="2:24" x14ac:dyDescent="0.2">
      <c r="B29" s="2"/>
      <c r="E29" s="17" t="s">
        <v>47</v>
      </c>
      <c r="G29" s="18">
        <f t="shared" si="2"/>
        <v>334.49436785066314</v>
      </c>
      <c r="H29" s="18">
        <f t="shared" si="3"/>
        <v>21.67261155148493</v>
      </c>
      <c r="I29" s="18">
        <f t="shared" si="4"/>
        <v>995.83302059785194</v>
      </c>
      <c r="J29" s="19">
        <v>0</v>
      </c>
      <c r="K29" s="18">
        <v>1352</v>
      </c>
      <c r="L29" s="5"/>
      <c r="M29" s="18">
        <f t="shared" ref="M29:P30" si="6">G29</f>
        <v>334.49436785066314</v>
      </c>
      <c r="N29" s="18">
        <f t="shared" si="6"/>
        <v>21.67261155148493</v>
      </c>
      <c r="O29" s="18">
        <f t="shared" si="6"/>
        <v>995.83302059785194</v>
      </c>
      <c r="P29" s="18">
        <f t="shared" si="6"/>
        <v>0</v>
      </c>
      <c r="Q29" s="19">
        <f t="shared" si="5"/>
        <v>1352</v>
      </c>
      <c r="R29" s="19"/>
      <c r="S29" s="19"/>
      <c r="T29" s="19"/>
      <c r="U29" s="19"/>
      <c r="V29" s="19"/>
    </row>
    <row r="30" spans="2:24" x14ac:dyDescent="0.2">
      <c r="B30" s="2"/>
      <c r="E30" s="36" t="s">
        <v>48</v>
      </c>
      <c r="G30" s="26">
        <f t="shared" si="2"/>
        <v>0</v>
      </c>
      <c r="H30" s="26">
        <f t="shared" si="3"/>
        <v>0</v>
      </c>
      <c r="I30" s="26">
        <f t="shared" si="4"/>
        <v>0</v>
      </c>
      <c r="J30" s="26">
        <v>0</v>
      </c>
      <c r="K30" s="27">
        <v>0</v>
      </c>
      <c r="L30" s="5"/>
      <c r="M30" s="27">
        <f t="shared" si="6"/>
        <v>0</v>
      </c>
      <c r="N30" s="27">
        <f t="shared" si="6"/>
        <v>0</v>
      </c>
      <c r="O30" s="27">
        <f t="shared" si="6"/>
        <v>0</v>
      </c>
      <c r="P30" s="27">
        <f>J30</f>
        <v>0</v>
      </c>
      <c r="Q30" s="26">
        <f t="shared" si="5"/>
        <v>0</v>
      </c>
      <c r="R30" s="37"/>
      <c r="S30" s="37"/>
      <c r="T30" s="37"/>
      <c r="U30" s="37"/>
      <c r="V30" s="37"/>
    </row>
    <row r="31" spans="2:24" x14ac:dyDescent="0.2">
      <c r="B31" s="2"/>
      <c r="D31" s="2" t="s">
        <v>49</v>
      </c>
      <c r="G31" s="29">
        <f>SUM(G26:G30)</f>
        <v>1304.3301089561362</v>
      </c>
      <c r="H31" s="29">
        <f>SUM(H26:H30)</f>
        <v>84.510361020287391</v>
      </c>
      <c r="I31" s="29">
        <f>SUM(I26:I30)</f>
        <v>3883.1595300235767</v>
      </c>
      <c r="J31" s="29">
        <f>SUM(J26:J30)</f>
        <v>0</v>
      </c>
      <c r="K31" s="28">
        <f t="shared" ref="K31" si="7">SUM(G31:J31)</f>
        <v>5272</v>
      </c>
      <c r="L31" s="5"/>
      <c r="M31" s="28">
        <f>SUM(M26:M30)</f>
        <v>1083.3955893624659</v>
      </c>
      <c r="N31" s="28">
        <f>SUM(N26:N30)</f>
        <v>70.195536970379067</v>
      </c>
      <c r="O31" s="28">
        <f>SUM(O26:O30)</f>
        <v>3225.4088736671551</v>
      </c>
      <c r="P31" s="29">
        <f>SUM(P26:P30)</f>
        <v>0</v>
      </c>
      <c r="Q31" s="29">
        <f t="shared" si="5"/>
        <v>4379</v>
      </c>
      <c r="R31" s="29"/>
      <c r="S31" s="29"/>
      <c r="T31" s="29"/>
      <c r="U31" s="29"/>
      <c r="V31" s="29"/>
    </row>
    <row r="32" spans="2:24" x14ac:dyDescent="0.2">
      <c r="B32" s="2"/>
      <c r="K32" s="11"/>
      <c r="L32" s="5"/>
    </row>
    <row r="33" spans="2:22" x14ac:dyDescent="0.2">
      <c r="B33" s="2" t="s">
        <v>50</v>
      </c>
      <c r="D33" s="2" t="s">
        <v>51</v>
      </c>
      <c r="E33" s="1" t="s">
        <v>52</v>
      </c>
      <c r="G33" s="18">
        <v>3303</v>
      </c>
      <c r="H33" s="18">
        <v>0</v>
      </c>
      <c r="I33" s="18">
        <v>0</v>
      </c>
      <c r="J33" s="18">
        <v>0</v>
      </c>
      <c r="K33" s="18">
        <f>SUM(G33:J33)</f>
        <v>3303</v>
      </c>
      <c r="L33" s="5"/>
      <c r="M33" s="19">
        <f t="shared" ref="M33:P34" si="8">G33</f>
        <v>3303</v>
      </c>
      <c r="N33" s="19">
        <f t="shared" si="8"/>
        <v>0</v>
      </c>
      <c r="O33" s="19">
        <f t="shared" si="8"/>
        <v>0</v>
      </c>
      <c r="P33" s="19">
        <f t="shared" si="8"/>
        <v>0</v>
      </c>
      <c r="Q33" s="19">
        <f>SUM(M33:P33)</f>
        <v>3303</v>
      </c>
      <c r="R33" s="19"/>
      <c r="S33" s="19"/>
      <c r="T33" s="19"/>
      <c r="U33" s="19"/>
      <c r="V33" s="19"/>
    </row>
    <row r="34" spans="2:22" x14ac:dyDescent="0.2">
      <c r="B34" s="2" t="s">
        <v>53</v>
      </c>
      <c r="D34" s="2" t="s">
        <v>54</v>
      </c>
      <c r="E34" s="1" t="s">
        <v>55</v>
      </c>
      <c r="G34" s="18"/>
      <c r="H34" s="18">
        <v>0</v>
      </c>
      <c r="I34" s="18">
        <v>0</v>
      </c>
      <c r="J34" s="18">
        <v>0</v>
      </c>
      <c r="K34" s="18">
        <f>SUM(G34:J34)</f>
        <v>0</v>
      </c>
      <c r="L34" s="5"/>
      <c r="M34" s="19">
        <f t="shared" si="8"/>
        <v>0</v>
      </c>
      <c r="N34" s="19">
        <f t="shared" si="8"/>
        <v>0</v>
      </c>
      <c r="O34" s="19">
        <f t="shared" si="8"/>
        <v>0</v>
      </c>
      <c r="P34" s="19">
        <f t="shared" si="8"/>
        <v>0</v>
      </c>
      <c r="Q34" s="19">
        <f>SUM(M34:P34)</f>
        <v>0</v>
      </c>
      <c r="R34" s="19"/>
      <c r="S34" s="19"/>
      <c r="T34" s="19"/>
      <c r="U34" s="19"/>
      <c r="V34" s="19"/>
    </row>
    <row r="35" spans="2:22" x14ac:dyDescent="0.2">
      <c r="D35" s="2"/>
      <c r="G35" s="11"/>
      <c r="H35" s="11"/>
      <c r="I35" s="11"/>
      <c r="J35" s="11"/>
      <c r="K35" s="11"/>
      <c r="L35" s="5"/>
      <c r="Q35" s="19"/>
      <c r="R35" s="19"/>
      <c r="S35" s="19"/>
      <c r="T35" s="19"/>
      <c r="U35" s="19"/>
      <c r="V35" s="19"/>
    </row>
    <row r="36" spans="2:22" x14ac:dyDescent="0.2">
      <c r="D36" s="2" t="s">
        <v>56</v>
      </c>
      <c r="E36" s="1" t="s">
        <v>57</v>
      </c>
      <c r="G36" s="18">
        <v>3074</v>
      </c>
      <c r="H36" s="18"/>
      <c r="I36" s="18">
        <v>0</v>
      </c>
      <c r="J36" s="18">
        <v>0</v>
      </c>
      <c r="K36" s="18">
        <f t="shared" ref="K36:K41" si="9">SUM(G36:J36)</f>
        <v>3074</v>
      </c>
      <c r="L36" s="5"/>
      <c r="M36" s="19">
        <f t="shared" ref="M36:P41" si="10">G36</f>
        <v>3074</v>
      </c>
      <c r="N36" s="19">
        <f t="shared" si="10"/>
        <v>0</v>
      </c>
      <c r="O36" s="19">
        <f t="shared" si="10"/>
        <v>0</v>
      </c>
      <c r="P36" s="19">
        <f t="shared" si="10"/>
        <v>0</v>
      </c>
      <c r="Q36" s="19">
        <f t="shared" ref="Q36:Q41" si="11">SUM(M36:P36)</f>
        <v>3074</v>
      </c>
      <c r="R36" s="19"/>
      <c r="S36" s="19"/>
      <c r="T36" s="19"/>
      <c r="U36" s="19"/>
      <c r="V36" s="19"/>
    </row>
    <row r="37" spans="2:22" x14ac:dyDescent="0.2">
      <c r="D37" s="2" t="s">
        <v>58</v>
      </c>
      <c r="E37" s="1" t="s">
        <v>59</v>
      </c>
      <c r="G37" s="18">
        <f>1605+292</f>
        <v>1897</v>
      </c>
      <c r="H37" s="18">
        <v>0</v>
      </c>
      <c r="I37" s="18">
        <v>0</v>
      </c>
      <c r="J37" s="18">
        <v>0</v>
      </c>
      <c r="K37" s="18">
        <f t="shared" si="9"/>
        <v>1897</v>
      </c>
      <c r="L37" s="5"/>
      <c r="M37" s="19">
        <f t="shared" si="10"/>
        <v>1897</v>
      </c>
      <c r="N37" s="19">
        <f t="shared" si="10"/>
        <v>0</v>
      </c>
      <c r="O37" s="19">
        <f t="shared" si="10"/>
        <v>0</v>
      </c>
      <c r="P37" s="19">
        <f t="shared" si="10"/>
        <v>0</v>
      </c>
      <c r="Q37" s="19">
        <f t="shared" si="11"/>
        <v>1897</v>
      </c>
      <c r="R37" s="19"/>
      <c r="S37" s="19"/>
      <c r="T37" s="19"/>
      <c r="U37" s="19"/>
      <c r="V37" s="19"/>
    </row>
    <row r="38" spans="2:22" x14ac:dyDescent="0.2">
      <c r="D38" s="2"/>
      <c r="E38" s="1" t="s">
        <v>60</v>
      </c>
      <c r="G38" s="18">
        <v>762</v>
      </c>
      <c r="H38" s="18">
        <v>0</v>
      </c>
      <c r="I38" s="18">
        <v>0</v>
      </c>
      <c r="J38" s="18">
        <v>0</v>
      </c>
      <c r="K38" s="18">
        <f t="shared" si="9"/>
        <v>762</v>
      </c>
      <c r="L38" s="5"/>
      <c r="M38" s="19">
        <f t="shared" si="10"/>
        <v>762</v>
      </c>
      <c r="N38" s="19">
        <f t="shared" si="10"/>
        <v>0</v>
      </c>
      <c r="O38" s="19">
        <f t="shared" si="10"/>
        <v>0</v>
      </c>
      <c r="P38" s="19">
        <f t="shared" si="10"/>
        <v>0</v>
      </c>
      <c r="Q38" s="19">
        <f t="shared" si="11"/>
        <v>762</v>
      </c>
      <c r="R38" s="19"/>
      <c r="S38" s="19"/>
      <c r="T38" s="19"/>
      <c r="U38" s="19"/>
      <c r="V38" s="19"/>
    </row>
    <row r="39" spans="2:22" x14ac:dyDescent="0.2">
      <c r="D39" s="2"/>
      <c r="E39" s="1" t="s">
        <v>114</v>
      </c>
      <c r="G39" s="18">
        <v>4626</v>
      </c>
      <c r="H39" s="18">
        <v>0</v>
      </c>
      <c r="I39" s="18"/>
      <c r="J39" s="18">
        <v>0</v>
      </c>
      <c r="K39" s="18">
        <f t="shared" si="9"/>
        <v>4626</v>
      </c>
      <c r="L39" s="5"/>
      <c r="M39" s="19">
        <f t="shared" si="10"/>
        <v>4626</v>
      </c>
      <c r="N39" s="19">
        <f t="shared" si="10"/>
        <v>0</v>
      </c>
      <c r="O39" s="19">
        <f t="shared" si="10"/>
        <v>0</v>
      </c>
      <c r="P39" s="19">
        <f t="shared" si="10"/>
        <v>0</v>
      </c>
      <c r="Q39" s="19">
        <f t="shared" si="11"/>
        <v>4626</v>
      </c>
      <c r="R39" s="19"/>
      <c r="S39" s="19"/>
      <c r="T39" s="19"/>
      <c r="U39" s="19"/>
      <c r="V39" s="19"/>
    </row>
    <row r="40" spans="2:22" x14ac:dyDescent="0.2">
      <c r="D40" s="2"/>
      <c r="E40" s="1" t="s">
        <v>115</v>
      </c>
      <c r="G40" s="18">
        <v>502</v>
      </c>
      <c r="H40" s="18">
        <v>0</v>
      </c>
      <c r="I40" s="18"/>
      <c r="J40" s="18">
        <v>0</v>
      </c>
      <c r="K40" s="18">
        <f t="shared" si="9"/>
        <v>502</v>
      </c>
      <c r="L40" s="5"/>
      <c r="M40" s="19">
        <f t="shared" si="10"/>
        <v>502</v>
      </c>
      <c r="N40" s="19">
        <f t="shared" si="10"/>
        <v>0</v>
      </c>
      <c r="O40" s="19">
        <f t="shared" si="10"/>
        <v>0</v>
      </c>
      <c r="P40" s="19">
        <f t="shared" si="10"/>
        <v>0</v>
      </c>
      <c r="Q40" s="19">
        <f t="shared" si="11"/>
        <v>502</v>
      </c>
      <c r="R40" s="19"/>
      <c r="S40" s="19"/>
      <c r="T40" s="19"/>
      <c r="U40" s="19"/>
      <c r="V40" s="19"/>
    </row>
    <row r="41" spans="2:22" x14ac:dyDescent="0.2">
      <c r="D41" s="2"/>
      <c r="E41" s="1" t="s">
        <v>61</v>
      </c>
      <c r="G41" s="18">
        <v>2536</v>
      </c>
      <c r="H41" s="18">
        <v>0</v>
      </c>
      <c r="I41" s="18"/>
      <c r="J41" s="18">
        <v>0</v>
      </c>
      <c r="K41" s="18">
        <f t="shared" si="9"/>
        <v>2536</v>
      </c>
      <c r="L41" s="5"/>
      <c r="M41" s="19">
        <f t="shared" si="10"/>
        <v>2536</v>
      </c>
      <c r="N41" s="19">
        <f t="shared" si="10"/>
        <v>0</v>
      </c>
      <c r="O41" s="19">
        <f t="shared" si="10"/>
        <v>0</v>
      </c>
      <c r="P41" s="19">
        <f t="shared" si="10"/>
        <v>0</v>
      </c>
      <c r="Q41" s="19">
        <f t="shared" si="11"/>
        <v>2536</v>
      </c>
      <c r="R41" s="19"/>
      <c r="S41" s="19"/>
      <c r="T41" s="19"/>
      <c r="U41" s="19"/>
      <c r="V41" s="19"/>
    </row>
    <row r="42" spans="2:22" x14ac:dyDescent="0.2">
      <c r="D42" s="2"/>
      <c r="G42" s="11"/>
      <c r="H42" s="11"/>
      <c r="I42" s="11"/>
      <c r="J42" s="11"/>
      <c r="K42" s="11"/>
      <c r="L42" s="5"/>
      <c r="Q42" s="19"/>
      <c r="R42" s="19"/>
      <c r="S42" s="19"/>
      <c r="T42" s="19"/>
      <c r="U42" s="19"/>
      <c r="V42" s="19"/>
    </row>
    <row r="43" spans="2:22" x14ac:dyDescent="0.2">
      <c r="D43" s="2" t="s">
        <v>62</v>
      </c>
      <c r="G43" s="18"/>
      <c r="H43" s="18">
        <f>H11</f>
        <v>0</v>
      </c>
      <c r="I43" s="18">
        <v>0</v>
      </c>
      <c r="J43" s="18">
        <v>0</v>
      </c>
      <c r="K43" s="18">
        <f>SUM(G43:J43)</f>
        <v>0</v>
      </c>
      <c r="L43" s="5"/>
      <c r="M43" s="19">
        <f>G43</f>
        <v>0</v>
      </c>
      <c r="N43" s="19">
        <f>H43</f>
        <v>0</v>
      </c>
      <c r="O43" s="19">
        <f>I43</f>
        <v>0</v>
      </c>
      <c r="P43" s="19">
        <f>J43</f>
        <v>0</v>
      </c>
      <c r="Q43" s="19">
        <f>SUM(M43:P43)</f>
        <v>0</v>
      </c>
      <c r="R43" s="19"/>
      <c r="S43" s="19"/>
      <c r="T43" s="19"/>
      <c r="U43" s="19"/>
      <c r="V43" s="19"/>
    </row>
    <row r="44" spans="2:22" x14ac:dyDescent="0.2">
      <c r="D44" s="2"/>
      <c r="G44" s="11"/>
      <c r="H44" s="11"/>
      <c r="I44" s="11"/>
      <c r="J44" s="11"/>
      <c r="L44" s="5"/>
    </row>
    <row r="45" spans="2:22" x14ac:dyDescent="0.2">
      <c r="D45" s="2" t="s">
        <v>63</v>
      </c>
      <c r="G45" s="18"/>
      <c r="H45" s="18"/>
      <c r="I45" s="18">
        <v>0</v>
      </c>
      <c r="J45" s="18">
        <v>0</v>
      </c>
      <c r="K45" s="19">
        <f>SUM(G45:J45)</f>
        <v>0</v>
      </c>
      <c r="L45" s="5"/>
      <c r="M45" s="19">
        <f>G45</f>
        <v>0</v>
      </c>
      <c r="N45" s="19">
        <f>H45</f>
        <v>0</v>
      </c>
      <c r="O45" s="19">
        <f>I45</f>
        <v>0</v>
      </c>
      <c r="P45" s="19">
        <f>J45</f>
        <v>0</v>
      </c>
      <c r="Q45" s="19">
        <f>SUM(M45:P45)</f>
        <v>0</v>
      </c>
      <c r="R45" s="19"/>
      <c r="S45" s="19"/>
      <c r="T45" s="19"/>
      <c r="U45" s="19"/>
      <c r="V45" s="19"/>
    </row>
    <row r="46" spans="2:22" x14ac:dyDescent="0.2">
      <c r="D46" s="2"/>
      <c r="G46" s="11"/>
      <c r="H46" s="11"/>
      <c r="I46" s="11"/>
      <c r="J46" s="11"/>
      <c r="L46" s="5"/>
    </row>
    <row r="47" spans="2:22" x14ac:dyDescent="0.2">
      <c r="D47" s="2" t="s">
        <v>64</v>
      </c>
      <c r="G47" s="18"/>
      <c r="H47" s="18"/>
      <c r="I47" s="18">
        <v>0</v>
      </c>
      <c r="J47" s="18">
        <v>0</v>
      </c>
      <c r="K47" s="19">
        <f>SUM(G47:J47)</f>
        <v>0</v>
      </c>
      <c r="L47" s="5"/>
      <c r="M47" s="19">
        <f>G47</f>
        <v>0</v>
      </c>
      <c r="N47" s="19">
        <f>H47</f>
        <v>0</v>
      </c>
      <c r="O47" s="19">
        <f>I47</f>
        <v>0</v>
      </c>
      <c r="P47" s="19">
        <f>J47</f>
        <v>0</v>
      </c>
      <c r="Q47" s="19">
        <f>SUM(M47:P47)</f>
        <v>0</v>
      </c>
      <c r="R47" s="19"/>
      <c r="S47" s="19"/>
      <c r="T47" s="19"/>
      <c r="U47" s="19"/>
      <c r="V47" s="19"/>
    </row>
    <row r="48" spans="2:22" x14ac:dyDescent="0.2">
      <c r="D48" s="2"/>
      <c r="G48" s="11"/>
      <c r="H48" s="11"/>
      <c r="I48" s="11"/>
      <c r="J48" s="11"/>
      <c r="L48" s="5"/>
    </row>
    <row r="49" spans="2:24" x14ac:dyDescent="0.2">
      <c r="D49" s="2" t="s">
        <v>65</v>
      </c>
      <c r="G49" s="18"/>
      <c r="H49" s="18">
        <v>0</v>
      </c>
      <c r="I49" s="18">
        <v>0</v>
      </c>
      <c r="J49" s="18">
        <v>0</v>
      </c>
      <c r="K49" s="19">
        <f>SUM(G49:J49)</f>
        <v>0</v>
      </c>
      <c r="L49" s="5"/>
      <c r="M49" s="19">
        <f>G49</f>
        <v>0</v>
      </c>
      <c r="N49" s="19">
        <f>H49</f>
        <v>0</v>
      </c>
      <c r="O49" s="19">
        <f>I49</f>
        <v>0</v>
      </c>
      <c r="P49" s="19">
        <f>J49</f>
        <v>0</v>
      </c>
      <c r="Q49" s="19">
        <f>SUM(M49:P49)</f>
        <v>0</v>
      </c>
      <c r="R49" s="19"/>
      <c r="S49" s="19"/>
      <c r="T49" s="19"/>
      <c r="U49" s="19"/>
      <c r="V49" s="19"/>
    </row>
    <row r="50" spans="2:24" x14ac:dyDescent="0.2">
      <c r="D50" s="2" t="s">
        <v>66</v>
      </c>
      <c r="G50" s="11"/>
      <c r="H50" s="11"/>
      <c r="I50" s="11"/>
      <c r="J50" s="11"/>
      <c r="L50" s="5"/>
    </row>
    <row r="51" spans="2:24" x14ac:dyDescent="0.2">
      <c r="D51" s="2"/>
      <c r="G51" s="11"/>
      <c r="H51" s="11"/>
      <c r="I51" s="11"/>
      <c r="J51" s="11"/>
      <c r="L51" s="5"/>
    </row>
    <row r="52" spans="2:24" x14ac:dyDescent="0.2">
      <c r="B52" s="2"/>
      <c r="D52" s="2" t="s">
        <v>61</v>
      </c>
      <c r="G52" s="27"/>
      <c r="H52" s="27">
        <v>0</v>
      </c>
      <c r="I52" s="27">
        <v>0</v>
      </c>
      <c r="J52" s="27">
        <v>0</v>
      </c>
      <c r="K52" s="27">
        <f>SUM(G52:J52)</f>
        <v>0</v>
      </c>
      <c r="L52" s="5"/>
      <c r="M52" s="26">
        <f>G52</f>
        <v>0</v>
      </c>
      <c r="N52" s="26">
        <f>H52</f>
        <v>0</v>
      </c>
      <c r="O52" s="26">
        <f>I52</f>
        <v>0</v>
      </c>
      <c r="P52" s="26">
        <f>J52</f>
        <v>0</v>
      </c>
      <c r="Q52" s="26">
        <f>SUM(M52:P52)</f>
        <v>0</v>
      </c>
      <c r="R52" s="37"/>
      <c r="S52" s="37"/>
      <c r="T52" s="37"/>
      <c r="U52" s="37"/>
      <c r="V52" s="37"/>
    </row>
    <row r="53" spans="2:24" x14ac:dyDescent="0.2">
      <c r="D53" s="2" t="s">
        <v>67</v>
      </c>
      <c r="G53" s="29">
        <f>SUM(G33:G52)</f>
        <v>16700</v>
      </c>
      <c r="H53" s="29">
        <f>SUM(H33:H52)</f>
        <v>0</v>
      </c>
      <c r="I53" s="29">
        <f>SUM(I33:I52)</f>
        <v>0</v>
      </c>
      <c r="J53" s="29">
        <f>SUM(J33:J52)</f>
        <v>0</v>
      </c>
      <c r="K53" s="29">
        <f>SUM(G53:J53)</f>
        <v>16700</v>
      </c>
      <c r="L53" s="5"/>
      <c r="M53" s="29">
        <f>SUM(M33:M52)</f>
        <v>16700</v>
      </c>
      <c r="N53" s="29">
        <f>SUM(N33:N52)</f>
        <v>0</v>
      </c>
      <c r="O53" s="29">
        <f>SUM(O33:O52)</f>
        <v>0</v>
      </c>
      <c r="P53" s="29">
        <f>SUM(P33:P52)</f>
        <v>0</v>
      </c>
      <c r="Q53" s="29">
        <f>SUM(M53:P53)</f>
        <v>16700</v>
      </c>
      <c r="R53" s="29"/>
      <c r="S53" s="29"/>
      <c r="T53" s="29"/>
      <c r="U53" s="29"/>
      <c r="V53" s="29"/>
    </row>
    <row r="54" spans="2:24" x14ac:dyDescent="0.2">
      <c r="B54" s="2"/>
      <c r="G54" s="19"/>
      <c r="L54" s="5"/>
    </row>
    <row r="55" spans="2:24" x14ac:dyDescent="0.2">
      <c r="B55" s="2" t="s">
        <v>68</v>
      </c>
      <c r="G55" s="19">
        <v>0</v>
      </c>
      <c r="H55" s="19">
        <v>0</v>
      </c>
      <c r="I55" s="19">
        <v>0</v>
      </c>
      <c r="J55" s="19">
        <v>0</v>
      </c>
      <c r="K55" s="19">
        <f>SUM(G55:J55)</f>
        <v>0</v>
      </c>
      <c r="L55" s="5"/>
      <c r="M55" s="19">
        <v>0</v>
      </c>
      <c r="N55" s="19">
        <v>0</v>
      </c>
      <c r="O55" s="19">
        <v>0</v>
      </c>
      <c r="P55" s="19">
        <v>0</v>
      </c>
      <c r="Q55" s="19">
        <f>SUM(M55:P55)</f>
        <v>0</v>
      </c>
      <c r="R55" s="19"/>
      <c r="S55" s="19"/>
      <c r="T55" s="19"/>
      <c r="U55" s="19"/>
      <c r="V55" s="19"/>
    </row>
    <row r="56" spans="2:24" x14ac:dyDescent="0.2">
      <c r="B56" s="2" t="s">
        <v>69</v>
      </c>
      <c r="D56" s="19"/>
      <c r="L56" s="5"/>
    </row>
    <row r="57" spans="2:24" ht="13.5" thickBot="1" x14ac:dyDescent="0.25">
      <c r="K57" s="19"/>
      <c r="L57" s="5"/>
      <c r="Q57" s="38"/>
      <c r="R57" s="39"/>
      <c r="S57" s="39"/>
      <c r="T57" s="39"/>
      <c r="U57" s="39"/>
      <c r="V57" s="39"/>
    </row>
    <row r="58" spans="2:24" x14ac:dyDescent="0.2">
      <c r="B58" s="2" t="s">
        <v>70</v>
      </c>
      <c r="G58" s="40">
        <f>G21+G24+G31+G53+G55</f>
        <v>99438.711600966344</v>
      </c>
      <c r="H58" s="40">
        <f>H21+H24+H31+H53+H55</f>
        <v>3687.812882632023</v>
      </c>
      <c r="I58" s="40">
        <f>I21+I24+I31+I53+I55</f>
        <v>147441.47551640164</v>
      </c>
      <c r="J58" s="40">
        <f>J21+J24+J31+J53+J55</f>
        <v>0</v>
      </c>
      <c r="K58" s="40">
        <f>SUM(G58:J58)</f>
        <v>250568</v>
      </c>
      <c r="L58" s="41"/>
      <c r="M58" s="40">
        <f>M21+M24+M31+M53+M55</f>
        <v>91387.554191045638</v>
      </c>
      <c r="N58" s="40">
        <f>N21+N24+N31+N53+N55</f>
        <v>3166.1610288017891</v>
      </c>
      <c r="O58" s="40">
        <f>O21+O24+O31+O53+O55</f>
        <v>123472.13799257937</v>
      </c>
      <c r="P58" s="40">
        <f>P21+P24+P31+P53+P55</f>
        <v>0</v>
      </c>
      <c r="Q58" s="40">
        <f>SUM(M58:P58)</f>
        <v>218025.85321242679</v>
      </c>
      <c r="R58" s="32"/>
      <c r="S58" s="32"/>
      <c r="T58" s="32"/>
      <c r="U58" s="32"/>
      <c r="V58" s="32"/>
    </row>
    <row r="59" spans="2:24" x14ac:dyDescent="0.2">
      <c r="L59" s="5"/>
    </row>
    <row r="60" spans="2:24" x14ac:dyDescent="0.2">
      <c r="L60" s="5"/>
    </row>
    <row r="61" spans="2:24" ht="14.25" x14ac:dyDescent="0.2">
      <c r="B61" s="16" t="s">
        <v>71</v>
      </c>
      <c r="K61" s="11"/>
      <c r="L61" s="5"/>
    </row>
    <row r="62" spans="2:24" x14ac:dyDescent="0.2">
      <c r="D62" s="11" t="s">
        <v>72</v>
      </c>
      <c r="E62" s="36" t="s">
        <v>23</v>
      </c>
      <c r="G62" s="19">
        <v>0</v>
      </c>
      <c r="H62" s="19">
        <v>0</v>
      </c>
      <c r="I62" s="19">
        <f>K62</f>
        <v>100026</v>
      </c>
      <c r="J62" s="18">
        <v>0</v>
      </c>
      <c r="K62" s="18">
        <v>100026</v>
      </c>
      <c r="L62" s="5"/>
      <c r="M62" s="19">
        <f>G62</f>
        <v>0</v>
      </c>
      <c r="N62" s="19">
        <f>H62</f>
        <v>0</v>
      </c>
      <c r="O62" s="19">
        <f>Q62</f>
        <v>100026</v>
      </c>
      <c r="P62" s="18">
        <f>J62</f>
        <v>0</v>
      </c>
      <c r="Q62" s="18">
        <f>$K$62</f>
        <v>100026</v>
      </c>
      <c r="R62" s="18"/>
      <c r="S62" s="18"/>
      <c r="T62" s="18"/>
      <c r="U62" s="18"/>
      <c r="V62" s="18"/>
      <c r="X62" s="23" t="s">
        <v>73</v>
      </c>
    </row>
    <row r="63" spans="2:24" x14ac:dyDescent="0.2">
      <c r="D63" s="11"/>
      <c r="E63" s="36" t="s">
        <v>25</v>
      </c>
      <c r="G63" s="42">
        <v>0</v>
      </c>
      <c r="H63" s="42">
        <v>0</v>
      </c>
      <c r="I63" s="42">
        <f>K63</f>
        <v>0</v>
      </c>
      <c r="J63" s="43">
        <v>0</v>
      </c>
      <c r="K63" s="43">
        <v>0</v>
      </c>
      <c r="L63" s="5"/>
      <c r="M63" s="42">
        <f>G63</f>
        <v>0</v>
      </c>
      <c r="N63" s="42">
        <f>H63</f>
        <v>0</v>
      </c>
      <c r="O63" s="42">
        <f>I63</f>
        <v>0</v>
      </c>
      <c r="P63" s="43">
        <f>J63</f>
        <v>0</v>
      </c>
      <c r="Q63" s="42">
        <f>K63</f>
        <v>0</v>
      </c>
      <c r="R63" s="42"/>
      <c r="S63" s="42"/>
      <c r="T63" s="42"/>
      <c r="U63" s="42"/>
      <c r="V63" s="42"/>
      <c r="X63" s="44">
        <f>$K$62-(327*25.09*8)</f>
        <v>34390.559999999998</v>
      </c>
    </row>
    <row r="64" spans="2:24" x14ac:dyDescent="0.2">
      <c r="D64" s="11"/>
      <c r="E64" s="36"/>
      <c r="J64" s="11"/>
      <c r="K64" s="11"/>
      <c r="L64" s="5"/>
      <c r="P64" s="11"/>
    </row>
    <row r="65" spans="4:22" x14ac:dyDescent="0.2">
      <c r="D65" s="11" t="s">
        <v>74</v>
      </c>
      <c r="E65" s="36" t="s">
        <v>23</v>
      </c>
      <c r="G65" s="19">
        <f>K65*$G$105</f>
        <v>56994.673471169801</v>
      </c>
      <c r="H65" s="19">
        <f>K65*$H$105</f>
        <v>3692.8078238849703</v>
      </c>
      <c r="I65" s="19">
        <f>K65*$I$105</f>
        <v>169680.51870494525</v>
      </c>
      <c r="J65" s="18">
        <v>0</v>
      </c>
      <c r="K65" s="18">
        <v>230368</v>
      </c>
      <c r="L65" s="5"/>
      <c r="M65" s="19">
        <f>$G$105*Q65</f>
        <v>17662.886027806613</v>
      </c>
      <c r="N65" s="19">
        <f>$H$105*Q65</f>
        <v>1144.4164821624349</v>
      </c>
      <c r="O65" s="19">
        <f>$I$105*Q65</f>
        <v>52584.697490030951</v>
      </c>
      <c r="P65" s="18">
        <f t="shared" ref="P65:Q66" si="12">J65</f>
        <v>0</v>
      </c>
      <c r="Q65" s="18">
        <f>K65-((20*124.2*8)*8)</f>
        <v>71392</v>
      </c>
      <c r="R65" s="18"/>
      <c r="S65" s="18"/>
      <c r="T65" s="18"/>
      <c r="U65" s="18"/>
      <c r="V65" s="18"/>
    </row>
    <row r="66" spans="4:22" ht="12.75" customHeight="1" x14ac:dyDescent="0.2">
      <c r="D66" s="11"/>
      <c r="E66" s="36" t="s">
        <v>25</v>
      </c>
      <c r="G66" s="19">
        <f t="shared" ref="G66:G73" si="13">$G$105*K66</f>
        <v>0</v>
      </c>
      <c r="H66" s="19">
        <f t="shared" ref="H66:H73" si="14">K66*$H$105</f>
        <v>0</v>
      </c>
      <c r="I66" s="19">
        <f t="shared" ref="I66:I73" si="15">K66*$I$105</f>
        <v>0</v>
      </c>
      <c r="J66" s="46">
        <v>0</v>
      </c>
      <c r="K66" s="43">
        <v>0</v>
      </c>
      <c r="L66" s="5"/>
      <c r="M66" s="42">
        <f>G66</f>
        <v>0</v>
      </c>
      <c r="N66" s="42">
        <f>H66</f>
        <v>0</v>
      </c>
      <c r="O66" s="42">
        <f>I66</f>
        <v>0</v>
      </c>
      <c r="P66" s="43">
        <f t="shared" si="12"/>
        <v>0</v>
      </c>
      <c r="Q66" s="42">
        <f t="shared" si="12"/>
        <v>0</v>
      </c>
      <c r="R66" s="42"/>
      <c r="S66" s="42"/>
      <c r="T66" s="42"/>
      <c r="U66" s="42"/>
      <c r="V66" s="42"/>
    </row>
    <row r="67" spans="4:22" ht="12.75" customHeight="1" x14ac:dyDescent="0.2">
      <c r="D67" s="11"/>
      <c r="E67" s="36"/>
      <c r="G67" s="19">
        <f t="shared" si="13"/>
        <v>0</v>
      </c>
      <c r="H67" s="19">
        <f t="shared" si="14"/>
        <v>0</v>
      </c>
      <c r="I67" s="19">
        <f t="shared" si="15"/>
        <v>0</v>
      </c>
      <c r="J67" s="11"/>
      <c r="K67" s="11"/>
      <c r="L67" s="5"/>
      <c r="P67" s="11"/>
    </row>
    <row r="68" spans="4:22" x14ac:dyDescent="0.2">
      <c r="D68" s="11" t="s">
        <v>75</v>
      </c>
      <c r="E68" s="36" t="s">
        <v>23</v>
      </c>
      <c r="G68" s="19">
        <f>K68*$G$105</f>
        <v>405.25279181907268</v>
      </c>
      <c r="H68" s="19">
        <f>K68*$H$105</f>
        <v>26.257202456606741</v>
      </c>
      <c r="I68" s="19">
        <f>K68*$I$105</f>
        <v>1206.4900057243208</v>
      </c>
      <c r="J68" s="18">
        <v>0</v>
      </c>
      <c r="K68" s="18">
        <v>1638</v>
      </c>
      <c r="L68" s="5"/>
      <c r="M68" s="19">
        <f>$G$105*Q$68</f>
        <v>405.25279181907268</v>
      </c>
      <c r="N68" s="19">
        <f>$H$105*Q$68</f>
        <v>26.257202456606741</v>
      </c>
      <c r="O68" s="19">
        <f>$I$105*Q$68</f>
        <v>1206.4900057243208</v>
      </c>
      <c r="P68" s="18">
        <f>J68</f>
        <v>0</v>
      </c>
      <c r="Q68" s="18">
        <f>K68</f>
        <v>1638</v>
      </c>
      <c r="R68" s="18"/>
      <c r="S68" s="18"/>
      <c r="T68" s="18"/>
      <c r="U68" s="18"/>
      <c r="V68" s="18"/>
    </row>
    <row r="69" spans="4:22" x14ac:dyDescent="0.2">
      <c r="D69" s="11"/>
      <c r="E69" s="36" t="s">
        <v>25</v>
      </c>
      <c r="G69" s="19">
        <f t="shared" si="13"/>
        <v>0</v>
      </c>
      <c r="H69" s="19">
        <f t="shared" si="14"/>
        <v>0</v>
      </c>
      <c r="I69" s="19">
        <f t="shared" si="15"/>
        <v>0</v>
      </c>
      <c r="J69" s="43">
        <v>0</v>
      </c>
      <c r="K69" s="43">
        <v>0</v>
      </c>
      <c r="L69" s="5"/>
      <c r="M69" s="42">
        <f>G69</f>
        <v>0</v>
      </c>
      <c r="N69" s="42">
        <f>H69</f>
        <v>0</v>
      </c>
      <c r="O69" s="42">
        <f>I69</f>
        <v>0</v>
      </c>
      <c r="P69" s="43">
        <f>J69</f>
        <v>0</v>
      </c>
      <c r="Q69" s="42">
        <f>K69</f>
        <v>0</v>
      </c>
      <c r="R69" s="42"/>
      <c r="S69" s="42"/>
      <c r="T69" s="42"/>
      <c r="U69" s="42"/>
      <c r="V69" s="42"/>
    </row>
    <row r="70" spans="4:22" x14ac:dyDescent="0.2">
      <c r="D70" s="11"/>
      <c r="E70" s="36"/>
      <c r="G70" s="19">
        <f t="shared" si="13"/>
        <v>0</v>
      </c>
      <c r="H70" s="19">
        <f t="shared" si="14"/>
        <v>0</v>
      </c>
      <c r="I70" s="19">
        <f t="shared" si="15"/>
        <v>0</v>
      </c>
      <c r="J70" s="43"/>
      <c r="K70" s="43"/>
      <c r="L70" s="5"/>
      <c r="M70" s="42"/>
      <c r="N70" s="42"/>
      <c r="O70" s="42"/>
      <c r="P70" s="43"/>
      <c r="Q70" s="43"/>
      <c r="R70" s="43"/>
      <c r="S70" s="43"/>
      <c r="T70" s="43"/>
      <c r="U70" s="43"/>
      <c r="V70" s="43"/>
    </row>
    <row r="71" spans="4:22" x14ac:dyDescent="0.2">
      <c r="D71" s="47" t="s">
        <v>76</v>
      </c>
      <c r="E71" s="36" t="s">
        <v>23</v>
      </c>
      <c r="G71" s="19">
        <f>K71*$G$105</f>
        <v>0</v>
      </c>
      <c r="H71" s="19">
        <f>K71*$H$105</f>
        <v>0</v>
      </c>
      <c r="I71" s="19">
        <f>K71*$I$105</f>
        <v>0</v>
      </c>
      <c r="J71" s="18">
        <v>0</v>
      </c>
      <c r="K71" s="18">
        <v>0</v>
      </c>
      <c r="L71" s="5"/>
      <c r="M71" s="19">
        <f>G71</f>
        <v>0</v>
      </c>
      <c r="N71" s="19">
        <f t="shared" ref="M71:Q72" si="16">H71</f>
        <v>0</v>
      </c>
      <c r="O71" s="19">
        <f t="shared" si="16"/>
        <v>0</v>
      </c>
      <c r="P71" s="18">
        <f t="shared" si="16"/>
        <v>0</v>
      </c>
      <c r="Q71" s="18">
        <f>K71</f>
        <v>0</v>
      </c>
      <c r="R71" s="18"/>
      <c r="S71" s="18"/>
      <c r="T71" s="18"/>
      <c r="U71" s="18"/>
      <c r="V71" s="18"/>
    </row>
    <row r="72" spans="4:22" x14ac:dyDescent="0.2">
      <c r="D72" s="11"/>
      <c r="E72" s="36" t="s">
        <v>25</v>
      </c>
      <c r="G72" s="19">
        <f t="shared" si="13"/>
        <v>0</v>
      </c>
      <c r="H72" s="19">
        <f t="shared" si="14"/>
        <v>0</v>
      </c>
      <c r="I72" s="19">
        <f t="shared" si="15"/>
        <v>0</v>
      </c>
      <c r="J72" s="43">
        <v>0</v>
      </c>
      <c r="K72" s="43">
        <v>0</v>
      </c>
      <c r="L72" s="5"/>
      <c r="M72" s="42">
        <f t="shared" si="16"/>
        <v>0</v>
      </c>
      <c r="N72" s="42">
        <f t="shared" si="16"/>
        <v>0</v>
      </c>
      <c r="O72" s="42">
        <f t="shared" si="16"/>
        <v>0</v>
      </c>
      <c r="P72" s="43">
        <f t="shared" si="16"/>
        <v>0</v>
      </c>
      <c r="Q72" s="42">
        <f t="shared" si="16"/>
        <v>0</v>
      </c>
      <c r="R72" s="42"/>
      <c r="S72" s="42"/>
      <c r="T72" s="42"/>
      <c r="U72" s="42"/>
      <c r="V72" s="42"/>
    </row>
    <row r="73" spans="4:22" x14ac:dyDescent="0.2">
      <c r="D73" s="11"/>
      <c r="E73" s="36"/>
      <c r="G73" s="19">
        <f t="shared" si="13"/>
        <v>0</v>
      </c>
      <c r="H73" s="19">
        <f t="shared" si="14"/>
        <v>0</v>
      </c>
      <c r="I73" s="19">
        <f t="shared" si="15"/>
        <v>0</v>
      </c>
      <c r="J73" s="43"/>
      <c r="K73" s="43"/>
      <c r="L73" s="5"/>
      <c r="M73" s="42"/>
      <c r="N73" s="42"/>
      <c r="O73" s="42"/>
      <c r="P73" s="43"/>
      <c r="Q73" s="42"/>
      <c r="R73" s="42"/>
      <c r="S73" s="42"/>
      <c r="T73" s="42"/>
      <c r="U73" s="42"/>
      <c r="V73" s="42"/>
    </row>
    <row r="74" spans="4:22" x14ac:dyDescent="0.2">
      <c r="D74" s="11" t="s">
        <v>77</v>
      </c>
      <c r="E74" s="36" t="s">
        <v>23</v>
      </c>
      <c r="G74" s="19">
        <f>K74*$G$105</f>
        <v>3508.7271633565865</v>
      </c>
      <c r="H74" s="19">
        <f>K74*$H$105</f>
        <v>227.33800075677459</v>
      </c>
      <c r="I74" s="19">
        <f>K74*$I$105</f>
        <v>10445.934835886639</v>
      </c>
      <c r="J74" s="18">
        <v>0</v>
      </c>
      <c r="K74" s="18">
        <v>14182</v>
      </c>
      <c r="L74" s="5"/>
      <c r="M74" s="19">
        <f>G74</f>
        <v>3508.7271633565865</v>
      </c>
      <c r="N74" s="19">
        <f t="shared" ref="M74:Q75" si="17">H74</f>
        <v>227.33800075677459</v>
      </c>
      <c r="O74" s="19">
        <f t="shared" si="17"/>
        <v>10445.934835886639</v>
      </c>
      <c r="P74" s="18">
        <f t="shared" si="17"/>
        <v>0</v>
      </c>
      <c r="Q74" s="18">
        <f>K74</f>
        <v>14182</v>
      </c>
      <c r="R74" s="42"/>
      <c r="S74" s="42"/>
      <c r="T74" s="42"/>
      <c r="U74" s="42"/>
      <c r="V74" s="42"/>
    </row>
    <row r="75" spans="4:22" x14ac:dyDescent="0.2">
      <c r="D75" s="11"/>
      <c r="E75" s="36" t="s">
        <v>25</v>
      </c>
      <c r="G75" s="45">
        <f>$G$105*K75</f>
        <v>0</v>
      </c>
      <c r="H75" s="45">
        <f>$H$105*K75</f>
        <v>0</v>
      </c>
      <c r="I75" s="45">
        <f>$I$105*K75</f>
        <v>0</v>
      </c>
      <c r="J75" s="43">
        <v>0</v>
      </c>
      <c r="K75" s="43">
        <v>0</v>
      </c>
      <c r="L75" s="5"/>
      <c r="M75" s="42">
        <f t="shared" si="17"/>
        <v>0</v>
      </c>
      <c r="N75" s="42">
        <f t="shared" si="17"/>
        <v>0</v>
      </c>
      <c r="O75" s="42">
        <f t="shared" si="17"/>
        <v>0</v>
      </c>
      <c r="P75" s="43">
        <f t="shared" si="17"/>
        <v>0</v>
      </c>
      <c r="Q75" s="42">
        <f t="shared" si="17"/>
        <v>0</v>
      </c>
      <c r="R75" s="42"/>
      <c r="S75" s="42"/>
      <c r="T75" s="42"/>
      <c r="U75" s="42"/>
      <c r="V75" s="42"/>
    </row>
    <row r="76" spans="4:22" x14ac:dyDescent="0.2">
      <c r="D76" s="11"/>
      <c r="E76" s="36"/>
      <c r="J76" s="11"/>
      <c r="K76" s="11"/>
      <c r="L76" s="5"/>
      <c r="P76" s="11"/>
    </row>
    <row r="77" spans="4:22" x14ac:dyDescent="0.2">
      <c r="D77" s="47" t="s">
        <v>78</v>
      </c>
      <c r="E77" s="36" t="s">
        <v>23</v>
      </c>
      <c r="G77" s="19">
        <v>0</v>
      </c>
      <c r="H77" s="19">
        <v>0</v>
      </c>
      <c r="I77" s="19">
        <v>573</v>
      </c>
      <c r="J77" s="18">
        <v>0</v>
      </c>
      <c r="K77" s="18">
        <v>573</v>
      </c>
      <c r="L77" s="5"/>
      <c r="M77" s="19">
        <f t="shared" ref="M77:Q78" si="18">G77</f>
        <v>0</v>
      </c>
      <c r="N77" s="19">
        <f t="shared" si="18"/>
        <v>0</v>
      </c>
      <c r="O77" s="19">
        <f t="shared" si="18"/>
        <v>573</v>
      </c>
      <c r="P77" s="18">
        <f t="shared" si="18"/>
        <v>0</v>
      </c>
      <c r="Q77" s="18">
        <f>K77</f>
        <v>573</v>
      </c>
    </row>
    <row r="78" spans="4:22" x14ac:dyDescent="0.2">
      <c r="D78" s="11"/>
      <c r="E78" s="36" t="s">
        <v>25</v>
      </c>
      <c r="G78" s="45">
        <f>$G$105*K78</f>
        <v>0</v>
      </c>
      <c r="H78" s="45">
        <f>$H$105*K78</f>
        <v>0</v>
      </c>
      <c r="I78" s="45">
        <f>$I$105*K78</f>
        <v>0</v>
      </c>
      <c r="J78" s="43">
        <v>0</v>
      </c>
      <c r="K78" s="43">
        <v>0</v>
      </c>
      <c r="L78" s="5"/>
      <c r="M78" s="42">
        <f t="shared" si="18"/>
        <v>0</v>
      </c>
      <c r="N78" s="42">
        <f t="shared" si="18"/>
        <v>0</v>
      </c>
      <c r="O78" s="42">
        <f t="shared" si="18"/>
        <v>0</v>
      </c>
      <c r="P78" s="43">
        <f t="shared" si="18"/>
        <v>0</v>
      </c>
      <c r="Q78" s="42">
        <f t="shared" si="18"/>
        <v>0</v>
      </c>
    </row>
    <row r="79" spans="4:22" x14ac:dyDescent="0.2">
      <c r="D79" s="11"/>
      <c r="E79" s="36"/>
      <c r="J79" s="11"/>
      <c r="K79" s="11"/>
      <c r="L79" s="5"/>
      <c r="P79" s="11"/>
    </row>
    <row r="80" spans="4:22" x14ac:dyDescent="0.2">
      <c r="D80" s="47" t="s">
        <v>116</v>
      </c>
      <c r="E80" s="36" t="s">
        <v>23</v>
      </c>
      <c r="G80" s="19">
        <f>K80*$G$105</f>
        <v>2105.929037829027</v>
      </c>
      <c r="H80" s="19">
        <f>K80*$H$105</f>
        <v>136.44768456082818</v>
      </c>
      <c r="I80" s="19">
        <f>K80*$I$105</f>
        <v>6269.6232776101451</v>
      </c>
      <c r="J80" s="18">
        <v>0</v>
      </c>
      <c r="K80" s="18">
        <v>8512</v>
      </c>
      <c r="L80" s="5"/>
      <c r="M80" s="19">
        <f>G80</f>
        <v>2105.929037829027</v>
      </c>
      <c r="N80" s="19">
        <f t="shared" ref="M80:Q81" si="19">H80</f>
        <v>136.44768456082818</v>
      </c>
      <c r="O80" s="19">
        <f t="shared" si="19"/>
        <v>6269.6232776101451</v>
      </c>
      <c r="P80" s="18">
        <f t="shared" si="19"/>
        <v>0</v>
      </c>
      <c r="Q80" s="18">
        <f>K80</f>
        <v>8512</v>
      </c>
    </row>
    <row r="81" spans="2:23" x14ac:dyDescent="0.2">
      <c r="D81" s="11"/>
      <c r="E81" s="36" t="s">
        <v>25</v>
      </c>
      <c r="G81" s="19">
        <f t="shared" ref="G81:G88" si="20">$G$105*K81</f>
        <v>0</v>
      </c>
      <c r="H81" s="19">
        <f t="shared" ref="H81:H88" si="21">K81*$H$105</f>
        <v>0</v>
      </c>
      <c r="I81" s="19">
        <f t="shared" ref="I81:I88" si="22">K81*$I$105</f>
        <v>0</v>
      </c>
      <c r="J81" s="43">
        <v>0</v>
      </c>
      <c r="K81" s="43">
        <v>0</v>
      </c>
      <c r="L81" s="5"/>
      <c r="M81" s="42">
        <f t="shared" si="19"/>
        <v>0</v>
      </c>
      <c r="N81" s="42">
        <f t="shared" si="19"/>
        <v>0</v>
      </c>
      <c r="O81" s="42">
        <f t="shared" si="19"/>
        <v>0</v>
      </c>
      <c r="P81" s="43">
        <f t="shared" si="19"/>
        <v>0</v>
      </c>
      <c r="Q81" s="42">
        <f t="shared" si="19"/>
        <v>0</v>
      </c>
    </row>
    <row r="82" spans="2:23" x14ac:dyDescent="0.2">
      <c r="D82" s="11"/>
      <c r="E82" s="36"/>
      <c r="G82" s="19">
        <f t="shared" si="20"/>
        <v>0</v>
      </c>
      <c r="H82" s="19">
        <f t="shared" si="21"/>
        <v>0</v>
      </c>
      <c r="I82" s="19">
        <f t="shared" si="22"/>
        <v>0</v>
      </c>
      <c r="J82" s="11"/>
      <c r="K82" s="11"/>
      <c r="L82" s="5"/>
      <c r="P82" s="11"/>
    </row>
    <row r="83" spans="2:23" x14ac:dyDescent="0.2">
      <c r="D83" s="47" t="s">
        <v>80</v>
      </c>
      <c r="E83" s="36" t="s">
        <v>23</v>
      </c>
      <c r="G83" s="19">
        <f>K83*$G$105</f>
        <v>14527.001329206647</v>
      </c>
      <c r="H83" s="19">
        <f>K83*$H$105</f>
        <v>941.23574886726374</v>
      </c>
      <c r="I83" s="19">
        <f>K83*$I$105</f>
        <v>43248.762921926093</v>
      </c>
      <c r="J83" s="18">
        <v>0</v>
      </c>
      <c r="K83" s="18">
        <v>58717</v>
      </c>
      <c r="L83" s="5"/>
      <c r="M83" s="19">
        <f>G83</f>
        <v>14527.001329206647</v>
      </c>
      <c r="N83" s="19">
        <f t="shared" ref="M83:Q84" si="23">H83</f>
        <v>941.23574886726374</v>
      </c>
      <c r="O83" s="19">
        <f t="shared" si="23"/>
        <v>43248.762921926093</v>
      </c>
      <c r="P83" s="18">
        <f t="shared" si="23"/>
        <v>0</v>
      </c>
      <c r="Q83" s="18">
        <f>K83</f>
        <v>58717</v>
      </c>
    </row>
    <row r="84" spans="2:23" x14ac:dyDescent="0.2">
      <c r="D84" s="11"/>
      <c r="E84" s="36" t="s">
        <v>25</v>
      </c>
      <c r="G84" s="19">
        <f t="shared" si="20"/>
        <v>0</v>
      </c>
      <c r="H84" s="19">
        <f t="shared" si="21"/>
        <v>0</v>
      </c>
      <c r="I84" s="19">
        <f t="shared" si="22"/>
        <v>0</v>
      </c>
      <c r="J84" s="43">
        <v>0</v>
      </c>
      <c r="K84" s="43"/>
      <c r="L84" s="5"/>
      <c r="M84" s="42">
        <f t="shared" si="23"/>
        <v>0</v>
      </c>
      <c r="N84" s="42">
        <f t="shared" si="23"/>
        <v>0</v>
      </c>
      <c r="O84" s="42">
        <f t="shared" si="23"/>
        <v>0</v>
      </c>
      <c r="P84" s="43">
        <f t="shared" si="23"/>
        <v>0</v>
      </c>
      <c r="Q84" s="42">
        <f t="shared" si="23"/>
        <v>0</v>
      </c>
    </row>
    <row r="85" spans="2:23" x14ac:dyDescent="0.2">
      <c r="D85" s="11"/>
      <c r="E85" s="36"/>
      <c r="G85" s="19">
        <f t="shared" si="20"/>
        <v>0</v>
      </c>
      <c r="H85" s="19">
        <f t="shared" si="21"/>
        <v>0</v>
      </c>
      <c r="I85" s="19">
        <f t="shared" si="22"/>
        <v>0</v>
      </c>
      <c r="J85" s="11"/>
      <c r="K85" s="11"/>
      <c r="L85" s="5"/>
      <c r="P85" s="11"/>
    </row>
    <row r="86" spans="2:23" x14ac:dyDescent="0.2">
      <c r="D86" s="47" t="s">
        <v>81</v>
      </c>
      <c r="E86" s="36" t="s">
        <v>23</v>
      </c>
      <c r="G86" s="19">
        <f>K86*$G$105</f>
        <v>0</v>
      </c>
      <c r="H86" s="19">
        <f>K86*$H$105</f>
        <v>0</v>
      </c>
      <c r="I86" s="19">
        <f>K86*$I$105</f>
        <v>0</v>
      </c>
      <c r="J86" s="18">
        <v>0</v>
      </c>
      <c r="K86" s="18">
        <v>0</v>
      </c>
      <c r="L86" s="5"/>
      <c r="M86" s="19">
        <f t="shared" ref="M86:Q87" si="24">G86</f>
        <v>0</v>
      </c>
      <c r="N86" s="19">
        <f t="shared" si="24"/>
        <v>0</v>
      </c>
      <c r="O86" s="19">
        <f t="shared" si="24"/>
        <v>0</v>
      </c>
      <c r="P86" s="18">
        <f t="shared" si="24"/>
        <v>0</v>
      </c>
      <c r="Q86" s="19">
        <f>K86</f>
        <v>0</v>
      </c>
      <c r="R86" s="19"/>
      <c r="S86" s="19"/>
      <c r="T86" s="19"/>
      <c r="U86" s="19"/>
      <c r="V86" s="19"/>
    </row>
    <row r="87" spans="2:23" x14ac:dyDescent="0.2">
      <c r="E87" s="36" t="s">
        <v>25</v>
      </c>
      <c r="G87" s="19">
        <f t="shared" si="20"/>
        <v>0</v>
      </c>
      <c r="H87" s="19">
        <f t="shared" si="21"/>
        <v>0</v>
      </c>
      <c r="I87" s="19">
        <f t="shared" si="22"/>
        <v>0</v>
      </c>
      <c r="J87" s="43">
        <v>0</v>
      </c>
      <c r="K87" s="43">
        <v>0</v>
      </c>
      <c r="L87" s="5"/>
      <c r="M87" s="42">
        <f t="shared" si="24"/>
        <v>0</v>
      </c>
      <c r="N87" s="42">
        <f t="shared" si="24"/>
        <v>0</v>
      </c>
      <c r="O87" s="42">
        <f t="shared" si="24"/>
        <v>0</v>
      </c>
      <c r="P87" s="43">
        <f t="shared" si="24"/>
        <v>0</v>
      </c>
      <c r="Q87" s="42">
        <f t="shared" si="24"/>
        <v>0</v>
      </c>
      <c r="R87" s="42"/>
      <c r="S87" s="42"/>
      <c r="T87" s="42"/>
      <c r="U87" s="42"/>
      <c r="V87" s="42"/>
    </row>
    <row r="88" spans="2:23" x14ac:dyDescent="0.2">
      <c r="E88" s="36"/>
      <c r="G88" s="19">
        <f t="shared" si="20"/>
        <v>0</v>
      </c>
      <c r="H88" s="19">
        <f t="shared" si="21"/>
        <v>0</v>
      </c>
      <c r="I88" s="19">
        <f t="shared" si="22"/>
        <v>0</v>
      </c>
      <c r="J88" s="43"/>
      <c r="K88" s="43"/>
      <c r="L88" s="5"/>
      <c r="M88" s="42"/>
      <c r="N88" s="42"/>
      <c r="O88" s="42"/>
      <c r="P88" s="43"/>
      <c r="Q88" s="42"/>
      <c r="R88" s="42"/>
      <c r="S88" s="42"/>
      <c r="T88" s="42"/>
      <c r="U88" s="42"/>
      <c r="V88" s="42"/>
    </row>
    <row r="89" spans="2:23" x14ac:dyDescent="0.2">
      <c r="D89" s="11" t="s">
        <v>82</v>
      </c>
      <c r="E89" s="36" t="s">
        <v>23</v>
      </c>
      <c r="G89" s="19">
        <f>K89*$G$105</f>
        <v>433.20979149889877</v>
      </c>
      <c r="H89" s="19">
        <f>K89*$H$105</f>
        <v>28.06859676527375</v>
      </c>
      <c r="I89" s="19">
        <f>K89*$I$105</f>
        <v>1289.7216117358275</v>
      </c>
      <c r="J89" s="18">
        <v>0</v>
      </c>
      <c r="K89" s="18">
        <v>1751</v>
      </c>
      <c r="L89" s="5"/>
      <c r="M89" s="19">
        <f>G89</f>
        <v>433.20979149889877</v>
      </c>
      <c r="N89" s="19">
        <f>H89</f>
        <v>28.06859676527375</v>
      </c>
      <c r="O89" s="19">
        <f>I89</f>
        <v>1289.7216117358275</v>
      </c>
      <c r="P89" s="18">
        <f>J89</f>
        <v>0</v>
      </c>
      <c r="Q89" s="19">
        <f>K89</f>
        <v>1751</v>
      </c>
      <c r="R89" s="19"/>
      <c r="S89" s="19"/>
      <c r="T89" s="19"/>
      <c r="U89" s="19"/>
      <c r="V89" s="19"/>
    </row>
    <row r="90" spans="2:23" ht="13.5" thickBot="1" x14ac:dyDescent="0.25">
      <c r="D90" s="11"/>
      <c r="J90" s="11"/>
      <c r="L90" s="5"/>
      <c r="W90" s="48"/>
    </row>
    <row r="91" spans="2:23" ht="13.5" thickBot="1" x14ac:dyDescent="0.25">
      <c r="B91" s="2" t="s">
        <v>83</v>
      </c>
      <c r="E91" s="36" t="s">
        <v>23</v>
      </c>
      <c r="G91" s="40">
        <f>G62+G65+G68+G71+G74+G77+G80+G83+G86+G89</f>
        <v>77974.793584880026</v>
      </c>
      <c r="H91" s="40">
        <f t="shared" ref="H91:J91" si="25">H62+H65+H68+H71+H74+H77+H80+H83+H86+H89</f>
        <v>5052.1550572917167</v>
      </c>
      <c r="I91" s="40">
        <f t="shared" si="25"/>
        <v>332740.05135782826</v>
      </c>
      <c r="J91" s="40">
        <f t="shared" si="25"/>
        <v>0</v>
      </c>
      <c r="K91" s="40">
        <f>K62+K65+K68+K71+K74+K77+K80+K83+K86+K89</f>
        <v>415767</v>
      </c>
      <c r="L91" s="41"/>
      <c r="M91" s="40">
        <f>M62+M65+M68+M71+M74+M77+M80+M83+M86+M89</f>
        <v>38643.006141516846</v>
      </c>
      <c r="N91" s="40">
        <f>N62+N65+N68+N71+N74+N77+N80+N83+N86+N89</f>
        <v>2503.7637155691823</v>
      </c>
      <c r="O91" s="40">
        <f>O62+O65+O68+O71+O74+O77+O80+O83+O86+O89</f>
        <v>215644.23014291396</v>
      </c>
      <c r="P91" s="40">
        <f>P62+P65+P68+P71+P74+P77+P80+P83+P86+P89</f>
        <v>0</v>
      </c>
      <c r="Q91" s="40">
        <f>SUM(M91:P91)</f>
        <v>256791</v>
      </c>
      <c r="R91" s="32"/>
      <c r="S91" s="32"/>
      <c r="T91" s="32"/>
      <c r="U91" s="32"/>
      <c r="V91" s="32"/>
      <c r="W91" s="39"/>
    </row>
    <row r="92" spans="2:23" x14ac:dyDescent="0.2">
      <c r="B92" s="2"/>
      <c r="E92" s="36" t="s">
        <v>25</v>
      </c>
      <c r="G92" s="40">
        <f>G63+G66+G69+G72+G75+G78+G81+G84+G87</f>
        <v>0</v>
      </c>
      <c r="H92" s="40">
        <f>H63+H66+H69+H72+H75+H78+H81+H84+H87</f>
        <v>0</v>
      </c>
      <c r="I92" s="40">
        <f>I63+I66+I69+I72+I75+I78+I81+I84+I87</f>
        <v>0</v>
      </c>
      <c r="J92" s="40">
        <f>J63+J66+J69+J72+J75+J78+J81+J84+J87</f>
        <v>0</v>
      </c>
      <c r="K92" s="49">
        <f>SUM(G92:J92)</f>
        <v>0</v>
      </c>
      <c r="L92" s="50"/>
      <c r="M92" s="40">
        <f>M63+M66+M69+M72+M75+M78+M81+M84+M87</f>
        <v>0</v>
      </c>
      <c r="N92" s="40">
        <f>N63+N66+N69+N72+N75+N78+N81+N84+N87</f>
        <v>0</v>
      </c>
      <c r="O92" s="40">
        <f>O63+O66+O69+O72+O75+O78+O81+O84+O87</f>
        <v>0</v>
      </c>
      <c r="P92" s="40">
        <f>P63+P66+P69+P72+P75+P78+P81+P84+P87</f>
        <v>0</v>
      </c>
      <c r="Q92" s="49">
        <f>SUM(M92:P92)</f>
        <v>0</v>
      </c>
      <c r="R92" s="51"/>
      <c r="S92" s="51"/>
      <c r="T92" s="51"/>
      <c r="U92" s="51"/>
      <c r="V92" s="51"/>
    </row>
    <row r="93" spans="2:23" x14ac:dyDescent="0.2">
      <c r="K93" s="19"/>
      <c r="L93" s="5"/>
      <c r="W93" s="19"/>
    </row>
    <row r="94" spans="2:23" ht="13.5" thickBot="1" x14ac:dyDescent="0.25">
      <c r="L94" s="5"/>
    </row>
    <row r="95" spans="2:23" ht="15" thickBot="1" x14ac:dyDescent="0.25">
      <c r="B95" s="16" t="s">
        <v>84</v>
      </c>
      <c r="G95" s="52">
        <f>G58+G91</f>
        <v>177413.50518584636</v>
      </c>
      <c r="H95" s="52">
        <f t="shared" ref="H95:Q95" si="26">H58+H91</f>
        <v>8739.9679399237393</v>
      </c>
      <c r="I95" s="52">
        <f>I58+I91</f>
        <v>480181.52687422989</v>
      </c>
      <c r="J95" s="52">
        <f t="shared" si="26"/>
        <v>0</v>
      </c>
      <c r="K95" s="52">
        <f>K58+K91</f>
        <v>666335</v>
      </c>
      <c r="L95" s="53">
        <f t="shared" si="26"/>
        <v>0</v>
      </c>
      <c r="M95" s="52">
        <f t="shared" si="26"/>
        <v>130030.56033256248</v>
      </c>
      <c r="N95" s="52">
        <f t="shared" si="26"/>
        <v>5669.9247443709719</v>
      </c>
      <c r="O95" s="54">
        <f t="shared" si="26"/>
        <v>339116.36813549337</v>
      </c>
      <c r="P95" s="52">
        <f t="shared" si="26"/>
        <v>0</v>
      </c>
      <c r="Q95" s="52">
        <f t="shared" si="26"/>
        <v>474816.85321242677</v>
      </c>
      <c r="R95" s="32"/>
      <c r="S95" s="32"/>
      <c r="T95" s="32"/>
      <c r="U95" s="32"/>
      <c r="V95" s="32"/>
    </row>
    <row r="96" spans="2:23" ht="13.5" thickTop="1" x14ac:dyDescent="0.2">
      <c r="I96" s="55"/>
      <c r="L96" s="5"/>
      <c r="O96" s="56"/>
    </row>
    <row r="97" spans="5:17" x14ac:dyDescent="0.2">
      <c r="I97" s="55"/>
      <c r="K97" s="19"/>
      <c r="L97" s="5"/>
      <c r="O97" s="56"/>
    </row>
    <row r="98" spans="5:17" x14ac:dyDescent="0.2">
      <c r="G98" s="19"/>
      <c r="H98" s="59"/>
      <c r="I98" s="55"/>
      <c r="K98" s="19"/>
      <c r="L98" s="5"/>
      <c r="O98" s="56"/>
    </row>
    <row r="99" spans="5:17" x14ac:dyDescent="0.2">
      <c r="G99" s="55"/>
      <c r="H99" s="55"/>
      <c r="I99" s="55"/>
      <c r="K99" s="19"/>
      <c r="L99" s="5"/>
      <c r="O99" s="105"/>
    </row>
    <row r="100" spans="5:17" x14ac:dyDescent="0.2">
      <c r="G100" s="55"/>
      <c r="H100" s="55"/>
      <c r="I100" s="103"/>
      <c r="K100" s="19"/>
      <c r="L100" s="5"/>
      <c r="O100" s="56"/>
    </row>
    <row r="101" spans="5:17" x14ac:dyDescent="0.2">
      <c r="G101" s="55"/>
      <c r="H101" s="55"/>
      <c r="I101" s="55"/>
      <c r="J101" s="19"/>
      <c r="K101" s="19"/>
      <c r="L101" s="5"/>
      <c r="O101" s="56"/>
    </row>
    <row r="102" spans="5:17" x14ac:dyDescent="0.2">
      <c r="G102" s="57"/>
      <c r="H102" s="57"/>
      <c r="I102" s="111"/>
      <c r="L102" s="5"/>
      <c r="O102" s="56"/>
    </row>
    <row r="103" spans="5:17" x14ac:dyDescent="0.2">
      <c r="G103" s="106"/>
      <c r="I103" s="55"/>
      <c r="L103" s="5"/>
      <c r="O103" s="56"/>
    </row>
    <row r="104" spans="5:17" ht="13.5" thickBot="1" x14ac:dyDescent="0.25">
      <c r="L104" s="5"/>
    </row>
    <row r="105" spans="5:17" x14ac:dyDescent="0.2">
      <c r="E105" s="63"/>
      <c r="F105" s="64"/>
      <c r="G105" s="107">
        <f>G119</f>
        <v>0.24740707681262067</v>
      </c>
      <c r="H105" s="107">
        <f>H119</f>
        <v>1.6030038129796545E-2</v>
      </c>
      <c r="I105" s="107">
        <f>I119</f>
        <v>0.73656288505758283</v>
      </c>
      <c r="J105" s="64"/>
      <c r="K105" s="66"/>
      <c r="L105" s="5"/>
      <c r="M105" s="67"/>
      <c r="N105" s="67"/>
      <c r="O105" s="67"/>
    </row>
    <row r="106" spans="5:17" x14ac:dyDescent="0.2">
      <c r="E106" s="68"/>
      <c r="F106" s="48"/>
      <c r="G106" s="48"/>
      <c r="H106" s="48"/>
      <c r="I106" s="48"/>
      <c r="J106" s="48"/>
      <c r="K106" s="69"/>
      <c r="L106" s="5"/>
      <c r="M106" s="70"/>
    </row>
    <row r="107" spans="5:17" x14ac:dyDescent="0.2">
      <c r="E107" s="68" t="s">
        <v>143</v>
      </c>
      <c r="F107" s="48"/>
      <c r="G107" s="48"/>
      <c r="H107" s="48"/>
      <c r="I107" s="48"/>
      <c r="J107" s="48"/>
      <c r="K107" s="71">
        <v>666337</v>
      </c>
      <c r="L107" s="5"/>
      <c r="M107" s="72"/>
    </row>
    <row r="108" spans="5:17" x14ac:dyDescent="0.2">
      <c r="E108" s="68" t="s">
        <v>85</v>
      </c>
      <c r="F108" s="48"/>
      <c r="G108" s="48"/>
      <c r="H108" s="48"/>
      <c r="I108" s="48"/>
      <c r="J108" s="48"/>
      <c r="K108" s="71">
        <v>0</v>
      </c>
      <c r="L108" s="5"/>
    </row>
    <row r="109" spans="5:17" x14ac:dyDescent="0.2">
      <c r="E109" s="68"/>
      <c r="F109" s="48"/>
      <c r="G109" s="48"/>
      <c r="H109" s="48"/>
      <c r="I109" s="48"/>
      <c r="J109" s="48"/>
      <c r="K109" s="71"/>
      <c r="L109" s="5"/>
      <c r="M109" s="72"/>
    </row>
    <row r="110" spans="5:17" x14ac:dyDescent="0.2">
      <c r="E110" s="68" t="s">
        <v>106</v>
      </c>
      <c r="F110" s="48"/>
      <c r="G110" s="48"/>
      <c r="H110" s="48"/>
      <c r="I110" s="48"/>
      <c r="J110" s="48"/>
      <c r="K110" s="73">
        <f>SUM(K107:K109)</f>
        <v>666337</v>
      </c>
      <c r="L110" s="5"/>
      <c r="M110" s="72"/>
    </row>
    <row r="111" spans="5:17" x14ac:dyDescent="0.2">
      <c r="E111" s="68" t="s">
        <v>117</v>
      </c>
      <c r="F111" s="48"/>
      <c r="G111" s="48"/>
      <c r="H111" s="48"/>
      <c r="I111" s="48"/>
      <c r="J111" s="48"/>
      <c r="K111" s="71">
        <f>-K62-I77</f>
        <v>-100599</v>
      </c>
      <c r="L111" s="5"/>
      <c r="M111" s="72"/>
      <c r="O111" s="74"/>
      <c r="P111" s="74"/>
      <c r="Q111" s="59"/>
    </row>
    <row r="112" spans="5:17" x14ac:dyDescent="0.2">
      <c r="E112" s="68" t="s">
        <v>108</v>
      </c>
      <c r="F112" s="48"/>
      <c r="G112" s="48"/>
      <c r="H112" s="48"/>
      <c r="I112" s="48"/>
      <c r="J112" s="48"/>
      <c r="K112" s="71">
        <f>-G53</f>
        <v>-16700</v>
      </c>
      <c r="L112" s="5"/>
      <c r="M112" s="72"/>
      <c r="O112" s="74"/>
      <c r="P112" s="74"/>
      <c r="Q112" s="59"/>
    </row>
    <row r="113" spans="5:17" x14ac:dyDescent="0.2">
      <c r="E113" s="68" t="s">
        <v>109</v>
      </c>
      <c r="F113" s="48"/>
      <c r="G113" s="48"/>
      <c r="H113" s="48"/>
      <c r="I113" s="48"/>
      <c r="J113" s="48"/>
      <c r="K113" s="71">
        <f>-K19</f>
        <v>-33693</v>
      </c>
      <c r="L113" s="5"/>
      <c r="M113" s="72"/>
      <c r="O113" s="74"/>
      <c r="P113" s="74"/>
      <c r="Q113" s="59"/>
    </row>
    <row r="114" spans="5:17" ht="13.5" thickBot="1" x14ac:dyDescent="0.25">
      <c r="E114" s="68" t="s">
        <v>107</v>
      </c>
      <c r="F114" s="48"/>
      <c r="G114" s="48"/>
      <c r="H114" s="48"/>
      <c r="I114" s="48"/>
      <c r="J114" s="48"/>
      <c r="K114" s="75">
        <f>SUM(K110:K113)</f>
        <v>515345</v>
      </c>
      <c r="L114" s="5"/>
      <c r="M114" s="72"/>
    </row>
    <row r="115" spans="5:17" ht="13.5" thickTop="1" x14ac:dyDescent="0.2">
      <c r="E115" s="68"/>
      <c r="F115" s="48"/>
      <c r="G115" s="48"/>
      <c r="H115" s="48"/>
      <c r="I115" s="48"/>
      <c r="J115" s="76" t="s">
        <v>87</v>
      </c>
      <c r="K115" s="71"/>
      <c r="L115" s="5"/>
      <c r="M115" s="72"/>
      <c r="Q115" s="59"/>
    </row>
    <row r="116" spans="5:17" x14ac:dyDescent="0.2">
      <c r="E116" s="78" t="s">
        <v>104</v>
      </c>
      <c r="F116" s="48"/>
      <c r="G116" s="79">
        <v>177414</v>
      </c>
      <c r="H116" s="79">
        <v>8740</v>
      </c>
      <c r="I116" s="79">
        <f>466010+14173</f>
        <v>480183</v>
      </c>
      <c r="J116" s="79">
        <v>0</v>
      </c>
      <c r="K116" s="71"/>
      <c r="L116" s="5"/>
      <c r="M116" s="72"/>
    </row>
    <row r="117" spans="5:17" x14ac:dyDescent="0.2">
      <c r="E117" s="68" t="s">
        <v>110</v>
      </c>
      <c r="F117" s="48"/>
      <c r="G117" s="80">
        <f>-G53-G19</f>
        <v>-49914</v>
      </c>
      <c r="H117" s="81">
        <f>-H19</f>
        <v>-479</v>
      </c>
      <c r="I117" s="81">
        <f>-K62-I77</f>
        <v>-100599</v>
      </c>
      <c r="K117" s="69"/>
      <c r="L117" s="5"/>
    </row>
    <row r="118" spans="5:17" ht="13.5" thickBot="1" x14ac:dyDescent="0.25">
      <c r="E118" s="68" t="s">
        <v>89</v>
      </c>
      <c r="F118" s="48"/>
      <c r="G118" s="82">
        <f>G116+G117</f>
        <v>127500</v>
      </c>
      <c r="H118" s="82">
        <f t="shared" ref="H118" si="27">H116+H117</f>
        <v>8261</v>
      </c>
      <c r="I118" s="82">
        <f>I116+I117</f>
        <v>379584</v>
      </c>
      <c r="J118" s="83"/>
      <c r="K118" s="71"/>
      <c r="L118" s="5"/>
    </row>
    <row r="119" spans="5:17" ht="14.25" thickTop="1" thickBot="1" x14ac:dyDescent="0.25">
      <c r="E119" s="68" t="s">
        <v>90</v>
      </c>
      <c r="F119" s="48"/>
      <c r="G119" s="84">
        <f>G118/K114</f>
        <v>0.24740707681262067</v>
      </c>
      <c r="H119" s="84">
        <f>H118/K114</f>
        <v>1.6030038129796545E-2</v>
      </c>
      <c r="I119" s="84">
        <f>I118/K114</f>
        <v>0.73656288505758283</v>
      </c>
      <c r="J119" s="72"/>
      <c r="K119" s="71"/>
      <c r="L119" s="5"/>
    </row>
    <row r="120" spans="5:17" ht="14.25" thickTop="1" thickBot="1" x14ac:dyDescent="0.25">
      <c r="E120" s="85"/>
      <c r="F120" s="86"/>
      <c r="G120" s="87" t="s">
        <v>91</v>
      </c>
      <c r="H120" s="87" t="s">
        <v>92</v>
      </c>
      <c r="I120" s="87" t="s">
        <v>93</v>
      </c>
      <c r="J120" s="86"/>
      <c r="K120" s="88"/>
      <c r="L120" s="5"/>
    </row>
    <row r="121" spans="5:17" x14ac:dyDescent="0.2">
      <c r="J121" s="64"/>
      <c r="K121" s="89"/>
      <c r="L121" s="11"/>
    </row>
    <row r="122" spans="5:17" x14ac:dyDescent="0.2">
      <c r="J122" s="48"/>
      <c r="K122" s="80"/>
      <c r="L122" s="11"/>
    </row>
    <row r="123" spans="5:17" x14ac:dyDescent="0.2">
      <c r="E123" s="90"/>
      <c r="F123" s="91"/>
      <c r="G123" s="72"/>
      <c r="H123" s="72"/>
      <c r="I123" s="92"/>
      <c r="J123" s="93"/>
      <c r="K123" s="94"/>
      <c r="L123" s="11"/>
    </row>
    <row r="124" spans="5:17" x14ac:dyDescent="0.2">
      <c r="E124" s="91"/>
      <c r="F124" s="91"/>
      <c r="G124" s="91"/>
      <c r="H124" s="91"/>
      <c r="I124" s="92"/>
      <c r="J124" s="93"/>
      <c r="K124" s="93"/>
      <c r="M124" s="95"/>
    </row>
    <row r="125" spans="5:17" x14ac:dyDescent="0.2">
      <c r="E125" s="91"/>
      <c r="F125" s="91"/>
      <c r="G125" s="91"/>
      <c r="H125" s="72"/>
      <c r="I125" s="72"/>
      <c r="J125" s="48"/>
      <c r="K125" s="48"/>
    </row>
    <row r="126" spans="5:17" x14ac:dyDescent="0.2">
      <c r="E126" s="91"/>
      <c r="F126" s="91"/>
      <c r="G126" s="96"/>
      <c r="H126" s="96"/>
      <c r="I126" s="96"/>
    </row>
    <row r="127" spans="5:17" x14ac:dyDescent="0.2">
      <c r="E127" s="91"/>
      <c r="F127" s="91"/>
      <c r="G127" s="72"/>
      <c r="H127" s="72"/>
      <c r="I127" s="72"/>
    </row>
    <row r="128" spans="5:17" x14ac:dyDescent="0.2">
      <c r="E128" s="91"/>
      <c r="F128" s="91"/>
      <c r="G128" s="96"/>
      <c r="H128" s="96"/>
      <c r="I128" s="96"/>
    </row>
    <row r="129" spans="5:10" x14ac:dyDescent="0.2">
      <c r="E129" s="91"/>
      <c r="F129" s="91"/>
      <c r="G129" s="97"/>
      <c r="H129" s="97"/>
      <c r="I129" s="97"/>
      <c r="J129" s="48"/>
    </row>
    <row r="130" spans="5:10" x14ac:dyDescent="0.2">
      <c r="G130" s="80"/>
      <c r="H130" s="80"/>
      <c r="I130" s="80"/>
      <c r="J130" s="48"/>
    </row>
    <row r="131" spans="5:10" x14ac:dyDescent="0.2">
      <c r="G131" s="48"/>
      <c r="H131" s="48"/>
      <c r="I131" s="48"/>
      <c r="J131" s="48"/>
    </row>
  </sheetData>
  <mergeCells count="2">
    <mergeCell ref="G2:K2"/>
    <mergeCell ref="M2:Q2"/>
  </mergeCells>
  <printOptions horizontalCentered="1"/>
  <pageMargins left="0.25" right="0.25" top="0.25" bottom="0.25" header="0.25" footer="0"/>
  <pageSetup scale="33"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defaultValue">
  <element uid="936e22d5-45a7-4cb7-95ab-1aa8c7c88789" value=""/>
</sisl>
</file>

<file path=customXml/itemProps1.xml><?xml version="1.0" encoding="utf-8"?>
<ds:datastoreItem xmlns:ds="http://schemas.openxmlformats.org/officeDocument/2006/customXml" ds:itemID="{0FDA212D-CFA5-4EE1-A375-80170ACA1F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2020 Wind Storm #1 (3)</vt:lpstr>
      <vt:lpstr>2020 Wind Storm #1 (2)</vt:lpstr>
      <vt:lpstr>Ex. 2_Summary</vt:lpstr>
      <vt:lpstr>Ex. 2a_Dec 24-25 Snow Storm </vt:lpstr>
      <vt:lpstr>Ex. 2b_Dec 24-25 Snow Storm</vt:lpstr>
      <vt:lpstr>Exh 7 April 12 Wind Storm - T</vt:lpstr>
      <vt:lpstr>Exh 6 April 12 Wind Storm - D</vt:lpstr>
      <vt:lpstr>Exh 5 April 9 Thunderstorm - T</vt:lpstr>
      <vt:lpstr>Exh 4 April 9 Thunderstorm - D </vt:lpstr>
      <vt:lpstr>Exhibit 3 January Wind Storm</vt:lpstr>
      <vt:lpstr>'2020 Wind Storm #1 (2)'!Print_Area</vt:lpstr>
      <vt:lpstr>'2020 Wind Storm #1 (3)'!Print_Area</vt:lpstr>
      <vt:lpstr>'Ex. 2_Summary'!Print_Area</vt:lpstr>
      <vt:lpstr>'Ex. 2a_Dec 24-25 Snow Storm '!Print_Area</vt:lpstr>
      <vt:lpstr>'Ex. 2b_Dec 24-25 Snow Storm'!Print_Area</vt:lpstr>
      <vt:lpstr>'Exh 4 April 9 Thunderstorm - D '!Print_Area</vt:lpstr>
      <vt:lpstr>'Exh 5 April 9 Thunderstorm - T'!Print_Area</vt:lpstr>
      <vt:lpstr>'Exh 6 April 12 Wind Storm - D'!Print_Area</vt:lpstr>
      <vt:lpstr>'Exh 7 April 12 Wind Storm - T'!Print_Area</vt:lpstr>
      <vt:lpstr>'Exhibit 3 January Wind Storm'!Print_Area</vt:lpstr>
      <vt:lpstr>'2020 Wind Storm #1 (2)'!Print_Titles</vt:lpstr>
      <vt:lpstr>'2020 Wind Storm #1 (3)'!Print_Titles</vt:lpstr>
      <vt:lpstr>'Ex. 2a_Dec 24-25 Snow Storm '!Print_Titles</vt:lpstr>
      <vt:lpstr>'Ex. 2b_Dec 24-25 Snow Storm'!Print_Titles</vt:lpstr>
      <vt:lpstr>'Exh 4 April 9 Thunderstorm - D '!Print_Titles</vt:lpstr>
      <vt:lpstr>'Exh 5 April 9 Thunderstorm - T'!Print_Titles</vt:lpstr>
      <vt:lpstr>'Exh 6 April 12 Wind Storm - D'!Print_Titles</vt:lpstr>
      <vt:lpstr>'Exh 7 April 12 Wind Storm - T'!Print_Titles</vt:lpstr>
      <vt:lpstr>'Exhibit 3 January Wind Storm'!Print_Titles</vt:lpstr>
      <vt:lpstr>'2020 Wind Storm #1 (2)'!TotalOTHours</vt:lpstr>
      <vt:lpstr>'2020 Wind Storm #1 (3)'!TotalOTHours</vt:lpstr>
      <vt:lpstr>'Ex. 2a_Dec 24-25 Snow Storm '!TotalOTHours</vt:lpstr>
      <vt:lpstr>'Ex. 2b_Dec 24-25 Snow Storm'!TotalOTHours</vt:lpstr>
      <vt:lpstr>'Exh 4 April 9 Thunderstorm - D '!TotalOTHours</vt:lpstr>
      <vt:lpstr>'Exh 5 April 9 Thunderstorm - T'!TotalOTHours</vt:lpstr>
      <vt:lpstr>'Exh 6 April 12 Wind Storm - D'!TotalOTHours</vt:lpstr>
      <vt:lpstr>'Exh 7 April 12 Wind Storm - T'!TotalOTHours</vt:lpstr>
      <vt:lpstr>'Exhibit 3 January Wind Storm'!TotalOTHours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s290792</cp:lastModifiedBy>
  <cp:lastPrinted>2021-03-22T20:09:11Z</cp:lastPrinted>
  <dcterms:created xsi:type="dcterms:W3CDTF">2020-11-09T15:45:59Z</dcterms:created>
  <dcterms:modified xsi:type="dcterms:W3CDTF">2021-03-24T16:29:40Z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caef73fd-20cb-4dd5-b5e7-60b4649bfe94</vt:lpwstr>
  </property>
  <property fmtid="{D5CDD505-2E9C-101B-9397-08002B2CF9AE}" pid="3" name="bjDocumentLabelXML">
    <vt:lpwstr>&lt;?xml version="1.0" encoding="us-ascii"?&gt;&lt;sisl xmlns:xsi="http://www.w3.org/2001/XMLSchema-instance" xmlns:xsd="http://www.w3.org/2001/XMLSchema" sislVersion="0" policy="e9c0b8d7-bdb4-4fd3-b62a-f50327aaefce" origin="defaultValue" xmlns="http://www.boldonj</vt:lpwstr>
  </property>
  <property fmtid="{D5CDD505-2E9C-101B-9397-08002B2CF9AE}" pid="4" name="bjDocumentLabelXML-0">
    <vt:lpwstr>ames.com/2008/01/sie/internal/label"&gt;&lt;element uid="936e22d5-45a7-4cb7-95ab-1aa8c7c88789" value="" /&gt;&lt;/sisl&gt;</vt:lpwstr>
  </property>
  <property fmtid="{D5CDD505-2E9C-101B-9397-08002B2CF9AE}" pid="5" name="bjDocumentSecurityLabel">
    <vt:lpwstr>Uncategorized</vt:lpwstr>
  </property>
  <property fmtid="{D5CDD505-2E9C-101B-9397-08002B2CF9AE}" pid="6" name="bjSaver">
    <vt:lpwstr>o4/sdbF8sMp5xLAtlg2VB+VDX7/DWUax</vt:lpwstr>
  </property>
</Properties>
</file>