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codeName="ThisWorkbook"/>
  <mc:AlternateContent xmlns:mc="http://schemas.openxmlformats.org/markup-compatibility/2006">
    <mc:Choice Requires="x15">
      <x15ac:absPath xmlns:x15ac="http://schemas.microsoft.com/office/spreadsheetml/2010/11/ac" url="J:\CN2021\CN-00130 - Gas Supply Clause\efile 03312021\"/>
    </mc:Choice>
  </mc:AlternateContent>
  <xr:revisionPtr revIDLastSave="0" documentId="13_ncr:1_{F3413632-16A1-4DAF-BA88-13DE2EE1E732}" xr6:coauthVersionLast="45" xr6:coauthVersionMax="45" xr10:uidLastSave="{00000000-0000-0000-0000-000000000000}"/>
  <bookViews>
    <workbookView xWindow="34065" yWindow="1890" windowWidth="21765" windowHeight="11295" tabRatio="922" firstSheet="9" activeTab="9" xr2:uid="{00000000-000D-0000-FFFF-FFFF00000000}"/>
  </bookViews>
  <sheets>
    <sheet name="Typical Bill" sheetId="44" state="hidden" r:id="rId1"/>
    <sheet name="Databases &gt;" sheetId="49" state="hidden" r:id="rId2"/>
    <sheet name="Input Data" sheetId="5" state="hidden" r:id="rId3"/>
    <sheet name="Case Database" sheetId="16" state="hidden" r:id="rId4"/>
    <sheet name="Forecast" sheetId="33" state="hidden" r:id="rId5"/>
    <sheet name="Sales Volumes" sheetId="41" state="hidden" r:id="rId6"/>
    <sheet name="FT Data" sheetId="48" state="hidden" r:id="rId7"/>
    <sheet name="TS-2 Data" sheetId="47" state="hidden" r:id="rId8"/>
    <sheet name="FILING &gt;" sheetId="50" state="hidden" r:id="rId9"/>
    <sheet name="Cover Sheet" sheetId="40" r:id="rId10"/>
    <sheet name="Summary Sheet" sheetId="1" r:id="rId11"/>
    <sheet name="Exhibit A-1 Write-Up" sheetId="54" state="hidden" r:id="rId12"/>
    <sheet name="Ex A 1 of 2" sheetId="2" r:id="rId13"/>
    <sheet name="Ex A 2 of 2" sheetId="3" r:id="rId14"/>
    <sheet name="Exhibit B Write-Up" sheetId="59" state="hidden" r:id="rId15"/>
    <sheet name="Ex B-1 1 of 7" sheetId="4" r:id="rId16"/>
    <sheet name="Ex B-1 2 of 7" sheetId="6" r:id="rId17"/>
    <sheet name="Ex B-1 3 of 7" sheetId="45" r:id="rId18"/>
    <sheet name="Ex B-1 4 of 7" sheetId="7" r:id="rId19"/>
    <sheet name="Ex B-1 5 of 7" sheetId="8" r:id="rId20"/>
    <sheet name="Ex B-1 6 of 7" sheetId="52" r:id="rId21"/>
    <sheet name="Ex B-1 7 of 7" sheetId="51" r:id="rId22"/>
    <sheet name="Exhibit C Write-Up" sheetId="58" state="hidden" r:id="rId23"/>
    <sheet name="Ex C-1 1 of 3" sheetId="9" r:id="rId24"/>
    <sheet name="Ex C-1 2 of 3" sheetId="10" r:id="rId25"/>
    <sheet name="Ex C-1 3 of 3" sheetId="37" r:id="rId26"/>
    <sheet name="Exhibit D Write-Up" sheetId="57" state="hidden" r:id="rId27"/>
    <sheet name="Ex D-1 1 of 2" sheetId="11" r:id="rId28"/>
    <sheet name="Ex D-1 2 of 2" sheetId="34" r:id="rId29"/>
    <sheet name="Exhibit E Write-Up" sheetId="56" state="hidden" r:id="rId30"/>
    <sheet name="Ex E-1 1 of 1" sheetId="12" r:id="rId31"/>
    <sheet name="Ex E-1 2 of 2" sheetId="36" state="hidden" r:id="rId32"/>
    <sheet name="Exhibit F Write-Up" sheetId="55" state="hidden" r:id="rId33"/>
    <sheet name="Ex F-1 1 of 1" sheetId="39" r:id="rId34"/>
    <sheet name="Effective Rates" sheetId="14" r:id="rId35"/>
    <sheet name="FT Rate Summary" sheetId="15" r:id="rId36"/>
    <sheet name="Rate LGDS" sheetId="53" r:id="rId37"/>
  </sheets>
  <definedNames>
    <definedName name="_ftn1" localSheetId="11">'Exhibit A-1 Write-Up'!#REF!</definedName>
    <definedName name="_ftnref1" localSheetId="11">'Exhibit A-1 Write-Up'!#REF!</definedName>
    <definedName name="_xlnm.Print_Area" localSheetId="3">'Case Database'!$A$1:$F$71</definedName>
    <definedName name="_xlnm.Print_Area" localSheetId="34">'Effective Rates'!$A$1:$S$134</definedName>
    <definedName name="_xlnm.Print_Area" localSheetId="12">'Ex A 1 of 2'!$A$1:$G$77</definedName>
    <definedName name="_xlnm.Print_Area" localSheetId="13">'Ex A 2 of 2'!$A$9:$F$58</definedName>
    <definedName name="_xlnm.Print_Area" localSheetId="15">'Ex B-1 1 of 7'!$A$1:$G$35</definedName>
    <definedName name="_xlnm.Print_Area" localSheetId="16">'Ex B-1 2 of 7'!$A$1:$N$36</definedName>
    <definedName name="_xlnm.Print_Area" localSheetId="17">'Ex B-1 3 of 7'!$A$1:$N$28</definedName>
    <definedName name="_xlnm.Print_Area" localSheetId="18">'Ex B-1 4 of 7'!$A$1:$N$32</definedName>
    <definedName name="_xlnm.Print_Area" localSheetId="19">'Ex B-1 5 of 7'!$A$1:$I$35</definedName>
    <definedName name="_xlnm.Print_Area" localSheetId="23">'Ex C-1 1 of 3'!$A$1:$D$29</definedName>
    <definedName name="_xlnm.Print_Area" localSheetId="24">'Ex C-1 2 of 3'!$A$1:$H$29</definedName>
    <definedName name="_xlnm.Print_Area" localSheetId="25">'Ex C-1 3 of 3'!$A$6:$H$27</definedName>
    <definedName name="_xlnm.Print_Area" localSheetId="27">'Ex D-1 1 of 2'!$A$1:$J$21</definedName>
    <definedName name="_xlnm.Print_Area" localSheetId="28">'Ex D-1 2 of 2'!$A$1:$H$35</definedName>
    <definedName name="_xlnm.Print_Area" localSheetId="30">'Ex E-1 1 of 1'!$A$1:$E$24</definedName>
    <definedName name="_xlnm.Print_Area" localSheetId="31">'Ex E-1 2 of 2'!$A$1:$K$33</definedName>
    <definedName name="_xlnm.Print_Area" localSheetId="33">'Ex F-1 1 of 1'!$A$1:$F$22</definedName>
    <definedName name="_xlnm.Print_Area" localSheetId="11">'Exhibit A-1 Write-Up'!$A$1:$L$160</definedName>
    <definedName name="_xlnm.Print_Area" localSheetId="6">'FT Data'!$A$1:$BJ$10</definedName>
    <definedName name="_xlnm.Print_Area" localSheetId="35">'FT Rate Summary'!$A$1:$I$56</definedName>
    <definedName name="_xlnm.Print_Area" localSheetId="2">'Input Data'!$B$1:$D$16</definedName>
    <definedName name="_xlnm.Print_Area" localSheetId="36">'Rate LGDS'!$A$1:$I$57</definedName>
    <definedName name="_xlnm.Print_Area" localSheetId="5">'Sales Volumes'!$A$1:$H$14</definedName>
    <definedName name="_xlnm.Print_Area" localSheetId="10">'Summary Sheet'!$A$1:$K$59</definedName>
    <definedName name="_xlnm.Print_Titles" localSheetId="3">'Case Database'!$3:$3</definedName>
    <definedName name="_xlnm.Print_Titles" localSheetId="5">'Sales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F19" i="4"/>
  <c r="D21" i="4" s="1"/>
  <c r="D19" i="4"/>
  <c r="E19" i="4"/>
  <c r="F12" i="4"/>
  <c r="F13" i="4"/>
  <c r="F14" i="4"/>
  <c r="D12" i="4"/>
  <c r="D13" i="4"/>
  <c r="D14" i="4"/>
  <c r="J22" i="6"/>
  <c r="J23" i="6"/>
  <c r="J24" i="6"/>
  <c r="F23" i="6"/>
  <c r="F24" i="6"/>
  <c r="F22" i="6"/>
  <c r="N16" i="7"/>
  <c r="N17" i="7"/>
  <c r="K16" i="7"/>
  <c r="K17" i="7"/>
  <c r="K15" i="7"/>
  <c r="N15" i="7" l="1"/>
  <c r="F15" i="3" l="1"/>
  <c r="C205" i="5" l="1"/>
  <c r="F87" i="16" l="1"/>
  <c r="B87" i="16"/>
  <c r="E103" i="5" l="1"/>
  <c r="U7" i="44" l="1"/>
  <c r="G6" i="48" l="1"/>
  <c r="F6" i="48"/>
  <c r="K44" i="14" l="1"/>
  <c r="K33" i="14"/>
  <c r="K24" i="14"/>
  <c r="F186" i="5"/>
  <c r="F185" i="5"/>
  <c r="F184" i="5"/>
  <c r="F183" i="5"/>
  <c r="F182" i="5"/>
  <c r="F181" i="5"/>
  <c r="F180" i="5"/>
  <c r="F179" i="5"/>
  <c r="F178" i="5"/>
  <c r="F177" i="5"/>
  <c r="F176" i="5"/>
  <c r="F175" i="5"/>
  <c r="D176" i="5"/>
  <c r="D177" i="5"/>
  <c r="D178" i="5"/>
  <c r="D179" i="5"/>
  <c r="D180" i="5"/>
  <c r="D181" i="5"/>
  <c r="D182" i="5"/>
  <c r="D183" i="5"/>
  <c r="D184" i="5"/>
  <c r="D185" i="5"/>
  <c r="D186" i="5"/>
  <c r="D175" i="5"/>
  <c r="C176" i="5"/>
  <c r="C177" i="5"/>
  <c r="C178" i="5"/>
  <c r="C179" i="5"/>
  <c r="C180" i="5"/>
  <c r="C181" i="5"/>
  <c r="C182" i="5"/>
  <c r="C183" i="5"/>
  <c r="C184" i="5"/>
  <c r="C185" i="5"/>
  <c r="C186" i="5"/>
  <c r="C175" i="5"/>
  <c r="F187" i="5" l="1"/>
  <c r="E176" i="5"/>
  <c r="E177" i="5"/>
  <c r="E178" i="5"/>
  <c r="E179" i="5"/>
  <c r="E180" i="5"/>
  <c r="E181" i="5"/>
  <c r="E182" i="5"/>
  <c r="E183" i="5"/>
  <c r="E184" i="5"/>
  <c r="E185" i="5"/>
  <c r="E186" i="5"/>
  <c r="E175" i="5"/>
  <c r="B176" i="5"/>
  <c r="B177" i="5" s="1"/>
  <c r="B178" i="5" s="1"/>
  <c r="B179" i="5" s="1"/>
  <c r="B180" i="5" s="1"/>
  <c r="B181" i="5" s="1"/>
  <c r="B182" i="5" s="1"/>
  <c r="B183" i="5" s="1"/>
  <c r="B184" i="5" s="1"/>
  <c r="B185" i="5" s="1"/>
  <c r="B186" i="5" s="1"/>
  <c r="B175" i="5"/>
  <c r="E187" i="5" l="1"/>
  <c r="D103" i="5"/>
  <c r="D96" i="5"/>
  <c r="E96" i="5"/>
  <c r="C103" i="5"/>
  <c r="C96" i="5"/>
  <c r="D17" i="12" l="1"/>
  <c r="C17" i="12"/>
  <c r="B84" i="41"/>
  <c r="B85" i="41"/>
  <c r="B86" i="41"/>
  <c r="F7" i="48"/>
  <c r="G7" i="48"/>
  <c r="O7" i="48"/>
  <c r="P7" i="48"/>
  <c r="F86" i="16" l="1"/>
  <c r="B86" i="16"/>
  <c r="B21" i="40" l="1"/>
  <c r="B17" i="54" l="1"/>
  <c r="C18" i="5" l="1"/>
  <c r="B17" i="39"/>
  <c r="B15" i="39"/>
  <c r="F85" i="16"/>
  <c r="A114" i="33" l="1"/>
  <c r="A115" i="33" s="1"/>
  <c r="A105" i="33"/>
  <c r="A106" i="33" s="1"/>
  <c r="A107" i="33" s="1"/>
  <c r="A108" i="33" s="1"/>
  <c r="A109" i="33" s="1"/>
  <c r="A110" i="33" s="1"/>
  <c r="A111" i="33" s="1"/>
  <c r="A112" i="33" s="1"/>
  <c r="A113" i="33" s="1"/>
  <c r="A92" i="33"/>
  <c r="A93" i="33"/>
  <c r="A94" i="33" s="1"/>
  <c r="A95" i="33" s="1"/>
  <c r="A96" i="33" s="1"/>
  <c r="A97" i="33" s="1"/>
  <c r="A98" i="33" s="1"/>
  <c r="A99" i="33" s="1"/>
  <c r="A100" i="33" s="1"/>
  <c r="A101" i="33" s="1"/>
  <c r="A102" i="33" s="1"/>
  <c r="A103" i="33" s="1"/>
  <c r="A104" i="33" s="1"/>
  <c r="B81" i="41" l="1"/>
  <c r="B82" i="41"/>
  <c r="B83" i="41"/>
  <c r="O6" i="48" l="1"/>
  <c r="P6" i="48"/>
  <c r="B85" i="16" l="1"/>
  <c r="B18" i="58" l="1"/>
  <c r="N15" i="44" l="1"/>
  <c r="B19" i="59" l="1"/>
  <c r="B17" i="59"/>
  <c r="B10" i="58"/>
  <c r="B9" i="55"/>
  <c r="H16" i="36"/>
  <c r="E16" i="36"/>
  <c r="K14" i="36"/>
  <c r="D13" i="12"/>
  <c r="C13" i="12"/>
  <c r="H13" i="34"/>
  <c r="E12" i="11"/>
  <c r="D12" i="11"/>
  <c r="H18" i="37"/>
  <c r="H11" i="10"/>
  <c r="D12" i="9"/>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7" i="6"/>
  <c r="H26" i="6"/>
  <c r="H25" i="6"/>
  <c r="K54" i="3"/>
  <c r="K53" i="3"/>
  <c r="K52" i="3"/>
  <c r="K51" i="3"/>
  <c r="F16" i="3"/>
  <c r="D15" i="3"/>
  <c r="C15" i="3"/>
  <c r="D14" i="3"/>
  <c r="C14" i="3"/>
  <c r="D13" i="3"/>
  <c r="C13" i="3"/>
  <c r="E69" i="2"/>
  <c r="D69" i="2"/>
  <c r="C69" i="2"/>
  <c r="E68" i="2"/>
  <c r="D68" i="2"/>
  <c r="C68" i="2"/>
  <c r="E67" i="2"/>
  <c r="D67" i="2"/>
  <c r="C67" i="2"/>
  <c r="E14" i="2"/>
  <c r="E13" i="2"/>
  <c r="D14" i="2"/>
  <c r="D13" i="2"/>
  <c r="C14" i="2"/>
  <c r="C13" i="2"/>
  <c r="E10" i="2"/>
  <c r="D10" i="2"/>
  <c r="C10" i="2"/>
  <c r="E9" i="2"/>
  <c r="D9" i="2"/>
  <c r="C9" i="2"/>
  <c r="E8" i="2"/>
  <c r="D8" i="2"/>
  <c r="C8" i="2"/>
  <c r="C91" i="5" l="1"/>
  <c r="D91" i="5" s="1"/>
  <c r="E91" i="5" s="1"/>
  <c r="L10" i="11" l="1"/>
  <c r="C2" i="16" l="1"/>
  <c r="D2" i="16" s="1"/>
  <c r="E2" i="16" s="1"/>
  <c r="F2" i="16" s="1"/>
  <c r="G2" i="16" s="1"/>
  <c r="H2" i="16" s="1"/>
  <c r="I2" i="16" s="1"/>
  <c r="J2" i="16" s="1"/>
  <c r="K2" i="16" s="1"/>
  <c r="L2" i="16" s="1"/>
  <c r="M2" i="16" s="1"/>
  <c r="N2" i="16" s="1"/>
  <c r="O2" i="16" s="1"/>
  <c r="P2" i="16" s="1"/>
  <c r="Q2" i="16" s="1"/>
  <c r="B2" i="16"/>
  <c r="C79" i="5"/>
  <c r="C108" i="5" l="1"/>
  <c r="C73" i="5"/>
  <c r="D79" i="5"/>
  <c r="D73" i="5" s="1"/>
  <c r="C23" i="5"/>
  <c r="D23" i="5" s="1"/>
  <c r="E23" i="5" s="1"/>
  <c r="B3" i="55"/>
  <c r="B17" i="55"/>
  <c r="B15" i="55"/>
  <c r="B3" i="58" l="1"/>
  <c r="B3" i="59"/>
  <c r="D108" i="5"/>
  <c r="E79" i="5"/>
  <c r="B3" i="57"/>
  <c r="B3" i="56"/>
  <c r="B5" i="54"/>
  <c r="B3" i="54"/>
  <c r="E108" i="5" l="1"/>
  <c r="E73" i="5"/>
  <c r="I31" i="8"/>
  <c r="I17" i="8"/>
  <c r="B78" i="41" l="1"/>
  <c r="B79" i="41"/>
  <c r="B80" i="41"/>
  <c r="B84" i="16"/>
  <c r="F84" i="16"/>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F78" i="16"/>
  <c r="B78" i="16"/>
  <c r="Q66" i="14" l="1"/>
  <c r="Q59" i="14" l="1"/>
  <c r="D21" i="2" l="1"/>
  <c r="E21" i="2"/>
  <c r="C21" i="2"/>
  <c r="D20" i="2"/>
  <c r="E20" i="2"/>
  <c r="C20" i="2"/>
  <c r="B57" i="41" l="1"/>
  <c r="B58" i="41"/>
  <c r="B59" i="41"/>
  <c r="F77" i="16" l="1"/>
  <c r="B77" i="16"/>
  <c r="H29" i="6" l="1"/>
  <c r="C41" i="44" l="1"/>
  <c r="C31" i="44"/>
  <c r="O85" i="14" l="1"/>
  <c r="Q85" i="14"/>
  <c r="G83" i="14"/>
  <c r="G71" i="14"/>
  <c r="G64" i="14"/>
  <c r="G58" i="14"/>
  <c r="N17" i="44" l="1"/>
  <c r="G17" i="44"/>
  <c r="U15" i="44" l="1"/>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O44" i="14" l="1"/>
  <c r="O53" i="14" s="1"/>
  <c r="O42" i="14"/>
  <c r="O51" i="14" s="1"/>
  <c r="O50" i="14"/>
  <c r="I91" i="14" l="1"/>
  <c r="Q73" i="14" l="1"/>
  <c r="G51" i="53" l="1"/>
  <c r="G50" i="53"/>
  <c r="G49" i="53"/>
  <c r="G48" i="53"/>
  <c r="G47" i="53"/>
  <c r="G44" i="53"/>
  <c r="G43" i="53"/>
  <c r="G42" i="53"/>
  <c r="G41" i="53"/>
  <c r="A6" i="53"/>
  <c r="K55" i="3" l="1"/>
  <c r="F53" i="3" s="1"/>
  <c r="Q92" i="14" l="1"/>
  <c r="Q53" i="14"/>
  <c r="Q51" i="14"/>
  <c r="Q50" i="14"/>
  <c r="Q44" i="14"/>
  <c r="Q42" i="14"/>
  <c r="Q35" i="14"/>
  <c r="Q33" i="14"/>
  <c r="Q32" i="14"/>
  <c r="Q26" i="14"/>
  <c r="Q24" i="14"/>
  <c r="G90" i="14" l="1"/>
  <c r="B42" i="41" l="1"/>
  <c r="B43" i="41"/>
  <c r="B44" i="41"/>
  <c r="F72" i="16" l="1"/>
  <c r="B72" i="16"/>
  <c r="B39" i="41" l="1"/>
  <c r="B40" i="41"/>
  <c r="B41" i="41"/>
  <c r="F71" i="16" l="1"/>
  <c r="B71" i="16"/>
  <c r="F13" i="3" l="1"/>
  <c r="C46" i="2" l="1"/>
  <c r="F70" i="16" l="1"/>
  <c r="B70" i="16"/>
  <c r="B36" i="41" l="1"/>
  <c r="B37" i="41"/>
  <c r="B38" i="41"/>
  <c r="A9" i="2" l="1"/>
  <c r="A10" i="2" s="1"/>
  <c r="A11" i="2" s="1"/>
  <c r="I32" i="8" l="1"/>
  <c r="I18" i="8"/>
  <c r="B33" i="41" l="1"/>
  <c r="B34" i="41"/>
  <c r="B35" i="41"/>
  <c r="F69" i="16" l="1"/>
  <c r="B69" i="16"/>
  <c r="B4" i="12" l="1"/>
  <c r="M13" i="6" l="1"/>
  <c r="M14" i="6"/>
  <c r="M12" i="6"/>
  <c r="M16" i="6" l="1"/>
  <c r="M14" i="45"/>
  <c r="M15" i="45"/>
  <c r="M13" i="45"/>
  <c r="BM6" i="48" l="1"/>
  <c r="BM5" i="48"/>
  <c r="B30" i="41" l="1"/>
  <c r="B31" i="41"/>
  <c r="B32" i="41"/>
  <c r="F68" i="16"/>
  <c r="B68" i="16"/>
  <c r="I19" i="8" l="1"/>
  <c r="C11" i="5" l="1"/>
  <c r="B27" i="41" l="1"/>
  <c r="B28" i="41"/>
  <c r="B29" i="41"/>
  <c r="M19" i="7" l="1"/>
  <c r="M20" i="7"/>
  <c r="M18" i="7"/>
  <c r="L19" i="7"/>
  <c r="L20" i="7"/>
  <c r="L18" i="7"/>
  <c r="J20" i="7"/>
  <c r="J18" i="7"/>
  <c r="I19" i="7"/>
  <c r="I20" i="7"/>
  <c r="I18" i="7"/>
  <c r="H19" i="7"/>
  <c r="H20" i="7"/>
  <c r="H18" i="7"/>
  <c r="G19" i="7"/>
  <c r="G20" i="7"/>
  <c r="G18" i="7"/>
  <c r="F19" i="7"/>
  <c r="F20" i="7"/>
  <c r="F18" i="7"/>
  <c r="K14" i="45"/>
  <c r="K15" i="45"/>
  <c r="K13" i="45"/>
  <c r="J14" i="45"/>
  <c r="J15" i="45"/>
  <c r="J13" i="45"/>
  <c r="I14" i="45"/>
  <c r="I15" i="45"/>
  <c r="I13" i="45"/>
  <c r="H14" i="45"/>
  <c r="H15" i="45"/>
  <c r="H13" i="45"/>
  <c r="G14" i="45"/>
  <c r="G15" i="45"/>
  <c r="G13" i="45"/>
  <c r="D14" i="45"/>
  <c r="D15" i="45"/>
  <c r="D13" i="45"/>
  <c r="C50" i="2" l="1"/>
  <c r="C49" i="2"/>
  <c r="C45" i="2"/>
  <c r="A13" i="2"/>
  <c r="A14" i="2" s="1"/>
  <c r="A15" i="2" s="1"/>
  <c r="A19" i="2" s="1"/>
  <c r="A20" i="2" s="1"/>
  <c r="A21" i="2" s="1"/>
  <c r="A22" i="2" s="1"/>
  <c r="A25" i="2" s="1"/>
  <c r="A26" i="2" s="1"/>
  <c r="A28" i="2" s="1"/>
  <c r="A29" i="2" s="1"/>
  <c r="A30" i="2" s="1"/>
  <c r="A32" i="2" s="1"/>
  <c r="A33" i="2" s="1"/>
  <c r="A34" i="2" s="1"/>
  <c r="A35" i="2" s="1"/>
  <c r="A36" i="2" s="1"/>
  <c r="A37" i="2" s="1"/>
  <c r="A39" i="2" s="1"/>
  <c r="A42" i="2" s="1"/>
  <c r="A43" i="2" s="1"/>
  <c r="A44" i="2" s="1"/>
  <c r="A45" i="2" s="1"/>
  <c r="A46" i="2" l="1"/>
  <c r="A47" i="2" s="1"/>
  <c r="A48" i="2" s="1"/>
  <c r="A49" i="2" s="1"/>
  <c r="A50" i="2" s="1"/>
  <c r="A51" i="2" s="1"/>
  <c r="A52" i="2" s="1"/>
  <c r="A53" i="2" s="1"/>
  <c r="A54" i="2" s="1"/>
  <c r="A56" i="2" s="1"/>
  <c r="A57" i="2" s="1"/>
  <c r="A58" i="2" s="1"/>
  <c r="A59" i="2" s="1"/>
  <c r="A60" i="2" s="1"/>
  <c r="A61" i="2" s="1"/>
  <c r="A63" i="2" s="1"/>
  <c r="A66" i="2" s="1"/>
  <c r="A67" i="2" s="1"/>
  <c r="F67" i="16"/>
  <c r="B67" i="16"/>
  <c r="A68" i="2" l="1"/>
  <c r="A69" i="2" s="1"/>
  <c r="A70" i="2" s="1"/>
  <c r="A71" i="2" s="1"/>
  <c r="A74" i="2" s="1"/>
  <c r="A77" i="2" s="1"/>
  <c r="A4" i="6"/>
  <c r="B19" i="12" l="1"/>
  <c r="F66" i="16" l="1"/>
  <c r="B66" i="16"/>
  <c r="A4" i="45" l="1"/>
  <c r="F14" i="3" l="1"/>
  <c r="B23" i="41" l="1"/>
  <c r="B24" i="41"/>
  <c r="B25" i="41"/>
  <c r="B26" i="41"/>
  <c r="F65" i="16" l="1"/>
  <c r="B65" i="16"/>
  <c r="G48" i="14"/>
  <c r="G30" i="14"/>
  <c r="K26" i="14" l="1"/>
  <c r="Q13" i="44" l="1"/>
  <c r="U13" i="44" s="1"/>
  <c r="J13" i="44"/>
  <c r="N13" i="44" s="1"/>
  <c r="C13" i="44"/>
  <c r="G13" i="44" s="1"/>
  <c r="Q11" i="44"/>
  <c r="U11" i="44" s="1"/>
  <c r="J11" i="44"/>
  <c r="C11" i="44"/>
  <c r="G11" i="44" s="1"/>
  <c r="Q9" i="44"/>
  <c r="U9" i="44" s="1"/>
  <c r="J9" i="44"/>
  <c r="N9" i="44" s="1"/>
  <c r="G9" i="44"/>
  <c r="J5" i="44"/>
  <c r="C5" i="44" s="1"/>
  <c r="B31" i="44" s="1"/>
  <c r="B35" i="44" s="1"/>
  <c r="G19" i="44" l="1"/>
  <c r="U19" i="44"/>
  <c r="U25" i="44" s="1"/>
  <c r="C43" i="44" s="1"/>
  <c r="Q5" i="44"/>
  <c r="B30" i="44"/>
  <c r="B36" i="44" s="1"/>
  <c r="G25" i="44" l="1"/>
  <c r="C35" i="44" s="1"/>
  <c r="B18" i="4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2" i="2" l="1"/>
  <c r="C56" i="2" s="1"/>
  <c r="I33" i="8" l="1"/>
  <c r="C11" i="2" l="1"/>
  <c r="D11" i="2"/>
  <c r="D15" i="2" s="1"/>
  <c r="E11" i="2"/>
  <c r="E15" i="2" s="1"/>
  <c r="I35" i="8"/>
  <c r="E19" i="2" l="1"/>
  <c r="D19" i="2"/>
  <c r="C15" i="2"/>
  <c r="C19" i="2"/>
  <c r="I21" i="8"/>
  <c r="F11" i="2"/>
  <c r="F58" i="16" l="1"/>
  <c r="B58" i="16"/>
  <c r="F10" i="2" l="1"/>
  <c r="F8" i="2"/>
  <c r="E18" i="4" l="1"/>
  <c r="F57" i="16" l="1"/>
  <c r="B57" i="16"/>
  <c r="F56" i="16"/>
  <c r="B56" i="16"/>
  <c r="E46" i="2" l="1"/>
  <c r="E47" i="2"/>
  <c r="D46" i="2"/>
  <c r="D47" i="2"/>
  <c r="C47" i="2"/>
  <c r="B28" i="40"/>
  <c r="B3" i="39" l="1"/>
  <c r="B75" i="2" l="1"/>
  <c r="A6" i="15" l="1"/>
  <c r="A5" i="14"/>
  <c r="A99" i="14" s="1"/>
  <c r="O24" i="14"/>
  <c r="H18" i="36" l="1"/>
  <c r="H19" i="36"/>
  <c r="H20" i="36"/>
  <c r="H21" i="36"/>
  <c r="H22" i="36"/>
  <c r="H23" i="36"/>
  <c r="H24" i="36"/>
  <c r="H25" i="36"/>
  <c r="H26" i="36"/>
  <c r="H27" i="36"/>
  <c r="H28" i="36"/>
  <c r="H17" i="36"/>
  <c r="E19" i="36"/>
  <c r="E23" i="36"/>
  <c r="E27" i="36"/>
  <c r="E18" i="36"/>
  <c r="E17" i="36" l="1"/>
  <c r="E25" i="36"/>
  <c r="E21" i="36"/>
  <c r="E28" i="36"/>
  <c r="E24" i="36"/>
  <c r="E20" i="36"/>
  <c r="E26" i="36"/>
  <c r="E22" i="36"/>
  <c r="B16" i="36" l="1"/>
  <c r="B12" i="11"/>
  <c r="G16" i="36" l="1"/>
  <c r="I16" i="36" s="1"/>
  <c r="D16" i="36"/>
  <c r="B17" i="36"/>
  <c r="C6" i="5"/>
  <c r="C8" i="5" s="1"/>
  <c r="B15" i="34" s="1"/>
  <c r="G17" i="36" l="1"/>
  <c r="D17" i="36"/>
  <c r="F17" i="36" s="1"/>
  <c r="E15" i="34"/>
  <c r="D15" i="34"/>
  <c r="I17" i="36"/>
  <c r="B18" i="36"/>
  <c r="F16" i="36"/>
  <c r="G18" i="36" l="1"/>
  <c r="I18" i="36" s="1"/>
  <c r="D18" i="36"/>
  <c r="B19" i="36"/>
  <c r="D19" i="36" l="1"/>
  <c r="F19" i="36" s="1"/>
  <c r="G19" i="36"/>
  <c r="I19" i="36" s="1"/>
  <c r="F18" i="36"/>
  <c r="B20" i="36"/>
  <c r="G20" i="36" l="1"/>
  <c r="I20" i="36" s="1"/>
  <c r="D20" i="36"/>
  <c r="F20" i="36" s="1"/>
  <c r="B21" i="36"/>
  <c r="G21" i="36" l="1"/>
  <c r="I21" i="36" s="1"/>
  <c r="D21" i="36"/>
  <c r="B22" i="36"/>
  <c r="G22" i="36" l="1"/>
  <c r="I22" i="36" s="1"/>
  <c r="D22" i="36"/>
  <c r="F22" i="36" s="1"/>
  <c r="F21" i="36"/>
  <c r="B23" i="36"/>
  <c r="G23" i="36" l="1"/>
  <c r="I23" i="36" s="1"/>
  <c r="D23" i="36"/>
  <c r="F23" i="36" s="1"/>
  <c r="B24" i="36"/>
  <c r="G24" i="36" l="1"/>
  <c r="I24" i="36" s="1"/>
  <c r="D24" i="36"/>
  <c r="F24" i="36" s="1"/>
  <c r="B25" i="36"/>
  <c r="G25" i="36" l="1"/>
  <c r="I25" i="36" s="1"/>
  <c r="D25" i="36"/>
  <c r="F25" i="36" s="1"/>
  <c r="B26" i="36"/>
  <c r="G26" i="36" l="1"/>
  <c r="I26" i="36" s="1"/>
  <c r="D26" i="36"/>
  <c r="F26" i="36" s="1"/>
  <c r="B27" i="36"/>
  <c r="G27" i="36" l="1"/>
  <c r="I27" i="36" s="1"/>
  <c r="D27" i="36"/>
  <c r="F27" i="36" s="1"/>
  <c r="B28" i="36"/>
  <c r="D28" i="36" s="1"/>
  <c r="I28" i="36" l="1"/>
  <c r="D29" i="36"/>
  <c r="B15" i="1"/>
  <c r="C5" i="5"/>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D20" i="37" l="1"/>
  <c r="E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B6" i="36"/>
  <c r="D193" i="5" s="1"/>
  <c r="B7" i="34"/>
  <c r="B13" i="37"/>
  <c r="B13" i="11"/>
  <c r="F15" i="34" l="1"/>
  <c r="F25" i="34" s="1"/>
  <c r="D157" i="5"/>
  <c r="C13" i="11"/>
  <c r="D141" i="5"/>
  <c r="F20" i="37"/>
  <c r="B14" i="11"/>
  <c r="A4" i="2"/>
  <c r="C6" i="2"/>
  <c r="F13" i="2"/>
  <c r="F14" i="2"/>
  <c r="B99" i="54" l="1"/>
  <c r="B110" i="54" s="1"/>
  <c r="B121" i="54" s="1"/>
  <c r="C28" i="2"/>
  <c r="C35" i="2"/>
  <c r="C29" i="2"/>
  <c r="C36" i="2"/>
  <c r="C25" i="2"/>
  <c r="G15" i="34"/>
  <c r="F23" i="34"/>
  <c r="F18" i="34"/>
  <c r="F27" i="34"/>
  <c r="F20" i="34"/>
  <c r="F26" i="34"/>
  <c r="F21" i="34"/>
  <c r="F16" i="34"/>
  <c r="F22" i="34"/>
  <c r="F17" i="34"/>
  <c r="F24" i="34"/>
  <c r="F19" i="34"/>
  <c r="G20" i="37"/>
  <c r="F21" i="37"/>
  <c r="F23" i="37"/>
  <c r="F22" i="37"/>
  <c r="C14" i="11"/>
  <c r="D13" i="11"/>
  <c r="E13" i="11"/>
  <c r="D22" i="2"/>
  <c r="D6" i="2"/>
  <c r="E22" i="2"/>
  <c r="F15" i="2"/>
  <c r="B15" i="11"/>
  <c r="C22" i="2"/>
  <c r="B100" i="54" l="1"/>
  <c r="B111" i="54" s="1"/>
  <c r="B122" i="54" s="1"/>
  <c r="D36" i="2"/>
  <c r="D25" i="2"/>
  <c r="D28" i="2"/>
  <c r="D35" i="2"/>
  <c r="D29" i="2"/>
  <c r="C15" i="11"/>
  <c r="D14" i="11"/>
  <c r="E14" i="11"/>
  <c r="E6" i="2"/>
  <c r="B101" i="54" s="1"/>
  <c r="B112" i="54" s="1"/>
  <c r="B123" i="54" s="1"/>
  <c r="D15" i="11" l="1"/>
  <c r="E15" i="11"/>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B17" i="34"/>
  <c r="B13" i="10"/>
  <c r="D135" i="5" s="1"/>
  <c r="B15" i="4"/>
  <c r="C15" i="4" s="1"/>
  <c r="B9" i="59" s="1"/>
  <c r="B17" i="8"/>
  <c r="F13" i="10" l="1"/>
  <c r="C5" i="10"/>
  <c r="D17" i="34"/>
  <c r="E17" i="34"/>
  <c r="E13" i="10"/>
  <c r="D13" i="10"/>
  <c r="G16" i="34"/>
  <c r="H16" i="34" s="1"/>
  <c r="B14" i="10"/>
  <c r="D14" i="10" s="1"/>
  <c r="B16" i="4"/>
  <c r="B17" i="4" s="1"/>
  <c r="B18" i="4" s="1"/>
  <c r="C13" i="45"/>
  <c r="E13" i="45" s="1"/>
  <c r="F13" i="45" s="1"/>
  <c r="L11" i="11"/>
  <c r="B18" i="34"/>
  <c r="B18" i="8"/>
  <c r="B18" i="7"/>
  <c r="F16" i="10" l="1"/>
  <c r="F20" i="10"/>
  <c r="F24" i="10"/>
  <c r="F15" i="10"/>
  <c r="F23" i="10"/>
  <c r="F17" i="10"/>
  <c r="F21" i="10"/>
  <c r="F25" i="10"/>
  <c r="F18" i="10"/>
  <c r="F22" i="10"/>
  <c r="F14" i="10"/>
  <c r="F19" i="10"/>
  <c r="N13" i="45"/>
  <c r="E15" i="45"/>
  <c r="F15" i="45" s="1"/>
  <c r="N15" i="45" s="1"/>
  <c r="D27" i="6" s="1"/>
  <c r="E14" i="45"/>
  <c r="F14" i="45" s="1"/>
  <c r="N14" i="45" s="1"/>
  <c r="D26" i="6" s="1"/>
  <c r="E18" i="34"/>
  <c r="D18" i="34"/>
  <c r="G13" i="10"/>
  <c r="H13" i="10" s="1"/>
  <c r="C15" i="45"/>
  <c r="C14" i="45"/>
  <c r="G17" i="34"/>
  <c r="H17" i="34" s="1"/>
  <c r="B15" i="10"/>
  <c r="D15" i="10" s="1"/>
  <c r="E14" i="10"/>
  <c r="F12" i="6"/>
  <c r="L12" i="6" s="1"/>
  <c r="N12" i="6" s="1"/>
  <c r="D18" i="7"/>
  <c r="E18" i="7" s="1"/>
  <c r="L12" i="11"/>
  <c r="B19" i="34"/>
  <c r="B19" i="8"/>
  <c r="L14" i="6" l="1"/>
  <c r="L13" i="6"/>
  <c r="L15" i="6"/>
  <c r="K18" i="7"/>
  <c r="N18" i="7" s="1"/>
  <c r="E19" i="7"/>
  <c r="E20" i="7"/>
  <c r="K20" i="7" s="1"/>
  <c r="N20" i="7" s="1"/>
  <c r="N17" i="45"/>
  <c r="D25" i="6"/>
  <c r="D29" i="6" s="1"/>
  <c r="E19" i="34"/>
  <c r="D19" i="34"/>
  <c r="G14" i="10"/>
  <c r="H14" i="10" s="1"/>
  <c r="F13" i="6"/>
  <c r="G18" i="34"/>
  <c r="H18" i="34" s="1"/>
  <c r="B16" i="10"/>
  <c r="D16" i="10" s="1"/>
  <c r="E15" i="10"/>
  <c r="F15" i="6"/>
  <c r="F14" i="6"/>
  <c r="D20" i="7"/>
  <c r="D19" i="7"/>
  <c r="L13" i="11"/>
  <c r="B20" i="34"/>
  <c r="K19" i="7" l="1"/>
  <c r="N19" i="7" s="1"/>
  <c r="N22" i="7" s="1"/>
  <c r="F25" i="6"/>
  <c r="D20" i="34"/>
  <c r="E20" i="34"/>
  <c r="G15" i="10"/>
  <c r="H15" i="10" s="1"/>
  <c r="G19" i="34"/>
  <c r="H19" i="34" s="1"/>
  <c r="B17" i="10"/>
  <c r="D17" i="10" s="1"/>
  <c r="E16" i="10"/>
  <c r="L14" i="11"/>
  <c r="B21" i="34"/>
  <c r="J25" i="6" l="1"/>
  <c r="E21" i="34"/>
  <c r="D21" i="34"/>
  <c r="G16" i="10"/>
  <c r="H16" i="10" s="1"/>
  <c r="G20" i="34"/>
  <c r="H20" i="34" s="1"/>
  <c r="B18" i="10"/>
  <c r="D18" i="10" s="1"/>
  <c r="E17" i="10"/>
  <c r="L15" i="11"/>
  <c r="B22" i="34"/>
  <c r="E22" i="34" l="1"/>
  <c r="D22" i="34"/>
  <c r="G17" i="10"/>
  <c r="H17" i="10" s="1"/>
  <c r="G21" i="34"/>
  <c r="H21" i="34" s="1"/>
  <c r="B19" i="10"/>
  <c r="D19" i="10" s="1"/>
  <c r="E18" i="10"/>
  <c r="L16" i="11"/>
  <c r="B23" i="34"/>
  <c r="B12" i="6"/>
  <c r="B25" i="6" l="1"/>
  <c r="H12" i="6"/>
  <c r="J12" i="6"/>
  <c r="E23" i="34"/>
  <c r="D23" i="34"/>
  <c r="G18" i="10"/>
  <c r="H18" i="10" s="1"/>
  <c r="G22" i="34"/>
  <c r="H22" i="34" s="1"/>
  <c r="B20" i="10"/>
  <c r="D20" i="10" s="1"/>
  <c r="E19" i="10"/>
  <c r="L17" i="11"/>
  <c r="B24" i="34"/>
  <c r="B13" i="6"/>
  <c r="H13" i="6" s="1"/>
  <c r="J13" i="6" l="1"/>
  <c r="N13" i="6" s="1"/>
  <c r="B26" i="6"/>
  <c r="D24" i="34"/>
  <c r="E24" i="34"/>
  <c r="G19" i="10"/>
  <c r="H19" i="10" s="1"/>
  <c r="G23" i="34"/>
  <c r="H23" i="34" s="1"/>
  <c r="B21" i="10"/>
  <c r="D21" i="10" s="1"/>
  <c r="E20" i="10"/>
  <c r="L18" i="11"/>
  <c r="B25" i="34"/>
  <c r="B14" i="6"/>
  <c r="H14" i="6" s="1"/>
  <c r="I11" i="4"/>
  <c r="I12" i="4" l="1"/>
  <c r="J14" i="6"/>
  <c r="N14" i="6" s="1"/>
  <c r="B27" i="6"/>
  <c r="E25" i="34"/>
  <c r="D25" i="34"/>
  <c r="G20" i="10"/>
  <c r="H20" i="10" s="1"/>
  <c r="G24" i="34"/>
  <c r="H24" i="34" s="1"/>
  <c r="B22" i="10"/>
  <c r="D22" i="10" s="1"/>
  <c r="E21" i="10"/>
  <c r="H20" i="37"/>
  <c r="L19" i="11"/>
  <c r="B26" i="34"/>
  <c r="B15" i="6"/>
  <c r="B28" i="6" l="1"/>
  <c r="J15" i="6"/>
  <c r="J16" i="6" s="1"/>
  <c r="H15" i="6"/>
  <c r="I13" i="4"/>
  <c r="D26" i="34"/>
  <c r="E26" i="34"/>
  <c r="G21" i="10"/>
  <c r="H21" i="10" s="1"/>
  <c r="B27" i="34"/>
  <c r="G25" i="34"/>
  <c r="H25" i="34" s="1"/>
  <c r="B23" i="10"/>
  <c r="D23" i="10" s="1"/>
  <c r="E22" i="10"/>
  <c r="H21" i="37"/>
  <c r="L20" i="11"/>
  <c r="I14" i="4" l="1"/>
  <c r="E27" i="34"/>
  <c r="D27" i="34"/>
  <c r="G22" i="10"/>
  <c r="H22" i="10" s="1"/>
  <c r="N15" i="6"/>
  <c r="N16" i="6" s="1"/>
  <c r="G26" i="34"/>
  <c r="H26" i="34" s="1"/>
  <c r="B24" i="10"/>
  <c r="D24" i="10" s="1"/>
  <c r="E23" i="10"/>
  <c r="G25" i="37"/>
  <c r="H22" i="37"/>
  <c r="L21" i="11"/>
  <c r="I15" i="4" l="1"/>
  <c r="J28" i="6"/>
  <c r="D18" i="4" s="1"/>
  <c r="F18" i="4" s="1"/>
  <c r="G23" i="10"/>
  <c r="H23" i="10" s="1"/>
  <c r="G27" i="34"/>
  <c r="G29" i="34" s="1"/>
  <c r="B25" i="10"/>
  <c r="E24" i="10"/>
  <c r="H23" i="37"/>
  <c r="G27" i="37" s="1"/>
  <c r="I16" i="4" l="1"/>
  <c r="E25" i="10"/>
  <c r="D25" i="10"/>
  <c r="D10" i="9"/>
  <c r="G24" i="10"/>
  <c r="H24" i="10" s="1"/>
  <c r="H27" i="34"/>
  <c r="G31" i="34" l="1"/>
  <c r="D11" i="9" s="1"/>
  <c r="I17" i="4"/>
  <c r="G25" i="10"/>
  <c r="G27" i="10" s="1"/>
  <c r="I18" i="4" l="1"/>
  <c r="H25" i="10"/>
  <c r="G29" i="10" s="1"/>
  <c r="I19" i="4" l="1"/>
  <c r="D9" i="9"/>
  <c r="D13" i="9" l="1"/>
  <c r="E12" i="58" s="1"/>
  <c r="B147" i="5" s="1"/>
  <c r="B14" i="58" s="1"/>
  <c r="I20" i="4"/>
  <c r="I21" i="4" l="1"/>
  <c r="I22" i="4" l="1"/>
  <c r="F12" i="11" l="1"/>
  <c r="F13" i="11"/>
  <c r="F14" i="11"/>
  <c r="F15" i="11"/>
  <c r="I15" i="3"/>
  <c r="I16" i="3" l="1"/>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9" i="7"/>
  <c r="B20" i="7" s="1"/>
  <c r="G23" i="1" l="1"/>
  <c r="G27" i="59" s="1"/>
  <c r="E27" i="59"/>
  <c r="A41" i="33"/>
  <c r="F24" i="1"/>
  <c r="J23" i="1" l="1"/>
  <c r="K23" i="1"/>
  <c r="I27" i="59" s="1"/>
  <c r="G24" i="1"/>
  <c r="G29" i="59" s="1"/>
  <c r="E29" i="59"/>
  <c r="A42" i="33"/>
  <c r="F25" i="1"/>
  <c r="G25" i="1" l="1"/>
  <c r="G31" i="59" s="1"/>
  <c r="E31" i="59"/>
  <c r="J24" i="1"/>
  <c r="K24" i="1"/>
  <c r="I29" i="59" s="1"/>
  <c r="A43" i="33"/>
  <c r="E17" i="4"/>
  <c r="E16" i="4"/>
  <c r="E15" i="4"/>
  <c r="J25" i="1" l="1"/>
  <c r="C15" i="39" s="1"/>
  <c r="D15" i="55" s="1"/>
  <c r="K25" i="1"/>
  <c r="I31" i="59" s="1"/>
  <c r="A44" i="33"/>
  <c r="O92" i="14"/>
  <c r="K92" i="14"/>
  <c r="K50" i="14"/>
  <c r="K42" i="14"/>
  <c r="K32" i="14"/>
  <c r="K35" i="14"/>
  <c r="K51" i="14" l="1"/>
  <c r="K53" i="14"/>
  <c r="A45" i="33"/>
  <c r="F17" i="3"/>
  <c r="F38" i="1"/>
  <c r="G41" i="15"/>
  <c r="G42" i="15"/>
  <c r="G43" i="15"/>
  <c r="G44" i="15"/>
  <c r="G47" i="15"/>
  <c r="G48" i="15"/>
  <c r="G49" i="15"/>
  <c r="G50" i="15"/>
  <c r="G51" i="15"/>
  <c r="O26" i="14"/>
  <c r="O32" i="14"/>
  <c r="O59" i="14" s="1"/>
  <c r="O33" i="14"/>
  <c r="O35" i="14"/>
  <c r="A98" i="14"/>
  <c r="A8" i="1"/>
  <c r="O73" i="14" l="1"/>
  <c r="O66" i="14"/>
  <c r="A46" i="33"/>
  <c r="F39" i="1"/>
  <c r="A47" i="33" l="1"/>
  <c r="A48" i="33" s="1"/>
  <c r="F25" i="3"/>
  <c r="F52" i="3"/>
  <c r="F40" i="1"/>
  <c r="A49" i="33" l="1"/>
  <c r="A50" i="33" s="1"/>
  <c r="F54" i="3"/>
  <c r="F41" i="1"/>
  <c r="A51" i="33" l="1"/>
  <c r="A52" i="33" s="1"/>
  <c r="A53" i="33" s="1"/>
  <c r="A54" i="33" s="1"/>
  <c r="A55" i="33" s="1"/>
  <c r="A56" i="33" s="1"/>
  <c r="A57" i="33" s="1"/>
  <c r="A58" i="33" s="1"/>
  <c r="A59" i="33" s="1"/>
  <c r="A60" i="33" s="1"/>
  <c r="A61" i="33" s="1"/>
  <c r="A62" i="33" s="1"/>
  <c r="A63" i="33" s="1"/>
  <c r="G28" i="15"/>
  <c r="G30" i="15" s="1"/>
  <c r="G28" i="53"/>
  <c r="G30" i="53" s="1"/>
  <c r="A64" i="33" l="1"/>
  <c r="A65" i="33" l="1"/>
  <c r="A66" i="33" s="1"/>
  <c r="A67" i="33" s="1"/>
  <c r="A68" i="33" s="1"/>
  <c r="A69" i="33" s="1"/>
  <c r="A70" i="33" s="1"/>
  <c r="A71" i="33" s="1"/>
  <c r="A72" i="33" s="1"/>
  <c r="A73" i="33" s="1"/>
  <c r="A74" i="33" s="1"/>
  <c r="A75" i="33" s="1"/>
  <c r="A76" i="33" l="1"/>
  <c r="D21" i="12"/>
  <c r="C21" i="12"/>
  <c r="A77" i="33" l="1"/>
  <c r="C23" i="12"/>
  <c r="E12" i="56" s="1"/>
  <c r="J48" i="1"/>
  <c r="E21" i="12"/>
  <c r="F40" i="3"/>
  <c r="D23" i="12"/>
  <c r="E15" i="39" l="1"/>
  <c r="J15" i="55" s="1"/>
  <c r="E205" i="5"/>
  <c r="E17" i="39" s="1"/>
  <c r="J17" i="55" s="1"/>
  <c r="C26" i="2"/>
  <c r="C33" i="2"/>
  <c r="C34" i="2" s="1"/>
  <c r="P15" i="3"/>
  <c r="A78" i="33"/>
  <c r="N11" i="4"/>
  <c r="N15" i="3"/>
  <c r="P16" i="3"/>
  <c r="C30" i="2"/>
  <c r="C39" i="2" s="1"/>
  <c r="P11" i="4"/>
  <c r="E13" i="56"/>
  <c r="E14" i="56" s="1"/>
  <c r="H13" i="56"/>
  <c r="H14" i="56" s="1"/>
  <c r="K48" i="1"/>
  <c r="K58" i="1" s="1"/>
  <c r="J58" i="1"/>
  <c r="E23" i="12"/>
  <c r="B8" i="56" l="1"/>
  <c r="D26" i="2"/>
  <c r="A79" i="33"/>
  <c r="N13" i="4" s="1"/>
  <c r="N12" i="4"/>
  <c r="N16" i="3"/>
  <c r="D33" i="2"/>
  <c r="N17" i="3"/>
  <c r="C37" i="2"/>
  <c r="D32" i="2" s="1"/>
  <c r="P12" i="4"/>
  <c r="D34" i="2" l="1"/>
  <c r="D37" i="2" s="1"/>
  <c r="E32" i="2" s="1"/>
  <c r="A80" i="33"/>
  <c r="N14" i="4"/>
  <c r="P14" i="4"/>
  <c r="P17" i="3"/>
  <c r="N18" i="3"/>
  <c r="D30" i="2"/>
  <c r="P13" i="4"/>
  <c r="K17" i="3"/>
  <c r="J15" i="3"/>
  <c r="J16" i="3"/>
  <c r="J17" i="3"/>
  <c r="K15" i="3"/>
  <c r="Q15" i="3" s="1"/>
  <c r="J18" i="3"/>
  <c r="K18" i="3"/>
  <c r="K16" i="3"/>
  <c r="Q16" i="3" s="1"/>
  <c r="C16" i="4"/>
  <c r="C17" i="4" s="1"/>
  <c r="Q17" i="3" l="1"/>
  <c r="A81" i="33"/>
  <c r="P18" i="3"/>
  <c r="Q18" i="3" s="1"/>
  <c r="N19" i="3"/>
  <c r="N15" i="4"/>
  <c r="D39" i="2"/>
  <c r="L16" i="3"/>
  <c r="O16" i="3"/>
  <c r="O17" i="3"/>
  <c r="L17" i="3"/>
  <c r="O15" i="3"/>
  <c r="L15" i="3"/>
  <c r="L18" i="3"/>
  <c r="O18" i="3"/>
  <c r="C25" i="10"/>
  <c r="A82" i="33" l="1"/>
  <c r="K19" i="3"/>
  <c r="P15" i="4"/>
  <c r="P20" i="3"/>
  <c r="K20" i="3"/>
  <c r="P19" i="3"/>
  <c r="J20" i="3"/>
  <c r="P16" i="4"/>
  <c r="J19" i="3"/>
  <c r="F27" i="6"/>
  <c r="J27" i="6" s="1"/>
  <c r="F26" i="6"/>
  <c r="F29" i="6" l="1"/>
  <c r="J26" i="6"/>
  <c r="J29" i="6" s="1"/>
  <c r="D17" i="4"/>
  <c r="Q20" i="3"/>
  <c r="Q19" i="3"/>
  <c r="A83" i="33"/>
  <c r="O19" i="3"/>
  <c r="L19" i="3"/>
  <c r="L20" i="3"/>
  <c r="D16" i="4"/>
  <c r="F16" i="4" s="1"/>
  <c r="A84" i="33" l="1"/>
  <c r="P21" i="3"/>
  <c r="J21" i="3"/>
  <c r="K22" i="3"/>
  <c r="J22" i="3"/>
  <c r="K21" i="3"/>
  <c r="D15" i="4"/>
  <c r="F17" i="4"/>
  <c r="Q21" i="3" l="1"/>
  <c r="L21" i="3"/>
  <c r="L22" i="3"/>
  <c r="A85" i="33"/>
  <c r="F15" i="4"/>
  <c r="A86" i="33" l="1"/>
  <c r="G13" i="11"/>
  <c r="H13" i="11" s="1"/>
  <c r="G14" i="11"/>
  <c r="H14" i="11" s="1"/>
  <c r="G15" i="11"/>
  <c r="H15" i="11" s="1"/>
  <c r="K24" i="3"/>
  <c r="J24" i="3"/>
  <c r="K23" i="3"/>
  <c r="P24" i="3"/>
  <c r="N20" i="4"/>
  <c r="J23" i="3"/>
  <c r="I14" i="11" l="1"/>
  <c r="K40" i="1" s="1"/>
  <c r="J40" i="1"/>
  <c r="Q24" i="3"/>
  <c r="I13" i="11"/>
  <c r="K39" i="1" s="1"/>
  <c r="J39" i="1"/>
  <c r="N17" i="11"/>
  <c r="N18" i="11"/>
  <c r="N12" i="11"/>
  <c r="A87" i="33"/>
  <c r="N14" i="11"/>
  <c r="N11" i="11"/>
  <c r="N16" i="11"/>
  <c r="N10" i="11"/>
  <c r="N13" i="11"/>
  <c r="N19" i="11"/>
  <c r="N15" i="11"/>
  <c r="L23" i="3"/>
  <c r="L24" i="3"/>
  <c r="J41" i="1"/>
  <c r="I15" i="11"/>
  <c r="K41" i="1" s="1"/>
  <c r="D11" i="59"/>
  <c r="B69" i="5" s="1"/>
  <c r="B13" i="59" s="1"/>
  <c r="M13" i="11" l="1"/>
  <c r="K12" i="4"/>
  <c r="Q12" i="4" s="1"/>
  <c r="O12" i="11"/>
  <c r="K15" i="4"/>
  <c r="Q15" i="4" s="1"/>
  <c r="O14" i="11"/>
  <c r="J14" i="4"/>
  <c r="O13" i="11"/>
  <c r="O17" i="11"/>
  <c r="J12" i="4"/>
  <c r="O15" i="11"/>
  <c r="J16" i="4"/>
  <c r="M14" i="11"/>
  <c r="K17" i="4"/>
  <c r="O16" i="11"/>
  <c r="J15" i="4"/>
  <c r="K18" i="4"/>
  <c r="K14" i="4"/>
  <c r="Q14" i="4" s="1"/>
  <c r="J11" i="4"/>
  <c r="M15" i="11"/>
  <c r="K11" i="4"/>
  <c r="Q11" i="4" s="1"/>
  <c r="K13" i="4"/>
  <c r="Q13" i="4" s="1"/>
  <c r="M11" i="11"/>
  <c r="M17" i="11"/>
  <c r="J18" i="4"/>
  <c r="M16" i="11"/>
  <c r="M10" i="11"/>
  <c r="J17" i="4"/>
  <c r="K16" i="4"/>
  <c r="Q16" i="4" s="1"/>
  <c r="O11" i="11"/>
  <c r="O10" i="11"/>
  <c r="M12" i="11"/>
  <c r="J13" i="4"/>
  <c r="K19" i="4"/>
  <c r="K20" i="4"/>
  <c r="O21" i="11"/>
  <c r="M19" i="11"/>
  <c r="A88" i="33"/>
  <c r="A89" i="33" s="1"/>
  <c r="A90" i="33" s="1"/>
  <c r="A91" i="33" s="1"/>
  <c r="M20" i="11"/>
  <c r="O18" i="11"/>
  <c r="K21" i="4"/>
  <c r="K22" i="4"/>
  <c r="J20" i="4"/>
  <c r="J22" i="4"/>
  <c r="O20" i="11"/>
  <c r="J19" i="4"/>
  <c r="M21" i="11"/>
  <c r="J21" i="4"/>
  <c r="O19" i="11"/>
  <c r="M18" i="11"/>
  <c r="K26" i="3"/>
  <c r="J25" i="3"/>
  <c r="J26" i="3"/>
  <c r="K25" i="3"/>
  <c r="P12" i="11" l="1"/>
  <c r="P16" i="11"/>
  <c r="P11" i="11"/>
  <c r="P13" i="11"/>
  <c r="P14" i="11"/>
  <c r="P17" i="11"/>
  <c r="P15" i="11"/>
  <c r="P10" i="11"/>
  <c r="L22" i="4"/>
  <c r="L15" i="4"/>
  <c r="O15" i="4"/>
  <c r="L20" i="4"/>
  <c r="O20" i="4"/>
  <c r="P18" i="11"/>
  <c r="L19" i="4"/>
  <c r="E36" i="2"/>
  <c r="F36" i="2" s="1"/>
  <c r="E35" i="2"/>
  <c r="F35" i="2" s="1"/>
  <c r="E28" i="2"/>
  <c r="E29" i="2"/>
  <c r="E33" i="2" s="1"/>
  <c r="E34" i="2" s="1"/>
  <c r="E25" i="2"/>
  <c r="N16" i="4"/>
  <c r="O16" i="4" s="1"/>
  <c r="P22" i="3"/>
  <c r="Q22" i="3" s="1"/>
  <c r="N20" i="3"/>
  <c r="O20" i="3" s="1"/>
  <c r="N17" i="4"/>
  <c r="O17" i="4" s="1"/>
  <c r="N22" i="3"/>
  <c r="O22" i="3" s="1"/>
  <c r="P18" i="4"/>
  <c r="Q18" i="4" s="1"/>
  <c r="N18" i="4"/>
  <c r="O18" i="4" s="1"/>
  <c r="P17" i="4"/>
  <c r="N21" i="3"/>
  <c r="O21" i="3" s="1"/>
  <c r="P19" i="4"/>
  <c r="P23" i="3"/>
  <c r="Q23" i="3" s="1"/>
  <c r="P25" i="3"/>
  <c r="Q25" i="3" s="1"/>
  <c r="N23" i="3"/>
  <c r="O23" i="3" s="1"/>
  <c r="N25" i="3"/>
  <c r="O25" i="3" s="1"/>
  <c r="P21" i="4"/>
  <c r="Q21" i="4" s="1"/>
  <c r="N19" i="4"/>
  <c r="O19" i="4" s="1"/>
  <c r="N24" i="3"/>
  <c r="O24" i="3" s="1"/>
  <c r="P20" i="4"/>
  <c r="Q20" i="4" s="1"/>
  <c r="N26" i="3"/>
  <c r="O26" i="3" s="1"/>
  <c r="N22" i="4"/>
  <c r="N21" i="4"/>
  <c r="O21" i="4" s="1"/>
  <c r="P26" i="3"/>
  <c r="Q26" i="3" s="1"/>
  <c r="P22" i="4"/>
  <c r="Q22" i="4" s="1"/>
  <c r="N20" i="11"/>
  <c r="P20" i="11" s="1"/>
  <c r="N21" i="11"/>
  <c r="P21" i="11" s="1"/>
  <c r="Q19" i="4"/>
  <c r="L12" i="4"/>
  <c r="O12" i="4"/>
  <c r="L25" i="3"/>
  <c r="L21" i="4"/>
  <c r="L17" i="4"/>
  <c r="L16" i="4"/>
  <c r="O11" i="4"/>
  <c r="L11" i="4"/>
  <c r="O14" i="4"/>
  <c r="L14" i="4"/>
  <c r="L26" i="3"/>
  <c r="L28" i="3" s="1"/>
  <c r="P19" i="11"/>
  <c r="L13" i="4"/>
  <c r="O13" i="4"/>
  <c r="L18" i="4"/>
  <c r="L25" i="4" l="1"/>
  <c r="D27" i="4" s="1"/>
  <c r="P23" i="4"/>
  <c r="P23" i="11"/>
  <c r="G12" i="11" s="1"/>
  <c r="H12" i="11" s="1"/>
  <c r="F26" i="3"/>
  <c r="F27" i="3" s="1"/>
  <c r="N23" i="4"/>
  <c r="E26" i="2"/>
  <c r="Q17" i="4"/>
  <c r="P28" i="3"/>
  <c r="Q28" i="3" s="1"/>
  <c r="E37" i="2"/>
  <c r="O22" i="4"/>
  <c r="E30" i="2"/>
  <c r="D49" i="2"/>
  <c r="D50" i="2"/>
  <c r="D45" i="2"/>
  <c r="N25" i="4" l="1"/>
  <c r="O25" i="4" s="1"/>
  <c r="J22" i="1"/>
  <c r="J26" i="1" s="1"/>
  <c r="D28" i="4"/>
  <c r="F38" i="3"/>
  <c r="C66" i="2"/>
  <c r="E39" i="2"/>
  <c r="F39" i="2" s="1"/>
  <c r="F74" i="2" s="1"/>
  <c r="F30" i="2"/>
  <c r="I12" i="11"/>
  <c r="K38" i="1" s="1"/>
  <c r="K42" i="1" s="1"/>
  <c r="K57" i="1" s="1"/>
  <c r="H17" i="11"/>
  <c r="F39" i="3" s="1"/>
  <c r="J38" i="1"/>
  <c r="J42" i="1" s="1"/>
  <c r="J57" i="1" s="1"/>
  <c r="J55" i="1" l="1"/>
  <c r="C17" i="39"/>
  <c r="D17" i="55" s="1"/>
  <c r="D15" i="9"/>
  <c r="D17" i="9" s="1"/>
  <c r="I15" i="1"/>
  <c r="D66" i="2"/>
  <c r="E66" i="2"/>
  <c r="C42" i="2"/>
  <c r="C43" i="2"/>
  <c r="K22" i="1"/>
  <c r="E15" i="59"/>
  <c r="F41" i="3"/>
  <c r="M115" i="14" s="1"/>
  <c r="E43" i="2" l="1"/>
  <c r="E42" i="2"/>
  <c r="I25" i="59"/>
  <c r="I33" i="59" s="1"/>
  <c r="K26" i="1"/>
  <c r="K55" i="1" s="1"/>
  <c r="D43" i="2"/>
  <c r="D42" i="2"/>
  <c r="M126" i="14"/>
  <c r="M129" i="14"/>
  <c r="M123" i="14"/>
  <c r="M132" i="14"/>
  <c r="M124" i="14"/>
  <c r="M116" i="14"/>
  <c r="M118" i="14"/>
  <c r="C44" i="2"/>
  <c r="C48" i="2" s="1"/>
  <c r="C51" i="2" s="1"/>
  <c r="J32" i="1"/>
  <c r="D19" i="9"/>
  <c r="D15" i="39" l="1"/>
  <c r="D205" i="5"/>
  <c r="D17" i="39" s="1"/>
  <c r="F17" i="39" s="1"/>
  <c r="D44" i="2"/>
  <c r="D48" i="2" s="1"/>
  <c r="D51" i="2" s="1"/>
  <c r="D70" i="2" s="1"/>
  <c r="D53" i="2" s="1"/>
  <c r="D57" i="2" s="1"/>
  <c r="E44" i="2"/>
  <c r="E16" i="58"/>
  <c r="K32" i="1"/>
  <c r="K56" i="1" s="1"/>
  <c r="J56" i="1"/>
  <c r="C70" i="2"/>
  <c r="G15" i="55" l="1"/>
  <c r="F15" i="39"/>
  <c r="M15" i="55" s="1"/>
  <c r="D52" i="2"/>
  <c r="D54" i="2" s="1"/>
  <c r="G17" i="55"/>
  <c r="M17" i="55"/>
  <c r="C52" i="2"/>
  <c r="C53" i="2"/>
  <c r="C57" i="2" s="1"/>
  <c r="C58" i="2" s="1"/>
  <c r="C54" i="2" l="1"/>
  <c r="C71" i="2"/>
  <c r="C59" i="2" l="1"/>
  <c r="C60" i="2"/>
  <c r="E50" i="2"/>
  <c r="F50" i="2" s="1"/>
  <c r="E49" i="2"/>
  <c r="F49" i="2" s="1"/>
  <c r="E45" i="2"/>
  <c r="E48" i="2" s="1"/>
  <c r="C63" i="2" l="1"/>
  <c r="C61" i="2"/>
  <c r="D56" i="2" s="1"/>
  <c r="D58" i="2" s="1"/>
  <c r="F48" i="2"/>
  <c r="E51" i="2"/>
  <c r="D71" i="2" l="1"/>
  <c r="F51" i="2"/>
  <c r="E70" i="2"/>
  <c r="D59" i="2" l="1"/>
  <c r="D60" i="2"/>
  <c r="E53" i="2"/>
  <c r="E52" i="2"/>
  <c r="D63" i="2" l="1"/>
  <c r="D61" i="2"/>
  <c r="E56" i="2" s="1"/>
  <c r="F52" i="2"/>
  <c r="E54" i="2"/>
  <c r="E57" i="2"/>
  <c r="F53" i="2"/>
  <c r="E58" i="2" l="1"/>
  <c r="E71" i="2" s="1"/>
  <c r="F54" i="2"/>
  <c r="E59" i="2" l="1"/>
  <c r="E60" i="2"/>
  <c r="F60" i="2" s="1"/>
  <c r="F59" i="2" l="1"/>
  <c r="F63" i="2" s="1"/>
  <c r="E61" i="2"/>
  <c r="E63" i="2"/>
  <c r="F77" i="2" l="1"/>
  <c r="I14" i="1"/>
  <c r="K16" i="1" l="1"/>
  <c r="K54" i="1" s="1"/>
  <c r="K59" i="1" s="1"/>
  <c r="M17" i="14" s="1"/>
  <c r="S17" i="14" s="1"/>
  <c r="J16" i="1"/>
  <c r="J54" i="1" s="1"/>
  <c r="J59" i="1" s="1"/>
  <c r="L11" i="44" l="1"/>
  <c r="N11" i="44" l="1"/>
  <c r="N19" i="44" s="1"/>
  <c r="N25" i="44" s="1"/>
  <c r="C39" i="44"/>
  <c r="C40" i="44" s="1"/>
  <c r="C30" i="44"/>
  <c r="M35" i="14"/>
  <c r="S35" i="14" s="1"/>
  <c r="M85" i="14"/>
  <c r="S85" i="14" s="1"/>
  <c r="M33" i="14"/>
  <c r="S33" i="14" s="1"/>
  <c r="M24" i="14"/>
  <c r="S24" i="14" s="1"/>
  <c r="M23" i="14"/>
  <c r="S23" i="14" s="1"/>
  <c r="M32" i="14"/>
  <c r="S32" i="14" s="1"/>
  <c r="M26" i="14"/>
  <c r="S26" i="14" s="1"/>
  <c r="M51" i="14"/>
  <c r="S51" i="14" s="1"/>
  <c r="M42" i="14"/>
  <c r="S42" i="14" s="1"/>
  <c r="M92" i="14"/>
  <c r="S92" i="14" s="1"/>
  <c r="M53" i="14"/>
  <c r="M59" i="14" s="1"/>
  <c r="S59" i="14" s="1"/>
  <c r="M41" i="14"/>
  <c r="S41" i="14" s="1"/>
  <c r="M44" i="14"/>
  <c r="S44" i="14" s="1"/>
  <c r="M50" i="14"/>
  <c r="S50" i="14" s="1"/>
  <c r="C33" i="44" l="1"/>
  <c r="C34" i="44"/>
  <c r="S53" i="14"/>
  <c r="M73" i="14"/>
  <c r="S73" i="14" s="1"/>
  <c r="M66" i="14"/>
  <c r="S66" i="14" s="1"/>
  <c r="C36" i="44"/>
  <c r="C37" i="44" s="1"/>
  <c r="N27" i="44"/>
  <c r="C42" i="44"/>
  <c r="C44" i="44" s="1"/>
  <c r="N29" i="44"/>
  <c r="U27"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Knoy, Jason</author>
  </authors>
  <commentList>
    <comment ref="A8" authorId="0" shapeId="0" xr:uid="{00000000-0006-0000-0500-000001000000}">
      <text>
        <r>
          <rPr>
            <sz val="9"/>
            <color indexed="81"/>
            <rFont val="Tahoma"/>
            <family val="2"/>
          </rPr>
          <t>Generally provided July-August timeframe and incorporated into November filing.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Dawn McGee</author>
    <author>Knoy, Jason</author>
  </authors>
  <commentList>
    <comment ref="M10" authorId="0" shapeId="0" xr:uid="{00000000-0006-0000-1800-000001000000}">
      <text>
        <r>
          <rPr>
            <sz val="9"/>
            <color indexed="81"/>
            <rFont val="Tahoma"/>
            <family val="2"/>
          </rPr>
          <t xml:space="preserve">Forecast Gas Supply 2012 MTP Gas Supply Composition Forecast, line named Customer Deliveries Sales plus Customer Delivery Sals Cane Run &amp; Mill Creek
</t>
        </r>
      </text>
    </comment>
    <comment ref="N10" authorId="0" shapeId="0" xr:uid="{00000000-0006-0000-1800-000002000000}">
      <text>
        <r>
          <rPr>
            <sz val="9"/>
            <color indexed="81"/>
            <rFont val="Tahoma"/>
            <family val="2"/>
          </rPr>
          <t xml:space="preserve">Forecast Gas Supply 2012 MTP Gas Supply Composition Forecast, line named Customer Deliveries Sales plus Customer Delivery Sals Cane Run &amp; Mill Creek
</t>
        </r>
      </text>
    </comment>
    <comment ref="O10" authorId="0" shapeId="0" xr:uid="{00000000-0006-0000-1800-000003000000}">
      <text>
        <r>
          <rPr>
            <sz val="9"/>
            <color indexed="81"/>
            <rFont val="Tahoma"/>
            <family val="2"/>
          </rPr>
          <t xml:space="preserve">Forecast Gas Purchases and End-User Transportation Throughput
</t>
        </r>
      </text>
    </comment>
    <comment ref="D12" authorId="1" shapeId="0" xr:uid="{00000000-0006-0000-1800-000004000000}">
      <text>
        <r>
          <rPr>
            <sz val="9"/>
            <color indexed="81"/>
            <rFont val="Tahoma"/>
            <family val="2"/>
          </rPr>
          <t>Exhibit 21 from Clay's memo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Knoy, Jason</author>
    <author>McGee, Dawn</author>
  </authors>
  <commentList>
    <comment ref="K14" authorId="0" shapeId="0" xr:uid="{00000000-0006-0000-1B00-000001000000}">
      <text>
        <r>
          <rPr>
            <sz val="9"/>
            <color indexed="81"/>
            <rFont val="Tahoma"/>
            <family val="2"/>
          </rPr>
          <t>Comes from case for first month schedule E-1 1 of 2</t>
        </r>
      </text>
    </comment>
    <comment ref="E16" authorId="1" shapeId="0" xr:uid="{00000000-0006-0000-1B00-000002000000}">
      <text>
        <r>
          <rPr>
            <sz val="9"/>
            <color indexed="81"/>
            <rFont val="Tahoma"/>
            <family val="2"/>
          </rPr>
          <t>Combined Demand and Commodity Factor from expired PBR factor.  Refer to case identified in cell B6, Exhibit E-1 1 of 2.</t>
        </r>
      </text>
    </comment>
    <comment ref="H16" authorId="1" shapeId="0" xr:uid="{00000000-0006-0000-1B00-000003000000}">
      <text>
        <r>
          <rPr>
            <sz val="9"/>
            <color indexed="81"/>
            <rFont val="Tahoma"/>
            <family val="2"/>
          </rPr>
          <t>Demand factor only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Knoy, Jason</author>
  </authors>
  <commentList>
    <comment ref="B15" authorId="0" shapeId="0" xr:uid="{00000000-0006-0000-1C00-000001000000}">
      <text>
        <r>
          <rPr>
            <sz val="9"/>
            <color indexed="81"/>
            <rFont val="Tahoma"/>
            <family val="2"/>
          </rPr>
          <t>Changes every november filing</t>
        </r>
      </text>
    </comment>
  </commentList>
</comments>
</file>

<file path=xl/sharedStrings.xml><?xml version="1.0" encoding="utf-8"?>
<sst xmlns="http://schemas.openxmlformats.org/spreadsheetml/2006/main" count="1538" uniqueCount="826">
  <si>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</si>
  <si>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</si>
  <si>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</si>
  <si>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</si>
  <si>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</si>
  <si>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</si>
  <si>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</si>
  <si>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</si>
  <si>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</si>
  <si>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</si>
  <si>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</si>
  <si>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</si>
  <si>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</si>
  <si>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</si>
  <si>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</si>
  <si>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</si>
  <si>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</si>
  <si>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</si>
  <si>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</si>
  <si>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</si>
  <si>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</si>
  <si>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</si>
  <si>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</si>
  <si>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</si>
  <si>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</si>
  <si>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</si>
  <si>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</si>
  <si>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</si>
  <si>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</si>
  <si>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</si>
  <si>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</si>
  <si>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</si>
  <si>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</si>
  <si>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</si>
  <si>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</si>
  <si>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</si>
  <si>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</si>
  <si>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</si>
  <si>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</si>
  <si>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</si>
  <si>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</si>
  <si>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</si>
  <si>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</si>
  <si>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</si>
  <si>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</si>
  <si>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</si>
  <si>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</si>
  <si>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</si>
  <si>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</si>
  <si>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</si>
  <si>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</si>
  <si>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</si>
  <si>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</si>
  <si>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</si>
  <si>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</si>
  <si>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</si>
  <si>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</si>
  <si>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</si>
  <si>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</si>
  <si>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</si>
  <si>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</si>
  <si>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</si>
  <si>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</si>
  <si>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</si>
  <si>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</si>
  <si>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</si>
  <si>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</si>
  <si>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</si>
  <si>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</si>
  <si>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</si>
  <si>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</si>
  <si>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</si>
  <si>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</si>
  <si>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</si>
  <si>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</si>
  <si>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</si>
  <si>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</si>
  <si>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</si>
  <si>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</si>
  <si>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</si>
  <si>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</si>
  <si>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</si>
  <si>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</si>
  <si>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</si>
  <si>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</si>
  <si>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</si>
  <si>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</si>
  <si>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</si>
  <si>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</si>
  <si>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</si>
  <si>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</si>
  <si>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</si>
  <si>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</si>
  <si>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</si>
  <si>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</si>
  <si>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</si>
  <si>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</si>
  <si>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</si>
  <si>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</si>
  <si>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</si>
  <si>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</si>
  <si>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</si>
  <si>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</si>
  <si>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</si>
  <si>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</si>
  <si>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</si>
  <si>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</si>
  <si>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</si>
  <si>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</si>
  <si>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</si>
  <si>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</si>
  <si>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</si>
  <si>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</si>
  <si>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</si>
  <si>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</si>
  <si>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</si>
  <si>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</si>
  <si>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</si>
  <si>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</si>
  <si>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</si>
  <si>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</si>
  <si>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</si>
  <si>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</si>
  <si>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</si>
  <si>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</si>
  <si>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</si>
  <si>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</si>
  <si>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</si>
  <si>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</si>
  <si>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</si>
  <si>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</si>
  <si>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</si>
  <si>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</si>
  <si>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</si>
  <si>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</si>
  <si>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</si>
  <si>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</si>
  <si>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</si>
  <si>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</si>
  <si>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</si>
  <si>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</si>
  <si>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</si>
  <si>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</si>
  <si>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</si>
  <si>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</si>
  <si>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</si>
  <si>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</si>
  <si>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</si>
  <si>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</si>
  <si>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</si>
  <si>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</si>
  <si>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</si>
  <si>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</si>
  <si>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</si>
  <si>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</si>
  <si>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</si>
  <si>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</si>
  <si>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</si>
  <si>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</si>
  <si>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</si>
  <si>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</si>
  <si>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L G &amp; E</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</si>
  <si>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</si>
  <si>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</si>
  <si>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</si>
  <si>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</si>
  <si>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</si>
  <si>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</si>
  <si>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</si>
  <si>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</si>
  <si>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</si>
  <si>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Mulitplied by</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</si>
  <si>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</si>
  <si>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</si>
  <si>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</si>
  <si>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</si>
  <si>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</si>
  <si>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</si>
  <si>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</si>
  <si>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</si>
  <si>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</si>
  <si>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</si>
  <si>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</si>
  <si>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</si>
  <si>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</si>
  <si>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</si>
  <si>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</si>
  <si>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</si>
  <si>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</si>
  <si>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</si>
  <si>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</si>
  <si>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</si>
  <si>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</si>
  <si>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</si>
  <si>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</si>
  <si>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</si>
  <si>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</si>
  <si>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</si>
  <si>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</si>
  <si>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</si>
  <si>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</si>
  <si>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</si>
  <si>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</si>
  <si>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</si>
  <si>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</si>
  <si>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</si>
  <si>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</si>
  <si>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</si>
  <si>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</si>
  <si>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</si>
  <si>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</si>
  <si>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</si>
  <si>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</si>
  <si>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</si>
  <si>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</si>
  <si>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</si>
  <si>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</si>
  <si>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</si>
  <si>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</si>
  <si>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</si>
  <si>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</si>
  <si>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</si>
  <si>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</si>
  <si>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</si>
  <si>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</si>
  <si>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</si>
  <si>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</si>
  <si>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</si>
  <si>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</si>
  <si>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</si>
  <si>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</si>
  <si>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</si>
  <si>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</si>
  <si>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</si>
  <si>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</si>
  <si>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</si>
  <si>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</si>
  <si>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</si>
  <si>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</si>
  <si>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</si>
  <si>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</si>
  <si>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</si>
  <si>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</si>
  <si>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</si>
  <si>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</si>
  <si>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Customer Deliveries Sales:  Cane Run &amp; Mill Creek</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</si>
  <si>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</si>
  <si>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</si>
  <si>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</si>
  <si>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</si>
  <si>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</si>
  <si>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</si>
  <si>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</si>
  <si>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</si>
  <si>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</si>
  <si>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</si>
  <si>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</si>
  <si>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</si>
  <si>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</si>
  <si>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</si>
  <si>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</si>
  <si>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</si>
  <si>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</si>
  <si>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</si>
  <si>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</si>
  <si>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</si>
  <si>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</si>
  <si>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</si>
  <si>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</si>
  <si>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</si>
  <si>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</si>
  <si>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</si>
  <si>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</si>
  <si>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</si>
  <si>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</si>
  <si>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</si>
  <si>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</si>
  <si>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</si>
  <si>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</si>
  <si>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</si>
  <si>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</si>
  <si>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</si>
  <si>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</si>
  <si>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</si>
  <si>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</si>
  <si>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</si>
  <si>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</si>
  <si>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</si>
  <si>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</si>
  <si>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</si>
  <si>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</si>
  <si>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</si>
  <si>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</si>
  <si>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</si>
  <si>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</si>
  <si>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</si>
  <si>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</si>
  <si>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</si>
  <si>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</si>
  <si>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</si>
  <si>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</si>
  <si>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</si>
  <si>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</si>
  <si>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</si>
  <si>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</si>
  <si>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</si>
  <si>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</si>
  <si>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</si>
  <si>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</si>
  <si>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</si>
  <si>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</si>
  <si>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</si>
  <si>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</si>
  <si>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</si>
  <si>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</si>
  <si>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</si>
  <si>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</si>
  <si>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</si>
  <si>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</si>
  <si>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</si>
  <si>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</si>
  <si>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</si>
  <si>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</si>
  <si>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</si>
  <si>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</si>
  <si>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</si>
  <si>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</si>
  <si>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</si>
  <si>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</si>
  <si>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</si>
  <si>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</si>
  <si>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</si>
  <si>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</si>
  <si>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</si>
  <si>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</si>
  <si>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</si>
  <si>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</si>
  <si>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</si>
  <si>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</si>
  <si>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</si>
  <si>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</si>
  <si>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</si>
  <si>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</si>
  <si>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</si>
  <si>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</si>
  <si>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</si>
  <si>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</si>
  <si>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</si>
  <si>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</si>
  <si>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</si>
  <si>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</si>
  <si>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</si>
  <si>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</si>
  <si>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</si>
  <si>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</si>
  <si>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</si>
  <si>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</si>
  <si>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</si>
  <si>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</si>
  <si>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</si>
  <si>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</si>
  <si>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</si>
  <si>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</si>
  <si>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</si>
  <si>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</si>
  <si>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</si>
  <si>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</si>
  <si>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</si>
  <si>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</si>
  <si>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</si>
  <si>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</si>
  <si>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</si>
  <si>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</si>
  <si>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</si>
  <si>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</si>
  <si>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</si>
  <si>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</si>
  <si>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</si>
  <si>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</si>
  <si>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</si>
  <si>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</si>
  <si>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</si>
  <si>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</si>
  <si>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</si>
  <si>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</si>
  <si>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</si>
  <si>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</si>
  <si>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</si>
  <si>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</si>
  <si>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</si>
  <si>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</si>
  <si>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</si>
  <si>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</si>
  <si>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</si>
  <si>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</si>
  <si>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</si>
  <si>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</si>
  <si>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</si>
  <si>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</si>
  <si>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</si>
  <si>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</si>
  <si>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</si>
  <si>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</si>
  <si>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</si>
  <si>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</si>
  <si>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</si>
  <si>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</si>
  <si>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</si>
  <si>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</si>
  <si>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</si>
  <si>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</si>
  <si>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</si>
  <si>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</si>
  <si>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</si>
  <si>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Paragraph 1</t>
  </si>
  <si>
    <t>Factor $ Change</t>
  </si>
  <si>
    <t>Paragraph 2</t>
  </si>
  <si>
    <t>Factor% Change</t>
  </si>
  <si>
    <t>Ave Charge</t>
  </si>
  <si>
    <t>% Change</t>
  </si>
  <si>
    <t>CY Rate</t>
  </si>
  <si>
    <t>Paragraph 4</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</si>
  <si>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</si>
  <si>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</si>
  <si>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</si>
  <si>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</si>
  <si>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</si>
  <si>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</si>
  <si>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</si>
  <si>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</si>
  <si>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</si>
  <si>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</si>
  <si>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</si>
  <si>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</si>
  <si>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</si>
  <si>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</si>
  <si>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missing data found and reported in later revised</t>
  </si>
  <si>
    <t xml:space="preserve">report. </t>
  </si>
  <si>
    <t>2014-00348</t>
  </si>
  <si>
    <t>2014-00475</t>
  </si>
  <si>
    <t>Rate FT Gas True-Up</t>
  </si>
  <si>
    <t>Charge Revenue</t>
  </si>
  <si>
    <t>2015-00105</t>
  </si>
  <si>
    <t>(8)=(2)+(3)+(4)+(5)+(6)+(7)</t>
  </si>
  <si>
    <t>(16)=(9)+(10)+(11)+(12)+(13)+(14)+(15)</t>
  </si>
  <si>
    <t>AAGS Interruption Penalty</t>
  </si>
  <si>
    <t>Balance to be transferred to Exhibit C-1, Page 1 of 3</t>
  </si>
  <si>
    <t>Expected  Annual  Deliveries from Pipeline Transporters in Mcf (incl Rider TS-2)</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</si>
  <si>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</si>
  <si>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</si>
  <si>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</si>
  <si>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</si>
  <si>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</si>
  <si>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</si>
  <si>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</si>
  <si>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</si>
  <si>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</si>
  <si>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</si>
  <si>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</si>
  <si>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</si>
  <si>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</si>
  <si>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</si>
  <si>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</si>
  <si>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</si>
  <si>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</si>
  <si>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</si>
  <si>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</si>
  <si>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</si>
  <si>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</si>
  <si>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</si>
  <si>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</si>
  <si>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</si>
  <si>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</si>
  <si>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</si>
  <si>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</si>
  <si>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</si>
  <si>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</si>
  <si>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</si>
  <si>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</si>
  <si>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</si>
  <si>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</si>
  <si>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</si>
  <si>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</si>
  <si>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</si>
  <si>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</si>
  <si>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</si>
  <si>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</si>
  <si>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</si>
  <si>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</si>
  <si>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</si>
  <si>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</si>
  <si>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</si>
  <si>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</si>
  <si>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</si>
  <si>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</si>
  <si>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</si>
  <si>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</si>
  <si>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</si>
  <si>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</si>
  <si>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</si>
  <si>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</si>
  <si>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</si>
  <si>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</si>
  <si>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</si>
  <si>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</si>
  <si>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</si>
  <si>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</si>
  <si>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</si>
  <si>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</si>
  <si>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</si>
  <si>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</si>
  <si>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</si>
  <si>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</si>
  <si>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</si>
  <si>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</si>
  <si>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</si>
  <si>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</si>
  <si>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</si>
  <si>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</si>
  <si>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</si>
  <si>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</si>
  <si>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</si>
  <si>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</si>
  <si>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</si>
  <si>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</si>
  <si>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</si>
  <si>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</si>
  <si>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</si>
  <si>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</si>
  <si>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</si>
  <si>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</si>
  <si>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</si>
  <si>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</si>
  <si>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</si>
  <si>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</si>
  <si>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</si>
  <si>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</si>
  <si>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</si>
  <si>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</si>
  <si>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</si>
  <si>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</si>
  <si>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</si>
  <si>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</si>
  <si>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</si>
  <si>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</si>
  <si>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</si>
  <si>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</si>
  <si>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</si>
  <si>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</si>
  <si>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</si>
  <si>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</si>
  <si>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</si>
  <si>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</si>
  <si>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</si>
  <si>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</si>
  <si>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</si>
  <si>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</si>
  <si>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</si>
  <si>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</si>
  <si>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Mcf of Gas Supply Expensed during Month  (Line 16 + Line 20 + Line 21)</t>
  </si>
  <si>
    <t>Total Demand Cost - Including Transportation  (Line 13 x Line 44)</t>
  </si>
  <si>
    <t xml:space="preserve">    Less:  Demand Cost Recovered thru Rate TS-2  (Line 12 x Line 44)</t>
  </si>
  <si>
    <t>Commodity Costs - Gas Supply Under NNS (South-to-North) (Line 1 x Line 45)</t>
  </si>
  <si>
    <t xml:space="preserve">    Plus:  Withdrawals from NNS Storage  (Line 5 x Line 45)</t>
  </si>
  <si>
    <t xml:space="preserve">    Less:  Purchases Injected into NNS Storage  (Line 6 x Line 45)</t>
  </si>
  <si>
    <t xml:space="preserve">    Plus:  LG&amp;E Storage Injections  (Line 35 above)</t>
  </si>
  <si>
    <t>Gas Supply Expenses  (Line 36 + Line 40 + Line 41)</t>
  </si>
  <si>
    <t>Average Cost of Deliveries  (Line 33 / Line 11)</t>
  </si>
  <si>
    <t>Average Cost of Inventory - Including Injections (Line 39 / Line 19)</t>
  </si>
  <si>
    <t>Current Gas Supply Cost (Line 43 / Line 50)</t>
  </si>
  <si>
    <t>Texas Gas Firm Transportation (Rate FT)</t>
  </si>
  <si>
    <t>Cash-Out Price as Decribed in Rate FT</t>
  </si>
  <si>
    <t>2016-00353</t>
  </si>
  <si>
    <t>2016-00137</t>
  </si>
  <si>
    <t>2016-00428</t>
  </si>
  <si>
    <t>As Determined in LG&amp;E's Annual PBR Filing</t>
  </si>
  <si>
    <t>Total Expected Monthly Deliveries from TGT/TGPL to LG&amp;E  (Line 11 + Line 12)</t>
  </si>
  <si>
    <t>Mcf Purchases Expensed during Month  (Line 11 - Line 14 - Line 15)</t>
  </si>
  <si>
    <t xml:space="preserve">    Plus:  Storage Injections into LG&amp;E's Underground Storage  (Line 15)</t>
  </si>
  <si>
    <t>Commodity Costs - Gas Supply Under Rate FT (North-to-South) (Line 2 x Line 46)</t>
  </si>
  <si>
    <t xml:space="preserve">    Less:  Purchases for Depts. Other Than Gas Dept.(Line 14 x Line 48)</t>
  </si>
  <si>
    <t xml:space="preserve">    Less:  Purchases Injected into LG&amp;E's Storage  (Line 15 x Line 48)</t>
  </si>
  <si>
    <t xml:space="preserve">    Less:  LG&amp;E Storage Withdrawals  (Line 20 x Line 49)</t>
  </si>
  <si>
    <t xml:space="preserve">    Less:  LG&amp;E Storage Losses  (Line 21 x Line 49)</t>
  </si>
  <si>
    <t>Total Annual Demand Costs (Line 5)</t>
  </si>
  <si>
    <t>Average Demand Cost (Line 8)</t>
  </si>
  <si>
    <t>Commodity Cost (per MMBtu) under Tenn. Gas's Rate FT-A (Zone 0-2)</t>
  </si>
  <si>
    <t>Commodity Costs - Gas Supply Under Rate FT-A (Zone 0-2) (Line 3 x Line 47)</t>
  </si>
  <si>
    <t>Average Demand Cost per Mcf (Line 6 / Line 7)</t>
  </si>
  <si>
    <t>UCDI Charge (Line 13/Line 14/365 days)</t>
  </si>
  <si>
    <t>2017-00131</t>
  </si>
  <si>
    <t>CHANGES EVERY YEAR - USUALLY IN JULY OR AUGUST - ASK GAS SUPPLY FOR SEGMENT IN EXCEL</t>
  </si>
  <si>
    <t>2017-00235</t>
  </si>
  <si>
    <t>Intra Company</t>
  </si>
  <si>
    <t>PROJECTS</t>
  </si>
  <si>
    <t>TRANSMISSION</t>
  </si>
  <si>
    <t xml:space="preserve">  Gas Line Tracker Transmission Projects / Mcf Delivered</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</si>
  <si>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</si>
  <si>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</si>
  <si>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</si>
  <si>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</si>
  <si>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</si>
  <si>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</si>
  <si>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</si>
  <si>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</si>
  <si>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</si>
  <si>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</si>
  <si>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</si>
  <si>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</si>
  <si>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</si>
  <si>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</si>
  <si>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</si>
  <si>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</si>
  <si>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</si>
  <si>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</si>
  <si>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</si>
  <si>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</si>
  <si>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</si>
  <si>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</si>
  <si>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</si>
  <si>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</si>
  <si>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</si>
  <si>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</si>
  <si>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</si>
  <si>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</si>
  <si>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</si>
  <si>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File with August filing (effective August-October)</t>
  </si>
  <si>
    <t>Source: Natural Gas Forecast Forecast</t>
  </si>
  <si>
    <t>BTU Adjustment from forecast</t>
  </si>
  <si>
    <t>LAUFG Adjustment</t>
  </si>
  <si>
    <t>See Exhibit D.  LG&amp;E is not receiving any pipeline refunds at this time.</t>
  </si>
  <si>
    <t>2018-00403</t>
  </si>
  <si>
    <t>2019-00078</t>
  </si>
  <si>
    <t>(PER DAY)</t>
  </si>
  <si>
    <t>2018 Rate Case</t>
  </si>
  <si>
    <t>2019-00179</t>
  </si>
  <si>
    <t xml:space="preserve">Basic </t>
  </si>
  <si>
    <t>Service Charge</t>
  </si>
  <si>
    <t>GLT (per meter)</t>
  </si>
  <si>
    <t>GLT Transmission Projects (per CCF)</t>
  </si>
  <si>
    <t>2019-00327</t>
  </si>
  <si>
    <t>February 1, 2020</t>
  </si>
  <si>
    <t>2019-00436</t>
  </si>
  <si>
    <t>Customer Delivery Sales Mill Creek</t>
  </si>
  <si>
    <t>See Exhibit E-1, page 2.  Only applicable for August filing.</t>
  </si>
  <si>
    <t>2020-00070</t>
  </si>
  <si>
    <t>GCAA $/MCF</t>
  </si>
  <si>
    <t>GCAA $/CCF</t>
  </si>
  <si>
    <t>LG&amp;E is served by Texas Gas Transmission, LLC (“TGT”) pursuant to the terms of the transportation agreements under Rate Schedules NNS-4 and FT-4.  LG&amp;E is served by Tennessee Gas Pipeline Company, LLC (“TGPL”) pursuant to the terms of a transportation agreement under Rate Schedule FT-A-2.  Both TGT and TGPL are subject to regulation by the Federal Energy Regulatory Commission (“FERC”).</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</si>
  <si>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</si>
  <si>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</si>
  <si>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</si>
  <si>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</si>
  <si>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</si>
  <si>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Firm Transportation Service (FT-A-2: South-to-North)</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</si>
  <si>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</si>
  <si>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Gas Supply Costs</t>
  </si>
  <si>
    <t>Economic activity could affect the demand for natural gas in the industrial sector;</t>
  </si>
  <si>
    <t>New pipeline infrastructure is being developed to deliver natural gas supplies to the marketplace;</t>
  </si>
  <si>
    <t>Exports of natural gas (by pipeline or as LNG) could affect the demand for natural gas;</t>
  </si>
  <si>
    <t>Gas-fired electric generation loads could affect weather-driven demand for natural gas; and</t>
  </si>
  <si>
    <t>Gas supply disruptions could affect prices.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</si>
  <si>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</si>
  <si>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</si>
  <si>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</si>
  <si>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</si>
  <si>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</si>
  <si>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</si>
  <si>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</si>
  <si>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</si>
  <si>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</si>
  <si>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</si>
  <si>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</si>
  <si>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</si>
  <si>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</si>
  <si>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</si>
  <si>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</si>
  <si>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</si>
  <si>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</si>
  <si>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</si>
  <si>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</si>
  <si>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</si>
  <si>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</si>
  <si>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</si>
  <si>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ONLY UPDATE THE FOLLOWING WITH MOST RECENT APPROVED RATE CASE BILLING DETERMINANTS</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</si>
  <si>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</si>
  <si>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</si>
  <si>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</si>
  <si>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</si>
  <si>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</si>
  <si>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</si>
  <si>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</si>
  <si>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</si>
  <si>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</si>
  <si>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</si>
  <si>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</si>
  <si>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</si>
  <si>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</si>
  <si>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</si>
  <si>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</si>
  <si>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</si>
  <si>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</si>
  <si>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</si>
  <si>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</si>
  <si>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</si>
  <si>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</si>
  <si>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</si>
  <si>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</si>
  <si>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</si>
  <si>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</si>
  <si>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</si>
  <si>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</si>
  <si>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</si>
  <si>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</si>
  <si>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</si>
  <si>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</si>
  <si>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</si>
  <si>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</si>
  <si>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</si>
  <si>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</si>
  <si>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</si>
  <si>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</si>
  <si>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</si>
  <si>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</si>
  <si>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</si>
  <si>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</si>
  <si>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</si>
  <si>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</si>
  <si>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</si>
  <si>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</si>
  <si>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</si>
  <si>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 xml:space="preserve">Ex F-1 1 of 1 Tab - Gas Cost True-Up Charge Applicable to Customers </t>
  </si>
  <si>
    <t>Service Effective</t>
  </si>
  <si>
    <t>Component of GCAA</t>
  </si>
  <si>
    <t>Component of GCBA</t>
  </si>
  <si>
    <t>Component of PBRRC</t>
  </si>
  <si>
    <t>Applicable</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</si>
  <si>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</si>
  <si>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A</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</si>
  <si>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</si>
  <si>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</si>
  <si>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</si>
  <si>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</si>
  <si>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</si>
  <si>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</si>
  <si>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</si>
  <si>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</si>
  <si>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</si>
  <si>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</si>
  <si>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</si>
  <si>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</si>
  <si>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</si>
  <si>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</si>
  <si>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</si>
  <si>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</si>
  <si>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New domestic supplies from unconventional shale gas plays continue to affect the marketplace;</t>
  </si>
  <si>
    <t>•</t>
  </si>
  <si>
    <t xml:space="preserve">Set forth below are the commodity costs as delivered to LG&amp;E after giving effect to TGT’s and TGPL’s commodity charges for transporting the gas under Rates NNS, FT and FT-A and the applicable retention percentages. </t>
  </si>
  <si>
    <t>RATE NNS</t>
  </si>
  <si>
    <t>SYSTEM SUPPLY SOUTH-TO-NORTH PURCHASE PRICE PER MMBTU</t>
  </si>
  <si>
    <t>UNDER TEXAS GAS’S NO-NOTICE SERVICE RATE</t>
  </si>
  <si>
    <t>RATE FT</t>
  </si>
  <si>
    <t>SYSTEM SUPPLY NORTH-TO-SOUTH PURCHASE PRICE PER MMBTU</t>
  </si>
  <si>
    <t>UNDER TEXAS GAS’S FIRM TRANSPORTATION SERVICE RATE</t>
  </si>
  <si>
    <t>RATE FT-A-2</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</si>
  <si>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</si>
  <si>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</si>
  <si>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</si>
  <si>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</si>
  <si>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</si>
  <si>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</si>
  <si>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</si>
  <si>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</si>
  <si>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RETENTION          (TO ZONE 2)</t>
  </si>
  <si>
    <t>RETENTION           (ZONE 4 TO 4)</t>
  </si>
  <si>
    <t>RATE NNS RETENTION           (TO ZONE 4)</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</si>
  <si>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</si>
  <si>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</si>
  <si>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GAS SERVICE RATES EFFECTIVE WITH SERVICE</t>
  </si>
  <si>
    <t>November 1, 2019 and November 1, 2020 is:</t>
  </si>
  <si>
    <t>February 1, 2021</t>
  </si>
  <si>
    <t>Source: August 2020 Forecast</t>
  </si>
  <si>
    <t>2020-00309</t>
  </si>
  <si>
    <t>Effective October 1, 2020, the FERC ACA Unit Charge is $0.0011/MMBtu.</t>
  </si>
  <si>
    <t>The rates applicable to all three contracts for service under Rate Schedule NNS are a monthly demand charge of $12.7104/MMBtu and a volumetric throughput charge (“commodity charge”) of $0.0625/MMBtu irrespective of the zone of receipt.</t>
  </si>
  <si>
    <t>The rates applicable to service under this negotiated rate agreement result in a monthly demand charge of $4.1793/MMBtu and a volumetric throughput charge (“commodity charge”) of $0.0371/MMBtu applicable to transportation from Zone 4 to 4.</t>
  </si>
  <si>
    <t>May 1, 2021</t>
  </si>
  <si>
    <t>January 31, 2022</t>
  </si>
  <si>
    <t xml:space="preserve">   Plus, Purchased Gas: No Notice Storage Withdrawals</t>
  </si>
  <si>
    <t xml:space="preserve">   Purchased Gas: Retail Sales</t>
  </si>
  <si>
    <t xml:space="preserve">   Less, Purchased Gas: No Notice Storage Injections</t>
  </si>
  <si>
    <t xml:space="preserve">   Used in Electric Generation</t>
  </si>
  <si>
    <t xml:space="preserve">   Used for Start-up and Flame Stabilization</t>
  </si>
  <si>
    <t xml:space="preserve">   LAUFG for Transport Customers</t>
  </si>
  <si>
    <t xml:space="preserve">   Used by Other Departments</t>
  </si>
  <si>
    <t>TOTAL Purchases for Departments other than Gas Department</t>
  </si>
  <si>
    <t>TOTAL Mcf Purchases</t>
  </si>
  <si>
    <t>Forecast Delivery Sales - Mill Creek</t>
  </si>
  <si>
    <t>Forecast Delivery Sales</t>
  </si>
  <si>
    <t>TS Demand portion of Gas Purchases and End-User Transport Throughput</t>
  </si>
  <si>
    <t>Blue Cells = Formula Produced Cells</t>
  </si>
  <si>
    <t>2020-00401</t>
  </si>
  <si>
    <t>On September 23, 2020, TGPL made its Compliance Filing to implement rates effective November 1, 2020, pursuant to the Settlement filed at FERC on April 4, 2019, in Docket No. RP19-351.  The April 4, 2019, Settlement supersedes in its entirety the settlement approved by FERC on July 1, 2015, in Docket No. RP15-990.  The 2019 Settlement provided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These tariff sheets also incorporate the revised Pipeline Safety and Green House Gas ("PS&amp;GHG") Surcharges as provided for in its settlements approved by FERC in Docket Nos. RPl1-1566 and RP15-990 and filed by TGPL on September 30, 2020, in FERC Docket No. RP19-1253 effective November 1, 2020.</t>
  </si>
  <si>
    <t>RATE RGS - RESIDENTIAL/RATE VFD - VOLUNTEER FIRE DEPARTMENT</t>
  </si>
  <si>
    <t>July 31, 2021</t>
  </si>
  <si>
    <t>November 2020</t>
  </si>
  <si>
    <t>January 2021</t>
  </si>
  <si>
    <t>August 1, 2021</t>
  </si>
  <si>
    <t>August 1, 2021.</t>
  </si>
  <si>
    <t>n/a</t>
  </si>
  <si>
    <t>2021-00130</t>
  </si>
  <si>
    <t>Attached hereto as Exhibit A-1(a), Pages 2 and 3, are the tariff sheets for transportation service under Rate FT-4 which will be applicable on and after May 1, 2021.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$0.0371/MMBtu.</t>
  </si>
  <si>
    <t>The average New York Mercantile Exchange (“NYMEX”) natural gas futures closes for March 19, 2021, March 22, 2021, March 23, 2021, are $2.580/MMBtu for May, $2.638/MMBtu for June, and $2.696/MMBtu for July 2021.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</si>
  <si>
    <t>The average commodity cost of gas purchased from gas suppliers by LG&amp;E and delivered to TGT under the south-to-north NNS service is expected to be $2.3940 per MMBtu for May 2021, $2.4520 per MMBtu for June 2021, and $2.5100 per MMBtu for July 2021.  The average commodity cost of gas purchased from gas suppliers by LG&amp;E and delivered to TGT under the north-to-south FT service is expected to be $2.3860 per MMBtu for May 2021, $2.4440 per MMBtu for June 2021, and $2.5020 per MMBtu for July 2021.  The average commodity cost of gas purchased from gas suppliers by LG&amp;E and delivered to TGPL under Rate FT-A from its Zone 0 is expected to be $2.4570 per MMBtu for May 2021, $2.5150 per MMBtu for June 2021, and $2.5730 per MMBtu for July 2021.</t>
  </si>
  <si>
    <t>The demand-related supply costs applicable to the Utilization Charge for Daily Imbalances under Rate FT and Rider PS-FT applicable during the three-month period of May 1, 2021 through July 31, 2021 are set forth on Exhibit A, Page 2.</t>
  </si>
  <si>
    <t>During the three-month period under review, May 1, 2021, through July 31, 2021, LG&amp;E estimates that its total purchases will be 6,897,276 MMBtu.  LG&amp;E expects that 1,871,276 MMBtu will be met with deliveries from TGT’s pipeline service under Rate NNS (2,951,376 MMBtu in pipeline south-to-north deliveries less 1,080,100 in storage withdrawals less 0 in storage injections); 4,406,000 MMBtu from north-to-south deliveries under TGT’s pipeline service under Rate FT; 620,000 MMBtu will be met from deliveries under TGPL’s pipeline service under Rate FT-A from Zone 0.</t>
  </si>
  <si>
    <t>The annual demand billings covering the 12 months from May 1, 2021 through April 30, 2022, for the firm contracts with natural gas suppliers are currently expected to be $6,366,942.</t>
  </si>
  <si>
    <t>National gas storage inventories are 12% lower compared to the same period one year ago; ¹</t>
  </si>
  <si>
    <t>¹ The weekly gas storage survey issued by the Energy Information Administration ("BIA") for the week ending March 12, 2021, indicated that storage inventory levels were 12% lower than last year's levels. Storage inventories across the nation are 253 Bcf (1,782 Bcf - 2,035 Be£), or 12%, lower this year than the same period one year ago. Last year at this time, 2,035 Bcf was held in storage, while this year 1,782 Bcf is held in storage. Storage inventories across the nation are 93 Bcf (1,782 Bcf- 1,875 Be£), or 5%, lower this year than the five-year average. On average for the last five years at this time, 1,875 Bcf was held in storage. Higher storage inventory levels and the lack of demand for natural gas tend to drive natural gas prices lower.  Conversely, lower storage levels, interruptions of gas supply, or increases in demand for natural gas tend to cause increases in the expected price of natural gas.</t>
  </si>
  <si>
    <t>Adjustment for prior quarterly filing for months of August 2020 through October 2020.</t>
  </si>
  <si>
    <t>Correction for prior quarterly filing</t>
  </si>
  <si>
    <r>
      <rPr>
        <vertAlign val="superscript"/>
        <sz val="12"/>
        <rFont val="Times New Roman"/>
        <family val="1"/>
      </rPr>
      <t>4</t>
    </r>
    <r>
      <rPr>
        <sz val="12"/>
        <rFont val="Times New Roman"/>
        <family val="1"/>
      </rPr>
      <t xml:space="preserve"> Correction for prior quarterly filing.</t>
    </r>
  </si>
  <si>
    <t>The rates applicable to service under this discounted rate agreement result in a monthly demand charge of $5.0601/MMBtu and an annual volumetric throughput charge (“commodity charge”) of $0.0329/MMBtu for deliveries from Zone 0 to Zone 2.</t>
  </si>
  <si>
    <t xml:space="preserve">REDACTED PAGE 6 OF 7 INCLUDED IN THE PDF </t>
  </si>
  <si>
    <t>REDACTED PAGE 7 OF 7 INCLUDED IN THE PDF</t>
  </si>
  <si>
    <t>Attached hereto as Exhibit A-1 (a), Pages 4, and 5, are the tariff sheet for transportation service under Rate FT-A, which are applicable as of May 1, 2021.  Page 4 contains the tariff sheet which sets forth the monthly demand charges and Page 5 contains the tariff sheet which sets forth the commodity charges.  The tariffed rates are as follows for deliveries from Zone 0 to Zone 2: (a) a monthly demand charge of $13.6942/MMBtu, and (b) a commodity charge of $0.0329/MMBtu.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</si>
</sst>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4"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9"/>
      <color indexed="81"/>
      <name val="Tahoma"/>
      <family val="2"/>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color rgb="FF0000FF"/>
      <name val="Arial"/>
      <family val="2"/>
    </font>
    <font>
      <sz val="16"/>
      <name val="Times New Roman"/>
      <family val="1"/>
    </font>
    <font>
      <sz val="12"/>
      <color rgb="FF0066FF"/>
      <name val="Times New Roman"/>
      <family val="1"/>
    </font>
    <font>
      <u/>
      <sz val="12"/>
      <color rgb="FF0066FF"/>
      <name val="Times New Roman"/>
      <family val="1"/>
    </font>
    <font>
      <sz val="9"/>
      <name val="Times New Roman"/>
      <family val="1"/>
    </font>
    <font>
      <sz val="8"/>
      <name val="Times New Roman"/>
      <family val="1"/>
    </font>
  </fonts>
  <fills count="27">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5"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6" fillId="18" borderId="0">
      <alignment horizontal="left"/>
    </xf>
    <xf numFmtId="0" fontId="47" fillId="18" borderId="0">
      <alignment horizontal="right"/>
    </xf>
    <xf numFmtId="0" fontId="48" fillId="19" borderId="0">
      <alignment horizontal="center"/>
    </xf>
    <xf numFmtId="0" fontId="47" fillId="18" borderId="0">
      <alignment horizontal="right"/>
    </xf>
    <xf numFmtId="0" fontId="49"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1" fillId="0" borderId="0" applyProtection="0"/>
    <xf numFmtId="0" fontId="4" fillId="0" borderId="0" applyProtection="0"/>
    <xf numFmtId="0" fontId="52"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1" fillId="0" borderId="0" applyProtection="0"/>
    <xf numFmtId="0" fontId="53" fillId="0" borderId="0" applyProtection="0"/>
    <xf numFmtId="2" fontId="2" fillId="0" borderId="0" applyFont="0" applyFill="0" applyBorder="0" applyAlignment="0" applyProtection="0"/>
    <xf numFmtId="2" fontId="2" fillId="0" borderId="0" applyFont="0" applyFill="0" applyBorder="0" applyAlignment="0" applyProtection="0"/>
    <xf numFmtId="0" fontId="54" fillId="0" borderId="35" applyNumberFormat="0" applyFill="0" applyAlignment="0" applyProtection="0"/>
    <xf numFmtId="0" fontId="46" fillId="18" borderId="0">
      <alignment horizontal="left"/>
    </xf>
    <xf numFmtId="0" fontId="55"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7" fillId="7" borderId="0">
      <alignment horizontal="right"/>
    </xf>
    <xf numFmtId="0" fontId="58" fillId="7" borderId="0">
      <alignment horizontal="center" vertical="center"/>
    </xf>
    <xf numFmtId="0" fontId="55" fillId="7" borderId="6"/>
    <xf numFmtId="0" fontId="55" fillId="7" borderId="6"/>
    <xf numFmtId="0" fontId="58" fillId="7" borderId="0" applyBorder="0">
      <alignment horizontal="centerContinuous"/>
    </xf>
    <xf numFmtId="0" fontId="59"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20" borderId="0">
      <alignment horizontal="center"/>
    </xf>
    <xf numFmtId="49" fontId="60" fillId="19" borderId="0">
      <alignment horizontal="center"/>
    </xf>
    <xf numFmtId="0" fontId="47" fillId="18" borderId="0">
      <alignment horizontal="center"/>
    </xf>
    <xf numFmtId="0" fontId="47" fillId="18" borderId="0">
      <alignment horizontal="centerContinuous"/>
    </xf>
    <xf numFmtId="0" fontId="61" fillId="19" borderId="0">
      <alignment horizontal="left"/>
    </xf>
    <xf numFmtId="49" fontId="61" fillId="19" borderId="0">
      <alignment horizontal="center"/>
    </xf>
    <xf numFmtId="0" fontId="46" fillId="18" borderId="0">
      <alignment horizontal="left"/>
    </xf>
    <xf numFmtId="49" fontId="61" fillId="19" borderId="0">
      <alignment horizontal="left"/>
    </xf>
    <xf numFmtId="0" fontId="46" fillId="18" borderId="0">
      <alignment horizontal="centerContinuous"/>
    </xf>
    <xf numFmtId="0" fontId="46" fillId="18" borderId="0">
      <alignment horizontal="right"/>
    </xf>
    <xf numFmtId="49" fontId="55" fillId="19" borderId="0">
      <alignment horizontal="left"/>
    </xf>
    <xf numFmtId="0" fontId="47" fillId="18" borderId="0">
      <alignment horizontal="right"/>
    </xf>
    <xf numFmtId="0" fontId="61" fillId="12" borderId="0">
      <alignment horizontal="center"/>
    </xf>
    <xf numFmtId="0" fontId="62"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19" borderId="0">
      <alignment horizontal="center"/>
    </xf>
    <xf numFmtId="0" fontId="64" fillId="0" borderId="0" applyNumberFormat="0" applyFill="0" applyBorder="0" applyAlignment="0" applyProtection="0"/>
  </cellStyleXfs>
  <cellXfs count="800">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21"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2" fillId="0" borderId="0" xfId="0" applyFont="1" applyFill="1"/>
    <xf numFmtId="181" fontId="6" fillId="0" borderId="0" xfId="0" applyNumberFormat="1" applyFont="1" applyFill="1" applyAlignment="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67" fontId="10" fillId="0" borderId="0" xfId="0" applyFont="1"/>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28"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67" fontId="5" fillId="0" borderId="0" xfId="0" applyFont="1" applyFill="1" applyBorder="1" applyAlignment="1">
      <alignment horizontal="center"/>
    </xf>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30"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9"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2"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67" fontId="5" fillId="0" borderId="0" xfId="0" applyFont="1" applyFill="1" applyBorder="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8" fillId="0" borderId="0" xfId="0" applyFont="1" applyFill="1"/>
    <xf numFmtId="169" fontId="5" fillId="0" borderId="0" xfId="0" applyNumberFormat="1" applyFont="1" applyFill="1" applyBorder="1" applyAlignment="1">
      <alignment horizontal="centerContinuous"/>
    </xf>
    <xf numFmtId="169" fontId="5" fillId="0" borderId="0" xfId="0" applyNumberFormat="1" applyFont="1" applyFill="1" applyAlignment="1">
      <alignment horizontal="center"/>
    </xf>
    <xf numFmtId="167" fontId="16" fillId="0" borderId="0" xfId="0" applyFont="1" applyFill="1" applyAlignment="1">
      <alignment horizontal="center"/>
    </xf>
    <xf numFmtId="169" fontId="16" fillId="0" borderId="0" xfId="0" applyNumberFormat="1" applyFont="1" applyFill="1" applyAlignment="1"/>
    <xf numFmtId="173" fontId="5" fillId="0" borderId="0" xfId="0" applyNumberFormat="1" applyFont="1" applyFill="1" applyProtection="1"/>
    <xf numFmtId="169" fontId="5" fillId="0" borderId="0" xfId="0" applyNumberFormat="1" applyFont="1" applyFill="1" applyBorder="1"/>
    <xf numFmtId="167" fontId="6" fillId="0" borderId="1" xfId="0" applyFont="1" applyFill="1" applyBorder="1"/>
    <xf numFmtId="167" fontId="34" fillId="0" borderId="0" xfId="0" applyFont="1" applyFill="1"/>
    <xf numFmtId="167" fontId="17" fillId="0" borderId="0" xfId="0" applyFont="1" applyFill="1"/>
    <xf numFmtId="167" fontId="17" fillId="0" borderId="0" xfId="0" applyFont="1" applyFill="1" applyAlignment="1">
      <alignment horizontal="left"/>
    </xf>
    <xf numFmtId="167" fontId="34" fillId="0" borderId="0" xfId="0" applyFont="1" applyFill="1" applyAlignment="1">
      <alignment horizontal="left"/>
    </xf>
    <xf numFmtId="167" fontId="35" fillId="0" borderId="0" xfId="0" applyFont="1" applyFill="1"/>
    <xf numFmtId="9" fontId="6" fillId="0" borderId="0" xfId="0" applyNumberFormat="1" applyFont="1" applyFill="1" applyProtection="1"/>
    <xf numFmtId="167" fontId="6" fillId="0" borderId="0" xfId="0" quotePrefix="1" applyFont="1" applyFill="1" applyBorder="1"/>
    <xf numFmtId="167" fontId="6" fillId="0" borderId="7" xfId="0" quotePrefix="1" applyFont="1" applyFill="1" applyBorder="1"/>
    <xf numFmtId="167" fontId="33" fillId="0" borderId="0" xfId="0" applyFont="1" applyFill="1"/>
    <xf numFmtId="177" fontId="6" fillId="3" borderId="0" xfId="0" applyNumberFormat="1"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9"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7" fillId="0" borderId="0" xfId="0" applyFont="1"/>
    <xf numFmtId="8" fontId="11" fillId="0" borderId="0" xfId="0" applyNumberFormat="1" applyFont="1" applyFill="1"/>
    <xf numFmtId="169" fontId="38" fillId="0" borderId="0" xfId="0" applyNumberFormat="1" applyFont="1" applyFill="1"/>
    <xf numFmtId="2" fontId="11" fillId="0" borderId="0" xfId="0" applyNumberFormat="1" applyFont="1" applyFill="1"/>
    <xf numFmtId="167" fontId="38" fillId="0" borderId="0" xfId="0" applyFont="1" applyFill="1"/>
    <xf numFmtId="169" fontId="11" fillId="0" borderId="0" xfId="0" applyNumberFormat="1" applyFont="1"/>
    <xf numFmtId="10" fontId="11" fillId="0" borderId="0" xfId="7" applyNumberFormat="1" applyFont="1"/>
    <xf numFmtId="198" fontId="38"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5" borderId="0" xfId="7" applyNumberFormat="1" applyFont="1" applyFill="1"/>
    <xf numFmtId="199" fontId="10" fillId="0" borderId="0" xfId="0" applyNumberFormat="1" applyFont="1" applyFill="1"/>
    <xf numFmtId="199" fontId="11" fillId="0" borderId="0" xfId="0" applyNumberFormat="1" applyFont="1" applyFill="1"/>
    <xf numFmtId="44" fontId="10" fillId="5"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9" fontId="5" fillId="0" borderId="0" xfId="0" applyNumberFormat="1" applyFont="1" applyFill="1" applyAlignment="1" applyProtection="1">
      <alignment horizontal="center"/>
    </xf>
    <xf numFmtId="167" fontId="33"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9" fillId="0" borderId="0" xfId="0" applyFont="1" applyFill="1"/>
    <xf numFmtId="167" fontId="6" fillId="0" borderId="0" xfId="0" applyFont="1" applyFill="1" applyAlignment="1">
      <alignment horizontal="center"/>
    </xf>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3"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6" fillId="0" borderId="0" xfId="0" applyFont="1" applyFill="1" applyAlignment="1">
      <alignment horizontal="centerContinuous"/>
    </xf>
    <xf numFmtId="167" fontId="39" fillId="0" borderId="0" xfId="0" applyFont="1" applyFill="1" applyAlignment="1">
      <alignment horizontal="left"/>
    </xf>
    <xf numFmtId="167" fontId="6" fillId="0" borderId="0" xfId="0" applyFont="1" applyAlignment="1">
      <alignment horizontal="center"/>
    </xf>
    <xf numFmtId="167" fontId="31"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4" borderId="0" xfId="0" applyFont="1" applyFill="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6"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7"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40" fillId="0" borderId="0" xfId="0" applyNumberFormat="1" applyFont="1" applyFill="1" applyProtection="1"/>
    <xf numFmtId="49" fontId="6" fillId="0" borderId="0" xfId="0" applyNumberFormat="1" applyFont="1" applyFill="1" applyProtection="1">
      <protection locked="0"/>
    </xf>
    <xf numFmtId="167" fontId="6" fillId="0" borderId="0" xfId="0" applyFont="1" applyFill="1" applyAlignment="1">
      <alignment horizontal="center"/>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9"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9"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9"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167" fontId="9" fillId="0" borderId="0" xfId="0" applyFont="1"/>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167" fontId="6" fillId="0" borderId="0" xfId="0"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4" fillId="0" borderId="0" xfId="0" applyFont="1"/>
    <xf numFmtId="167" fontId="42" fillId="0" borderId="0" xfId="0" applyFont="1" applyFill="1"/>
    <xf numFmtId="8" fontId="42" fillId="0" borderId="0" xfId="0" applyNumberFormat="1" applyFont="1" applyFill="1"/>
    <xf numFmtId="2" fontId="42" fillId="0" borderId="0" xfId="0" applyNumberFormat="1" applyFont="1" applyFill="1"/>
    <xf numFmtId="167" fontId="43" fillId="0" borderId="0" xfId="0" applyFont="1" applyAlignment="1">
      <alignment horizontal="left"/>
    </xf>
    <xf numFmtId="181" fontId="43" fillId="0" borderId="0" xfId="0" applyNumberFormat="1" applyFont="1" applyAlignment="1">
      <alignment horizontal="left"/>
    </xf>
    <xf numFmtId="176" fontId="43"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3"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7" fontId="5" fillId="0" borderId="1" xfId="0" applyFont="1" applyFill="1" applyBorder="1" applyAlignment="1"/>
    <xf numFmtId="169" fontId="5" fillId="0" borderId="0" xfId="0" applyNumberFormat="1" applyFont="1" applyFill="1" applyBorder="1" applyAlignment="1"/>
    <xf numFmtId="187" fontId="6" fillId="6" borderId="0" xfId="0" applyNumberFormat="1" applyFont="1" applyFill="1"/>
    <xf numFmtId="176" fontId="43" fillId="0" borderId="0" xfId="1" applyNumberFormat="1" applyFont="1"/>
    <xf numFmtId="176" fontId="43" fillId="0" borderId="0" xfId="1" applyNumberFormat="1" applyFont="1" applyFill="1"/>
    <xf numFmtId="176" fontId="43" fillId="0" borderId="0" xfId="0" applyNumberFormat="1" applyFont="1" applyFill="1"/>
    <xf numFmtId="195" fontId="43" fillId="0" borderId="0" xfId="0" applyNumberFormat="1" applyFont="1" applyFill="1"/>
    <xf numFmtId="167" fontId="6" fillId="0" borderId="16" xfId="0" applyFont="1" applyFill="1" applyBorder="1"/>
    <xf numFmtId="167" fontId="6" fillId="0" borderId="17" xfId="0" applyFont="1" applyFill="1" applyBorder="1"/>
    <xf numFmtId="176" fontId="43" fillId="0" borderId="0" xfId="0" applyNumberFormat="1" applyFont="1" applyFill="1" applyBorder="1" applyAlignment="1" applyProtection="1">
      <alignment horizontal="center"/>
    </xf>
    <xf numFmtId="43" fontId="43" fillId="0" borderId="0" xfId="0" applyNumberFormat="1" applyFont="1" applyFill="1" applyBorder="1" applyAlignment="1" applyProtection="1">
      <alignment horizontal="center"/>
    </xf>
    <xf numFmtId="176" fontId="43" fillId="0" borderId="0" xfId="0" applyNumberFormat="1" applyFont="1" applyFill="1" applyBorder="1" applyAlignment="1">
      <alignment horizontal="center"/>
    </xf>
    <xf numFmtId="43" fontId="43" fillId="0" borderId="0" xfId="0" applyNumberFormat="1" applyFont="1" applyFill="1" applyBorder="1" applyAlignment="1">
      <alignment horizontal="center"/>
    </xf>
    <xf numFmtId="0" fontId="43" fillId="0" borderId="0" xfId="0" applyNumberFormat="1" applyFont="1" applyFill="1" applyBorder="1" applyAlignment="1">
      <alignment horizontal="center"/>
    </xf>
    <xf numFmtId="167" fontId="43" fillId="0" borderId="0" xfId="0" applyFont="1" applyFill="1" applyAlignment="1">
      <alignment horizontal="left"/>
    </xf>
    <xf numFmtId="167" fontId="6" fillId="0" borderId="0" xfId="0" applyFont="1" applyFill="1" applyAlignment="1">
      <alignment horizontal="center"/>
    </xf>
    <xf numFmtId="167" fontId="5" fillId="0" borderId="7" xfId="0" applyFont="1" applyFill="1" applyBorder="1" applyAlignment="1">
      <alignment horizontal="left"/>
    </xf>
    <xf numFmtId="167" fontId="5" fillId="0" borderId="7" xfId="0" applyFont="1" applyFill="1" applyBorder="1"/>
    <xf numFmtId="172" fontId="41" fillId="0" borderId="0" xfId="1" applyNumberFormat="1" applyFont="1" applyFill="1" applyBorder="1"/>
    <xf numFmtId="167" fontId="6" fillId="0" borderId="0" xfId="0" applyFont="1" applyFill="1" applyAlignment="1">
      <alignment horizontal="center"/>
    </xf>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7" fontId="6" fillId="0" borderId="0" xfId="0" applyFont="1" applyFill="1" applyAlignment="1">
      <alignment horizontal="center"/>
    </xf>
    <xf numFmtId="169" fontId="10" fillId="5" borderId="0" xfId="0" applyNumberFormat="1" applyFont="1" applyFill="1"/>
    <xf numFmtId="0" fontId="6" fillId="0" borderId="33" xfId="0" applyNumberFormat="1" applyFont="1" applyBorder="1" applyAlignment="1">
      <alignment horizontal="center"/>
    </xf>
    <xf numFmtId="2" fontId="43"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176" fontId="43" fillId="0" borderId="0" xfId="0" applyNumberFormat="1" applyFont="1" applyFill="1" applyProtection="1"/>
    <xf numFmtId="43" fontId="43" fillId="0" borderId="0" xfId="0" applyNumberFormat="1" applyFont="1" applyFill="1" applyProtection="1"/>
    <xf numFmtId="0" fontId="43" fillId="0" borderId="0" xfId="0" applyNumberFormat="1" applyFont="1" applyFill="1" applyProtection="1"/>
    <xf numFmtId="43" fontId="43" fillId="0" borderId="0" xfId="0" applyNumberFormat="1" applyFont="1" applyFill="1"/>
    <xf numFmtId="0" fontId="43" fillId="0" borderId="0" xfId="0" applyNumberFormat="1" applyFont="1" applyFill="1"/>
    <xf numFmtId="0" fontId="43" fillId="0" borderId="0" xfId="0" applyNumberFormat="1" applyFont="1" applyFill="1" applyAlignment="1">
      <alignment horizontal="center"/>
    </xf>
    <xf numFmtId="2" fontId="43" fillId="0" borderId="0" xfId="0" applyNumberFormat="1" applyFont="1" applyFill="1" applyAlignment="1">
      <alignment horizontal="center"/>
    </xf>
    <xf numFmtId="7" fontId="5" fillId="0" borderId="33" xfId="0" applyNumberFormat="1" applyFont="1" applyFill="1" applyBorder="1" applyAlignment="1" applyProtection="1">
      <alignment horizontal="center"/>
    </xf>
    <xf numFmtId="167" fontId="11" fillId="0" borderId="0" xfId="0" applyFont="1" applyFill="1" applyAlignment="1">
      <alignment horizontal="center"/>
    </xf>
    <xf numFmtId="167" fontId="6" fillId="0" borderId="0" xfId="0" applyFont="1" applyAlignment="1">
      <alignment horizontal="center"/>
    </xf>
    <xf numFmtId="203" fontId="43" fillId="0" borderId="0" xfId="1" applyNumberFormat="1" applyFont="1" applyFill="1" applyAlignment="1">
      <alignment horizontal="left"/>
    </xf>
    <xf numFmtId="191" fontId="43"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8" fillId="0" borderId="0" xfId="0" applyFont="1" applyAlignment="1">
      <alignment vertical="center"/>
    </xf>
    <xf numFmtId="167" fontId="8" fillId="0" borderId="0" xfId="0" applyFont="1"/>
    <xf numFmtId="167" fontId="6" fillId="0" borderId="0" xfId="0" applyFont="1" applyAlignment="1">
      <alignment horizontal="left"/>
    </xf>
    <xf numFmtId="167" fontId="6" fillId="0" borderId="33" xfId="0" applyFont="1" applyFill="1" applyBorder="1" applyAlignment="1">
      <alignment horizontal="center" wrapText="1"/>
    </xf>
    <xf numFmtId="167" fontId="39" fillId="0" borderId="0" xfId="0" applyFont="1" applyFill="1" applyBorder="1" applyAlignment="1">
      <alignment horizontal="center"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9"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33" fillId="21" borderId="0" xfId="0" applyFont="1" applyFill="1"/>
    <xf numFmtId="167" fontId="66" fillId="0" borderId="0" xfId="0" applyFont="1"/>
    <xf numFmtId="167" fontId="26" fillId="0" borderId="0" xfId="0" applyFont="1" applyBorder="1"/>
    <xf numFmtId="167" fontId="26" fillId="0" borderId="0" xfId="0" applyFont="1"/>
    <xf numFmtId="167" fontId="26" fillId="0" borderId="0" xfId="0" applyFont="1" applyFill="1"/>
    <xf numFmtId="167" fontId="67"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3" fillId="0" borderId="0" xfId="0" applyFont="1" applyFill="1" applyAlignment="1"/>
    <xf numFmtId="181" fontId="6" fillId="0" borderId="0" xfId="0"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67" fontId="6" fillId="0" borderId="0" xfId="0" applyFont="1" applyAlignment="1">
      <alignment vertical="center" wrapText="1"/>
    </xf>
    <xf numFmtId="188" fontId="8" fillId="0" borderId="0" xfId="2" applyNumberFormat="1" applyFont="1"/>
    <xf numFmtId="167" fontId="6" fillId="0" borderId="0" xfId="0" applyFont="1" applyAlignment="1">
      <alignment vertical="center"/>
    </xf>
    <xf numFmtId="185" fontId="6" fillId="0" borderId="0" xfId="0" applyNumberFormat="1" applyFont="1" applyAlignment="1">
      <alignment vertical="center" wrapText="1"/>
    </xf>
    <xf numFmtId="167" fontId="6" fillId="0" borderId="0" xfId="0" applyFont="1" applyFill="1" applyAlignment="1">
      <alignment vertical="justify" wrapText="1"/>
    </xf>
    <xf numFmtId="167" fontId="6" fillId="0" borderId="33" xfId="0" applyFont="1" applyBorder="1" applyAlignment="1">
      <alignment horizontal="justify" vertical="justify" wrapText="1"/>
    </xf>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68" fillId="0" borderId="0" xfId="0" applyFont="1"/>
    <xf numFmtId="43" fontId="6" fillId="0" borderId="0" xfId="1" applyFont="1"/>
    <xf numFmtId="187" fontId="6" fillId="23" borderId="0" xfId="0" applyNumberFormat="1" applyFont="1" applyFill="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167" fontId="8" fillId="0" borderId="0" xfId="0" applyFont="1" applyFill="1" applyAlignment="1">
      <alignment horizontal="center"/>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69"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7" fontId="6" fillId="0" borderId="0" xfId="0" applyNumberFormat="1" applyFont="1" applyFill="1" applyProtection="1"/>
    <xf numFmtId="173" fontId="17" fillId="0" borderId="0" xfId="0" applyNumberFormat="1" applyFont="1" applyFill="1" applyProtection="1"/>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center"/>
    </xf>
    <xf numFmtId="167" fontId="6" fillId="0" borderId="0" xfId="0" applyFont="1" applyAlignment="1">
      <alignment horizontal="center" vertical="center"/>
    </xf>
    <xf numFmtId="203" fontId="68" fillId="0" borderId="0" xfId="1" applyNumberFormat="1" applyFont="1"/>
    <xf numFmtId="191" fontId="68" fillId="0" borderId="0" xfId="1" applyNumberFormat="1" applyFont="1"/>
    <xf numFmtId="177" fontId="43" fillId="26" borderId="0" xfId="1" applyNumberFormat="1" applyFont="1" applyFill="1"/>
    <xf numFmtId="187" fontId="6" fillId="0" borderId="0" xfId="0" quotePrefix="1" applyNumberFormat="1" applyFont="1"/>
    <xf numFmtId="167" fontId="6" fillId="0" borderId="0" xfId="0" quotePrefix="1" applyFont="1" applyAlignment="1">
      <alignment horizontal="center" vertical="center"/>
    </xf>
    <xf numFmtId="167" fontId="33" fillId="0" borderId="0" xfId="0" applyFont="1" applyAlignment="1">
      <alignment horizontal="center" vertical="center"/>
    </xf>
    <xf numFmtId="187" fontId="8" fillId="0" borderId="0" xfId="0" quotePrefix="1" applyNumberFormat="1" applyFont="1" applyAlignment="1">
      <alignment horizontal="right"/>
    </xf>
    <xf numFmtId="167" fontId="17" fillId="0" borderId="0" xfId="0" applyFont="1" applyAlignment="1">
      <alignment horizontal="center" vertical="center" wrapText="1"/>
    </xf>
    <xf numFmtId="177" fontId="43" fillId="26" borderId="25" xfId="1" applyNumberFormat="1" applyFont="1" applyFill="1" applyBorder="1"/>
    <xf numFmtId="187" fontId="43" fillId="26" borderId="0" xfId="0" quotePrefix="1" applyNumberFormat="1" applyFont="1" applyFill="1"/>
    <xf numFmtId="167" fontId="12" fillId="26" borderId="0" xfId="0" applyFont="1" applyFill="1"/>
    <xf numFmtId="167" fontId="6" fillId="0" borderId="0" xfId="0" quotePrefix="1" applyFont="1" applyFill="1" applyAlignment="1">
      <alignment horizontal="right"/>
    </xf>
    <xf numFmtId="181" fontId="70" fillId="26" borderId="0" xfId="0" applyNumberFormat="1" applyFont="1" applyFill="1" applyAlignment="1"/>
    <xf numFmtId="182" fontId="43" fillId="26" borderId="0" xfId="5" quotePrefix="1" applyNumberFormat="1" applyFont="1" applyFill="1"/>
    <xf numFmtId="192" fontId="43" fillId="26" borderId="0" xfId="0" applyNumberFormat="1" applyFont="1" applyFill="1"/>
    <xf numFmtId="167" fontId="70" fillId="26" borderId="0" xfId="0" applyFont="1" applyFill="1"/>
    <xf numFmtId="192" fontId="70" fillId="26" borderId="0" xfId="0" applyNumberFormat="1" applyFont="1" applyFill="1"/>
    <xf numFmtId="167" fontId="71" fillId="26" borderId="0" xfId="0" applyFont="1" applyFill="1" applyAlignment="1">
      <alignment horizontal="center"/>
    </xf>
    <xf numFmtId="177" fontId="70" fillId="26" borderId="0" xfId="1" applyNumberFormat="1" applyFont="1" applyFill="1"/>
    <xf numFmtId="177" fontId="43" fillId="0" borderId="0" xfId="1" applyNumberFormat="1" applyFont="1" applyFill="1"/>
    <xf numFmtId="44" fontId="6" fillId="0" borderId="0" xfId="2" applyFont="1" applyFill="1" applyAlignment="1">
      <alignment horizontal="right"/>
    </xf>
    <xf numFmtId="182" fontId="6" fillId="0" borderId="0" xfId="5" quotePrefix="1" applyNumberFormat="1" applyFont="1" applyFill="1"/>
    <xf numFmtId="177" fontId="6" fillId="0" borderId="0" xfId="1" applyNumberFormat="1" applyFont="1" applyFill="1" applyAlignment="1"/>
    <xf numFmtId="185" fontId="6" fillId="0" borderId="0" xfId="0" applyNumberFormat="1" applyFont="1" applyFill="1" applyAlignment="1">
      <alignment vertical="center" wrapText="1"/>
    </xf>
    <xf numFmtId="167" fontId="6" fillId="0" borderId="0" xfId="0" applyFont="1" applyFill="1" applyAlignment="1">
      <alignment vertical="center"/>
    </xf>
    <xf numFmtId="177" fontId="6" fillId="0" borderId="0" xfId="2" applyNumberFormat="1" applyFont="1" applyFill="1"/>
    <xf numFmtId="167" fontId="6" fillId="0" borderId="0" xfId="0" applyFont="1" applyAlignment="1">
      <alignment horizontal="justify" vertical="justify" wrapText="1"/>
    </xf>
    <xf numFmtId="167" fontId="8" fillId="0" borderId="0" xfId="0" applyFont="1" applyAlignment="1">
      <alignment horizontal="center" vertical="center"/>
    </xf>
    <xf numFmtId="167" fontId="6" fillId="0" borderId="0" xfId="0" applyFont="1" applyFill="1" applyAlignment="1">
      <alignment horizontal="justify" vertical="justify"/>
    </xf>
    <xf numFmtId="167" fontId="6" fillId="0" borderId="0" xfId="0" applyFont="1" applyAlignment="1">
      <alignment horizontal="justify" vertical="justify"/>
    </xf>
    <xf numFmtId="167" fontId="6" fillId="0" borderId="0" xfId="0" applyFont="1" applyAlignment="1">
      <alignment horizontal="center" vertical="center"/>
    </xf>
    <xf numFmtId="167" fontId="6" fillId="0" borderId="0" xfId="0" applyFont="1" applyAlignment="1">
      <alignment horizontal="center" vertical="center" wrapText="1"/>
    </xf>
    <xf numFmtId="167" fontId="6" fillId="0" borderId="0" xfId="0" applyFont="1" applyAlignment="1">
      <alignment horizontal="left"/>
    </xf>
    <xf numFmtId="167" fontId="33" fillId="0" borderId="0" xfId="0" applyFont="1" applyAlignment="1">
      <alignment horizontal="justify" vertical="justify"/>
    </xf>
    <xf numFmtId="167" fontId="6" fillId="0" borderId="0" xfId="0" applyFont="1" applyAlignment="1">
      <alignment horizontal="right" vertical="center"/>
    </xf>
    <xf numFmtId="167" fontId="6" fillId="0" borderId="33" xfId="0" applyFont="1" applyBorder="1" applyAlignment="1">
      <alignment horizontal="right"/>
    </xf>
    <xf numFmtId="188" fontId="10" fillId="0" borderId="0" xfId="2" applyNumberFormat="1" applyFont="1" applyFill="1"/>
    <xf numFmtId="10" fontId="11" fillId="0" borderId="0" xfId="7" applyNumberFormat="1" applyFont="1" applyFill="1"/>
    <xf numFmtId="167" fontId="6" fillId="0" borderId="0" xfId="0" applyFont="1" applyFill="1" applyAlignment="1">
      <alignment horizontal="center"/>
    </xf>
    <xf numFmtId="167" fontId="6" fillId="0" borderId="0" xfId="3" applyNumberFormat="1" applyFont="1" applyFill="1"/>
    <xf numFmtId="7" fontId="6" fillId="0" borderId="0" xfId="3" applyNumberFormat="1" applyFont="1" applyFill="1"/>
    <xf numFmtId="177" fontId="9" fillId="0" borderId="0" xfId="1" applyNumberFormat="1" applyFont="1" applyFill="1"/>
    <xf numFmtId="43" fontId="6" fillId="0" borderId="0" xfId="3" applyNumberFormat="1" applyFont="1" applyFill="1"/>
    <xf numFmtId="0" fontId="72" fillId="0" borderId="0" xfId="3" applyFont="1" applyFill="1" applyAlignment="1">
      <alignment horizontal="left" vertical="top"/>
    </xf>
    <xf numFmtId="187" fontId="6" fillId="0" borderId="0" xfId="3" applyNumberFormat="1" applyFont="1" applyFill="1" applyAlignment="1">
      <alignment vertical="top"/>
    </xf>
    <xf numFmtId="0" fontId="72" fillId="0" borderId="0" xfId="3" applyFont="1" applyFill="1" applyAlignment="1">
      <alignment horizontal="right" vertical="top"/>
    </xf>
    <xf numFmtId="167" fontId="5" fillId="0" borderId="0" xfId="0" applyFont="1" applyFill="1" applyAlignment="1">
      <alignment horizontal="center" vertical="center"/>
    </xf>
    <xf numFmtId="167" fontId="73" fillId="0" borderId="0" xfId="0" applyFont="1" applyFill="1" applyAlignment="1">
      <alignment horizontal="left" vertical="top"/>
    </xf>
    <xf numFmtId="167" fontId="11" fillId="0" borderId="0" xfId="0" applyFont="1" applyFill="1" applyAlignment="1">
      <alignment horizontal="center"/>
    </xf>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3"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applyFont="1" applyAlignment="1">
      <alignment horizontal="center"/>
    </xf>
    <xf numFmtId="167" fontId="10" fillId="0" borderId="0" xfId="0" quotePrefix="1" applyFont="1" applyFill="1" applyAlignment="1">
      <alignment horizontal="center"/>
    </xf>
    <xf numFmtId="167" fontId="10" fillId="0" borderId="0" xfId="0" quotePrefix="1" applyFont="1" applyAlignment="1">
      <alignment horizontal="center"/>
    </xf>
    <xf numFmtId="167" fontId="6" fillId="0" borderId="0" xfId="0" applyFont="1" applyAlignment="1">
      <alignment horizontal="justify" vertical="justify" wrapText="1"/>
    </xf>
    <xf numFmtId="167" fontId="18" fillId="0" borderId="0" xfId="0" applyFont="1" applyAlignment="1">
      <alignment horizontal="left" vertical="center"/>
    </xf>
    <xf numFmtId="167" fontId="8" fillId="0" borderId="0" xfId="0" applyFont="1" applyAlignment="1">
      <alignment horizontal="center"/>
    </xf>
    <xf numFmtId="167" fontId="8" fillId="0" borderId="0" xfId="0" applyFont="1" applyAlignment="1">
      <alignment horizontal="center" vertical="center"/>
    </xf>
    <xf numFmtId="167" fontId="65" fillId="0" borderId="0" xfId="0" applyFont="1" applyAlignment="1">
      <alignment horizontal="justify" vertical="justify" wrapText="1"/>
    </xf>
    <xf numFmtId="167" fontId="6" fillId="0" borderId="0" xfId="0" applyFont="1" applyFill="1" applyAlignment="1">
      <alignment horizontal="justify" vertical="justify"/>
    </xf>
    <xf numFmtId="167" fontId="6" fillId="0" borderId="0" xfId="0" applyFont="1" applyFill="1" applyAlignment="1">
      <alignment horizontal="justify" vertical="justify" wrapText="1"/>
    </xf>
    <xf numFmtId="167" fontId="6" fillId="0" borderId="0" xfId="0" applyFont="1" applyAlignment="1">
      <alignment horizontal="justify" vertical="justify"/>
    </xf>
    <xf numFmtId="179" fontId="6" fillId="0" borderId="0" xfId="2" applyNumberFormat="1" applyFont="1" applyFill="1" applyAlignment="1">
      <alignment horizontal="center"/>
    </xf>
    <xf numFmtId="10" fontId="6" fillId="0" borderId="0" xfId="7" applyNumberFormat="1" applyFont="1" applyFill="1" applyAlignment="1">
      <alignment horizontal="center" vertical="center" wrapText="1"/>
    </xf>
    <xf numFmtId="179" fontId="6" fillId="0" borderId="0" xfId="2" applyNumberFormat="1" applyFont="1" applyFill="1" applyAlignment="1">
      <alignment horizontal="center" vertical="center" wrapText="1"/>
    </xf>
    <xf numFmtId="167" fontId="17" fillId="0" borderId="0" xfId="0" applyFont="1" applyAlignment="1">
      <alignment horizontal="center" vertical="center"/>
    </xf>
    <xf numFmtId="167" fontId="6" fillId="0" borderId="0" xfId="0" applyFont="1" applyAlignment="1">
      <alignment horizontal="center" vertical="center"/>
    </xf>
    <xf numFmtId="167" fontId="6" fillId="0" borderId="0" xfId="0" applyFont="1" applyAlignment="1">
      <alignment horizontal="center" wrapText="1"/>
    </xf>
    <xf numFmtId="167" fontId="6" fillId="0" borderId="0" xfId="0" applyFont="1" applyAlignment="1">
      <alignment horizontal="center" vertical="center" wrapText="1"/>
    </xf>
    <xf numFmtId="179" fontId="6" fillId="0" borderId="0" xfId="2" applyNumberFormat="1" applyFont="1" applyAlignment="1">
      <alignment horizontal="center"/>
    </xf>
    <xf numFmtId="10" fontId="6" fillId="0" borderId="0" xfId="7" applyNumberFormat="1" applyFont="1" applyAlignment="1">
      <alignment horizontal="center" vertical="center" wrapText="1"/>
    </xf>
    <xf numFmtId="179" fontId="6" fillId="0" borderId="0" xfId="2" applyNumberFormat="1" applyFont="1" applyAlignment="1">
      <alignment horizontal="center" vertical="center" wrapText="1"/>
    </xf>
    <xf numFmtId="167" fontId="29" fillId="0" borderId="0" xfId="0" applyFont="1" applyFill="1" applyAlignment="1">
      <alignment horizontal="justify" vertical="justify" wrapText="1"/>
    </xf>
    <xf numFmtId="167" fontId="29" fillId="0" borderId="0" xfId="0" applyFont="1" applyFill="1" applyAlignment="1">
      <alignment horizontal="justify" vertical="justify"/>
    </xf>
    <xf numFmtId="167" fontId="6" fillId="0" borderId="0" xfId="0" applyFont="1" applyFill="1" applyAlignment="1">
      <alignment horizontal="left" vertical="justify" wrapText="1"/>
    </xf>
    <xf numFmtId="167" fontId="8" fillId="0" borderId="0" xfId="0" applyFont="1" applyAlignment="1">
      <alignment horizontal="left" vertical="center"/>
    </xf>
    <xf numFmtId="167" fontId="17" fillId="0" borderId="0" xfId="0" applyFont="1" applyAlignment="1">
      <alignment horizontal="left" vertical="center"/>
    </xf>
    <xf numFmtId="167" fontId="8" fillId="0" borderId="0" xfId="0" applyFont="1" applyAlignment="1">
      <alignment horizontal="left"/>
    </xf>
    <xf numFmtId="167" fontId="6" fillId="0" borderId="0" xfId="0" applyFont="1" applyAlignment="1">
      <alignment horizontal="left" vertical="center" wrapText="1"/>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167" fontId="27" fillId="0" borderId="0" xfId="0" applyFont="1" applyFill="1" applyAlignment="1">
      <alignment horizont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36" fillId="0" borderId="18" xfId="5" applyFont="1" applyFill="1" applyBorder="1" applyAlignment="1">
      <alignment horizontal="center"/>
    </xf>
    <xf numFmtId="0" fontId="36" fillId="0" borderId="15" xfId="5" applyFont="1" applyFill="1" applyBorder="1" applyAlignment="1">
      <alignment horizontal="center"/>
    </xf>
    <xf numFmtId="0" fontId="36"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6" fillId="0" borderId="0" xfId="0" applyFont="1" applyAlignment="1">
      <alignment horizontal="left" vertical="justify"/>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6" fillId="0" borderId="2" xfId="5" applyFont="1" applyFill="1" applyBorder="1" applyAlignment="1">
      <alignment horizontal="center"/>
    </xf>
    <xf numFmtId="0" fontId="36" fillId="0" borderId="3" xfId="5" applyFont="1" applyFill="1" applyBorder="1" applyAlignment="1">
      <alignment horizontal="center"/>
    </xf>
    <xf numFmtId="0" fontId="36"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26" fillId="0" borderId="0" xfId="5" applyFont="1" applyFill="1" applyBorder="1" applyAlignment="1">
      <alignment horizontal="center"/>
    </xf>
    <xf numFmtId="167" fontId="17" fillId="0" borderId="0" xfId="0" applyNumberFormat="1" applyFont="1" applyFill="1" applyBorder="1" applyAlignment="1">
      <alignment horizontal="center"/>
    </xf>
    <xf numFmtId="167" fontId="39" fillId="0" borderId="33" xfId="0" applyFont="1" applyFill="1" applyBorder="1" applyAlignment="1">
      <alignment horizontal="center" wrapText="1"/>
    </xf>
    <xf numFmtId="167" fontId="6" fillId="0" borderId="33" xfId="0" applyFont="1" applyFill="1" applyBorder="1" applyAlignment="1">
      <alignment horizontal="center"/>
    </xf>
    <xf numFmtId="167" fontId="26" fillId="0" borderId="0" xfId="0" applyFont="1" applyFill="1" applyAlignment="1">
      <alignment horizontal="center"/>
    </xf>
    <xf numFmtId="167" fontId="8" fillId="0" borderId="0" xfId="0" applyFont="1" applyFill="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0066FF"/>
      <color rgb="FF0000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W103"/>
  <sheetViews>
    <sheetView view="pageBreakPreview" topLeftCell="A33" zoomScale="70" zoomScaleNormal="70" zoomScaleSheetLayoutView="70" workbookViewId="0">
      <selection activeCell="H42" sqref="H42"/>
    </sheetView>
  </sheetViews>
  <sheetFormatPr defaultColWidth="8.90625" defaultRowHeight="18" x14ac:dyDescent="0.35"/>
  <cols>
    <col min="1" max="1" width="10.90625" style="285" customWidth="1"/>
    <col min="2" max="2" width="17.81640625" style="285" customWidth="1"/>
    <col min="3" max="3" width="10.81640625" style="285" customWidth="1"/>
    <col min="4" max="4" width="4.81640625" style="285" customWidth="1"/>
    <col min="5" max="5" width="9.08984375" style="285" customWidth="1"/>
    <col min="6" max="6" width="5" style="285" customWidth="1"/>
    <col min="7" max="7" width="9.08984375" style="285" bestFit="1" customWidth="1"/>
    <col min="8" max="8" width="8.90625" style="285"/>
    <col min="9" max="9" width="17.81640625" style="285" customWidth="1"/>
    <col min="10" max="10" width="10.81640625" style="285" customWidth="1"/>
    <col min="11" max="11" width="4.6328125" style="285" customWidth="1"/>
    <col min="12" max="12" width="9.08984375" style="285" customWidth="1"/>
    <col min="13" max="13" width="4.81640625" style="285" customWidth="1"/>
    <col min="14" max="14" width="9.08984375" style="285" bestFit="1" customWidth="1"/>
    <col min="15" max="15" width="8.90625" style="285"/>
    <col min="16" max="16" width="17.81640625" style="285" customWidth="1"/>
    <col min="17" max="17" width="10.81640625" style="285" customWidth="1"/>
    <col min="18" max="18" width="4.6328125" style="285" customWidth="1"/>
    <col min="19" max="19" width="10" style="285" customWidth="1"/>
    <col min="20" max="20" width="4.81640625" style="285" customWidth="1"/>
    <col min="21" max="21" width="9.08984375" style="285" bestFit="1" customWidth="1"/>
    <col min="22" max="16384" width="8.90625" style="285"/>
  </cols>
  <sheetData>
    <row r="1" spans="2:23" x14ac:dyDescent="0.35">
      <c r="B1" s="187" t="s">
        <v>501</v>
      </c>
      <c r="D1" s="181"/>
      <c r="E1" s="181"/>
      <c r="F1" s="181"/>
      <c r="G1" s="181"/>
      <c r="H1" s="181"/>
      <c r="I1" s="181"/>
      <c r="J1" s="181"/>
      <c r="K1" s="181"/>
      <c r="L1" s="181"/>
      <c r="M1" s="181"/>
      <c r="N1" s="181"/>
      <c r="O1" s="181"/>
    </row>
    <row r="2" spans="2:23" x14ac:dyDescent="0.35">
      <c r="B2" s="181"/>
      <c r="C2" s="181"/>
      <c r="D2" s="181"/>
      <c r="E2" s="181"/>
      <c r="F2" s="181"/>
      <c r="G2" s="181"/>
      <c r="H2" s="286"/>
      <c r="I2" s="286"/>
      <c r="J2" s="181"/>
      <c r="K2"/>
      <c r="L2"/>
      <c r="M2"/>
      <c r="N2"/>
      <c r="O2" s="181"/>
    </row>
    <row r="3" spans="2:23" x14ac:dyDescent="0.35">
      <c r="B3" s="181" t="s">
        <v>399</v>
      </c>
      <c r="C3" s="181"/>
      <c r="D3" s="181"/>
      <c r="E3" s="181"/>
      <c r="F3" s="181"/>
      <c r="G3" s="181"/>
      <c r="H3" s="181"/>
      <c r="I3" s="181"/>
      <c r="J3" s="181"/>
      <c r="K3" s="181"/>
      <c r="L3" s="181"/>
      <c r="M3" s="181"/>
      <c r="N3" s="181"/>
      <c r="O3" s="181"/>
      <c r="Q3" s="348"/>
    </row>
    <row r="4" spans="2:23" x14ac:dyDescent="0.35">
      <c r="B4" s="181"/>
      <c r="C4" s="181"/>
      <c r="D4" s="181"/>
      <c r="E4" s="181"/>
      <c r="F4" s="181"/>
      <c r="G4" s="181"/>
      <c r="H4" s="181"/>
      <c r="I4" s="181"/>
      <c r="J4" s="181"/>
      <c r="K4" s="181"/>
      <c r="L4" s="181"/>
      <c r="M4" s="181"/>
      <c r="N4" s="181"/>
      <c r="O4" s="181"/>
      <c r="P4" s="181"/>
      <c r="Q4" s="181"/>
      <c r="R4" s="181"/>
      <c r="S4" s="181"/>
      <c r="T4" s="181"/>
      <c r="U4" s="181"/>
    </row>
    <row r="5" spans="2:23" x14ac:dyDescent="0.35">
      <c r="B5" s="181"/>
      <c r="C5" s="299">
        <f>EOMONTH(J5,-3)</f>
        <v>44255</v>
      </c>
      <c r="D5" s="181"/>
      <c r="E5" s="181"/>
      <c r="F5" s="181"/>
      <c r="G5" s="181"/>
      <c r="H5" s="181"/>
      <c r="I5" s="181"/>
      <c r="J5" s="299">
        <f>'Input Data'!C4</f>
        <v>44317</v>
      </c>
      <c r="K5" s="181" t="s">
        <v>400</v>
      </c>
      <c r="L5" s="181"/>
      <c r="M5" s="181"/>
      <c r="N5" s="181"/>
      <c r="O5" s="181"/>
      <c r="P5" s="181"/>
      <c r="Q5" s="299">
        <f>EOMONTH(J5,-12)</f>
        <v>43982</v>
      </c>
      <c r="R5" s="181" t="s">
        <v>401</v>
      </c>
      <c r="S5" s="181"/>
      <c r="T5" s="181"/>
      <c r="U5" s="181"/>
    </row>
    <row r="6" spans="2:23" ht="6.75" customHeight="1" x14ac:dyDescent="0.35">
      <c r="B6" s="181"/>
      <c r="C6" s="181"/>
      <c r="D6" s="181"/>
      <c r="E6" s="181"/>
      <c r="F6" s="181"/>
      <c r="G6" s="181"/>
      <c r="H6" s="181"/>
      <c r="I6" s="181"/>
      <c r="J6" s="181"/>
      <c r="K6" s="181"/>
      <c r="L6" s="181"/>
      <c r="M6" s="181"/>
      <c r="N6" s="181"/>
      <c r="O6" s="181"/>
      <c r="P6" s="181"/>
      <c r="Q6" s="181"/>
      <c r="R6" s="181"/>
      <c r="S6" s="181"/>
      <c r="T6" s="181"/>
      <c r="U6" s="181"/>
    </row>
    <row r="7" spans="2:23" x14ac:dyDescent="0.35">
      <c r="B7" s="181"/>
      <c r="C7" s="181" t="s">
        <v>402</v>
      </c>
      <c r="D7" s="181"/>
      <c r="E7" s="181"/>
      <c r="F7" s="181"/>
      <c r="G7" s="475">
        <f>0.65*365/12</f>
        <v>19.770833333333332</v>
      </c>
      <c r="H7" s="181"/>
      <c r="I7" s="181"/>
      <c r="J7" s="181" t="s">
        <v>402</v>
      </c>
      <c r="K7" s="181"/>
      <c r="L7" s="181"/>
      <c r="M7" s="181"/>
      <c r="N7" s="475">
        <f>0.65*365/12</f>
        <v>19.770833333333332</v>
      </c>
      <c r="O7" s="181"/>
      <c r="P7" s="181"/>
      <c r="Q7" s="181" t="s">
        <v>402</v>
      </c>
      <c r="R7" s="181"/>
      <c r="S7" s="181"/>
      <c r="T7" s="181"/>
      <c r="U7" s="475">
        <f>0.65*365/12</f>
        <v>19.770833333333332</v>
      </c>
    </row>
    <row r="8" spans="2:23" x14ac:dyDescent="0.35">
      <c r="B8" s="181"/>
      <c r="C8" s="181"/>
      <c r="D8" s="181"/>
      <c r="E8" s="181"/>
      <c r="F8" s="181"/>
      <c r="G8" s="181"/>
      <c r="H8" s="181"/>
      <c r="I8" s="181"/>
      <c r="J8" s="181"/>
      <c r="K8" s="181"/>
      <c r="L8" s="181"/>
      <c r="M8" s="181"/>
      <c r="N8" s="181"/>
      <c r="O8" s="181"/>
      <c r="P8" s="181"/>
      <c r="Q8" s="181"/>
      <c r="R8" s="181"/>
      <c r="S8" s="181"/>
      <c r="T8" s="181"/>
      <c r="U8" s="181"/>
    </row>
    <row r="9" spans="2:23" x14ac:dyDescent="0.35">
      <c r="B9" s="181" t="s">
        <v>403</v>
      </c>
      <c r="C9" s="474">
        <v>60</v>
      </c>
      <c r="D9" s="521" t="s">
        <v>404</v>
      </c>
      <c r="E9" s="288">
        <v>0.36781999999999998</v>
      </c>
      <c r="F9" s="589" t="s">
        <v>405</v>
      </c>
      <c r="G9" s="289">
        <f>ROUND(C9*E9,2)</f>
        <v>22.07</v>
      </c>
      <c r="H9" s="181"/>
      <c r="I9" s="181" t="s">
        <v>403</v>
      </c>
      <c r="J9" s="181">
        <f>$C$9</f>
        <v>60</v>
      </c>
      <c r="K9" s="589" t="s">
        <v>404</v>
      </c>
      <c r="L9" s="288">
        <v>0.36781999999999998</v>
      </c>
      <c r="M9" s="589" t="s">
        <v>405</v>
      </c>
      <c r="N9" s="289">
        <f>ROUND(J9*L9,2)</f>
        <v>22.07</v>
      </c>
      <c r="O9" s="181"/>
      <c r="P9" s="181" t="s">
        <v>403</v>
      </c>
      <c r="Q9" s="181">
        <f>$C$9</f>
        <v>60</v>
      </c>
      <c r="R9" s="589" t="s">
        <v>404</v>
      </c>
      <c r="S9" s="288">
        <v>0.36781999999999998</v>
      </c>
      <c r="T9" s="589" t="s">
        <v>405</v>
      </c>
      <c r="U9" s="289">
        <f>ROUND(Q9*S9,2)</f>
        <v>22.07</v>
      </c>
    </row>
    <row r="10" spans="2:23" x14ac:dyDescent="0.35">
      <c r="B10" s="181"/>
      <c r="C10" s="181"/>
      <c r="D10" s="181"/>
      <c r="E10" s="290"/>
      <c r="F10" s="181"/>
      <c r="G10" s="289"/>
      <c r="H10" s="181"/>
      <c r="I10" s="181"/>
      <c r="J10" s="181"/>
      <c r="K10" s="181"/>
      <c r="L10" s="290"/>
      <c r="M10" s="181"/>
      <c r="N10" s="289"/>
      <c r="O10" s="181"/>
      <c r="P10" s="181"/>
      <c r="Q10" s="181"/>
      <c r="R10" s="181"/>
      <c r="S10" s="290"/>
      <c r="T10" s="181"/>
      <c r="U10" s="289"/>
    </row>
    <row r="11" spans="2:23" x14ac:dyDescent="0.35">
      <c r="B11" s="181" t="s">
        <v>214</v>
      </c>
      <c r="C11" s="181">
        <f>$C$9</f>
        <v>60</v>
      </c>
      <c r="D11" s="521" t="s">
        <v>404</v>
      </c>
      <c r="E11" s="288">
        <v>0.32194</v>
      </c>
      <c r="F11" s="589" t="s">
        <v>405</v>
      </c>
      <c r="G11" s="289">
        <f>ROUND(C11*E11,2)</f>
        <v>19.32</v>
      </c>
      <c r="H11" s="181"/>
      <c r="I11" s="181" t="s">
        <v>214</v>
      </c>
      <c r="J11" s="181">
        <f>$C$9</f>
        <v>60</v>
      </c>
      <c r="K11" s="589" t="s">
        <v>404</v>
      </c>
      <c r="L11" s="300">
        <f>'Summary Sheet'!K59</f>
        <v>0.35021000000000002</v>
      </c>
      <c r="M11" s="589" t="s">
        <v>405</v>
      </c>
      <c r="N11" s="289">
        <f>ROUND(J11*L11,2)</f>
        <v>21.01</v>
      </c>
      <c r="O11" s="181"/>
      <c r="P11" s="181" t="s">
        <v>214</v>
      </c>
      <c r="Q11" s="181">
        <f>$C$9</f>
        <v>60</v>
      </c>
      <c r="R11" s="589" t="s">
        <v>404</v>
      </c>
      <c r="S11" s="288">
        <v>0.25409999999999999</v>
      </c>
      <c r="T11" s="589" t="s">
        <v>405</v>
      </c>
      <c r="U11" s="289">
        <f>ROUND(Q11*S11,2)</f>
        <v>15.25</v>
      </c>
      <c r="V11" s="291"/>
      <c r="W11" s="292"/>
    </row>
    <row r="12" spans="2:23" x14ac:dyDescent="0.35">
      <c r="B12" s="181"/>
      <c r="C12" s="181"/>
      <c r="D12" s="181"/>
      <c r="E12" s="290"/>
      <c r="F12" s="181"/>
      <c r="G12" s="181"/>
      <c r="H12" s="181"/>
      <c r="I12" s="181"/>
      <c r="J12" s="181"/>
      <c r="K12" s="181"/>
      <c r="L12" s="290"/>
      <c r="M12" s="181"/>
      <c r="N12" s="181"/>
      <c r="O12" s="181"/>
      <c r="P12" s="181"/>
      <c r="Q12" s="181"/>
      <c r="R12" s="181"/>
      <c r="S12" s="290"/>
      <c r="T12" s="181"/>
      <c r="U12" s="181"/>
      <c r="V12" s="291"/>
      <c r="W12" s="292"/>
    </row>
    <row r="13" spans="2:23" x14ac:dyDescent="0.35">
      <c r="B13" s="181" t="s">
        <v>406</v>
      </c>
      <c r="C13" s="181">
        <f>$C$9</f>
        <v>60</v>
      </c>
      <c r="D13" s="521" t="s">
        <v>407</v>
      </c>
      <c r="E13" s="288">
        <v>-1.5E-3</v>
      </c>
      <c r="F13" s="589" t="s">
        <v>405</v>
      </c>
      <c r="G13" s="289">
        <f>ROUND(C13*E13,2)</f>
        <v>-0.09</v>
      </c>
      <c r="H13" s="181"/>
      <c r="I13" s="181" t="s">
        <v>406</v>
      </c>
      <c r="J13" s="181">
        <f>$C$9</f>
        <v>60</v>
      </c>
      <c r="K13" s="589" t="s">
        <v>407</v>
      </c>
      <c r="L13" s="288">
        <v>-1.5E-3</v>
      </c>
      <c r="M13" s="589" t="s">
        <v>405</v>
      </c>
      <c r="N13" s="289">
        <f>ROUND(J13*L13,2)</f>
        <v>-0.09</v>
      </c>
      <c r="O13" s="181"/>
      <c r="P13" s="181" t="s">
        <v>406</v>
      </c>
      <c r="Q13" s="181">
        <f>$C$9</f>
        <v>60</v>
      </c>
      <c r="R13" s="589" t="s">
        <v>407</v>
      </c>
      <c r="S13" s="288">
        <v>-1.57E-3</v>
      </c>
      <c r="T13" s="589" t="s">
        <v>405</v>
      </c>
      <c r="U13" s="289">
        <f>ROUND(Q13*S13,2)</f>
        <v>-0.09</v>
      </c>
    </row>
    <row r="14" spans="2:23" x14ac:dyDescent="0.35">
      <c r="B14" s="181"/>
      <c r="C14" s="181"/>
      <c r="D14" s="181"/>
      <c r="E14" s="290"/>
      <c r="F14" s="181"/>
      <c r="G14" s="287"/>
      <c r="H14" s="181"/>
      <c r="I14" s="181"/>
      <c r="J14" s="181"/>
      <c r="K14" s="181"/>
      <c r="L14" s="290"/>
      <c r="M14" s="181"/>
      <c r="N14" s="287"/>
      <c r="O14" s="181"/>
      <c r="P14" s="181"/>
      <c r="Q14" s="181"/>
      <c r="R14" s="181"/>
      <c r="S14" s="181"/>
      <c r="T14" s="181"/>
      <c r="U14" s="287"/>
    </row>
    <row r="15" spans="2:23" ht="36" x14ac:dyDescent="0.35">
      <c r="B15" s="500" t="s">
        <v>639</v>
      </c>
      <c r="C15" s="181">
        <v>60</v>
      </c>
      <c r="D15" s="521" t="s">
        <v>404</v>
      </c>
      <c r="E15" s="288">
        <v>2.3779999999999999E-2</v>
      </c>
      <c r="F15" s="589" t="s">
        <v>405</v>
      </c>
      <c r="G15" s="289">
        <f>ROUND(C15*E15,2)</f>
        <v>1.43</v>
      </c>
      <c r="H15" s="181"/>
      <c r="I15" s="500" t="s">
        <v>639</v>
      </c>
      <c r="J15" s="181">
        <v>60</v>
      </c>
      <c r="K15" s="589" t="s">
        <v>404</v>
      </c>
      <c r="L15" s="288">
        <v>2.3779999999999999E-2</v>
      </c>
      <c r="M15" s="589" t="s">
        <v>405</v>
      </c>
      <c r="N15" s="289">
        <f>ROUND(J15*L15,2)</f>
        <v>1.43</v>
      </c>
      <c r="O15" s="181"/>
      <c r="P15" s="500" t="s">
        <v>639</v>
      </c>
      <c r="Q15" s="181">
        <v>60</v>
      </c>
      <c r="R15" s="589" t="s">
        <v>404</v>
      </c>
      <c r="S15" s="288">
        <v>2.3779999999999999E-2</v>
      </c>
      <c r="T15" s="589" t="s">
        <v>405</v>
      </c>
      <c r="U15" s="289">
        <f>ROUND(Q15*S15,2)</f>
        <v>1.43</v>
      </c>
    </row>
    <row r="16" spans="2:23" hidden="1" x14ac:dyDescent="0.35">
      <c r="B16" s="181"/>
      <c r="C16" s="181"/>
      <c r="D16" s="181"/>
      <c r="E16" s="290"/>
      <c r="F16" s="181"/>
      <c r="G16" s="287"/>
      <c r="H16" s="181"/>
      <c r="I16" s="181"/>
      <c r="J16" s="181"/>
      <c r="K16" s="181"/>
      <c r="L16" s="290"/>
      <c r="M16" s="181"/>
      <c r="N16" s="287"/>
      <c r="O16" s="181"/>
      <c r="P16" s="181"/>
      <c r="Q16" s="181"/>
      <c r="R16" s="181"/>
      <c r="S16" s="181"/>
      <c r="T16" s="181"/>
      <c r="U16" s="287"/>
    </row>
    <row r="17" spans="1:21" hidden="1" x14ac:dyDescent="0.35">
      <c r="B17" s="181" t="s">
        <v>622</v>
      </c>
      <c r="C17" s="181">
        <v>60</v>
      </c>
      <c r="D17" s="521" t="s">
        <v>404</v>
      </c>
      <c r="E17" s="288">
        <v>0</v>
      </c>
      <c r="F17" s="589" t="s">
        <v>405</v>
      </c>
      <c r="G17" s="289">
        <f>ROUND(C17*E17,2)</f>
        <v>0</v>
      </c>
      <c r="H17" s="181"/>
      <c r="I17" s="181" t="s">
        <v>622</v>
      </c>
      <c r="J17" s="181">
        <v>60</v>
      </c>
      <c r="K17" s="589" t="s">
        <v>404</v>
      </c>
      <c r="L17" s="288">
        <v>0</v>
      </c>
      <c r="M17" s="589" t="s">
        <v>405</v>
      </c>
      <c r="N17" s="289">
        <f>ROUND(J17*L17,2)</f>
        <v>0</v>
      </c>
      <c r="O17" s="181"/>
      <c r="P17" s="181" t="s">
        <v>622</v>
      </c>
      <c r="Q17" s="181">
        <v>60</v>
      </c>
      <c r="R17" s="589" t="s">
        <v>404</v>
      </c>
      <c r="S17" s="288">
        <v>0</v>
      </c>
      <c r="T17" s="589" t="s">
        <v>405</v>
      </c>
      <c r="U17" s="289">
        <f>ROUND(Q17*S17,2)</f>
        <v>0</v>
      </c>
    </row>
    <row r="18" spans="1:21" x14ac:dyDescent="0.35">
      <c r="B18" s="181"/>
      <c r="C18" s="181"/>
      <c r="D18" s="181"/>
      <c r="E18" s="290"/>
      <c r="F18" s="181"/>
      <c r="G18" s="287"/>
      <c r="H18" s="181"/>
      <c r="I18" s="181"/>
      <c r="J18" s="181"/>
      <c r="K18" s="181"/>
      <c r="L18" s="290"/>
      <c r="M18" s="181"/>
      <c r="N18" s="287"/>
      <c r="O18" s="181"/>
      <c r="P18" s="181"/>
      <c r="Q18" s="181"/>
      <c r="R18" s="181"/>
      <c r="S18" s="181"/>
      <c r="T18" s="181"/>
      <c r="U18" s="287"/>
    </row>
    <row r="19" spans="1:21" x14ac:dyDescent="0.35">
      <c r="B19" s="181"/>
      <c r="C19" s="181" t="s">
        <v>408</v>
      </c>
      <c r="D19" s="181"/>
      <c r="E19" s="181"/>
      <c r="F19" s="181"/>
      <c r="G19" s="289">
        <f>ROUND(SUM(G7:G17),2)</f>
        <v>62.5</v>
      </c>
      <c r="H19" s="181"/>
      <c r="I19" s="181"/>
      <c r="J19" s="181" t="s">
        <v>408</v>
      </c>
      <c r="K19" s="181"/>
      <c r="L19" s="181"/>
      <c r="M19" s="181"/>
      <c r="N19" s="289">
        <f>ROUND(SUM(N7:N17),2)</f>
        <v>64.19</v>
      </c>
      <c r="O19" s="181"/>
      <c r="P19" s="181"/>
      <c r="Q19" s="181" t="s">
        <v>408</v>
      </c>
      <c r="R19" s="181"/>
      <c r="S19" s="181"/>
      <c r="T19" s="181"/>
      <c r="U19" s="289">
        <f>ROUND(SUM(U7:U17),2)</f>
        <v>58.43</v>
      </c>
    </row>
    <row r="20" spans="1:21" x14ac:dyDescent="0.35">
      <c r="B20" s="181"/>
      <c r="C20" s="181"/>
      <c r="D20" s="181"/>
      <c r="E20" s="181"/>
      <c r="F20" s="181"/>
      <c r="G20" s="289"/>
      <c r="H20" s="181"/>
      <c r="I20" s="181"/>
      <c r="J20" s="181"/>
      <c r="K20" s="181"/>
      <c r="L20" s="181"/>
      <c r="M20" s="181"/>
      <c r="N20" s="289"/>
      <c r="O20" s="181"/>
      <c r="P20" s="181"/>
      <c r="Q20" s="181"/>
      <c r="R20" s="181"/>
      <c r="S20" s="181"/>
      <c r="T20" s="181"/>
      <c r="U20" s="289"/>
    </row>
    <row r="21" spans="1:21" x14ac:dyDescent="0.35">
      <c r="B21" s="181" t="s">
        <v>638</v>
      </c>
      <c r="C21" s="289"/>
      <c r="D21" s="181"/>
      <c r="E21" s="181"/>
      <c r="F21" s="181"/>
      <c r="G21" s="476">
        <v>1.87</v>
      </c>
      <c r="H21" s="181"/>
      <c r="I21" s="181" t="s">
        <v>638</v>
      </c>
      <c r="J21" s="289"/>
      <c r="K21" s="181"/>
      <c r="L21" s="181"/>
      <c r="M21" s="181"/>
      <c r="N21" s="476">
        <v>1.87</v>
      </c>
      <c r="O21" s="181"/>
      <c r="P21" s="181" t="s">
        <v>638</v>
      </c>
      <c r="Q21" s="293"/>
      <c r="R21" s="181"/>
      <c r="S21" s="181"/>
      <c r="T21" s="181"/>
      <c r="U21" s="476">
        <v>1.87</v>
      </c>
    </row>
    <row r="22" spans="1:21" x14ac:dyDescent="0.35">
      <c r="B22" s="181"/>
      <c r="C22" s="294"/>
      <c r="D22" s="181"/>
      <c r="E22" s="181"/>
      <c r="F22" s="181"/>
      <c r="G22" s="289"/>
      <c r="H22" s="181"/>
      <c r="I22" s="181"/>
      <c r="J22" s="294"/>
      <c r="K22" s="181"/>
      <c r="L22" s="181"/>
      <c r="M22" s="181"/>
      <c r="N22" s="289"/>
      <c r="O22" s="181"/>
      <c r="P22" s="181"/>
      <c r="Q22" s="294"/>
      <c r="R22" s="181"/>
      <c r="S22" s="181"/>
      <c r="T22" s="181"/>
      <c r="U22" s="289"/>
    </row>
    <row r="23" spans="1:21" x14ac:dyDescent="0.35">
      <c r="B23" s="181" t="s">
        <v>410</v>
      </c>
      <c r="C23" s="294"/>
      <c r="D23" s="181"/>
      <c r="E23" s="181"/>
      <c r="F23" s="181"/>
      <c r="G23" s="476">
        <v>0.3</v>
      </c>
      <c r="H23" s="181"/>
      <c r="I23" s="181" t="s">
        <v>410</v>
      </c>
      <c r="J23" s="294"/>
      <c r="K23" s="181"/>
      <c r="L23" s="181"/>
      <c r="M23" s="181"/>
      <c r="N23" s="476">
        <v>0.3</v>
      </c>
      <c r="O23" s="181"/>
      <c r="P23" s="181" t="s">
        <v>410</v>
      </c>
      <c r="Q23" s="294"/>
      <c r="R23" s="181"/>
      <c r="S23" s="181"/>
      <c r="T23" s="181"/>
      <c r="U23" s="476">
        <v>0.25</v>
      </c>
    </row>
    <row r="24" spans="1:21" ht="18.600000000000001" thickBot="1" x14ac:dyDescent="0.4">
      <c r="B24" s="181"/>
      <c r="C24" s="294"/>
      <c r="D24" s="181"/>
      <c r="E24" s="181"/>
      <c r="F24" s="181"/>
      <c r="G24" s="289"/>
      <c r="H24" s="181"/>
      <c r="I24" s="181"/>
      <c r="J24" s="294"/>
      <c r="K24" s="181"/>
      <c r="L24" s="181"/>
      <c r="M24" s="181"/>
      <c r="N24" s="289"/>
      <c r="O24" s="181"/>
      <c r="P24" s="181"/>
      <c r="Q24" s="294"/>
      <c r="R24" s="181"/>
      <c r="S24" s="181"/>
      <c r="T24" s="181"/>
      <c r="U24" s="289"/>
    </row>
    <row r="25" spans="1:21" ht="18.600000000000001" thickBot="1" x14ac:dyDescent="0.4">
      <c r="B25" s="181"/>
      <c r="C25" s="181" t="s">
        <v>30</v>
      </c>
      <c r="D25" s="181"/>
      <c r="E25" s="181"/>
      <c r="F25" s="181"/>
      <c r="G25" s="295">
        <f>ROUND(G19+G21+G23,4)</f>
        <v>64.67</v>
      </c>
      <c r="H25" s="181"/>
      <c r="I25" s="181"/>
      <c r="J25" s="181" t="s">
        <v>30</v>
      </c>
      <c r="K25" s="181"/>
      <c r="L25" s="181"/>
      <c r="M25" s="181"/>
      <c r="N25" s="295">
        <f>ROUND(N19+N21+N23,4)</f>
        <v>66.36</v>
      </c>
      <c r="O25" s="181"/>
      <c r="P25" s="181"/>
      <c r="Q25" s="181" t="s">
        <v>30</v>
      </c>
      <c r="R25" s="181"/>
      <c r="S25" s="181"/>
      <c r="T25" s="181"/>
      <c r="U25" s="295">
        <f>ROUND(U19+U21+U23,2)</f>
        <v>60.55</v>
      </c>
    </row>
    <row r="26" spans="1:21" ht="18.600000000000001" thickBot="1" x14ac:dyDescent="0.4">
      <c r="B26" s="181"/>
      <c r="C26" s="181"/>
      <c r="D26" s="181"/>
      <c r="E26" s="181"/>
      <c r="F26" s="181"/>
      <c r="G26" s="181"/>
      <c r="H26" s="181"/>
      <c r="I26" s="181"/>
      <c r="J26" s="181"/>
      <c r="K26" s="181"/>
      <c r="L26" s="181"/>
      <c r="M26" s="181"/>
      <c r="N26" s="181"/>
      <c r="O26" s="181"/>
      <c r="P26" s="181"/>
      <c r="Q26" s="181"/>
      <c r="R26" s="181"/>
      <c r="S26" s="181"/>
      <c r="T26" s="181"/>
      <c r="U26" s="181"/>
    </row>
    <row r="27" spans="1:21" ht="18.600000000000001" thickBot="1" x14ac:dyDescent="0.4">
      <c r="B27" s="181"/>
      <c r="C27" s="181"/>
      <c r="D27" s="181"/>
      <c r="E27" s="181"/>
      <c r="F27" s="181"/>
      <c r="G27" s="181"/>
      <c r="H27" s="181"/>
      <c r="I27" s="181"/>
      <c r="J27" s="181" t="s">
        <v>411</v>
      </c>
      <c r="L27" s="181"/>
      <c r="M27" s="181"/>
      <c r="N27" s="296">
        <f>ROUND(N25-G25,4)</f>
        <v>1.69</v>
      </c>
      <c r="O27" s="181"/>
      <c r="P27" s="181"/>
      <c r="Q27" s="181" t="s">
        <v>412</v>
      </c>
      <c r="S27" s="181"/>
      <c r="T27" s="181"/>
      <c r="U27" s="297">
        <f>(N25/U25)-1</f>
        <v>9.5953757225433645E-2</v>
      </c>
    </row>
    <row r="28" spans="1:21" ht="18.600000000000001" thickBot="1" x14ac:dyDescent="0.4">
      <c r="B28" s="181"/>
      <c r="C28" s="181"/>
      <c r="D28" s="181"/>
      <c r="E28" s="181"/>
      <c r="F28" s="181"/>
      <c r="G28" s="181"/>
      <c r="H28" s="181"/>
      <c r="I28" s="181"/>
      <c r="J28" s="181"/>
      <c r="L28" s="181"/>
      <c r="M28" s="181"/>
      <c r="N28" s="181"/>
      <c r="O28" s="181"/>
      <c r="P28" s="181"/>
      <c r="Q28" s="181"/>
      <c r="R28" s="181"/>
      <c r="S28" s="181"/>
      <c r="T28" s="181"/>
      <c r="U28" s="181"/>
    </row>
    <row r="29" spans="1:21" ht="18.600000000000001" thickBot="1" x14ac:dyDescent="0.4">
      <c r="H29" s="181"/>
      <c r="I29" s="181"/>
      <c r="J29" s="181" t="s">
        <v>411</v>
      </c>
      <c r="L29" s="181"/>
      <c r="M29" s="181"/>
      <c r="N29" s="298">
        <f>ROUND(N25/G25-1,4)</f>
        <v>2.6100000000000002E-2</v>
      </c>
      <c r="O29" s="181"/>
    </row>
    <row r="30" spans="1:21" x14ac:dyDescent="0.35">
      <c r="A30" s="285" t="s">
        <v>413</v>
      </c>
      <c r="B30" s="299">
        <f>J5</f>
        <v>44317</v>
      </c>
      <c r="C30" s="577">
        <f>L11</f>
        <v>0.35021000000000002</v>
      </c>
      <c r="D30" s="181" t="s">
        <v>414</v>
      </c>
      <c r="E30" s="289"/>
      <c r="F30" s="181"/>
      <c r="G30" s="181"/>
      <c r="H30" s="299"/>
      <c r="I30" s="300"/>
      <c r="J30" s="300"/>
      <c r="K30" s="289"/>
      <c r="L30" s="181"/>
      <c r="M30" s="181"/>
      <c r="N30" s="299"/>
      <c r="O30" s="288"/>
      <c r="P30" s="181"/>
      <c r="R30" s="289"/>
      <c r="S30" s="181"/>
    </row>
    <row r="31" spans="1:21" x14ac:dyDescent="0.35">
      <c r="B31" s="299">
        <f>C5</f>
        <v>44255</v>
      </c>
      <c r="C31" s="577">
        <f>E11</f>
        <v>0.32194</v>
      </c>
      <c r="D31" s="181"/>
      <c r="E31" s="289"/>
      <c r="F31" s="181"/>
      <c r="G31" s="181"/>
      <c r="H31" s="299"/>
      <c r="I31" s="181"/>
      <c r="J31" s="300"/>
      <c r="K31" s="289"/>
      <c r="L31" s="181"/>
      <c r="M31" s="181"/>
      <c r="N31" s="299"/>
      <c r="O31" s="290"/>
      <c r="P31" s="181"/>
      <c r="R31" s="289"/>
      <c r="S31" s="181"/>
    </row>
    <row r="32" spans="1:21" x14ac:dyDescent="0.35">
      <c r="B32" s="299"/>
      <c r="C32" s="301"/>
      <c r="D32" s="181"/>
      <c r="E32" s="302"/>
      <c r="F32" s="181"/>
      <c r="G32" s="181"/>
      <c r="H32" s="181"/>
      <c r="I32" s="707"/>
      <c r="J32" s="302"/>
      <c r="K32" s="302"/>
      <c r="L32" s="181"/>
      <c r="M32" s="181"/>
      <c r="N32" s="181"/>
      <c r="O32" s="302"/>
      <c r="P32" s="181"/>
      <c r="R32" s="302"/>
      <c r="S32" s="181"/>
    </row>
    <row r="33" spans="1:19" x14ac:dyDescent="0.35">
      <c r="B33" s="183" t="s">
        <v>415</v>
      </c>
      <c r="C33" s="577">
        <f>+C30-C31</f>
        <v>2.8270000000000017E-2</v>
      </c>
      <c r="D33" s="181" t="s">
        <v>416</v>
      </c>
      <c r="E33" s="302"/>
      <c r="F33" s="181"/>
      <c r="G33" s="181"/>
      <c r="H33" s="181"/>
      <c r="I33" s="708"/>
      <c r="J33" s="181"/>
      <c r="K33" s="181"/>
      <c r="L33" s="181"/>
      <c r="M33" s="181"/>
      <c r="N33" s="181"/>
      <c r="O33" s="181"/>
      <c r="P33" s="181"/>
      <c r="R33" s="181"/>
      <c r="S33" s="181"/>
    </row>
    <row r="34" spans="1:19" x14ac:dyDescent="0.35">
      <c r="B34" s="183" t="s">
        <v>417</v>
      </c>
      <c r="C34" s="303">
        <f>(C30-C31)/C31</f>
        <v>8.7811393427346757E-2</v>
      </c>
      <c r="D34" s="181"/>
      <c r="E34" s="302"/>
      <c r="F34" s="181"/>
      <c r="G34" s="304"/>
      <c r="H34" s="181"/>
      <c r="I34" s="181"/>
      <c r="J34" s="181"/>
      <c r="K34" s="305"/>
      <c r="L34" s="181"/>
      <c r="M34" s="181"/>
      <c r="N34" s="181"/>
      <c r="O34" s="181"/>
      <c r="P34" s="181"/>
      <c r="R34" s="305"/>
      <c r="S34" s="181"/>
    </row>
    <row r="35" spans="1:19" x14ac:dyDescent="0.35">
      <c r="B35" s="299">
        <f>+B31</f>
        <v>44255</v>
      </c>
      <c r="C35" s="306">
        <f>+ROUND(G25,2)</f>
        <v>64.67</v>
      </c>
      <c r="D35" s="181"/>
      <c r="E35" s="302"/>
      <c r="F35" s="181"/>
      <c r="G35" s="181"/>
      <c r="H35" s="181"/>
      <c r="I35" s="181"/>
      <c r="J35" s="181"/>
      <c r="K35" s="181"/>
      <c r="L35" s="181"/>
      <c r="M35" s="181"/>
      <c r="N35" s="181"/>
      <c r="O35" s="181"/>
      <c r="P35" s="181"/>
      <c r="R35" s="181"/>
      <c r="S35" s="181"/>
    </row>
    <row r="36" spans="1:19" x14ac:dyDescent="0.35">
      <c r="A36" s="285" t="s">
        <v>418</v>
      </c>
      <c r="B36" s="299">
        <f>+B30</f>
        <v>44317</v>
      </c>
      <c r="C36" s="306">
        <f>+ROUND(N25,2)</f>
        <v>66.36</v>
      </c>
      <c r="D36" s="181"/>
      <c r="E36" s="302"/>
      <c r="F36" s="181"/>
      <c r="G36" s="181"/>
      <c r="H36" s="181"/>
      <c r="I36" s="181"/>
      <c r="J36" s="181"/>
      <c r="K36" s="181"/>
      <c r="L36" s="181"/>
      <c r="M36" s="181"/>
      <c r="N36" s="181"/>
      <c r="O36" s="181"/>
      <c r="P36" s="181"/>
      <c r="R36" s="181"/>
      <c r="S36" s="181"/>
    </row>
    <row r="37" spans="1:19" x14ac:dyDescent="0.35">
      <c r="A37" s="285" t="s">
        <v>419</v>
      </c>
      <c r="B37" s="181"/>
      <c r="C37" s="303">
        <f>+ROUND((C36-C35)/C35,4)</f>
        <v>2.6100000000000002E-2</v>
      </c>
      <c r="D37" s="181"/>
      <c r="E37" s="302"/>
      <c r="F37" s="181"/>
      <c r="H37" s="181"/>
      <c r="I37" s="181"/>
      <c r="J37" s="300"/>
      <c r="K37" s="181"/>
      <c r="L37" s="181"/>
      <c r="M37" s="181"/>
      <c r="N37" s="181"/>
      <c r="O37" s="181"/>
    </row>
    <row r="38" spans="1:19" x14ac:dyDescent="0.35">
      <c r="B38" s="181"/>
      <c r="C38" s="302"/>
      <c r="D38" s="181"/>
      <c r="E38" s="302"/>
      <c r="F38" s="305"/>
      <c r="H38" s="181"/>
      <c r="I38" s="181"/>
      <c r="J38" s="300"/>
      <c r="K38" s="181"/>
      <c r="L38" s="181"/>
      <c r="M38" s="181"/>
      <c r="N38" s="181"/>
      <c r="O38" s="181"/>
    </row>
    <row r="39" spans="1:19" x14ac:dyDescent="0.35">
      <c r="A39" s="285" t="s">
        <v>420</v>
      </c>
      <c r="B39" s="181"/>
      <c r="C39" s="577">
        <f>+L11</f>
        <v>0.35021000000000002</v>
      </c>
      <c r="D39" s="181" t="s">
        <v>421</v>
      </c>
      <c r="E39" s="302"/>
      <c r="F39" s="181"/>
      <c r="H39" s="181"/>
      <c r="I39" s="181"/>
      <c r="J39" s="302"/>
      <c r="K39" s="181"/>
      <c r="L39" s="181"/>
      <c r="M39" s="181"/>
      <c r="N39" s="181"/>
      <c r="O39" s="181"/>
    </row>
    <row r="40" spans="1:19" x14ac:dyDescent="0.35">
      <c r="A40" s="285" t="s">
        <v>419</v>
      </c>
      <c r="B40" s="181"/>
      <c r="C40" s="303">
        <f>+(C39-C41)/C41</f>
        <v>0.37823691460055109</v>
      </c>
      <c r="E40" s="181"/>
      <c r="H40" s="181"/>
      <c r="I40" s="181"/>
      <c r="J40" s="294"/>
      <c r="K40" s="181"/>
      <c r="L40" s="181"/>
      <c r="M40" s="181"/>
      <c r="N40" s="181"/>
      <c r="O40" s="181"/>
    </row>
    <row r="41" spans="1:19" x14ac:dyDescent="0.35">
      <c r="A41" s="285" t="s">
        <v>422</v>
      </c>
      <c r="B41" s="181"/>
      <c r="C41" s="577">
        <f>+S11</f>
        <v>0.25409999999999999</v>
      </c>
      <c r="D41" s="181"/>
      <c r="E41" s="302"/>
      <c r="F41" s="181"/>
      <c r="H41" s="181"/>
      <c r="I41" s="181"/>
      <c r="J41" s="294"/>
      <c r="K41" s="181"/>
      <c r="L41" s="181"/>
      <c r="M41" s="181"/>
      <c r="N41" s="181"/>
      <c r="O41" s="181"/>
    </row>
    <row r="42" spans="1:19" x14ac:dyDescent="0.35">
      <c r="A42" s="285" t="s">
        <v>423</v>
      </c>
      <c r="B42" s="181"/>
      <c r="C42" s="306">
        <f>+ROUND(N25,2)</f>
        <v>66.36</v>
      </c>
      <c r="D42" s="181"/>
      <c r="E42" s="181"/>
      <c r="H42" s="181"/>
      <c r="I42" s="181"/>
      <c r="J42" s="294"/>
      <c r="K42" s="181"/>
      <c r="L42" s="181"/>
      <c r="M42" s="181"/>
      <c r="N42" s="181"/>
      <c r="O42" s="181"/>
    </row>
    <row r="43" spans="1:19" x14ac:dyDescent="0.35">
      <c r="A43" s="285" t="s">
        <v>424</v>
      </c>
      <c r="B43" s="181"/>
      <c r="C43" s="306">
        <f>+ROUND(U25,2)</f>
        <v>60.55</v>
      </c>
      <c r="D43" s="181"/>
      <c r="E43" s="181"/>
      <c r="H43" s="181"/>
      <c r="I43" s="181"/>
      <c r="J43" s="294"/>
      <c r="K43" s="181"/>
      <c r="L43" s="181"/>
      <c r="M43" s="181"/>
      <c r="N43" s="181"/>
      <c r="O43" s="181"/>
    </row>
    <row r="44" spans="1:19" x14ac:dyDescent="0.35">
      <c r="A44" s="285" t="s">
        <v>419</v>
      </c>
      <c r="B44" s="181"/>
      <c r="C44" s="303">
        <f>+(C42-C43)/C43</f>
        <v>9.5953757225433561E-2</v>
      </c>
      <c r="D44" s="181"/>
      <c r="E44" s="181"/>
      <c r="H44" s="181"/>
      <c r="I44" s="181"/>
      <c r="J44" s="294"/>
      <c r="K44" s="181"/>
      <c r="L44" s="181"/>
      <c r="M44" s="181"/>
      <c r="N44" s="181"/>
      <c r="O44" s="181"/>
    </row>
    <row r="45" spans="1:19" x14ac:dyDescent="0.35">
      <c r="B45" s="181"/>
      <c r="C45" s="302"/>
      <c r="D45" s="181"/>
      <c r="E45" s="181"/>
      <c r="H45" s="181"/>
      <c r="I45" s="181"/>
      <c r="J45" s="294"/>
      <c r="K45" s="181"/>
      <c r="L45" s="181"/>
      <c r="M45" s="181"/>
      <c r="N45" s="181"/>
      <c r="O45" s="181"/>
    </row>
    <row r="46" spans="1:19" s="181" customFormat="1" x14ac:dyDescent="0.35">
      <c r="A46" s="285"/>
      <c r="J46" s="294"/>
    </row>
    <row r="47" spans="1:19" x14ac:dyDescent="0.35">
      <c r="B47" s="181"/>
      <c r="C47" s="181"/>
      <c r="D47" s="181"/>
      <c r="E47" s="181"/>
      <c r="H47" s="181"/>
      <c r="I47" s="181"/>
      <c r="J47" s="294"/>
      <c r="K47" s="181"/>
      <c r="L47" s="181"/>
      <c r="M47" s="181"/>
      <c r="N47" s="181"/>
      <c r="O47" s="181"/>
    </row>
    <row r="48" spans="1:19" x14ac:dyDescent="0.35">
      <c r="B48" s="181"/>
      <c r="C48" s="300"/>
      <c r="D48" s="181"/>
      <c r="E48" s="181"/>
      <c r="H48" s="181"/>
      <c r="I48" s="181"/>
      <c r="J48" s="294"/>
      <c r="K48" s="181"/>
      <c r="L48" s="181"/>
      <c r="M48" s="181"/>
      <c r="N48" s="181"/>
      <c r="O48" s="181"/>
    </row>
    <row r="49" spans="2:15" x14ac:dyDescent="0.35">
      <c r="D49" s="181"/>
      <c r="E49" s="181"/>
      <c r="H49" s="181"/>
      <c r="I49" s="181"/>
      <c r="J49" s="294"/>
      <c r="K49" s="181"/>
      <c r="L49" s="181"/>
      <c r="M49" s="181"/>
      <c r="N49" s="181"/>
      <c r="O49" s="181"/>
    </row>
    <row r="50" spans="2:15" x14ac:dyDescent="0.35">
      <c r="D50" s="181"/>
      <c r="E50" s="181"/>
      <c r="H50" s="181"/>
      <c r="I50" s="181"/>
      <c r="J50" s="294"/>
      <c r="K50" s="181"/>
      <c r="L50" s="181"/>
      <c r="M50" s="181"/>
      <c r="N50" s="181"/>
      <c r="O50" s="181"/>
    </row>
    <row r="51" spans="2:15" x14ac:dyDescent="0.35">
      <c r="D51" s="181"/>
      <c r="E51" s="305"/>
      <c r="H51" s="181"/>
      <c r="I51" s="181"/>
      <c r="J51" s="294"/>
      <c r="K51" s="181"/>
      <c r="L51" s="181"/>
      <c r="M51" s="181"/>
      <c r="N51" s="181"/>
      <c r="O51" s="181"/>
    </row>
    <row r="52" spans="2:15" x14ac:dyDescent="0.35">
      <c r="D52" s="181"/>
      <c r="E52" s="181"/>
      <c r="H52" s="181"/>
      <c r="I52" s="181"/>
      <c r="J52" s="181"/>
      <c r="K52" s="181"/>
      <c r="L52" s="181"/>
      <c r="M52" s="181"/>
      <c r="N52" s="181"/>
      <c r="O52" s="181"/>
    </row>
    <row r="53" spans="2:15" x14ac:dyDescent="0.35">
      <c r="D53" s="181"/>
      <c r="E53" s="307"/>
      <c r="H53" s="181"/>
      <c r="I53" s="181"/>
      <c r="J53" s="181"/>
      <c r="K53" s="181"/>
      <c r="L53" s="181"/>
      <c r="M53" s="181"/>
      <c r="N53" s="181"/>
      <c r="O53" s="181"/>
    </row>
    <row r="54" spans="2:15" x14ac:dyDescent="0.35">
      <c r="H54" s="181"/>
      <c r="I54" s="181"/>
      <c r="J54" s="181"/>
      <c r="K54" s="181"/>
      <c r="L54" s="181"/>
      <c r="M54" s="181"/>
      <c r="N54" s="181"/>
      <c r="O54" s="181"/>
    </row>
    <row r="55" spans="2:15" x14ac:dyDescent="0.35">
      <c r="H55" s="181"/>
      <c r="I55" s="181"/>
      <c r="J55" s="181"/>
      <c r="K55" s="181"/>
      <c r="L55" s="181"/>
      <c r="M55" s="181"/>
      <c r="N55" s="181"/>
      <c r="O55" s="181"/>
    </row>
    <row r="56" spans="2:15" x14ac:dyDescent="0.35">
      <c r="H56" s="181"/>
      <c r="I56" s="181"/>
      <c r="J56" s="181"/>
      <c r="K56" s="181"/>
      <c r="L56" s="181"/>
      <c r="M56" s="181"/>
      <c r="N56" s="181"/>
      <c r="O56" s="181"/>
    </row>
    <row r="57" spans="2:15" x14ac:dyDescent="0.35">
      <c r="G57" s="181"/>
      <c r="H57" s="181"/>
      <c r="I57" s="181"/>
      <c r="J57" s="181"/>
      <c r="K57" s="181"/>
      <c r="L57" s="181"/>
      <c r="M57" s="181"/>
      <c r="N57" s="181"/>
      <c r="O57" s="181"/>
    </row>
    <row r="58" spans="2:15" x14ac:dyDescent="0.35">
      <c r="G58" s="181"/>
      <c r="H58" s="181"/>
      <c r="I58" s="181"/>
      <c r="J58" s="181"/>
      <c r="K58" s="181"/>
      <c r="L58" s="181"/>
      <c r="M58" s="181"/>
      <c r="N58" s="181"/>
      <c r="O58" s="181"/>
    </row>
    <row r="59" spans="2:15" x14ac:dyDescent="0.35">
      <c r="G59" s="181"/>
      <c r="H59" s="181"/>
      <c r="I59" s="181"/>
      <c r="J59" s="181"/>
      <c r="K59" s="181"/>
      <c r="L59" s="181"/>
      <c r="M59" s="181"/>
      <c r="N59" s="181"/>
      <c r="O59" s="181"/>
    </row>
    <row r="60" spans="2:15" x14ac:dyDescent="0.35">
      <c r="B60" s="181"/>
      <c r="C60" s="181"/>
      <c r="H60" s="181"/>
      <c r="I60" s="181"/>
      <c r="J60" s="299"/>
      <c r="K60" s="181"/>
      <c r="L60" s="181"/>
      <c r="M60" s="181"/>
      <c r="N60" s="181"/>
      <c r="O60" s="181"/>
    </row>
    <row r="61" spans="2:15" x14ac:dyDescent="0.35">
      <c r="B61" s="181"/>
      <c r="C61" s="181"/>
      <c r="F61" s="181"/>
      <c r="H61" s="181"/>
      <c r="I61" s="181"/>
      <c r="J61" s="181"/>
      <c r="K61" s="181"/>
      <c r="L61" s="181"/>
      <c r="M61" s="181"/>
      <c r="N61" s="181"/>
      <c r="O61" s="181"/>
    </row>
    <row r="62" spans="2:15" x14ac:dyDescent="0.35">
      <c r="B62" s="181"/>
      <c r="C62" s="181"/>
      <c r="F62" s="181"/>
      <c r="H62" s="181"/>
      <c r="I62" s="181"/>
      <c r="J62" s="181"/>
      <c r="K62" s="181"/>
      <c r="L62" s="181"/>
      <c r="M62" s="181"/>
      <c r="N62" s="181"/>
      <c r="O62" s="181"/>
    </row>
    <row r="63" spans="2:15" x14ac:dyDescent="0.35">
      <c r="F63" s="181"/>
      <c r="H63" s="181"/>
      <c r="I63" s="181"/>
      <c r="J63" s="181"/>
      <c r="K63" s="181"/>
      <c r="L63" s="181"/>
      <c r="M63" s="181"/>
      <c r="N63" s="181"/>
      <c r="O63" s="181"/>
    </row>
    <row r="64" spans="2:15" x14ac:dyDescent="0.35">
      <c r="H64" s="181"/>
      <c r="I64" s="181"/>
      <c r="J64" s="181"/>
      <c r="K64" s="181"/>
      <c r="L64" s="300"/>
      <c r="M64" s="181"/>
      <c r="N64" s="181"/>
      <c r="O64" s="181"/>
    </row>
    <row r="65" spans="4:17" x14ac:dyDescent="0.35">
      <c r="D65" s="181"/>
      <c r="E65" s="181"/>
      <c r="H65" s="181"/>
      <c r="I65" s="181"/>
      <c r="J65" s="181"/>
      <c r="K65" s="181"/>
      <c r="L65" s="181"/>
      <c r="M65" s="181"/>
      <c r="N65" s="181"/>
      <c r="O65" s="181"/>
    </row>
    <row r="66" spans="4:17" x14ac:dyDescent="0.35">
      <c r="D66" s="181"/>
      <c r="E66" s="181"/>
      <c r="H66" s="181"/>
      <c r="I66" s="181"/>
      <c r="J66" s="181"/>
      <c r="K66" s="181"/>
      <c r="L66" s="181"/>
      <c r="M66" s="181"/>
      <c r="N66" s="181"/>
      <c r="O66" s="181"/>
    </row>
    <row r="67" spans="4:17" x14ac:dyDescent="0.35">
      <c r="D67" s="181"/>
      <c r="E67" s="181"/>
      <c r="H67" s="181"/>
      <c r="I67" s="181"/>
      <c r="J67" s="181"/>
      <c r="K67" s="181"/>
      <c r="L67" s="181"/>
      <c r="M67" s="181"/>
      <c r="N67" s="181"/>
      <c r="O67" s="181"/>
    </row>
    <row r="68" spans="4:17" x14ac:dyDescent="0.35">
      <c r="H68" s="181"/>
      <c r="I68" s="181"/>
      <c r="J68" s="181"/>
      <c r="K68" s="181"/>
      <c r="L68" s="181"/>
      <c r="M68" s="181"/>
      <c r="N68" s="181"/>
      <c r="O68" s="181"/>
    </row>
    <row r="69" spans="4:17" x14ac:dyDescent="0.35">
      <c r="H69" s="181"/>
      <c r="I69" s="181"/>
      <c r="J69" s="181"/>
      <c r="K69" s="181"/>
      <c r="L69" s="181"/>
      <c r="M69" s="181"/>
      <c r="N69" s="181"/>
      <c r="O69" s="181"/>
    </row>
    <row r="70" spans="4:17" x14ac:dyDescent="0.35">
      <c r="H70" s="181"/>
      <c r="I70" s="181"/>
      <c r="J70" s="181"/>
      <c r="K70" s="181"/>
      <c r="L70" s="181"/>
      <c r="M70" s="181"/>
      <c r="N70" s="181"/>
      <c r="O70" s="181"/>
    </row>
    <row r="71" spans="4:17" x14ac:dyDescent="0.35">
      <c r="H71" s="181"/>
      <c r="I71" s="181"/>
      <c r="J71" s="181"/>
      <c r="K71" s="181"/>
      <c r="L71" s="181"/>
      <c r="M71" s="181"/>
      <c r="N71" s="181"/>
      <c r="O71" s="181"/>
    </row>
    <row r="72" spans="4:17" x14ac:dyDescent="0.35">
      <c r="H72" s="181"/>
      <c r="I72" s="181"/>
      <c r="J72" s="308"/>
      <c r="K72" s="181"/>
      <c r="L72" s="181"/>
      <c r="M72" s="181"/>
      <c r="N72" s="181"/>
      <c r="O72" s="181"/>
    </row>
    <row r="73" spans="4:17" x14ac:dyDescent="0.35">
      <c r="H73" s="181"/>
      <c r="I73" s="181"/>
      <c r="J73" s="294"/>
      <c r="K73" s="181"/>
      <c r="L73" s="181"/>
      <c r="M73" s="181"/>
      <c r="N73" s="181"/>
      <c r="O73" s="181"/>
    </row>
    <row r="74" spans="4:17" x14ac:dyDescent="0.35">
      <c r="H74" s="181"/>
      <c r="I74" s="181"/>
      <c r="J74" s="294"/>
      <c r="K74" s="181"/>
      <c r="L74" s="181"/>
      <c r="M74" s="181"/>
      <c r="N74" s="181"/>
      <c r="O74" s="181"/>
    </row>
    <row r="75" spans="4:17" x14ac:dyDescent="0.35">
      <c r="H75" s="181"/>
      <c r="I75" s="181"/>
      <c r="J75" s="294"/>
      <c r="K75" s="181"/>
      <c r="L75" s="181"/>
      <c r="M75" s="181"/>
      <c r="N75" s="181"/>
      <c r="O75" s="181"/>
    </row>
    <row r="76" spans="4:17" x14ac:dyDescent="0.35">
      <c r="H76" s="181"/>
      <c r="I76" s="181"/>
      <c r="J76" s="181"/>
      <c r="K76" s="181"/>
      <c r="L76" s="181"/>
      <c r="M76" s="181"/>
      <c r="N76" s="181"/>
      <c r="O76" s="181"/>
    </row>
    <row r="77" spans="4:17" x14ac:dyDescent="0.35">
      <c r="H77" s="181"/>
      <c r="I77" s="181"/>
      <c r="J77" s="181"/>
      <c r="K77" s="181"/>
      <c r="L77" s="181"/>
      <c r="M77" s="181"/>
      <c r="N77" s="181"/>
      <c r="O77" s="181"/>
    </row>
    <row r="78" spans="4:17" x14ac:dyDescent="0.35">
      <c r="H78" s="181"/>
      <c r="I78" s="181"/>
      <c r="J78" s="181"/>
      <c r="K78" s="181"/>
      <c r="L78" s="181"/>
      <c r="M78" s="181"/>
      <c r="N78" s="181"/>
      <c r="O78" s="181"/>
    </row>
    <row r="79" spans="4:17" x14ac:dyDescent="0.35">
      <c r="G79" s="181"/>
      <c r="H79" s="181"/>
      <c r="I79" s="181"/>
      <c r="J79" s="181"/>
      <c r="K79" s="181"/>
      <c r="L79" s="181"/>
      <c r="M79" s="181"/>
      <c r="N79" s="181"/>
      <c r="O79" s="181"/>
    </row>
    <row r="80" spans="4:17" x14ac:dyDescent="0.35">
      <c r="G80" s="181"/>
      <c r="H80" s="181"/>
      <c r="I80" s="181"/>
      <c r="J80" s="181"/>
      <c r="K80" s="181"/>
      <c r="L80" s="181"/>
      <c r="M80" s="181"/>
      <c r="N80" s="181"/>
      <c r="O80" s="181"/>
      <c r="P80" s="181"/>
      <c r="Q80" s="181"/>
    </row>
    <row r="81" spans="2:17" x14ac:dyDescent="0.35">
      <c r="G81" s="181"/>
      <c r="H81" s="181"/>
      <c r="I81" s="181"/>
      <c r="J81" s="181"/>
      <c r="K81" s="181"/>
      <c r="L81" s="181"/>
      <c r="M81" s="181"/>
      <c r="N81" s="181"/>
      <c r="O81" s="181"/>
      <c r="P81" s="181"/>
      <c r="Q81" s="181"/>
    </row>
    <row r="82" spans="2:17" x14ac:dyDescent="0.35">
      <c r="B82" s="181"/>
      <c r="C82" s="181"/>
      <c r="G82" s="181"/>
      <c r="H82" s="181"/>
      <c r="I82" s="181"/>
      <c r="J82" s="181"/>
      <c r="K82" s="181"/>
      <c r="L82" s="181"/>
      <c r="M82" s="181"/>
      <c r="N82" s="181"/>
      <c r="O82" s="181"/>
      <c r="P82" s="181"/>
      <c r="Q82" s="181"/>
    </row>
    <row r="83" spans="2:17" x14ac:dyDescent="0.35">
      <c r="B83" s="181"/>
      <c r="C83" s="181"/>
      <c r="F83" s="181"/>
      <c r="Q83" s="181"/>
    </row>
    <row r="84" spans="2:17" x14ac:dyDescent="0.35">
      <c r="B84" s="181"/>
      <c r="C84" s="181"/>
      <c r="F84" s="181"/>
      <c r="Q84" s="181"/>
    </row>
    <row r="85" spans="2:17" x14ac:dyDescent="0.35">
      <c r="B85" s="181"/>
      <c r="C85" s="181"/>
      <c r="F85" s="181"/>
      <c r="Q85" s="181"/>
    </row>
    <row r="86" spans="2:17" x14ac:dyDescent="0.35">
      <c r="F86" s="181"/>
      <c r="Q86" s="181"/>
    </row>
    <row r="87" spans="2:17" x14ac:dyDescent="0.35">
      <c r="D87" s="181"/>
      <c r="E87" s="181"/>
      <c r="Q87" s="181"/>
    </row>
    <row r="88" spans="2:17" x14ac:dyDescent="0.35">
      <c r="D88" s="181"/>
      <c r="E88" s="181"/>
      <c r="Q88" s="181"/>
    </row>
    <row r="89" spans="2:17" x14ac:dyDescent="0.35">
      <c r="D89" s="181"/>
      <c r="E89" s="181"/>
      <c r="Q89" s="181"/>
    </row>
    <row r="90" spans="2:17" x14ac:dyDescent="0.35">
      <c r="D90" s="181"/>
      <c r="E90" s="181"/>
      <c r="G90" s="181"/>
      <c r="H90" s="181"/>
      <c r="I90" s="181"/>
      <c r="J90" s="181"/>
      <c r="K90" s="181"/>
      <c r="L90" s="181"/>
      <c r="M90" s="181"/>
      <c r="N90" s="181"/>
      <c r="O90" s="181"/>
    </row>
    <row r="91" spans="2:17" x14ac:dyDescent="0.35">
      <c r="G91" s="181"/>
      <c r="H91" s="181"/>
      <c r="I91" s="181"/>
      <c r="J91" s="181"/>
      <c r="K91" s="181"/>
      <c r="L91" s="181"/>
      <c r="M91" s="181"/>
      <c r="N91" s="181"/>
      <c r="O91" s="181"/>
    </row>
    <row r="92" spans="2:17" x14ac:dyDescent="0.35">
      <c r="G92" s="181"/>
      <c r="H92" s="181"/>
      <c r="I92" s="181"/>
      <c r="J92" s="181"/>
      <c r="K92" s="181"/>
      <c r="L92" s="181"/>
      <c r="M92" s="181"/>
      <c r="N92" s="181"/>
      <c r="O92" s="181"/>
    </row>
    <row r="93" spans="2:17" x14ac:dyDescent="0.35">
      <c r="B93" s="181"/>
      <c r="C93" s="181"/>
      <c r="G93" s="181"/>
      <c r="H93" s="181"/>
      <c r="I93" s="181"/>
      <c r="J93" s="181"/>
      <c r="K93" s="181"/>
      <c r="L93" s="181"/>
      <c r="M93" s="181"/>
      <c r="N93" s="181"/>
      <c r="O93" s="181"/>
    </row>
    <row r="94" spans="2:17" x14ac:dyDescent="0.35">
      <c r="B94" s="181"/>
      <c r="C94" s="181"/>
      <c r="F94" s="181"/>
      <c r="G94" s="181"/>
      <c r="H94" s="181"/>
      <c r="I94" s="181"/>
      <c r="J94" s="181"/>
      <c r="K94" s="181"/>
      <c r="L94" s="181"/>
      <c r="M94" s="181"/>
      <c r="N94" s="181"/>
      <c r="O94" s="181"/>
    </row>
    <row r="95" spans="2:17" x14ac:dyDescent="0.35">
      <c r="B95" s="181"/>
      <c r="C95" s="181"/>
      <c r="F95" s="181"/>
      <c r="G95" s="181"/>
      <c r="H95" s="181"/>
      <c r="I95" s="181"/>
      <c r="J95" s="181"/>
      <c r="K95" s="181"/>
      <c r="L95" s="181"/>
      <c r="M95" s="181"/>
      <c r="N95" s="181"/>
      <c r="O95" s="181"/>
    </row>
    <row r="96" spans="2:17" x14ac:dyDescent="0.35">
      <c r="B96" s="181"/>
      <c r="C96" s="181"/>
      <c r="F96" s="181"/>
    </row>
    <row r="97" spans="2:6" x14ac:dyDescent="0.35">
      <c r="B97" s="181"/>
      <c r="C97" s="181"/>
      <c r="F97" s="181"/>
    </row>
    <row r="98" spans="2:6" x14ac:dyDescent="0.35">
      <c r="B98" s="181"/>
      <c r="C98" s="181"/>
      <c r="D98" s="181"/>
      <c r="E98" s="181"/>
      <c r="F98" s="181"/>
    </row>
    <row r="99" spans="2:6" x14ac:dyDescent="0.35">
      <c r="D99" s="181"/>
      <c r="E99" s="181"/>
      <c r="F99" s="181"/>
    </row>
    <row r="100" spans="2:6" x14ac:dyDescent="0.35">
      <c r="D100" s="181"/>
      <c r="E100" s="181"/>
    </row>
    <row r="101" spans="2:6" x14ac:dyDescent="0.35">
      <c r="D101" s="181"/>
      <c r="E101" s="181"/>
    </row>
    <row r="102" spans="2:6" x14ac:dyDescent="0.35">
      <c r="D102" s="181"/>
      <c r="E102" s="181"/>
    </row>
    <row r="103" spans="2:6" x14ac:dyDescent="0.35">
      <c r="D103" s="181"/>
      <c r="E103" s="181"/>
    </row>
  </sheetData>
  <pageMargins left="0.7" right="0.7" top="0.75" bottom="0.75" header="0.3" footer="0.3"/>
  <pageSetup scale="5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election activeCell="I17" sqref="I17"/>
    </sheetView>
  </sheetViews>
  <sheetFormatPr defaultRowHeight="15.6" x14ac:dyDescent="0.3"/>
  <cols>
    <col min="2" max="2" width="10.08984375" customWidth="1"/>
    <col min="6" max="6" width="16.08984375" customWidth="1"/>
  </cols>
  <sheetData>
    <row r="13" spans="2:6" ht="17.399999999999999" x14ac:dyDescent="0.3">
      <c r="B13" s="733" t="s">
        <v>5</v>
      </c>
      <c r="C13" s="733"/>
      <c r="D13" s="733"/>
      <c r="E13" s="733"/>
      <c r="F13" s="733"/>
    </row>
    <row r="14" spans="2:6" ht="17.399999999999999" x14ac:dyDescent="0.3">
      <c r="B14" s="121"/>
      <c r="C14" s="121"/>
      <c r="D14" s="121"/>
      <c r="E14" s="121"/>
      <c r="F14" s="121"/>
    </row>
    <row r="15" spans="2:6" ht="17.399999999999999" x14ac:dyDescent="0.3">
      <c r="B15" s="121"/>
      <c r="C15" s="121"/>
      <c r="D15" s="121"/>
      <c r="E15" s="121"/>
      <c r="F15" s="121"/>
    </row>
    <row r="16" spans="2:6" ht="17.399999999999999" x14ac:dyDescent="0.3">
      <c r="B16" s="121"/>
      <c r="C16" s="121"/>
      <c r="D16" s="121"/>
      <c r="E16" s="121"/>
      <c r="F16" s="121"/>
    </row>
    <row r="17" spans="2:6" ht="17.399999999999999" x14ac:dyDescent="0.3">
      <c r="B17" s="733" t="s">
        <v>360</v>
      </c>
      <c r="C17" s="733"/>
      <c r="D17" s="733"/>
      <c r="E17" s="733"/>
      <c r="F17" s="733"/>
    </row>
    <row r="18" spans="2:6" ht="17.399999999999999" x14ac:dyDescent="0.3">
      <c r="B18" s="121"/>
      <c r="C18" s="121"/>
      <c r="D18" s="121"/>
      <c r="E18" s="121"/>
      <c r="F18" s="121"/>
    </row>
    <row r="19" spans="2:6" ht="17.399999999999999" x14ac:dyDescent="0.3">
      <c r="B19" s="733" t="s">
        <v>215</v>
      </c>
      <c r="C19" s="733"/>
      <c r="D19" s="733"/>
      <c r="E19" s="733"/>
      <c r="F19" s="733"/>
    </row>
    <row r="20" spans="2:6" ht="17.399999999999999" x14ac:dyDescent="0.3">
      <c r="B20" s="121"/>
      <c r="C20" s="121"/>
      <c r="D20" s="121"/>
      <c r="E20" s="121"/>
      <c r="F20" s="121"/>
    </row>
    <row r="21" spans="2:6" ht="17.399999999999999" x14ac:dyDescent="0.3">
      <c r="B21" s="734" t="str">
        <f>'Input Data'!C12</f>
        <v>2021-00130</v>
      </c>
      <c r="C21" s="734"/>
      <c r="D21" s="734"/>
      <c r="E21" s="734"/>
      <c r="F21" s="734"/>
    </row>
    <row r="22" spans="2:6" ht="17.399999999999999" x14ac:dyDescent="0.3">
      <c r="B22" s="121"/>
      <c r="C22" s="121"/>
      <c r="D22" s="121"/>
      <c r="E22" s="121"/>
      <c r="F22" s="121"/>
    </row>
    <row r="23" spans="2:6" ht="17.399999999999999" x14ac:dyDescent="0.3">
      <c r="B23" s="121"/>
      <c r="C23" s="121"/>
      <c r="D23" s="121"/>
      <c r="E23" s="121"/>
      <c r="F23" s="121"/>
    </row>
    <row r="24" spans="2:6" ht="17.399999999999999" x14ac:dyDescent="0.3">
      <c r="B24" s="121"/>
      <c r="C24" s="121"/>
      <c r="D24" s="121"/>
      <c r="E24" s="121"/>
      <c r="F24" s="121"/>
    </row>
    <row r="25" spans="2:6" ht="17.399999999999999" x14ac:dyDescent="0.3">
      <c r="B25" s="121"/>
      <c r="C25" s="121"/>
      <c r="D25" s="121"/>
      <c r="E25" s="121"/>
      <c r="F25" s="121"/>
    </row>
    <row r="26" spans="2:6" ht="17.399999999999999" x14ac:dyDescent="0.3">
      <c r="B26" s="121"/>
      <c r="C26" s="121"/>
      <c r="D26" s="121"/>
      <c r="E26" s="121"/>
      <c r="F26" s="121"/>
    </row>
    <row r="27" spans="2:6" ht="17.399999999999999" x14ac:dyDescent="0.3">
      <c r="B27" s="733" t="s">
        <v>361</v>
      </c>
      <c r="C27" s="735"/>
      <c r="D27" s="735"/>
      <c r="E27" s="735"/>
      <c r="F27" s="735"/>
    </row>
    <row r="28" spans="2:6" ht="17.399999999999999" x14ac:dyDescent="0.3">
      <c r="B28" s="732" t="str">
        <f>CONCATENATE('Input Data'!D4," through ",'Input Data'!D5)</f>
        <v>May 1, 2021 through July 31, 2021</v>
      </c>
      <c r="C28" s="732"/>
      <c r="D28" s="732"/>
      <c r="E28" s="732"/>
      <c r="F28" s="732"/>
    </row>
    <row r="29" spans="2:6" ht="17.399999999999999" x14ac:dyDescent="0.3">
      <c r="B29" s="26"/>
      <c r="C29" s="26"/>
      <c r="D29" s="26"/>
      <c r="E29" s="26"/>
      <c r="F29" s="26"/>
    </row>
  </sheetData>
  <mergeCells count="6">
    <mergeCell ref="B28:F28"/>
    <mergeCell ref="B13:F13"/>
    <mergeCell ref="B17:F17"/>
    <mergeCell ref="B19:F19"/>
    <mergeCell ref="B21:F21"/>
    <mergeCell ref="B27:F2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O77"/>
  <sheetViews>
    <sheetView zoomScale="80" zoomScaleNormal="80" workbookViewId="0">
      <selection activeCell="F9" sqref="F9"/>
    </sheetView>
  </sheetViews>
  <sheetFormatPr defaultColWidth="12.6328125" defaultRowHeight="15.6" x14ac:dyDescent="0.3"/>
  <cols>
    <col min="1" max="1" width="5.81640625" style="470" customWidth="1"/>
    <col min="2" max="3" width="12.6328125" style="3"/>
    <col min="4" max="4" width="7.453125" style="3" customWidth="1"/>
    <col min="5" max="5" width="5.81640625" style="3" customWidth="1"/>
    <col min="6" max="6" width="16" style="3" bestFit="1" customWidth="1"/>
    <col min="7" max="7" width="16" style="3" customWidth="1"/>
    <col min="8" max="11" width="10.81640625" style="3" customWidth="1"/>
    <col min="12" max="16384" width="12.6328125" style="3"/>
  </cols>
  <sheetData>
    <row r="1" spans="1:15" x14ac:dyDescent="0.3">
      <c r="B1" s="2"/>
      <c r="C1" s="2"/>
      <c r="D1" s="2"/>
      <c r="E1" s="2"/>
      <c r="F1" s="2"/>
      <c r="G1" s="2"/>
      <c r="H1" s="2"/>
      <c r="I1" s="54"/>
      <c r="J1" s="2"/>
    </row>
    <row r="2" spans="1:15" x14ac:dyDescent="0.3">
      <c r="B2" s="2"/>
      <c r="C2" s="2"/>
      <c r="D2" s="2"/>
      <c r="E2" s="2"/>
      <c r="F2" s="2"/>
      <c r="G2" s="2"/>
      <c r="H2" s="2"/>
      <c r="I2" s="54"/>
      <c r="J2" s="2"/>
      <c r="O2" s="13"/>
    </row>
    <row r="3" spans="1:15" ht="18" x14ac:dyDescent="0.35">
      <c r="A3" s="345" t="s">
        <v>5</v>
      </c>
      <c r="B3" s="230"/>
      <c r="C3" s="91"/>
      <c r="D3" s="91"/>
      <c r="E3" s="91"/>
      <c r="F3" s="91"/>
      <c r="G3" s="91"/>
      <c r="H3" s="91"/>
      <c r="I3" s="91"/>
      <c r="J3" s="136"/>
      <c r="K3" s="230"/>
    </row>
    <row r="4" spans="1:15" ht="18" x14ac:dyDescent="0.35">
      <c r="A4" s="181"/>
      <c r="C4" s="181"/>
      <c r="D4" s="181"/>
      <c r="E4" s="181"/>
      <c r="F4" s="181"/>
      <c r="G4" s="181"/>
      <c r="H4" s="181"/>
      <c r="I4" s="181"/>
      <c r="J4" s="2"/>
    </row>
    <row r="5" spans="1:15" ht="18" x14ac:dyDescent="0.35">
      <c r="A5" s="549" t="s">
        <v>6</v>
      </c>
      <c r="B5" s="230"/>
      <c r="C5" s="91"/>
      <c r="D5" s="91"/>
      <c r="E5" s="91"/>
      <c r="F5" s="91"/>
      <c r="G5" s="91"/>
      <c r="H5" s="91"/>
      <c r="I5" s="91"/>
      <c r="J5" s="136"/>
      <c r="K5" s="230"/>
    </row>
    <row r="6" spans="1:15" ht="18" x14ac:dyDescent="0.35">
      <c r="A6" s="549" t="str">
        <f>CONCATENATE("Service Rendered On and After ",'Input Data'!D4)</f>
        <v>Service Rendered On and After May 1, 2021</v>
      </c>
      <c r="B6" s="230"/>
      <c r="C6" s="91"/>
      <c r="D6" s="91"/>
      <c r="E6" s="91"/>
      <c r="F6" s="91"/>
      <c r="G6" s="91"/>
      <c r="H6" s="91"/>
      <c r="I6" s="91"/>
      <c r="J6" s="136"/>
      <c r="K6" s="230"/>
    </row>
    <row r="7" spans="1:15" ht="18" x14ac:dyDescent="0.35">
      <c r="A7" s="181"/>
      <c r="C7" s="181"/>
      <c r="D7" s="181"/>
      <c r="E7" s="181"/>
      <c r="F7" s="181"/>
      <c r="G7" s="181"/>
      <c r="H7" s="181"/>
      <c r="I7" s="181"/>
      <c r="J7" s="2"/>
    </row>
    <row r="8" spans="1:15" ht="18" x14ac:dyDescent="0.35">
      <c r="A8" s="345" t="str">
        <f>'Input Data'!C12</f>
        <v>2021-00130</v>
      </c>
      <c r="B8" s="230"/>
      <c r="C8" s="91"/>
      <c r="D8" s="91"/>
      <c r="E8" s="91"/>
      <c r="F8" s="91"/>
      <c r="G8" s="91"/>
      <c r="H8" s="91"/>
      <c r="I8" s="91"/>
      <c r="J8" s="136"/>
      <c r="K8" s="230"/>
    </row>
    <row r="9" spans="1:15" x14ac:dyDescent="0.3">
      <c r="B9" s="2"/>
      <c r="C9" s="2"/>
      <c r="D9" s="2"/>
      <c r="E9" s="2"/>
      <c r="F9" s="2"/>
      <c r="G9" s="2"/>
      <c r="H9" s="2"/>
      <c r="I9" s="2"/>
      <c r="J9" s="2"/>
    </row>
    <row r="10" spans="1:15" x14ac:dyDescent="0.3">
      <c r="A10" s="516"/>
      <c r="B10" s="2"/>
      <c r="C10" s="2"/>
      <c r="D10" s="2"/>
      <c r="E10" s="2"/>
      <c r="F10" s="2"/>
      <c r="G10" s="2"/>
      <c r="H10" s="2"/>
      <c r="I10" s="2"/>
      <c r="J10" s="2"/>
    </row>
    <row r="11" spans="1:15" x14ac:dyDescent="0.3">
      <c r="B11" s="2"/>
      <c r="C11" s="2"/>
      <c r="D11" s="2"/>
      <c r="E11" s="2"/>
      <c r="F11" s="2"/>
      <c r="G11" s="2"/>
      <c r="H11" s="2"/>
      <c r="I11" s="2"/>
      <c r="J11" s="2"/>
    </row>
    <row r="12" spans="1:15" x14ac:dyDescent="0.3">
      <c r="A12" s="532" t="s">
        <v>323</v>
      </c>
      <c r="B12" s="522" t="s">
        <v>7</v>
      </c>
      <c r="C12" s="523"/>
      <c r="D12" s="523"/>
      <c r="E12" s="523"/>
      <c r="F12" s="523"/>
      <c r="G12" s="523"/>
      <c r="H12" s="523"/>
      <c r="I12" s="523"/>
      <c r="J12" s="523"/>
      <c r="K12" s="524"/>
    </row>
    <row r="13" spans="1:15" x14ac:dyDescent="0.3">
      <c r="A13" s="533" t="s">
        <v>324</v>
      </c>
      <c r="B13" s="525" t="s">
        <v>616</v>
      </c>
      <c r="C13" s="138"/>
      <c r="D13" s="137"/>
      <c r="E13" s="137"/>
      <c r="F13" s="137"/>
      <c r="G13" s="137"/>
      <c r="H13" s="139" t="s">
        <v>8</v>
      </c>
      <c r="I13" s="139" t="s">
        <v>529</v>
      </c>
      <c r="J13" s="530" t="s">
        <v>12</v>
      </c>
      <c r="K13" s="556" t="s">
        <v>612</v>
      </c>
    </row>
    <row r="14" spans="1:15" x14ac:dyDescent="0.3">
      <c r="A14" s="534">
        <v>1</v>
      </c>
      <c r="B14" s="526" t="s">
        <v>9</v>
      </c>
      <c r="C14" s="143"/>
      <c r="D14" s="143"/>
      <c r="E14" s="143"/>
      <c r="F14" s="143"/>
      <c r="G14" s="143"/>
      <c r="H14" s="144" t="s">
        <v>10</v>
      </c>
      <c r="I14" s="527">
        <f>'Ex A 1 of 2'!F63</f>
        <v>8562305</v>
      </c>
      <c r="J14" s="143"/>
      <c r="K14" s="498"/>
    </row>
    <row r="15" spans="1:15" x14ac:dyDescent="0.3">
      <c r="A15" s="534">
        <v>2</v>
      </c>
      <c r="B15" s="528" t="str">
        <f>CONCATENATE("Total Expected Customer Deliveries: ",'Input Data'!D4," through ",'Input Data'!D5)</f>
        <v>Total Expected Customer Deliveries: May 1, 2021 through July 31, 2021</v>
      </c>
      <c r="C15" s="143"/>
      <c r="D15" s="143"/>
      <c r="E15" s="143"/>
      <c r="F15" s="143"/>
      <c r="G15" s="143"/>
      <c r="H15" s="144" t="s">
        <v>11</v>
      </c>
      <c r="I15" s="527">
        <f>'Ex A 1 of 2'!F74</f>
        <v>2451205.3328</v>
      </c>
      <c r="J15" s="30"/>
      <c r="K15" s="498"/>
    </row>
    <row r="16" spans="1:15" x14ac:dyDescent="0.3">
      <c r="A16" s="533">
        <v>3</v>
      </c>
      <c r="B16" s="525" t="s">
        <v>613</v>
      </c>
      <c r="C16" s="529"/>
      <c r="D16" s="529"/>
      <c r="E16" s="529"/>
      <c r="F16" s="529"/>
      <c r="G16" s="529"/>
      <c r="H16" s="530"/>
      <c r="I16" s="531"/>
      <c r="J16" s="557">
        <f>ROUND('Ex A 1 of 2'!F77,4)</f>
        <v>3.4931000000000001</v>
      </c>
      <c r="K16" s="558">
        <f>ROUND('Ex A 1 of 2'!F77/10,5)</f>
        <v>0.34931000000000001</v>
      </c>
    </row>
    <row r="17" spans="1:13" x14ac:dyDescent="0.3">
      <c r="B17" s="2"/>
      <c r="C17" s="2"/>
      <c r="D17" s="2"/>
      <c r="E17" s="2"/>
      <c r="F17" s="2"/>
      <c r="G17" s="2"/>
      <c r="H17" s="2"/>
      <c r="I17" s="2"/>
      <c r="J17" s="2"/>
    </row>
    <row r="18" spans="1:13" x14ac:dyDescent="0.3">
      <c r="A18" s="516"/>
      <c r="B18" s="2"/>
      <c r="C18" s="2"/>
      <c r="D18" s="2"/>
      <c r="E18" s="2"/>
      <c r="F18" s="2"/>
      <c r="G18" s="2"/>
      <c r="H18" s="2"/>
      <c r="I18" s="2"/>
      <c r="J18" s="2"/>
    </row>
    <row r="19" spans="1:13" x14ac:dyDescent="0.3">
      <c r="B19" s="2"/>
      <c r="C19" s="2"/>
      <c r="D19" s="2"/>
      <c r="E19" s="2"/>
      <c r="F19" s="2"/>
      <c r="G19" s="2"/>
      <c r="H19" s="2"/>
      <c r="I19" s="142"/>
      <c r="J19" s="2"/>
    </row>
    <row r="20" spans="1:13" x14ac:dyDescent="0.3">
      <c r="A20" s="532"/>
      <c r="B20" s="522" t="s">
        <v>13</v>
      </c>
      <c r="C20" s="523"/>
      <c r="D20" s="523"/>
      <c r="E20" s="523"/>
      <c r="F20" s="523"/>
      <c r="G20" s="523"/>
      <c r="H20" s="523"/>
      <c r="I20" s="523"/>
      <c r="J20" s="523"/>
      <c r="K20" s="524"/>
      <c r="L20" s="30"/>
    </row>
    <row r="21" spans="1:13" x14ac:dyDescent="0.3">
      <c r="A21" s="533"/>
      <c r="B21" s="525" t="s">
        <v>616</v>
      </c>
      <c r="C21" s="535"/>
      <c r="D21" s="529"/>
      <c r="E21" s="529"/>
      <c r="F21" s="529"/>
      <c r="G21" s="530" t="s">
        <v>116</v>
      </c>
      <c r="H21" s="530"/>
      <c r="I21" s="530"/>
      <c r="J21" s="530" t="s">
        <v>12</v>
      </c>
      <c r="K21" s="556" t="s">
        <v>612</v>
      </c>
    </row>
    <row r="22" spans="1:13" x14ac:dyDescent="0.3">
      <c r="A22" s="534">
        <v>4</v>
      </c>
      <c r="B22" s="540" t="s">
        <v>14</v>
      </c>
      <c r="C22" s="541"/>
      <c r="D22" s="541"/>
      <c r="E22" s="542" t="s">
        <v>196</v>
      </c>
      <c r="F22" s="543">
        <f>'Input Data'!$C$4</f>
        <v>44317</v>
      </c>
      <c r="G22" s="544" t="str">
        <f>VLOOKUP(F22,'Case Database'!$A$5:$F$200,6)</f>
        <v>2020-00309</v>
      </c>
      <c r="H22" s="544"/>
      <c r="I22" s="545"/>
      <c r="J22" s="560">
        <f>ROUND('Ex B-1 1 of 7'!D27,4)</f>
        <v>-5.3400000000000003E-2</v>
      </c>
      <c r="K22" s="561">
        <f>ROUND('Ex B-1 1 of 7'!D28,5)</f>
        <v>-5.3400000000000001E-3</v>
      </c>
    </row>
    <row r="23" spans="1:13" x14ac:dyDescent="0.3">
      <c r="A23" s="534">
        <v>5</v>
      </c>
      <c r="B23" s="526" t="s">
        <v>15</v>
      </c>
      <c r="C23" s="143"/>
      <c r="D23" s="143"/>
      <c r="E23" s="546" t="s">
        <v>196</v>
      </c>
      <c r="F23" s="547">
        <f>EDATE(F22,-3)</f>
        <v>44228</v>
      </c>
      <c r="G23" s="144" t="str">
        <f>VLOOKUP(F23,'Case Database'!$A$5:$F$200,6)</f>
        <v>2020-00204</v>
      </c>
      <c r="H23" s="144"/>
      <c r="I23" s="519"/>
      <c r="J23" s="593">
        <f>VLOOKUP('Summary Sheet'!$G23,'Case Database'!$F$3:$H$205,2,FALSE)</f>
        <v>-1.09E-2</v>
      </c>
      <c r="K23" s="637">
        <f>VLOOKUP('Summary Sheet'!$G23,'Case Database'!$F$3:$H$205,3,FALSE)</f>
        <v>-1.09E-3</v>
      </c>
      <c r="M23" s="80"/>
    </row>
    <row r="24" spans="1:13" x14ac:dyDescent="0.3">
      <c r="A24" s="534">
        <v>6</v>
      </c>
      <c r="B24" s="526" t="s">
        <v>16</v>
      </c>
      <c r="C24" s="143"/>
      <c r="D24" s="143"/>
      <c r="E24" s="546" t="s">
        <v>196</v>
      </c>
      <c r="F24" s="547">
        <f>EDATE(F23,-3)</f>
        <v>44136</v>
      </c>
      <c r="G24" s="144" t="str">
        <f>VLOOKUP(F24,'Case Database'!$A$5:$F$200,6)</f>
        <v>2020-00070</v>
      </c>
      <c r="H24" s="144"/>
      <c r="I24" s="519"/>
      <c r="J24" s="593">
        <f>VLOOKUP('Summary Sheet'!$G24,'Case Database'!$F$3:$H$205,2,FALSE)</f>
        <v>-3.2000000000000002E-3</v>
      </c>
      <c r="K24" s="637">
        <f>VLOOKUP('Summary Sheet'!$G24,'Case Database'!$F$3:$H$205,3,FALSE)</f>
        <v>-3.2000000000000003E-4</v>
      </c>
    </row>
    <row r="25" spans="1:13" x14ac:dyDescent="0.3">
      <c r="A25" s="534">
        <v>7</v>
      </c>
      <c r="B25" s="526" t="s">
        <v>17</v>
      </c>
      <c r="C25" s="143"/>
      <c r="D25" s="143"/>
      <c r="E25" s="546" t="s">
        <v>196</v>
      </c>
      <c r="F25" s="547">
        <f>EDATE(F24,-3)</f>
        <v>44044</v>
      </c>
      <c r="G25" s="144" t="str">
        <f>VLOOKUP(F25,'Case Database'!$A$5:$F$200,6)</f>
        <v>2019-00436</v>
      </c>
      <c r="H25" s="144"/>
      <c r="I25" s="519"/>
      <c r="J25" s="594">
        <f>VLOOKUP('Summary Sheet'!$G25,'Case Database'!$F$3:$H$205,2,FALSE)</f>
        <v>4.5600000000000002E-2</v>
      </c>
      <c r="K25" s="638">
        <f>VLOOKUP('Summary Sheet'!$G25,'Case Database'!$F$3:$H$205,3,FALSE)</f>
        <v>4.5599999999999998E-3</v>
      </c>
    </row>
    <row r="26" spans="1:13" x14ac:dyDescent="0.3">
      <c r="A26" s="533">
        <v>8</v>
      </c>
      <c r="B26" s="525" t="s">
        <v>18</v>
      </c>
      <c r="C26" s="529"/>
      <c r="D26" s="529"/>
      <c r="E26" s="529"/>
      <c r="F26" s="529"/>
      <c r="G26" s="529"/>
      <c r="H26" s="530"/>
      <c r="I26" s="548"/>
      <c r="J26" s="562">
        <f>SUM(J22:J25)</f>
        <v>-2.1899999999999989E-2</v>
      </c>
      <c r="K26" s="639">
        <f>SUM(K22:K25)</f>
        <v>-2.1900000000000001E-3</v>
      </c>
    </row>
    <row r="27" spans="1:13" x14ac:dyDescent="0.3">
      <c r="B27" s="2"/>
      <c r="C27" s="2"/>
      <c r="D27" s="2"/>
      <c r="E27" s="2"/>
      <c r="F27" s="2"/>
      <c r="G27" s="2"/>
      <c r="H27" s="2"/>
      <c r="I27" s="2"/>
      <c r="J27" s="2"/>
    </row>
    <row r="28" spans="1:13" x14ac:dyDescent="0.3">
      <c r="A28" s="516"/>
      <c r="B28" s="2"/>
      <c r="C28" s="2"/>
      <c r="D28" s="2"/>
      <c r="E28" s="2"/>
      <c r="F28" s="2"/>
      <c r="G28" s="2"/>
      <c r="H28" s="2"/>
      <c r="I28" s="2"/>
      <c r="J28" s="2"/>
    </row>
    <row r="29" spans="1:13" x14ac:dyDescent="0.3">
      <c r="B29" s="2"/>
      <c r="C29" s="2"/>
      <c r="D29" s="2"/>
      <c r="E29" s="2"/>
      <c r="F29" s="2"/>
      <c r="G29" s="2"/>
      <c r="H29" s="2"/>
      <c r="I29" s="2"/>
      <c r="J29" s="2"/>
    </row>
    <row r="30" spans="1:13" x14ac:dyDescent="0.3">
      <c r="A30" s="532"/>
      <c r="B30" s="522" t="s">
        <v>19</v>
      </c>
      <c r="C30" s="523"/>
      <c r="D30" s="523"/>
      <c r="E30" s="523"/>
      <c r="F30" s="523"/>
      <c r="G30" s="523"/>
      <c r="H30" s="523"/>
      <c r="I30" s="523"/>
      <c r="J30" s="523"/>
      <c r="K30" s="524"/>
    </row>
    <row r="31" spans="1:13" x14ac:dyDescent="0.3">
      <c r="A31" s="534"/>
      <c r="B31" s="525" t="s">
        <v>616</v>
      </c>
      <c r="C31" s="517"/>
      <c r="D31" s="518"/>
      <c r="E31" s="518"/>
      <c r="F31" s="518"/>
      <c r="G31" s="518"/>
      <c r="H31" s="141"/>
      <c r="I31" s="141"/>
      <c r="J31" s="141" t="s">
        <v>12</v>
      </c>
      <c r="K31" s="559" t="s">
        <v>612</v>
      </c>
    </row>
    <row r="32" spans="1:13" x14ac:dyDescent="0.3">
      <c r="A32" s="95">
        <v>9</v>
      </c>
      <c r="B32" s="536" t="s">
        <v>614</v>
      </c>
      <c r="C32" s="537"/>
      <c r="D32" s="537"/>
      <c r="E32" s="537"/>
      <c r="F32" s="537"/>
      <c r="G32" s="537"/>
      <c r="H32" s="538"/>
      <c r="I32" s="539"/>
      <c r="J32" s="563">
        <f>ROUND('Ex C-1 1 of 3'!D17,4)</f>
        <v>-4.58E-2</v>
      </c>
      <c r="K32" s="564">
        <f>ROUND('Ex C-1 1 of 3'!D19,5)</f>
        <v>-4.5799999999999999E-3</v>
      </c>
    </row>
    <row r="33" spans="1:11" x14ac:dyDescent="0.3">
      <c r="B33" s="2"/>
      <c r="C33" s="2"/>
      <c r="D33" s="2"/>
      <c r="E33" s="2"/>
      <c r="F33" s="2"/>
      <c r="G33" s="2"/>
      <c r="H33" s="2"/>
      <c r="I33" s="2"/>
      <c r="J33" s="2"/>
    </row>
    <row r="34" spans="1:11" x14ac:dyDescent="0.3">
      <c r="A34" s="516"/>
      <c r="B34" s="2"/>
      <c r="C34" s="2"/>
      <c r="D34" s="2"/>
      <c r="E34" s="2"/>
      <c r="F34" s="2"/>
      <c r="G34" s="2"/>
      <c r="H34" s="2"/>
      <c r="I34" s="2"/>
      <c r="J34" s="2"/>
    </row>
    <row r="35" spans="1:11" x14ac:dyDescent="0.3">
      <c r="B35" s="2"/>
      <c r="C35" s="2"/>
      <c r="D35" s="2"/>
      <c r="E35" s="2"/>
      <c r="F35" s="2"/>
      <c r="G35" s="2"/>
      <c r="H35" s="2"/>
      <c r="I35" s="2"/>
      <c r="J35" s="2"/>
    </row>
    <row r="36" spans="1:11" x14ac:dyDescent="0.3">
      <c r="A36" s="532"/>
      <c r="B36" s="522" t="s">
        <v>20</v>
      </c>
      <c r="C36" s="523"/>
      <c r="D36" s="523"/>
      <c r="E36" s="523"/>
      <c r="F36" s="523"/>
      <c r="G36" s="523"/>
      <c r="H36" s="523"/>
      <c r="I36" s="523"/>
      <c r="J36" s="523"/>
      <c r="K36" s="524"/>
    </row>
    <row r="37" spans="1:11" x14ac:dyDescent="0.3">
      <c r="A37" s="533"/>
      <c r="B37" s="525" t="s">
        <v>616</v>
      </c>
      <c r="C37" s="535"/>
      <c r="D37" s="529"/>
      <c r="E37" s="529"/>
      <c r="F37" s="529"/>
      <c r="G37" s="529"/>
      <c r="H37" s="530"/>
      <c r="I37" s="530"/>
      <c r="J37" s="530" t="s">
        <v>12</v>
      </c>
      <c r="K37" s="559" t="s">
        <v>612</v>
      </c>
    </row>
    <row r="38" spans="1:11" x14ac:dyDescent="0.3">
      <c r="A38" s="534">
        <v>10</v>
      </c>
      <c r="B38" s="540" t="s">
        <v>223</v>
      </c>
      <c r="C38" s="541"/>
      <c r="D38" s="541"/>
      <c r="E38" s="542" t="s">
        <v>196</v>
      </c>
      <c r="F38" s="543">
        <f>+F22</f>
        <v>44317</v>
      </c>
      <c r="G38" s="541"/>
      <c r="H38" s="544"/>
      <c r="I38" s="550"/>
      <c r="J38" s="565">
        <f>ROUND('Ex D-1 1 of 2'!H12,4)</f>
        <v>0</v>
      </c>
      <c r="K38" s="566">
        <f>ROUND('Ex D-1 1 of 2'!I12,5)</f>
        <v>0</v>
      </c>
    </row>
    <row r="39" spans="1:11" x14ac:dyDescent="0.3">
      <c r="A39" s="534">
        <v>11</v>
      </c>
      <c r="B39" s="526" t="s">
        <v>224</v>
      </c>
      <c r="C39" s="143"/>
      <c r="D39" s="143"/>
      <c r="E39" s="546" t="s">
        <v>196</v>
      </c>
      <c r="F39" s="547">
        <f>+F23</f>
        <v>44228</v>
      </c>
      <c r="G39" s="143"/>
      <c r="H39" s="144"/>
      <c r="I39" s="30"/>
      <c r="J39" s="567">
        <f>ROUND('Ex D-1 1 of 2'!H13,4)</f>
        <v>0</v>
      </c>
      <c r="K39" s="568">
        <f>ROUND('Ex D-1 1 of 2'!I13,5)</f>
        <v>0</v>
      </c>
    </row>
    <row r="40" spans="1:11" x14ac:dyDescent="0.3">
      <c r="A40" s="534">
        <v>12</v>
      </c>
      <c r="B40" s="526" t="s">
        <v>230</v>
      </c>
      <c r="C40" s="143"/>
      <c r="D40" s="143"/>
      <c r="E40" s="546" t="s">
        <v>196</v>
      </c>
      <c r="F40" s="547">
        <f>+F24</f>
        <v>44136</v>
      </c>
      <c r="G40" s="143"/>
      <c r="H40" s="144"/>
      <c r="I40" s="30"/>
      <c r="J40" s="567">
        <f>ROUND('Ex D-1 1 of 2'!H14,4)</f>
        <v>0</v>
      </c>
      <c r="K40" s="568">
        <f>ROUND('Ex D-1 1 of 2'!I14,5)</f>
        <v>0</v>
      </c>
    </row>
    <row r="41" spans="1:11" x14ac:dyDescent="0.3">
      <c r="A41" s="534">
        <v>13</v>
      </c>
      <c r="B41" s="526" t="s">
        <v>232</v>
      </c>
      <c r="C41" s="143"/>
      <c r="D41" s="143"/>
      <c r="E41" s="546" t="s">
        <v>196</v>
      </c>
      <c r="F41" s="547">
        <f>+F25</f>
        <v>44044</v>
      </c>
      <c r="G41" s="143"/>
      <c r="H41" s="144"/>
      <c r="I41" s="30"/>
      <c r="J41" s="569">
        <f>ROUND('Ex D-1 1 of 2'!H15,4)</f>
        <v>0</v>
      </c>
      <c r="K41" s="570">
        <f>ROUND('Ex D-1 1 of 2'!I15,5)</f>
        <v>0</v>
      </c>
    </row>
    <row r="42" spans="1:11" x14ac:dyDescent="0.3">
      <c r="A42" s="533">
        <v>14</v>
      </c>
      <c r="B42" s="525" t="s">
        <v>21</v>
      </c>
      <c r="C42" s="529"/>
      <c r="D42" s="529"/>
      <c r="E42" s="529"/>
      <c r="F42" s="529"/>
      <c r="G42" s="529"/>
      <c r="H42" s="530"/>
      <c r="I42" s="531"/>
      <c r="J42" s="569">
        <f>SUM(J38:J41)</f>
        <v>0</v>
      </c>
      <c r="K42" s="570">
        <f>SUM(K38:K41)</f>
        <v>0</v>
      </c>
    </row>
    <row r="43" spans="1:11" x14ac:dyDescent="0.3">
      <c r="A43" s="520"/>
      <c r="B43" s="2"/>
      <c r="C43" s="2"/>
      <c r="D43" s="2"/>
      <c r="E43" s="2"/>
      <c r="F43" s="2"/>
      <c r="G43" s="2"/>
      <c r="H43" s="2"/>
      <c r="I43" s="2"/>
      <c r="J43" s="2"/>
    </row>
    <row r="44" spans="1:11" x14ac:dyDescent="0.3">
      <c r="A44" s="520"/>
      <c r="B44" s="2"/>
      <c r="C44" s="2"/>
      <c r="D44" s="2"/>
      <c r="E44" s="2"/>
      <c r="F44" s="2"/>
      <c r="G44" s="2"/>
      <c r="H44" s="2"/>
      <c r="I44" s="2"/>
      <c r="J44" s="2"/>
    </row>
    <row r="45" spans="1:11" x14ac:dyDescent="0.3">
      <c r="A45" s="520"/>
      <c r="B45" s="2"/>
      <c r="C45" s="2"/>
      <c r="D45" s="2"/>
      <c r="E45" s="2"/>
      <c r="F45" s="2"/>
      <c r="G45" s="2"/>
      <c r="H45" s="2"/>
      <c r="I45" s="2"/>
      <c r="J45" s="2"/>
    </row>
    <row r="46" spans="1:11" x14ac:dyDescent="0.3">
      <c r="A46" s="532"/>
      <c r="B46" s="522" t="s">
        <v>22</v>
      </c>
      <c r="C46" s="523"/>
      <c r="D46" s="523"/>
      <c r="E46" s="523"/>
      <c r="F46" s="523"/>
      <c r="G46" s="523"/>
      <c r="H46" s="523"/>
      <c r="I46" s="523"/>
      <c r="J46" s="523"/>
      <c r="K46" s="524"/>
    </row>
    <row r="47" spans="1:11" x14ac:dyDescent="0.3">
      <c r="A47" s="533"/>
      <c r="B47" s="525" t="s">
        <v>616</v>
      </c>
      <c r="C47" s="535"/>
      <c r="D47" s="529"/>
      <c r="E47" s="529"/>
      <c r="F47" s="529"/>
      <c r="G47" s="529"/>
      <c r="H47" s="530"/>
      <c r="I47" s="530"/>
      <c r="J47" s="530" t="s">
        <v>12</v>
      </c>
      <c r="K47" s="559" t="s">
        <v>612</v>
      </c>
    </row>
    <row r="48" spans="1:11" x14ac:dyDescent="0.3">
      <c r="A48" s="533">
        <v>15</v>
      </c>
      <c r="B48" s="536" t="s">
        <v>617</v>
      </c>
      <c r="C48" s="537"/>
      <c r="D48" s="551"/>
      <c r="E48" s="537"/>
      <c r="F48" s="537"/>
      <c r="G48" s="537"/>
      <c r="H48" s="538"/>
      <c r="I48" s="552"/>
      <c r="J48" s="537">
        <f>ROUND('Ex E-1 1 of 1'!C21+'Ex E-1 1 of 1'!D21,4)</f>
        <v>7.6700000000000004E-2</v>
      </c>
      <c r="K48" s="509">
        <f>ROUND('Ex E-1 1 of 1'!C23+'Ex E-1 1 of 1'!D23,5)</f>
        <v>7.6699999999999997E-3</v>
      </c>
    </row>
    <row r="49" spans="1:13" x14ac:dyDescent="0.3">
      <c r="A49" s="520"/>
      <c r="B49" s="2"/>
      <c r="C49" s="2"/>
      <c r="D49" s="2"/>
      <c r="E49" s="2"/>
      <c r="F49" s="2"/>
      <c r="G49" s="2"/>
      <c r="H49" s="2"/>
      <c r="I49" s="2"/>
      <c r="J49" s="2"/>
    </row>
    <row r="50" spans="1:13" x14ac:dyDescent="0.3">
      <c r="A50" s="520"/>
      <c r="B50" s="2"/>
      <c r="C50" s="2"/>
      <c r="D50" s="2"/>
      <c r="E50" s="2"/>
      <c r="F50" s="2"/>
      <c r="G50" s="2"/>
      <c r="H50" s="2"/>
      <c r="I50" s="2"/>
      <c r="J50" s="2"/>
    </row>
    <row r="51" spans="1:13" x14ac:dyDescent="0.3">
      <c r="A51" s="520"/>
      <c r="B51" s="2"/>
      <c r="C51" s="2"/>
      <c r="D51" s="2"/>
      <c r="E51" s="2"/>
      <c r="F51" s="2"/>
      <c r="G51" s="2"/>
      <c r="H51" s="2"/>
      <c r="I51" s="2"/>
      <c r="J51" s="2"/>
    </row>
    <row r="52" spans="1:13" x14ac:dyDescent="0.3">
      <c r="A52" s="532"/>
      <c r="B52" s="522" t="str">
        <f>CONCATENATE("Gas Supply Cost Component  (GSCC)  Effective ",'Input Data'!D4)</f>
        <v>Gas Supply Cost Component  (GSCC)  Effective May 1, 2021</v>
      </c>
      <c r="C52" s="523"/>
      <c r="D52" s="523"/>
      <c r="E52" s="523"/>
      <c r="F52" s="523"/>
      <c r="G52" s="523"/>
      <c r="H52" s="523"/>
      <c r="I52" s="523"/>
      <c r="J52" s="523"/>
      <c r="K52" s="524"/>
    </row>
    <row r="53" spans="1:13" x14ac:dyDescent="0.3">
      <c r="A53" s="533"/>
      <c r="B53" s="525" t="s">
        <v>616</v>
      </c>
      <c r="C53" s="517"/>
      <c r="D53" s="518"/>
      <c r="E53" s="518"/>
      <c r="F53" s="518"/>
      <c r="G53" s="518"/>
      <c r="H53" s="141"/>
      <c r="I53" s="141"/>
      <c r="J53" s="141" t="s">
        <v>12</v>
      </c>
      <c r="K53" s="559" t="s">
        <v>612</v>
      </c>
    </row>
    <row r="54" spans="1:13" x14ac:dyDescent="0.3">
      <c r="A54" s="534">
        <v>16</v>
      </c>
      <c r="B54" s="540" t="s">
        <v>23</v>
      </c>
      <c r="C54" s="541"/>
      <c r="D54" s="541"/>
      <c r="E54" s="541"/>
      <c r="F54" s="541"/>
      <c r="G54" s="541"/>
      <c r="H54" s="544"/>
      <c r="I54" s="553"/>
      <c r="J54" s="565">
        <f>J16</f>
        <v>3.4931000000000001</v>
      </c>
      <c r="K54" s="566">
        <f>K16</f>
        <v>0.34931000000000001</v>
      </c>
    </row>
    <row r="55" spans="1:13" x14ac:dyDescent="0.3">
      <c r="A55" s="534">
        <v>17</v>
      </c>
      <c r="B55" s="526" t="s">
        <v>24</v>
      </c>
      <c r="C55" s="143"/>
      <c r="D55" s="143"/>
      <c r="E55" s="143"/>
      <c r="F55" s="143"/>
      <c r="G55" s="143"/>
      <c r="H55" s="144"/>
      <c r="I55" s="256"/>
      <c r="J55" s="567">
        <f>J26</f>
        <v>-2.1899999999999989E-2</v>
      </c>
      <c r="K55" s="568">
        <f>K26</f>
        <v>-2.1900000000000001E-3</v>
      </c>
    </row>
    <row r="56" spans="1:13" x14ac:dyDescent="0.3">
      <c r="A56" s="534">
        <v>18</v>
      </c>
      <c r="B56" s="526" t="s">
        <v>25</v>
      </c>
      <c r="C56" s="143"/>
      <c r="D56" s="143"/>
      <c r="E56" s="143"/>
      <c r="F56" s="143"/>
      <c r="G56" s="143"/>
      <c r="H56" s="144"/>
      <c r="I56" s="256"/>
      <c r="J56" s="567">
        <f>J32</f>
        <v>-4.58E-2</v>
      </c>
      <c r="K56" s="568">
        <f>K32</f>
        <v>-4.5799999999999999E-3</v>
      </c>
    </row>
    <row r="57" spans="1:13" x14ac:dyDescent="0.3">
      <c r="A57" s="534">
        <v>19</v>
      </c>
      <c r="B57" s="526" t="s">
        <v>26</v>
      </c>
      <c r="C57" s="143"/>
      <c r="D57" s="143"/>
      <c r="E57" s="143"/>
      <c r="F57" s="143"/>
      <c r="G57" s="143"/>
      <c r="H57" s="144"/>
      <c r="I57" s="256"/>
      <c r="J57" s="567">
        <f>J42</f>
        <v>0</v>
      </c>
      <c r="K57" s="568">
        <f>K42</f>
        <v>0</v>
      </c>
    </row>
    <row r="58" spans="1:13" x14ac:dyDescent="0.3">
      <c r="A58" s="534">
        <v>20</v>
      </c>
      <c r="B58" s="526" t="s">
        <v>27</v>
      </c>
      <c r="C58" s="143"/>
      <c r="D58" s="143"/>
      <c r="E58" s="143"/>
      <c r="F58" s="143"/>
      <c r="G58" s="143"/>
      <c r="H58" s="144"/>
      <c r="I58" s="256"/>
      <c r="J58" s="571">
        <f>J48</f>
        <v>7.6700000000000004E-2</v>
      </c>
      <c r="K58" s="570">
        <f>K48</f>
        <v>7.6699999999999997E-3</v>
      </c>
    </row>
    <row r="59" spans="1:13" x14ac:dyDescent="0.3">
      <c r="A59" s="533">
        <v>21</v>
      </c>
      <c r="B59" s="554" t="s">
        <v>28</v>
      </c>
      <c r="C59" s="518"/>
      <c r="D59" s="518"/>
      <c r="E59" s="518"/>
      <c r="F59" s="518"/>
      <c r="G59" s="518"/>
      <c r="H59" s="141"/>
      <c r="I59" s="555"/>
      <c r="J59" s="563">
        <f>SUM(J54:J58)</f>
        <v>3.5021000000000004</v>
      </c>
      <c r="K59" s="564">
        <f>SUM(K54:K58)</f>
        <v>0.35021000000000002</v>
      </c>
      <c r="L59" s="32"/>
      <c r="M59" s="15"/>
    </row>
    <row r="60" spans="1:13" x14ac:dyDescent="0.3">
      <c r="B60" s="2"/>
      <c r="C60" s="2"/>
      <c r="D60" s="2"/>
      <c r="E60" s="2"/>
      <c r="F60" s="2"/>
      <c r="G60" s="2"/>
      <c r="H60" s="2"/>
      <c r="I60" s="2" t="s">
        <v>388</v>
      </c>
      <c r="J60" s="92"/>
      <c r="K60" s="257"/>
    </row>
    <row r="61" spans="1:13" x14ac:dyDescent="0.3">
      <c r="B61" s="2"/>
      <c r="C61" s="2"/>
      <c r="D61" s="2"/>
      <c r="E61" s="2"/>
      <c r="F61" s="2"/>
      <c r="G61" s="2"/>
      <c r="H61" s="2"/>
      <c r="I61" s="2"/>
      <c r="J61" s="2"/>
    </row>
    <row r="62" spans="1:13" x14ac:dyDescent="0.3">
      <c r="B62" s="2"/>
      <c r="C62" s="2"/>
      <c r="D62" s="2"/>
      <c r="E62" s="2"/>
      <c r="F62" s="2"/>
      <c r="G62" s="2"/>
      <c r="H62" s="2"/>
      <c r="I62" s="2"/>
      <c r="J62" s="2"/>
    </row>
    <row r="63" spans="1:13" x14ac:dyDescent="0.3">
      <c r="B63" s="2"/>
      <c r="C63" s="2"/>
      <c r="D63" s="2"/>
      <c r="E63" s="2"/>
      <c r="F63" s="2"/>
      <c r="G63" s="2"/>
      <c r="H63" s="2"/>
      <c r="I63" s="2"/>
      <c r="J63" s="2"/>
    </row>
    <row r="64" spans="1:13" x14ac:dyDescent="0.3">
      <c r="B64" s="2"/>
      <c r="C64" s="2"/>
      <c r="D64" s="2"/>
      <c r="E64" s="2"/>
      <c r="F64" s="2"/>
      <c r="G64" s="2"/>
      <c r="H64" s="2"/>
      <c r="I64" s="2"/>
      <c r="J64" s="2"/>
    </row>
    <row r="65" spans="2:10" x14ac:dyDescent="0.3">
      <c r="B65" s="2"/>
      <c r="C65" s="2"/>
      <c r="D65" s="2"/>
      <c r="E65" s="2"/>
      <c r="F65" s="2"/>
      <c r="G65" s="2"/>
      <c r="H65" s="2"/>
      <c r="I65" s="2"/>
      <c r="J65" s="2"/>
    </row>
    <row r="66" spans="2:10" x14ac:dyDescent="0.3">
      <c r="B66" s="2"/>
      <c r="C66" s="2"/>
      <c r="D66" s="2"/>
      <c r="E66" s="2"/>
      <c r="F66" s="2"/>
      <c r="G66" s="2"/>
      <c r="H66" s="2"/>
      <c r="I66" s="2"/>
      <c r="J66" s="2"/>
    </row>
    <row r="67" spans="2:10" x14ac:dyDescent="0.3">
      <c r="B67" s="2"/>
      <c r="C67" s="2"/>
      <c r="D67" s="2"/>
      <c r="E67" s="2"/>
      <c r="F67" s="2"/>
      <c r="G67" s="2"/>
      <c r="H67" s="2"/>
      <c r="I67" s="2"/>
      <c r="J67" s="2"/>
    </row>
    <row r="68" spans="2:10" x14ac:dyDescent="0.3">
      <c r="B68" s="2"/>
      <c r="C68" s="2"/>
      <c r="D68" s="2"/>
      <c r="E68" s="2"/>
      <c r="F68" s="2"/>
      <c r="G68" s="2"/>
      <c r="H68" s="2"/>
      <c r="I68" s="2"/>
      <c r="J68" s="2"/>
    </row>
    <row r="69" spans="2:10" x14ac:dyDescent="0.3">
      <c r="B69" s="2"/>
      <c r="C69" s="2"/>
      <c r="D69" s="2"/>
      <c r="E69" s="2"/>
      <c r="F69" s="2"/>
      <c r="G69" s="2"/>
      <c r="H69" s="2"/>
      <c r="I69" s="2"/>
      <c r="J69" s="2"/>
    </row>
    <row r="70" spans="2:10" x14ac:dyDescent="0.3">
      <c r="B70" s="2"/>
      <c r="C70" s="2"/>
      <c r="D70" s="2"/>
      <c r="E70" s="2"/>
      <c r="F70" s="2"/>
      <c r="G70" s="2"/>
      <c r="H70" s="2"/>
      <c r="I70" s="2"/>
      <c r="J70" s="2"/>
    </row>
    <row r="71" spans="2:10" x14ac:dyDescent="0.3">
      <c r="B71" s="2"/>
      <c r="C71" s="2"/>
      <c r="D71" s="2"/>
      <c r="E71" s="2"/>
      <c r="F71" s="2"/>
      <c r="G71" s="2"/>
      <c r="H71" s="2"/>
      <c r="I71" s="2"/>
      <c r="J71" s="2"/>
    </row>
    <row r="72" spans="2:10" x14ac:dyDescent="0.3">
      <c r="B72" s="2"/>
      <c r="C72" s="2"/>
      <c r="D72" s="2"/>
      <c r="E72" s="2"/>
      <c r="F72" s="2"/>
      <c r="G72" s="2"/>
      <c r="H72" s="2"/>
      <c r="I72" s="2"/>
      <c r="J72" s="2"/>
    </row>
    <row r="73" spans="2:10" x14ac:dyDescent="0.3">
      <c r="B73" s="2"/>
      <c r="C73" s="2"/>
      <c r="D73" s="2"/>
      <c r="E73" s="2"/>
      <c r="F73" s="2"/>
      <c r="G73" s="2"/>
      <c r="H73" s="2"/>
      <c r="I73" s="2"/>
      <c r="J73" s="2"/>
    </row>
    <row r="74" spans="2:10" x14ac:dyDescent="0.3">
      <c r="B74" s="2"/>
      <c r="C74" s="2"/>
      <c r="D74" s="2"/>
      <c r="E74" s="2"/>
      <c r="F74" s="2"/>
      <c r="G74" s="2"/>
      <c r="H74" s="2"/>
      <c r="I74" s="2"/>
      <c r="J74" s="2"/>
    </row>
    <row r="75" spans="2:10" x14ac:dyDescent="0.3">
      <c r="B75" s="2"/>
      <c r="C75" s="2"/>
      <c r="D75" s="2"/>
      <c r="E75" s="2"/>
      <c r="F75" s="2"/>
      <c r="G75" s="2"/>
      <c r="H75" s="2"/>
      <c r="I75" s="2"/>
      <c r="J75" s="2"/>
    </row>
    <row r="76" spans="2:10" x14ac:dyDescent="0.3">
      <c r="B76" s="2"/>
      <c r="C76" s="2"/>
      <c r="D76" s="2"/>
      <c r="E76" s="2"/>
      <c r="F76" s="2"/>
      <c r="G76" s="2"/>
      <c r="H76" s="2"/>
      <c r="I76" s="2"/>
      <c r="J76" s="2"/>
    </row>
    <row r="77" spans="2:10" x14ac:dyDescent="0.3">
      <c r="B77" s="2"/>
      <c r="C77" s="2"/>
      <c r="D77" s="2"/>
      <c r="E77" s="2"/>
      <c r="F77" s="2"/>
      <c r="G77" s="2"/>
      <c r="H77" s="2"/>
      <c r="I77" s="2"/>
      <c r="J77" s="2"/>
    </row>
  </sheetData>
  <phoneticPr fontId="0" type="noConversion"/>
  <pageMargins left="0.75" right="0.75" top="1" bottom="1" header="0.5" footer="0.5"/>
  <pageSetup scale="63"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tabColor rgb="FF00B050"/>
  </sheetPr>
  <dimension ref="B1:M132"/>
  <sheetViews>
    <sheetView zoomScaleNormal="100" workbookViewId="0">
      <selection activeCell="O39" sqref="O39"/>
    </sheetView>
  </sheetViews>
  <sheetFormatPr defaultRowHeight="15.6" x14ac:dyDescent="0.3"/>
  <cols>
    <col min="1" max="1" width="1.08984375" customWidth="1"/>
    <col min="2" max="2" width="8.54296875" customWidth="1"/>
    <col min="12" max="12" width="1.08984375" customWidth="1"/>
  </cols>
  <sheetData>
    <row r="1" spans="2:11" x14ac:dyDescent="0.3">
      <c r="B1" s="738" t="s">
        <v>5</v>
      </c>
      <c r="C1" s="738"/>
      <c r="D1" s="738"/>
      <c r="E1" s="738"/>
      <c r="F1" s="738"/>
      <c r="G1" s="738"/>
      <c r="H1" s="738"/>
      <c r="I1" s="738"/>
      <c r="J1" s="738"/>
      <c r="K1" s="738"/>
    </row>
    <row r="2" spans="2:11" x14ac:dyDescent="0.3">
      <c r="B2" s="597"/>
      <c r="C2" s="597"/>
      <c r="D2" s="597"/>
      <c r="E2" s="597"/>
      <c r="F2" s="597"/>
      <c r="G2" s="597"/>
      <c r="H2" s="597"/>
      <c r="I2" s="597"/>
      <c r="J2" s="597"/>
      <c r="K2" s="597"/>
    </row>
    <row r="3" spans="2:11" x14ac:dyDescent="0.3">
      <c r="B3" s="739" t="str">
        <f>"Gas Supply Clause: "&amp; 'Input Data'!C12</f>
        <v>Gas Supply Clause: 2021-00130</v>
      </c>
      <c r="C3" s="739"/>
      <c r="D3" s="739"/>
      <c r="E3" s="739"/>
      <c r="F3" s="739"/>
      <c r="G3" s="739"/>
      <c r="H3" s="739"/>
      <c r="I3" s="739"/>
      <c r="J3" s="739"/>
      <c r="K3" s="739"/>
    </row>
    <row r="4" spans="2:11" x14ac:dyDescent="0.3">
      <c r="B4" s="698"/>
      <c r="C4" s="597"/>
      <c r="D4" s="597"/>
      <c r="E4" s="597"/>
      <c r="F4" s="597"/>
      <c r="G4" s="597"/>
      <c r="H4" s="597"/>
      <c r="I4" s="597"/>
      <c r="J4" s="597"/>
      <c r="K4" s="597"/>
    </row>
    <row r="5" spans="2:11" x14ac:dyDescent="0.3">
      <c r="B5" s="739" t="str">
        <f>"Gas Supply Cost Effective "&amp; 'Input Data'!D4</f>
        <v>Gas Supply Cost Effective May 1, 2021</v>
      </c>
      <c r="C5" s="739"/>
      <c r="D5" s="739"/>
      <c r="E5" s="739"/>
      <c r="F5" s="739"/>
      <c r="G5" s="739"/>
      <c r="H5" s="739"/>
      <c r="I5" s="739"/>
      <c r="J5" s="739"/>
      <c r="K5" s="739"/>
    </row>
    <row r="6" spans="2:11" x14ac:dyDescent="0.3">
      <c r="B6" s="6"/>
      <c r="C6" s="6"/>
      <c r="D6" s="6"/>
      <c r="E6" s="6"/>
      <c r="F6" s="6"/>
      <c r="G6" s="6"/>
      <c r="H6" s="6"/>
      <c r="I6" s="6"/>
      <c r="J6" s="6"/>
      <c r="K6" s="6"/>
    </row>
    <row r="7" spans="2:11" ht="87.6" customHeight="1" x14ac:dyDescent="0.3">
      <c r="B7" s="736" t="s">
        <v>648</v>
      </c>
      <c r="C7" s="736"/>
      <c r="D7" s="736"/>
      <c r="E7" s="736"/>
      <c r="F7" s="736"/>
      <c r="G7" s="736"/>
      <c r="H7" s="736"/>
      <c r="I7" s="736"/>
      <c r="J7" s="736"/>
      <c r="K7" s="736"/>
    </row>
    <row r="8" spans="2:11" x14ac:dyDescent="0.3">
      <c r="B8" s="6"/>
      <c r="C8" s="6"/>
      <c r="D8" s="6"/>
      <c r="E8" s="6"/>
      <c r="F8" s="6"/>
      <c r="G8" s="6"/>
      <c r="H8" s="6"/>
      <c r="I8" s="6"/>
      <c r="J8" s="6"/>
      <c r="K8" s="6"/>
    </row>
    <row r="9" spans="2:11" x14ac:dyDescent="0.3">
      <c r="B9" s="757" t="s">
        <v>649</v>
      </c>
      <c r="C9" s="757"/>
      <c r="D9" s="757"/>
      <c r="E9" s="757"/>
      <c r="F9" s="757"/>
      <c r="G9" s="757"/>
      <c r="H9" s="757"/>
      <c r="I9" s="757"/>
      <c r="J9" s="757"/>
      <c r="K9" s="6"/>
    </row>
    <row r="10" spans="2:11" x14ac:dyDescent="0.3">
      <c r="B10" s="596"/>
      <c r="C10" s="596"/>
      <c r="D10" s="596"/>
      <c r="E10" s="596"/>
      <c r="F10" s="596"/>
      <c r="G10" s="596"/>
      <c r="H10" s="596"/>
      <c r="I10" s="596"/>
      <c r="J10" s="596"/>
      <c r="K10" s="6"/>
    </row>
    <row r="11" spans="2:11" x14ac:dyDescent="0.3">
      <c r="B11" s="758" t="s">
        <v>650</v>
      </c>
      <c r="C11" s="758"/>
      <c r="D11" s="758"/>
      <c r="E11" s="758"/>
      <c r="F11" s="758"/>
      <c r="G11" s="758"/>
      <c r="H11" s="758"/>
      <c r="I11" s="758"/>
      <c r="J11" s="758"/>
      <c r="K11" s="6"/>
    </row>
    <row r="12" spans="2:11" x14ac:dyDescent="0.3">
      <c r="B12" s="6"/>
      <c r="C12" s="6"/>
      <c r="D12" s="6"/>
      <c r="E12" s="6"/>
      <c r="F12" s="6"/>
      <c r="G12" s="6"/>
      <c r="H12" s="6"/>
      <c r="I12" s="6"/>
      <c r="J12" s="6"/>
      <c r="K12" s="6"/>
    </row>
    <row r="13" spans="2:11" ht="85.8" customHeight="1" x14ac:dyDescent="0.3">
      <c r="B13" s="740" t="s">
        <v>651</v>
      </c>
      <c r="C13" s="740"/>
      <c r="D13" s="740"/>
      <c r="E13" s="740"/>
      <c r="F13" s="740"/>
      <c r="G13" s="740"/>
      <c r="H13" s="740"/>
      <c r="I13" s="740"/>
      <c r="J13" s="740"/>
      <c r="K13" s="740"/>
    </row>
    <row r="14" spans="2:11" x14ac:dyDescent="0.3">
      <c r="B14" s="6"/>
      <c r="C14" s="6"/>
      <c r="D14" s="6"/>
      <c r="E14" s="6"/>
      <c r="F14" s="6"/>
      <c r="G14" s="6"/>
      <c r="H14" s="6"/>
      <c r="I14" s="6"/>
      <c r="J14" s="6"/>
      <c r="K14" s="6"/>
    </row>
    <row r="15" spans="2:11" ht="15.6" customHeight="1" x14ac:dyDescent="0.3">
      <c r="B15" s="742" t="s">
        <v>783</v>
      </c>
      <c r="C15" s="742"/>
      <c r="D15" s="742"/>
      <c r="E15" s="742"/>
      <c r="F15" s="742"/>
      <c r="G15" s="742"/>
      <c r="H15" s="742"/>
      <c r="I15" s="742"/>
      <c r="J15" s="742"/>
      <c r="K15" s="742"/>
    </row>
    <row r="16" spans="2:11" x14ac:dyDescent="0.3">
      <c r="B16" s="6"/>
      <c r="C16" s="6"/>
      <c r="D16" s="6"/>
      <c r="E16" s="6"/>
      <c r="F16" s="6"/>
      <c r="G16" s="6"/>
      <c r="H16" s="6"/>
      <c r="I16" s="6"/>
      <c r="J16" s="6"/>
      <c r="K16" s="6"/>
    </row>
    <row r="17" spans="2:13" ht="62.4" customHeight="1" x14ac:dyDescent="0.3">
      <c r="B17" s="736" t="str">
        <f>CONCATENATE("Attached hereto as Exhibit A-1(a), Page 1, is the tariff sheet for No-Notice Service under Rate NNS-4 which will be applicable on and after ",'Input Data'!D4, ".  The tariffed rates are as follows: (a) a daily demand charge of $0.4190/MMBtu, and (b) a commodity charge of $0.0625/MMBtu irrespective of the zone of receipt." )</f>
        <v>Attached hereto as Exhibit A-1(a), Page 1, is the tariff sheet for No-Notice Service under Rate NNS-4 which will be applicable on and after May 1, 2021.  The tariffed rates are as follows: (a) a daily demand charge of $0.4190/MMBtu, and (b) a commodity charge of $0.0625/MMBtu irrespective of the zone of receipt.</v>
      </c>
      <c r="C17" s="736"/>
      <c r="D17" s="736"/>
      <c r="E17" s="736"/>
      <c r="F17" s="736"/>
      <c r="G17" s="736"/>
      <c r="H17" s="736"/>
      <c r="I17" s="736"/>
      <c r="J17" s="736"/>
      <c r="K17" s="736"/>
    </row>
    <row r="18" spans="2:13" x14ac:dyDescent="0.3">
      <c r="B18" s="6"/>
      <c r="C18" s="6"/>
      <c r="D18" s="6"/>
      <c r="E18" s="6"/>
      <c r="F18" s="6"/>
      <c r="G18" s="6"/>
      <c r="H18" s="6"/>
      <c r="I18" s="6"/>
      <c r="J18" s="6"/>
      <c r="K18" s="6"/>
    </row>
    <row r="19" spans="2:13" ht="48" customHeight="1" x14ac:dyDescent="0.3">
      <c r="B19" s="736" t="s">
        <v>784</v>
      </c>
      <c r="C19" s="736"/>
      <c r="D19" s="736"/>
      <c r="E19" s="736"/>
      <c r="F19" s="736"/>
      <c r="G19" s="736"/>
      <c r="H19" s="736"/>
      <c r="I19" s="736"/>
      <c r="J19" s="736"/>
      <c r="K19" s="736"/>
      <c r="M19" s="93"/>
    </row>
    <row r="20" spans="2:13" x14ac:dyDescent="0.3">
      <c r="B20" s="6"/>
      <c r="C20" s="6"/>
      <c r="D20" s="6"/>
      <c r="E20" s="6"/>
      <c r="F20" s="6"/>
      <c r="G20" s="6"/>
      <c r="H20" s="6"/>
      <c r="I20" s="6"/>
      <c r="J20" s="6"/>
      <c r="K20" s="6"/>
    </row>
    <row r="21" spans="2:13" x14ac:dyDescent="0.3">
      <c r="B21" s="758" t="s">
        <v>652</v>
      </c>
      <c r="C21" s="758"/>
      <c r="D21" s="758"/>
      <c r="E21" s="758"/>
      <c r="F21" s="758"/>
      <c r="G21" s="758"/>
      <c r="H21" s="758"/>
      <c r="I21" s="758"/>
      <c r="J21" s="758"/>
      <c r="K21" s="6"/>
    </row>
    <row r="22" spans="2:13" x14ac:dyDescent="0.3">
      <c r="B22" s="6"/>
      <c r="C22" s="6"/>
      <c r="D22" s="6"/>
      <c r="E22" s="6"/>
      <c r="F22" s="6"/>
      <c r="G22" s="6"/>
      <c r="H22" s="6"/>
      <c r="I22" s="6"/>
      <c r="J22" s="6"/>
      <c r="K22" s="6"/>
    </row>
    <row r="23" spans="2:13" ht="81.599999999999994" customHeight="1" x14ac:dyDescent="0.3">
      <c r="B23" s="736" t="s">
        <v>655</v>
      </c>
      <c r="C23" s="736"/>
      <c r="D23" s="736"/>
      <c r="E23" s="736"/>
      <c r="F23" s="736"/>
      <c r="G23" s="736"/>
      <c r="H23" s="736"/>
      <c r="I23" s="736"/>
      <c r="J23" s="736"/>
      <c r="K23" s="736"/>
    </row>
    <row r="24" spans="2:13" x14ac:dyDescent="0.3">
      <c r="B24" s="6"/>
      <c r="C24" s="6"/>
      <c r="D24" s="6"/>
      <c r="E24" s="6"/>
      <c r="F24" s="6"/>
      <c r="G24" s="6"/>
      <c r="H24" s="6"/>
      <c r="I24" s="6"/>
      <c r="J24" s="6"/>
      <c r="K24" s="6"/>
    </row>
    <row r="25" spans="2:13" ht="15.6" customHeight="1" x14ac:dyDescent="0.3">
      <c r="B25" s="760" t="s">
        <v>783</v>
      </c>
      <c r="C25" s="760"/>
      <c r="D25" s="760"/>
      <c r="E25" s="760"/>
      <c r="F25" s="760"/>
      <c r="G25" s="760"/>
      <c r="H25" s="760"/>
      <c r="I25" s="760"/>
      <c r="J25" s="760"/>
      <c r="K25" s="760"/>
    </row>
    <row r="26" spans="2:13" x14ac:dyDescent="0.3">
      <c r="B26" s="6"/>
      <c r="C26" s="6"/>
      <c r="D26" s="6"/>
      <c r="E26" s="6"/>
      <c r="F26" s="6"/>
      <c r="G26" s="6"/>
      <c r="H26" s="6"/>
      <c r="I26" s="6"/>
      <c r="J26" s="6"/>
      <c r="K26" s="6"/>
    </row>
    <row r="27" spans="2:13" ht="91.8" customHeight="1" x14ac:dyDescent="0.3">
      <c r="B27" s="741" t="s">
        <v>811</v>
      </c>
      <c r="C27" s="741"/>
      <c r="D27" s="741"/>
      <c r="E27" s="741"/>
      <c r="F27" s="741"/>
      <c r="G27" s="741"/>
      <c r="H27" s="741"/>
      <c r="I27" s="741"/>
      <c r="J27" s="741"/>
      <c r="K27" s="741"/>
    </row>
    <row r="28" spans="2:13" x14ac:dyDescent="0.3">
      <c r="B28" s="3"/>
      <c r="C28" s="3"/>
      <c r="D28" s="3"/>
      <c r="E28" s="3"/>
      <c r="F28" s="3"/>
      <c r="G28" s="3"/>
      <c r="H28" s="3"/>
      <c r="I28" s="3"/>
      <c r="J28" s="3"/>
      <c r="K28" s="3"/>
    </row>
    <row r="29" spans="2:13" ht="50.4" customHeight="1" x14ac:dyDescent="0.3">
      <c r="B29" s="742" t="s">
        <v>785</v>
      </c>
      <c r="C29" s="742"/>
      <c r="D29" s="742"/>
      <c r="E29" s="742"/>
      <c r="F29" s="742"/>
      <c r="G29" s="742"/>
      <c r="H29" s="742"/>
      <c r="I29" s="742"/>
      <c r="J29" s="742"/>
      <c r="K29" s="742"/>
    </row>
    <row r="30" spans="2:13" x14ac:dyDescent="0.3">
      <c r="B30" s="6"/>
      <c r="C30" s="6"/>
      <c r="D30" s="6"/>
      <c r="E30" s="6"/>
      <c r="F30" s="6"/>
      <c r="G30" s="6"/>
      <c r="H30" s="6"/>
      <c r="I30" s="6"/>
      <c r="J30" s="6"/>
      <c r="K30" s="6"/>
    </row>
    <row r="31" spans="2:13" x14ac:dyDescent="0.3">
      <c r="B31" s="759" t="s">
        <v>653</v>
      </c>
      <c r="C31" s="759"/>
      <c r="D31" s="759"/>
      <c r="E31" s="759"/>
      <c r="F31" s="759"/>
      <c r="G31" s="759"/>
      <c r="H31" s="759"/>
      <c r="I31" s="759"/>
      <c r="J31" s="759"/>
      <c r="K31" s="6"/>
    </row>
    <row r="32" spans="2:13" x14ac:dyDescent="0.3">
      <c r="B32" s="6"/>
      <c r="C32" s="6"/>
      <c r="D32" s="6"/>
      <c r="E32" s="6"/>
      <c r="F32" s="6"/>
      <c r="G32" s="6"/>
      <c r="H32" s="6"/>
      <c r="I32" s="6"/>
      <c r="J32" s="6"/>
      <c r="K32" s="6"/>
    </row>
    <row r="33" spans="2:12" x14ac:dyDescent="0.3">
      <c r="B33" s="758" t="s">
        <v>654</v>
      </c>
      <c r="C33" s="758"/>
      <c r="D33" s="758"/>
      <c r="E33" s="758"/>
      <c r="F33" s="758"/>
      <c r="G33" s="758"/>
      <c r="H33" s="758"/>
      <c r="I33" s="758"/>
      <c r="J33" s="758"/>
      <c r="K33" s="6"/>
    </row>
    <row r="34" spans="2:12" x14ac:dyDescent="0.3">
      <c r="B34" s="6"/>
      <c r="C34" s="6"/>
      <c r="D34" s="6"/>
      <c r="E34" s="6"/>
      <c r="F34" s="6"/>
      <c r="G34" s="6"/>
      <c r="H34" s="6"/>
      <c r="I34" s="6"/>
      <c r="J34" s="6"/>
      <c r="K34" s="6"/>
    </row>
    <row r="35" spans="2:12" ht="232.8" customHeight="1" x14ac:dyDescent="0.3">
      <c r="B35" s="736" t="s">
        <v>802</v>
      </c>
      <c r="C35" s="736"/>
      <c r="D35" s="736"/>
      <c r="E35" s="736"/>
      <c r="F35" s="736"/>
      <c r="G35" s="736"/>
      <c r="H35" s="736"/>
      <c r="I35" s="736"/>
      <c r="J35" s="736"/>
      <c r="K35" s="736"/>
    </row>
    <row r="36" spans="2:12" x14ac:dyDescent="0.3">
      <c r="B36" s="595"/>
      <c r="C36" s="6"/>
      <c r="D36" s="6"/>
      <c r="E36" s="6"/>
      <c r="F36" s="6"/>
      <c r="G36" s="6"/>
      <c r="H36" s="6"/>
      <c r="I36" s="6"/>
      <c r="J36" s="6"/>
      <c r="K36" s="6"/>
    </row>
    <row r="37" spans="2:12" ht="15.6" customHeight="1" x14ac:dyDescent="0.3">
      <c r="B37" s="760" t="s">
        <v>783</v>
      </c>
      <c r="C37" s="760"/>
      <c r="D37" s="760"/>
      <c r="E37" s="760"/>
      <c r="F37" s="760"/>
      <c r="G37" s="760"/>
      <c r="H37" s="760"/>
      <c r="I37" s="760"/>
      <c r="J37" s="760"/>
      <c r="K37" s="760"/>
    </row>
    <row r="38" spans="2:12" x14ac:dyDescent="0.3">
      <c r="B38" s="6"/>
      <c r="C38" s="6"/>
      <c r="D38" s="6"/>
      <c r="E38" s="6"/>
      <c r="F38" s="6"/>
      <c r="G38" s="6"/>
      <c r="H38" s="6"/>
      <c r="I38" s="6"/>
      <c r="J38" s="6"/>
      <c r="K38" s="6"/>
    </row>
    <row r="39" spans="2:12" ht="82.2" customHeight="1" x14ac:dyDescent="0.3">
      <c r="B39" s="743" t="s">
        <v>825</v>
      </c>
      <c r="C39" s="743"/>
      <c r="D39" s="743"/>
      <c r="E39" s="743"/>
      <c r="F39" s="743"/>
      <c r="G39" s="743"/>
      <c r="H39" s="743"/>
      <c r="I39" s="743"/>
      <c r="J39" s="743"/>
      <c r="K39" s="743"/>
    </row>
    <row r="40" spans="2:12" x14ac:dyDescent="0.3">
      <c r="B40" s="6"/>
      <c r="C40" s="6"/>
      <c r="D40" s="6"/>
      <c r="E40" s="6"/>
      <c r="F40" s="6"/>
      <c r="G40" s="6"/>
      <c r="H40" s="6"/>
      <c r="I40" s="6"/>
      <c r="J40" s="6"/>
      <c r="K40" s="6"/>
    </row>
    <row r="41" spans="2:12" ht="48.6" customHeight="1" x14ac:dyDescent="0.3">
      <c r="B41" s="736" t="s">
        <v>822</v>
      </c>
      <c r="C41" s="736"/>
      <c r="D41" s="736"/>
      <c r="E41" s="736"/>
      <c r="F41" s="736"/>
      <c r="G41" s="736"/>
      <c r="H41" s="736"/>
      <c r="I41" s="736"/>
      <c r="J41" s="736"/>
      <c r="K41" s="736"/>
    </row>
    <row r="42" spans="2:12" x14ac:dyDescent="0.3">
      <c r="B42" s="6"/>
      <c r="C42" s="6"/>
      <c r="D42" s="6"/>
      <c r="E42" s="6"/>
      <c r="F42" s="6"/>
      <c r="G42" s="6"/>
      <c r="H42" s="6"/>
      <c r="I42" s="6"/>
      <c r="J42" s="6"/>
      <c r="K42" s="6"/>
    </row>
    <row r="43" spans="2:12" x14ac:dyDescent="0.3">
      <c r="B43" s="737" t="s">
        <v>656</v>
      </c>
      <c r="C43" s="737"/>
      <c r="D43" s="737"/>
      <c r="E43" s="737"/>
      <c r="F43" s="737"/>
      <c r="G43" s="737"/>
      <c r="H43" s="737"/>
      <c r="I43" s="737"/>
      <c r="J43" s="737"/>
      <c r="K43" s="6"/>
    </row>
    <row r="44" spans="2:12" x14ac:dyDescent="0.3">
      <c r="B44" s="6"/>
      <c r="C44" s="6"/>
      <c r="D44" s="6"/>
      <c r="E44" s="6"/>
      <c r="F44" s="6"/>
      <c r="G44" s="6"/>
      <c r="H44" s="6"/>
      <c r="I44" s="6"/>
      <c r="J44" s="6"/>
      <c r="K44" s="6"/>
    </row>
    <row r="45" spans="2:12" ht="78.599999999999994" customHeight="1" x14ac:dyDescent="0.3">
      <c r="B45" s="736" t="s">
        <v>812</v>
      </c>
      <c r="C45" s="736"/>
      <c r="D45" s="736"/>
      <c r="E45" s="736"/>
      <c r="F45" s="736"/>
      <c r="G45" s="736"/>
      <c r="H45" s="736"/>
      <c r="I45" s="736"/>
      <c r="J45" s="736"/>
      <c r="K45" s="736"/>
    </row>
    <row r="46" spans="2:12" x14ac:dyDescent="0.3">
      <c r="B46" s="595"/>
      <c r="C46" s="6"/>
      <c r="D46" s="6"/>
      <c r="E46" s="6"/>
      <c r="F46" s="6"/>
      <c r="G46" s="6"/>
      <c r="H46" s="6"/>
      <c r="I46" s="6"/>
      <c r="J46" s="6"/>
      <c r="K46" s="6"/>
    </row>
    <row r="47" spans="2:12" ht="15.6" customHeight="1" x14ac:dyDescent="0.3">
      <c r="B47" s="705" t="s">
        <v>756</v>
      </c>
      <c r="C47" s="742" t="s">
        <v>817</v>
      </c>
      <c r="D47" s="742"/>
      <c r="E47" s="742"/>
      <c r="F47" s="742"/>
      <c r="G47" s="742"/>
      <c r="H47" s="742"/>
      <c r="I47" s="742"/>
      <c r="J47" s="742"/>
      <c r="K47" s="742"/>
      <c r="L47" s="635"/>
    </row>
    <row r="48" spans="2:12" x14ac:dyDescent="0.3">
      <c r="B48" s="6"/>
      <c r="C48" s="699"/>
      <c r="D48" s="699"/>
      <c r="E48" s="699"/>
      <c r="F48" s="699"/>
      <c r="G48" s="699"/>
      <c r="H48" s="699"/>
      <c r="I48" s="699"/>
      <c r="J48" s="699"/>
      <c r="K48" s="3"/>
    </row>
    <row r="49" spans="2:11" ht="15.6" customHeight="1" x14ac:dyDescent="0.3">
      <c r="B49" s="612" t="s">
        <v>756</v>
      </c>
      <c r="C49" s="742" t="s">
        <v>657</v>
      </c>
      <c r="D49" s="742"/>
      <c r="E49" s="742"/>
      <c r="F49" s="742"/>
      <c r="G49" s="742"/>
      <c r="H49" s="742"/>
      <c r="I49" s="742"/>
      <c r="J49" s="742"/>
      <c r="K49" s="3"/>
    </row>
    <row r="50" spans="2:11" x14ac:dyDescent="0.3">
      <c r="B50" s="6"/>
      <c r="C50" s="699"/>
      <c r="D50" s="699"/>
      <c r="E50" s="699"/>
      <c r="F50" s="699"/>
      <c r="G50" s="699"/>
      <c r="H50" s="699"/>
      <c r="I50" s="699"/>
      <c r="J50" s="699"/>
      <c r="K50" s="3"/>
    </row>
    <row r="51" spans="2:11" ht="15.6" customHeight="1" x14ac:dyDescent="0.3">
      <c r="B51" s="612" t="s">
        <v>756</v>
      </c>
      <c r="C51" s="742" t="s">
        <v>755</v>
      </c>
      <c r="D51" s="742"/>
      <c r="E51" s="742"/>
      <c r="F51" s="742"/>
      <c r="G51" s="742"/>
      <c r="H51" s="742"/>
      <c r="I51" s="742"/>
      <c r="J51" s="742"/>
      <c r="K51" s="3"/>
    </row>
    <row r="52" spans="2:11" x14ac:dyDescent="0.3">
      <c r="B52" s="6"/>
      <c r="C52" s="699"/>
      <c r="D52" s="699"/>
      <c r="E52" s="699"/>
      <c r="F52" s="699"/>
      <c r="G52" s="699"/>
      <c r="H52" s="699"/>
      <c r="I52" s="699"/>
      <c r="J52" s="699"/>
      <c r="K52" s="3"/>
    </row>
    <row r="53" spans="2:11" ht="15.6" customHeight="1" x14ac:dyDescent="0.3">
      <c r="B53" s="612" t="s">
        <v>756</v>
      </c>
      <c r="C53" s="756" t="s">
        <v>658</v>
      </c>
      <c r="D53" s="756"/>
      <c r="E53" s="756"/>
      <c r="F53" s="756"/>
      <c r="G53" s="756"/>
      <c r="H53" s="756"/>
      <c r="I53" s="756"/>
      <c r="J53" s="756"/>
      <c r="K53" s="756"/>
    </row>
    <row r="54" spans="2:11" x14ac:dyDescent="0.3">
      <c r="B54" s="6"/>
      <c r="C54" s="699"/>
      <c r="D54" s="699"/>
      <c r="E54" s="699"/>
      <c r="F54" s="699"/>
      <c r="G54" s="699"/>
      <c r="H54" s="699"/>
      <c r="I54" s="699"/>
      <c r="J54" s="699"/>
      <c r="K54" s="3"/>
    </row>
    <row r="55" spans="2:11" x14ac:dyDescent="0.3">
      <c r="B55" s="612" t="s">
        <v>756</v>
      </c>
      <c r="C55" s="742" t="s">
        <v>659</v>
      </c>
      <c r="D55" s="742"/>
      <c r="E55" s="742"/>
      <c r="F55" s="742"/>
      <c r="G55" s="742"/>
      <c r="H55" s="742"/>
      <c r="I55" s="742"/>
      <c r="J55" s="742"/>
      <c r="K55" s="3"/>
    </row>
    <row r="56" spans="2:11" x14ac:dyDescent="0.3">
      <c r="B56" s="6"/>
      <c r="C56" s="699"/>
      <c r="D56" s="699"/>
      <c r="E56" s="699"/>
      <c r="F56" s="699"/>
      <c r="G56" s="699"/>
      <c r="H56" s="699"/>
      <c r="I56" s="699"/>
      <c r="J56" s="699"/>
      <c r="K56" s="3"/>
    </row>
    <row r="57" spans="2:11" ht="15.6" customHeight="1" x14ac:dyDescent="0.3">
      <c r="B57" s="612" t="s">
        <v>756</v>
      </c>
      <c r="C57" s="742" t="s">
        <v>660</v>
      </c>
      <c r="D57" s="742"/>
      <c r="E57" s="742"/>
      <c r="F57" s="742"/>
      <c r="G57" s="742"/>
      <c r="H57" s="742"/>
      <c r="I57" s="742"/>
      <c r="J57" s="742"/>
      <c r="K57" s="3"/>
    </row>
    <row r="58" spans="2:11" x14ac:dyDescent="0.3">
      <c r="B58" s="6"/>
      <c r="C58" s="699"/>
      <c r="D58" s="699"/>
      <c r="E58" s="699"/>
      <c r="F58" s="699"/>
      <c r="G58" s="699"/>
      <c r="H58" s="699"/>
      <c r="I58" s="699"/>
      <c r="J58" s="699"/>
      <c r="K58" s="3"/>
    </row>
    <row r="59" spans="2:11" x14ac:dyDescent="0.3">
      <c r="B59" s="612" t="s">
        <v>756</v>
      </c>
      <c r="C59" s="742" t="s">
        <v>661</v>
      </c>
      <c r="D59" s="742"/>
      <c r="E59" s="742"/>
      <c r="F59" s="742"/>
      <c r="G59" s="742"/>
      <c r="H59" s="742"/>
      <c r="I59" s="742"/>
      <c r="J59" s="742"/>
      <c r="K59" s="3"/>
    </row>
    <row r="60" spans="2:11" x14ac:dyDescent="0.3">
      <c r="B60" s="612"/>
      <c r="C60" s="697"/>
      <c r="D60" s="697"/>
      <c r="E60" s="697"/>
      <c r="F60" s="697"/>
      <c r="G60" s="697"/>
      <c r="H60" s="697"/>
      <c r="I60" s="697"/>
      <c r="J60" s="697"/>
      <c r="K60" s="6"/>
    </row>
    <row r="61" spans="2:11" x14ac:dyDescent="0.3">
      <c r="B61" s="612"/>
      <c r="C61" s="697"/>
      <c r="D61" s="697"/>
      <c r="E61" s="697"/>
      <c r="F61" s="697"/>
      <c r="G61" s="697"/>
      <c r="H61" s="697"/>
      <c r="I61" s="697"/>
      <c r="J61" s="697"/>
      <c r="K61" s="6"/>
    </row>
    <row r="62" spans="2:11" x14ac:dyDescent="0.3">
      <c r="B62" s="612"/>
      <c r="C62" s="697"/>
      <c r="D62" s="697"/>
      <c r="E62" s="697"/>
      <c r="F62" s="697"/>
      <c r="G62" s="697"/>
      <c r="H62" s="697"/>
      <c r="I62" s="697"/>
      <c r="J62" s="697"/>
      <c r="K62" s="6"/>
    </row>
    <row r="63" spans="2:11" x14ac:dyDescent="0.3">
      <c r="B63" s="612"/>
      <c r="C63" s="697"/>
      <c r="D63" s="697"/>
      <c r="E63" s="697"/>
      <c r="F63" s="697"/>
      <c r="G63" s="697"/>
      <c r="H63" s="697"/>
      <c r="I63" s="697"/>
      <c r="J63" s="697"/>
      <c r="K63" s="6"/>
    </row>
    <row r="64" spans="2:11" x14ac:dyDescent="0.3">
      <c r="B64" s="612"/>
      <c r="C64" s="697"/>
      <c r="D64" s="697"/>
      <c r="E64" s="697"/>
      <c r="F64" s="697"/>
      <c r="G64" s="697"/>
      <c r="H64" s="697"/>
      <c r="I64" s="697"/>
      <c r="J64" s="697"/>
      <c r="K64" s="6"/>
    </row>
    <row r="65" spans="2:11" x14ac:dyDescent="0.3">
      <c r="B65" s="612"/>
      <c r="C65" s="697"/>
      <c r="D65" s="697"/>
      <c r="E65" s="697"/>
      <c r="F65" s="697"/>
      <c r="G65" s="697"/>
      <c r="H65" s="697"/>
      <c r="I65" s="697"/>
      <c r="J65" s="697"/>
      <c r="K65" s="6"/>
    </row>
    <row r="66" spans="2:11" x14ac:dyDescent="0.3">
      <c r="B66" s="612"/>
      <c r="C66" s="697"/>
      <c r="D66" s="697"/>
      <c r="E66" s="697"/>
      <c r="F66" s="697"/>
      <c r="G66" s="697"/>
      <c r="H66" s="697"/>
      <c r="I66" s="697"/>
      <c r="J66" s="697"/>
      <c r="K66" s="6"/>
    </row>
    <row r="67" spans="2:11" x14ac:dyDescent="0.3">
      <c r="B67" s="612"/>
      <c r="C67" s="697"/>
      <c r="D67" s="697"/>
      <c r="E67" s="697"/>
      <c r="F67" s="697"/>
      <c r="G67" s="697"/>
      <c r="H67" s="697"/>
      <c r="I67" s="697"/>
      <c r="J67" s="697"/>
      <c r="K67" s="6"/>
    </row>
    <row r="68" spans="2:11" x14ac:dyDescent="0.3">
      <c r="B68" s="612"/>
      <c r="C68" s="697"/>
      <c r="D68" s="697"/>
      <c r="E68" s="697"/>
      <c r="F68" s="697"/>
      <c r="G68" s="697"/>
      <c r="H68" s="697"/>
      <c r="I68" s="697"/>
      <c r="J68" s="697"/>
      <c r="K68" s="6"/>
    </row>
    <row r="69" spans="2:11" x14ac:dyDescent="0.3">
      <c r="B69" s="612"/>
      <c r="C69" s="697"/>
      <c r="D69" s="697"/>
      <c r="E69" s="697"/>
      <c r="F69" s="697"/>
      <c r="G69" s="697"/>
      <c r="H69" s="697"/>
      <c r="I69" s="697"/>
      <c r="J69" s="697"/>
      <c r="K69" s="6"/>
    </row>
    <row r="70" spans="2:11" x14ac:dyDescent="0.3">
      <c r="B70" s="612"/>
      <c r="C70" s="697"/>
      <c r="D70" s="697"/>
      <c r="E70" s="697"/>
      <c r="F70" s="697"/>
      <c r="G70" s="697"/>
      <c r="H70" s="697"/>
      <c r="I70" s="697"/>
      <c r="J70" s="697"/>
      <c r="K70" s="6"/>
    </row>
    <row r="71" spans="2:11" x14ac:dyDescent="0.3">
      <c r="B71" s="612"/>
      <c r="C71" s="697"/>
      <c r="D71" s="697"/>
      <c r="E71" s="697"/>
      <c r="F71" s="697"/>
      <c r="G71" s="697"/>
      <c r="H71" s="697"/>
      <c r="I71" s="697"/>
      <c r="J71" s="697"/>
      <c r="K71" s="6"/>
    </row>
    <row r="72" spans="2:11" x14ac:dyDescent="0.3">
      <c r="B72" s="612"/>
      <c r="C72" s="697"/>
      <c r="D72" s="697"/>
      <c r="E72" s="697"/>
      <c r="F72" s="697"/>
      <c r="G72" s="697"/>
      <c r="H72" s="697"/>
      <c r="I72" s="697"/>
      <c r="J72" s="697"/>
      <c r="K72" s="6"/>
    </row>
    <row r="73" spans="2:11" x14ac:dyDescent="0.3">
      <c r="B73" s="612"/>
      <c r="C73" s="697"/>
      <c r="D73" s="697"/>
      <c r="E73" s="697"/>
      <c r="F73" s="697"/>
      <c r="G73" s="697"/>
      <c r="H73" s="697"/>
      <c r="I73" s="697"/>
      <c r="J73" s="697"/>
      <c r="K73" s="6"/>
    </row>
    <row r="74" spans="2:11" x14ac:dyDescent="0.3">
      <c r="B74" s="612"/>
      <c r="C74" s="697"/>
      <c r="D74" s="697"/>
      <c r="E74" s="697"/>
      <c r="F74" s="697"/>
      <c r="G74" s="697"/>
      <c r="H74" s="697"/>
      <c r="I74" s="697"/>
      <c r="J74" s="697"/>
      <c r="K74" s="6"/>
    </row>
    <row r="75" spans="2:11" x14ac:dyDescent="0.3">
      <c r="B75" s="612"/>
      <c r="C75" s="697"/>
      <c r="D75" s="697"/>
      <c r="E75" s="697"/>
      <c r="F75" s="697"/>
      <c r="G75" s="697"/>
      <c r="H75" s="697"/>
      <c r="I75" s="697"/>
      <c r="J75" s="697"/>
      <c r="K75" s="6"/>
    </row>
    <row r="76" spans="2:11" x14ac:dyDescent="0.3">
      <c r="B76" s="612"/>
      <c r="C76" s="697"/>
      <c r="D76" s="697"/>
      <c r="E76" s="697"/>
      <c r="F76" s="697"/>
      <c r="G76" s="697"/>
      <c r="H76" s="697"/>
      <c r="I76" s="697"/>
      <c r="J76" s="697"/>
      <c r="K76" s="6"/>
    </row>
    <row r="77" spans="2:11" x14ac:dyDescent="0.3">
      <c r="B77" s="612"/>
      <c r="C77" s="697"/>
      <c r="D77" s="697"/>
      <c r="E77" s="697"/>
      <c r="F77" s="697"/>
      <c r="G77" s="697"/>
      <c r="H77" s="697"/>
      <c r="I77" s="697"/>
      <c r="J77" s="697"/>
      <c r="K77" s="6"/>
    </row>
    <row r="78" spans="2:11" x14ac:dyDescent="0.3">
      <c r="B78" s="612"/>
      <c r="C78" s="697"/>
      <c r="D78" s="697"/>
      <c r="E78" s="697"/>
      <c r="F78" s="697"/>
      <c r="G78" s="697"/>
      <c r="H78" s="697"/>
      <c r="I78" s="697"/>
      <c r="J78" s="697"/>
      <c r="K78" s="6"/>
    </row>
    <row r="79" spans="2:11" x14ac:dyDescent="0.3">
      <c r="B79" s="612"/>
      <c r="C79" s="697"/>
      <c r="D79" s="697"/>
      <c r="E79" s="697"/>
      <c r="F79" s="697"/>
      <c r="G79" s="697"/>
      <c r="H79" s="697"/>
      <c r="I79" s="697"/>
      <c r="J79" s="697"/>
      <c r="K79" s="6"/>
    </row>
    <row r="80" spans="2:11" x14ac:dyDescent="0.3">
      <c r="B80" s="612"/>
      <c r="C80" s="697"/>
      <c r="D80" s="697"/>
      <c r="E80" s="697"/>
      <c r="F80" s="697"/>
      <c r="G80" s="697"/>
      <c r="H80" s="697"/>
      <c r="I80" s="697"/>
      <c r="J80" s="697"/>
      <c r="K80" s="6"/>
    </row>
    <row r="81" spans="2:11" x14ac:dyDescent="0.3">
      <c r="B81" s="612"/>
      <c r="C81" s="697"/>
      <c r="D81" s="697"/>
      <c r="E81" s="697"/>
      <c r="F81" s="697"/>
      <c r="G81" s="697"/>
      <c r="H81" s="697"/>
      <c r="I81" s="697"/>
      <c r="J81" s="697"/>
      <c r="K81" s="6"/>
    </row>
    <row r="82" spans="2:11" x14ac:dyDescent="0.3">
      <c r="B82" s="612"/>
      <c r="C82" s="697"/>
      <c r="D82" s="697"/>
      <c r="E82" s="697"/>
      <c r="F82" s="697"/>
      <c r="G82" s="697"/>
      <c r="H82" s="697"/>
      <c r="I82" s="697"/>
      <c r="J82" s="697"/>
      <c r="K82" s="6"/>
    </row>
    <row r="83" spans="2:11" x14ac:dyDescent="0.3">
      <c r="B83" s="612"/>
      <c r="C83" s="697"/>
      <c r="D83" s="697"/>
      <c r="E83" s="697"/>
      <c r="F83" s="697"/>
      <c r="G83" s="697"/>
      <c r="H83" s="697"/>
      <c r="I83" s="697"/>
      <c r="J83" s="697"/>
      <c r="K83" s="6"/>
    </row>
    <row r="84" spans="2:11" x14ac:dyDescent="0.3">
      <c r="B84" s="706"/>
      <c r="C84" s="636"/>
      <c r="D84" s="636"/>
      <c r="E84" s="636"/>
      <c r="F84" s="697"/>
      <c r="G84" s="697"/>
      <c r="H84" s="697"/>
      <c r="I84" s="697"/>
      <c r="J84" s="697"/>
      <c r="K84" s="6"/>
    </row>
    <row r="85" spans="2:11" ht="105.6" customHeight="1" x14ac:dyDescent="0.3">
      <c r="B85" s="754" t="s">
        <v>818</v>
      </c>
      <c r="C85" s="755"/>
      <c r="D85" s="755"/>
      <c r="E85" s="755"/>
      <c r="F85" s="755"/>
      <c r="G85" s="755"/>
      <c r="H85" s="755"/>
      <c r="I85" s="755"/>
      <c r="J85" s="755"/>
      <c r="K85" s="755"/>
    </row>
    <row r="86" spans="2:11" x14ac:dyDescent="0.3">
      <c r="B86" s="6"/>
      <c r="C86" s="6"/>
      <c r="D86" s="6"/>
      <c r="E86" s="6"/>
      <c r="F86" s="6"/>
      <c r="G86" s="6"/>
      <c r="H86" s="6"/>
      <c r="I86" s="6"/>
      <c r="J86" s="6"/>
      <c r="K86" s="6"/>
    </row>
    <row r="87" spans="2:11" ht="130.19999999999999" customHeight="1" x14ac:dyDescent="0.3">
      <c r="B87" s="742" t="s">
        <v>813</v>
      </c>
      <c r="C87" s="742"/>
      <c r="D87" s="742"/>
      <c r="E87" s="742"/>
      <c r="F87" s="742"/>
      <c r="G87" s="742"/>
      <c r="H87" s="742"/>
      <c r="I87" s="742"/>
      <c r="J87" s="742"/>
      <c r="K87" s="742"/>
    </row>
    <row r="88" spans="2:11" x14ac:dyDescent="0.3">
      <c r="B88" s="3"/>
      <c r="C88" s="3"/>
      <c r="D88" s="3"/>
      <c r="E88" s="3"/>
      <c r="F88" s="3"/>
      <c r="G88" s="3"/>
      <c r="H88" s="3"/>
      <c r="I88" s="3"/>
      <c r="J88" s="3"/>
      <c r="K88" s="3"/>
    </row>
    <row r="89" spans="2:11" ht="103.8" customHeight="1" x14ac:dyDescent="0.3">
      <c r="B89" s="742" t="s">
        <v>815</v>
      </c>
      <c r="C89" s="742"/>
      <c r="D89" s="742"/>
      <c r="E89" s="742"/>
      <c r="F89" s="742"/>
      <c r="G89" s="742"/>
      <c r="H89" s="742"/>
      <c r="I89" s="742"/>
      <c r="J89" s="742"/>
      <c r="K89" s="742"/>
    </row>
    <row r="90" spans="2:11" x14ac:dyDescent="0.3">
      <c r="B90" s="6"/>
      <c r="C90" s="6"/>
      <c r="D90" s="6"/>
      <c r="E90" s="6"/>
      <c r="F90" s="6"/>
      <c r="G90" s="6"/>
      <c r="H90" s="6"/>
      <c r="I90" s="6"/>
      <c r="J90" s="6"/>
      <c r="K90" s="6"/>
    </row>
    <row r="91" spans="2:11" ht="50.4" customHeight="1" x14ac:dyDescent="0.3">
      <c r="B91" s="736" t="s">
        <v>757</v>
      </c>
      <c r="C91" s="736"/>
      <c r="D91" s="736"/>
      <c r="E91" s="736"/>
      <c r="F91" s="736"/>
      <c r="G91" s="736"/>
      <c r="H91" s="736"/>
      <c r="I91" s="736"/>
      <c r="J91" s="736"/>
      <c r="K91" s="736"/>
    </row>
    <row r="92" spans="2:11" x14ac:dyDescent="0.3">
      <c r="B92" s="6"/>
      <c r="C92" s="6"/>
      <c r="D92" s="6"/>
      <c r="E92" s="6"/>
      <c r="F92" s="6"/>
      <c r="G92" s="6"/>
      <c r="H92" s="6"/>
      <c r="I92" s="6"/>
      <c r="J92" s="6"/>
      <c r="K92" s="6"/>
    </row>
    <row r="93" spans="2:11" x14ac:dyDescent="0.3">
      <c r="B93" s="748" t="s">
        <v>758</v>
      </c>
      <c r="C93" s="748"/>
      <c r="D93" s="748"/>
      <c r="E93" s="748"/>
      <c r="F93" s="748"/>
      <c r="G93" s="748"/>
      <c r="H93" s="748"/>
      <c r="I93" s="748"/>
      <c r="J93" s="748"/>
      <c r="K93" s="748"/>
    </row>
    <row r="94" spans="2:11" x14ac:dyDescent="0.3">
      <c r="B94" s="748" t="s">
        <v>759</v>
      </c>
      <c r="C94" s="748"/>
      <c r="D94" s="748"/>
      <c r="E94" s="748"/>
      <c r="F94" s="748"/>
      <c r="G94" s="748"/>
      <c r="H94" s="748"/>
      <c r="I94" s="748"/>
      <c r="J94" s="748"/>
      <c r="K94" s="748"/>
    </row>
    <row r="95" spans="2:11" x14ac:dyDescent="0.3">
      <c r="B95" s="747" t="s">
        <v>760</v>
      </c>
      <c r="C95" s="747"/>
      <c r="D95" s="747"/>
      <c r="E95" s="747"/>
      <c r="F95" s="747"/>
      <c r="G95" s="747"/>
      <c r="H95" s="747"/>
      <c r="I95" s="747"/>
      <c r="J95" s="747"/>
      <c r="K95" s="747"/>
    </row>
    <row r="96" spans="2:11" x14ac:dyDescent="0.3">
      <c r="B96" s="633"/>
      <c r="C96" s="6"/>
      <c r="D96" s="6"/>
      <c r="E96" s="6"/>
      <c r="F96" s="6"/>
      <c r="G96" s="6"/>
      <c r="H96" s="6"/>
      <c r="I96" s="6"/>
      <c r="J96" s="6"/>
      <c r="K96" s="6"/>
    </row>
    <row r="97" spans="2:11" ht="46.2" customHeight="1" x14ac:dyDescent="0.3">
      <c r="B97" s="701" t="s">
        <v>768</v>
      </c>
      <c r="C97" s="6"/>
      <c r="D97" s="749" t="s">
        <v>767</v>
      </c>
      <c r="E97" s="749"/>
      <c r="F97" s="750" t="s">
        <v>775</v>
      </c>
      <c r="G97" s="750"/>
      <c r="H97" s="750" t="s">
        <v>766</v>
      </c>
      <c r="I97" s="750"/>
      <c r="J97" s="750" t="s">
        <v>765</v>
      </c>
      <c r="K97" s="750"/>
    </row>
    <row r="98" spans="2:11" x14ac:dyDescent="0.3">
      <c r="B98" s="6"/>
      <c r="C98" s="6"/>
      <c r="D98" s="6"/>
      <c r="E98" s="6"/>
      <c r="F98" s="6"/>
      <c r="G98" s="6"/>
      <c r="H98" s="6"/>
      <c r="I98" s="6"/>
      <c r="J98" s="6"/>
      <c r="K98" s="6"/>
    </row>
    <row r="99" spans="2:11" x14ac:dyDescent="0.3">
      <c r="B99" s="634">
        <f>'Ex A 1 of 2'!C6</f>
        <v>44317</v>
      </c>
      <c r="C99" s="6"/>
      <c r="D99" s="753">
        <v>2.3940000000000001</v>
      </c>
      <c r="E99" s="753"/>
      <c r="F99" s="752">
        <v>8.8999999999999999E-3</v>
      </c>
      <c r="G99" s="752"/>
      <c r="H99" s="751">
        <v>6.25E-2</v>
      </c>
      <c r="I99" s="751"/>
      <c r="J99" s="751">
        <v>2.4780000000000002</v>
      </c>
      <c r="K99" s="751"/>
    </row>
    <row r="100" spans="2:11" x14ac:dyDescent="0.3">
      <c r="B100" s="634">
        <f>'Ex A 1 of 2'!D6</f>
        <v>44348</v>
      </c>
      <c r="C100" s="6"/>
      <c r="D100" s="753">
        <v>2.452</v>
      </c>
      <c r="E100" s="753"/>
      <c r="F100" s="752">
        <v>8.8999999999999999E-3</v>
      </c>
      <c r="G100" s="752"/>
      <c r="H100" s="751">
        <v>6.25E-2</v>
      </c>
      <c r="I100" s="751"/>
      <c r="J100" s="751">
        <v>2.5365000000000002</v>
      </c>
      <c r="K100" s="751"/>
    </row>
    <row r="101" spans="2:11" x14ac:dyDescent="0.3">
      <c r="B101" s="634">
        <f>'Ex A 1 of 2'!E6</f>
        <v>44378</v>
      </c>
      <c r="C101" s="6"/>
      <c r="D101" s="753">
        <v>2.5099999999999998</v>
      </c>
      <c r="E101" s="753"/>
      <c r="F101" s="752">
        <v>8.8999999999999999E-3</v>
      </c>
      <c r="G101" s="752"/>
      <c r="H101" s="751">
        <v>6.25E-2</v>
      </c>
      <c r="I101" s="751"/>
      <c r="J101" s="751">
        <v>2.5950000000000002</v>
      </c>
      <c r="K101" s="751"/>
    </row>
    <row r="102" spans="2:11" x14ac:dyDescent="0.3">
      <c r="B102" s="633"/>
      <c r="C102" s="6"/>
      <c r="D102" s="6"/>
      <c r="E102" s="6"/>
      <c r="F102" s="6"/>
      <c r="G102" s="6"/>
      <c r="H102" s="6"/>
      <c r="I102" s="6"/>
      <c r="J102" s="6"/>
      <c r="K102" s="6"/>
    </row>
    <row r="103" spans="2:11" x14ac:dyDescent="0.3">
      <c r="B103" s="633"/>
      <c r="C103" s="6"/>
      <c r="D103" s="6"/>
      <c r="E103" s="6"/>
      <c r="F103" s="6"/>
      <c r="G103" s="6"/>
      <c r="H103" s="6"/>
      <c r="I103" s="6"/>
      <c r="J103" s="6"/>
      <c r="K103" s="6"/>
    </row>
    <row r="104" spans="2:11" x14ac:dyDescent="0.3">
      <c r="B104" s="748" t="s">
        <v>761</v>
      </c>
      <c r="C104" s="748"/>
      <c r="D104" s="748"/>
      <c r="E104" s="748"/>
      <c r="F104" s="748"/>
      <c r="G104" s="748"/>
      <c r="H104" s="748"/>
      <c r="I104" s="748"/>
      <c r="J104" s="748"/>
      <c r="K104" s="748"/>
    </row>
    <row r="105" spans="2:11" x14ac:dyDescent="0.3">
      <c r="B105" s="748" t="s">
        <v>762</v>
      </c>
      <c r="C105" s="748"/>
      <c r="D105" s="748"/>
      <c r="E105" s="748"/>
      <c r="F105" s="748"/>
      <c r="G105" s="748"/>
      <c r="H105" s="748"/>
      <c r="I105" s="748"/>
      <c r="J105" s="748"/>
      <c r="K105" s="748"/>
    </row>
    <row r="106" spans="2:11" x14ac:dyDescent="0.3">
      <c r="B106" s="747" t="s">
        <v>763</v>
      </c>
      <c r="C106" s="747"/>
      <c r="D106" s="747"/>
      <c r="E106" s="747"/>
      <c r="F106" s="747"/>
      <c r="G106" s="747"/>
      <c r="H106" s="747"/>
      <c r="I106" s="747"/>
      <c r="J106" s="747"/>
      <c r="K106" s="747"/>
    </row>
    <row r="107" spans="2:11" x14ac:dyDescent="0.3">
      <c r="B107" s="633"/>
      <c r="C107" s="6"/>
      <c r="D107" s="6"/>
      <c r="E107" s="6"/>
      <c r="F107" s="6"/>
      <c r="G107" s="6"/>
      <c r="H107" s="6"/>
      <c r="I107" s="6"/>
      <c r="J107" s="6"/>
      <c r="K107" s="6"/>
    </row>
    <row r="108" spans="2:11" ht="46.2" customHeight="1" x14ac:dyDescent="0.3">
      <c r="B108" s="701" t="s">
        <v>768</v>
      </c>
      <c r="C108" s="6"/>
      <c r="D108" s="749" t="s">
        <v>767</v>
      </c>
      <c r="E108" s="749"/>
      <c r="F108" s="750" t="s">
        <v>774</v>
      </c>
      <c r="G108" s="750"/>
      <c r="H108" s="750" t="s">
        <v>772</v>
      </c>
      <c r="I108" s="750"/>
      <c r="J108" s="750" t="s">
        <v>765</v>
      </c>
      <c r="K108" s="750"/>
    </row>
    <row r="109" spans="2:11" x14ac:dyDescent="0.3">
      <c r="B109" s="6"/>
      <c r="C109" s="6"/>
      <c r="D109" s="6"/>
      <c r="E109" s="6"/>
      <c r="F109" s="6"/>
      <c r="G109" s="6"/>
      <c r="H109" s="6"/>
      <c r="I109" s="6"/>
      <c r="J109" s="6"/>
      <c r="K109" s="6"/>
    </row>
    <row r="110" spans="2:11" x14ac:dyDescent="0.3">
      <c r="B110" s="634">
        <f>B99</f>
        <v>44317</v>
      </c>
      <c r="C110" s="6"/>
      <c r="D110" s="753">
        <v>2.3860000000000001</v>
      </c>
      <c r="E110" s="753"/>
      <c r="F110" s="752">
        <v>3.0999999999999999E-3</v>
      </c>
      <c r="G110" s="752"/>
      <c r="H110" s="751">
        <v>3.7100000000000001E-2</v>
      </c>
      <c r="I110" s="751"/>
      <c r="J110" s="751">
        <v>2.4304999999999999</v>
      </c>
      <c r="K110" s="751"/>
    </row>
    <row r="111" spans="2:11" x14ac:dyDescent="0.3">
      <c r="B111" s="634">
        <f t="shared" ref="B111:B112" si="0">B100</f>
        <v>44348</v>
      </c>
      <c r="C111" s="6"/>
      <c r="D111" s="753">
        <v>2.444</v>
      </c>
      <c r="E111" s="753"/>
      <c r="F111" s="752">
        <v>3.0999999999999999E-3</v>
      </c>
      <c r="G111" s="752"/>
      <c r="H111" s="751">
        <v>3.7100000000000001E-2</v>
      </c>
      <c r="I111" s="751"/>
      <c r="J111" s="751">
        <v>2.4887000000000001</v>
      </c>
      <c r="K111" s="751"/>
    </row>
    <row r="112" spans="2:11" x14ac:dyDescent="0.3">
      <c r="B112" s="634">
        <f t="shared" si="0"/>
        <v>44378</v>
      </c>
      <c r="C112" s="6"/>
      <c r="D112" s="753">
        <v>2.5019999999999998</v>
      </c>
      <c r="E112" s="753"/>
      <c r="F112" s="752">
        <v>3.0999999999999999E-3</v>
      </c>
      <c r="G112" s="752"/>
      <c r="H112" s="751">
        <v>3.7100000000000001E-2</v>
      </c>
      <c r="I112" s="751"/>
      <c r="J112" s="751">
        <v>2.5468999999999999</v>
      </c>
      <c r="K112" s="751"/>
    </row>
    <row r="113" spans="2:11" x14ac:dyDescent="0.3">
      <c r="B113" s="633"/>
      <c r="C113" s="6"/>
      <c r="D113" s="6"/>
      <c r="E113" s="6"/>
      <c r="F113" s="6"/>
      <c r="G113" s="6"/>
      <c r="H113" s="6"/>
      <c r="I113" s="6"/>
      <c r="J113" s="6"/>
      <c r="K113" s="6"/>
    </row>
    <row r="114" spans="2:11" x14ac:dyDescent="0.3">
      <c r="B114" s="631"/>
      <c r="C114" s="702"/>
      <c r="D114" s="702"/>
      <c r="E114" s="702"/>
      <c r="F114" s="702"/>
      <c r="G114" s="6"/>
      <c r="H114" s="6"/>
      <c r="I114" s="6"/>
      <c r="J114" s="6"/>
      <c r="K114" s="6"/>
    </row>
    <row r="115" spans="2:11" x14ac:dyDescent="0.3">
      <c r="B115" s="748" t="s">
        <v>764</v>
      </c>
      <c r="C115" s="748"/>
      <c r="D115" s="748"/>
      <c r="E115" s="748"/>
      <c r="F115" s="748"/>
      <c r="G115" s="748"/>
      <c r="H115" s="748"/>
      <c r="I115" s="748"/>
      <c r="J115" s="748"/>
      <c r="K115" s="748"/>
    </row>
    <row r="116" spans="2:11" x14ac:dyDescent="0.3">
      <c r="B116" s="748" t="s">
        <v>759</v>
      </c>
      <c r="C116" s="748"/>
      <c r="D116" s="748"/>
      <c r="E116" s="748"/>
      <c r="F116" s="748"/>
      <c r="G116" s="748"/>
      <c r="H116" s="748"/>
      <c r="I116" s="748"/>
      <c r="J116" s="748"/>
      <c r="K116" s="748"/>
    </row>
    <row r="117" spans="2:11" x14ac:dyDescent="0.3">
      <c r="B117" s="747" t="s">
        <v>769</v>
      </c>
      <c r="C117" s="747"/>
      <c r="D117" s="747"/>
      <c r="E117" s="747"/>
      <c r="F117" s="747"/>
      <c r="G117" s="747"/>
      <c r="H117" s="747"/>
      <c r="I117" s="747"/>
      <c r="J117" s="747"/>
      <c r="K117" s="747"/>
    </row>
    <row r="118" spans="2:11" x14ac:dyDescent="0.3">
      <c r="B118" s="633"/>
      <c r="C118" s="6"/>
      <c r="D118" s="6"/>
      <c r="E118" s="6"/>
      <c r="F118" s="6"/>
      <c r="G118" s="6"/>
      <c r="H118" s="6"/>
      <c r="I118" s="6"/>
      <c r="J118" s="6"/>
      <c r="K118" s="6"/>
    </row>
    <row r="119" spans="2:11" ht="46.2" customHeight="1" x14ac:dyDescent="0.3">
      <c r="B119" s="701" t="s">
        <v>768</v>
      </c>
      <c r="C119" s="6"/>
      <c r="D119" s="749" t="s">
        <v>770</v>
      </c>
      <c r="E119" s="749"/>
      <c r="F119" s="750" t="s">
        <v>773</v>
      </c>
      <c r="G119" s="750"/>
      <c r="H119" s="750" t="s">
        <v>771</v>
      </c>
      <c r="I119" s="750"/>
      <c r="J119" s="750" t="s">
        <v>765</v>
      </c>
      <c r="K119" s="750"/>
    </row>
    <row r="120" spans="2:11" x14ac:dyDescent="0.3">
      <c r="B120" s="6"/>
      <c r="C120" s="6"/>
      <c r="D120" s="6"/>
      <c r="E120" s="6"/>
      <c r="F120" s="6"/>
      <c r="G120" s="6"/>
      <c r="H120" s="6"/>
      <c r="I120" s="6"/>
      <c r="J120" s="6"/>
      <c r="K120" s="6"/>
    </row>
    <row r="121" spans="2:11" x14ac:dyDescent="0.3">
      <c r="B121" s="694">
        <f>B110</f>
        <v>44317</v>
      </c>
      <c r="C121" s="3"/>
      <c r="D121" s="746">
        <v>2.4569999999999999</v>
      </c>
      <c r="E121" s="746"/>
      <c r="F121" s="745">
        <v>0</v>
      </c>
      <c r="G121" s="745"/>
      <c r="H121" s="744">
        <v>3.2899999999999999E-2</v>
      </c>
      <c r="I121" s="744"/>
      <c r="J121" s="744">
        <v>2.4899</v>
      </c>
      <c r="K121" s="744"/>
    </row>
    <row r="122" spans="2:11" x14ac:dyDescent="0.3">
      <c r="B122" s="694">
        <f>B111</f>
        <v>44348</v>
      </c>
      <c r="C122" s="3"/>
      <c r="D122" s="746">
        <v>2.5150000000000001</v>
      </c>
      <c r="E122" s="746"/>
      <c r="F122" s="745">
        <v>0</v>
      </c>
      <c r="G122" s="745"/>
      <c r="H122" s="744">
        <v>3.2899999999999999E-2</v>
      </c>
      <c r="I122" s="744"/>
      <c r="J122" s="744">
        <v>2.5478999999999998</v>
      </c>
      <c r="K122" s="744"/>
    </row>
    <row r="123" spans="2:11" x14ac:dyDescent="0.3">
      <c r="B123" s="694">
        <f>B112</f>
        <v>44378</v>
      </c>
      <c r="C123" s="3"/>
      <c r="D123" s="746">
        <v>2.573</v>
      </c>
      <c r="E123" s="746"/>
      <c r="F123" s="745">
        <v>0</v>
      </c>
      <c r="G123" s="745"/>
      <c r="H123" s="744">
        <v>3.2899999999999999E-2</v>
      </c>
      <c r="I123" s="744"/>
      <c r="J123" s="744">
        <v>2.6059000000000001</v>
      </c>
      <c r="K123" s="744"/>
    </row>
    <row r="124" spans="2:11" x14ac:dyDescent="0.3">
      <c r="B124" s="695"/>
      <c r="C124" s="3"/>
      <c r="D124" s="3"/>
      <c r="E124" s="3"/>
      <c r="F124" s="3"/>
      <c r="G124" s="3"/>
      <c r="H124" s="3"/>
      <c r="I124" s="3"/>
      <c r="J124" s="3"/>
      <c r="K124" s="3"/>
    </row>
    <row r="125" spans="2:11" x14ac:dyDescent="0.3">
      <c r="B125" s="695"/>
      <c r="C125" s="695"/>
      <c r="D125" s="3"/>
      <c r="E125" s="3"/>
      <c r="F125" s="3"/>
      <c r="G125" s="3"/>
      <c r="H125" s="3"/>
      <c r="I125" s="3"/>
      <c r="J125" s="3"/>
      <c r="K125" s="3"/>
    </row>
    <row r="126" spans="2:11" ht="31.95" customHeight="1" x14ac:dyDescent="0.3">
      <c r="B126" s="742" t="s">
        <v>816</v>
      </c>
      <c r="C126" s="742"/>
      <c r="D126" s="742"/>
      <c r="E126" s="742"/>
      <c r="F126" s="742"/>
      <c r="G126" s="742"/>
      <c r="H126" s="742"/>
      <c r="I126" s="742"/>
      <c r="J126" s="742"/>
      <c r="K126" s="742"/>
    </row>
    <row r="127" spans="2:11" x14ac:dyDescent="0.3">
      <c r="B127" s="6"/>
      <c r="C127" s="6"/>
      <c r="D127" s="6"/>
      <c r="E127" s="6"/>
      <c r="F127" s="6"/>
      <c r="G127" s="6"/>
      <c r="H127" s="6"/>
      <c r="I127" s="6"/>
      <c r="J127" s="6"/>
      <c r="K127" s="6"/>
    </row>
    <row r="128" spans="2:11" x14ac:dyDescent="0.3">
      <c r="B128" s="737" t="s">
        <v>776</v>
      </c>
      <c r="C128" s="737"/>
      <c r="D128" s="737"/>
      <c r="E128" s="737"/>
      <c r="F128" s="737"/>
      <c r="G128" s="737"/>
      <c r="H128" s="737"/>
      <c r="I128" s="737"/>
      <c r="J128" s="737"/>
      <c r="K128" s="6"/>
    </row>
    <row r="129" spans="2:11" x14ac:dyDescent="0.3">
      <c r="B129" s="595"/>
      <c r="C129" s="6"/>
      <c r="D129" s="6"/>
      <c r="E129" s="6"/>
      <c r="F129" s="6"/>
      <c r="G129" s="6"/>
      <c r="H129" s="6"/>
      <c r="I129" s="6"/>
      <c r="J129" s="6"/>
      <c r="K129" s="6"/>
    </row>
    <row r="130" spans="2:11" ht="53.4" customHeight="1" x14ac:dyDescent="0.3">
      <c r="B130" s="736" t="s">
        <v>814</v>
      </c>
      <c r="C130" s="736"/>
      <c r="D130" s="736"/>
      <c r="E130" s="736"/>
      <c r="F130" s="736"/>
      <c r="G130" s="736"/>
      <c r="H130" s="736"/>
      <c r="I130" s="736"/>
      <c r="J130" s="736"/>
      <c r="K130" s="736"/>
    </row>
    <row r="131" spans="2:11" x14ac:dyDescent="0.3">
      <c r="B131" s="704"/>
      <c r="C131" s="704"/>
      <c r="D131" s="704"/>
      <c r="E131" s="704"/>
      <c r="F131" s="704"/>
      <c r="G131" s="704"/>
      <c r="H131" s="704"/>
      <c r="I131" s="704"/>
      <c r="J131" s="704"/>
      <c r="K131" s="704"/>
    </row>
    <row r="132" spans="2:11" ht="75.599999999999994" customHeight="1" x14ac:dyDescent="0.3">
      <c r="B132" s="736" t="s">
        <v>777</v>
      </c>
      <c r="C132" s="736"/>
      <c r="D132" s="736"/>
      <c r="E132" s="736"/>
      <c r="F132" s="736"/>
      <c r="G132" s="736"/>
      <c r="H132" s="736"/>
      <c r="I132" s="736"/>
      <c r="J132" s="736"/>
      <c r="K132" s="736"/>
    </row>
  </sheetData>
  <mergeCells count="95">
    <mergeCell ref="B43:J43"/>
    <mergeCell ref="B41:K41"/>
    <mergeCell ref="B45:K45"/>
    <mergeCell ref="B11:J11"/>
    <mergeCell ref="B37:K37"/>
    <mergeCell ref="B9:J9"/>
    <mergeCell ref="B21:J21"/>
    <mergeCell ref="B33:J33"/>
    <mergeCell ref="B31:J31"/>
    <mergeCell ref="B15:K15"/>
    <mergeCell ref="B25:K25"/>
    <mergeCell ref="C49:J49"/>
    <mergeCell ref="C51:J51"/>
    <mergeCell ref="C55:J55"/>
    <mergeCell ref="C47:K47"/>
    <mergeCell ref="C53:K53"/>
    <mergeCell ref="C57:J57"/>
    <mergeCell ref="C59:J59"/>
    <mergeCell ref="B87:K87"/>
    <mergeCell ref="B89:K89"/>
    <mergeCell ref="B91:K91"/>
    <mergeCell ref="B85:K85"/>
    <mergeCell ref="B93:K93"/>
    <mergeCell ref="B95:K95"/>
    <mergeCell ref="B94:K94"/>
    <mergeCell ref="J97:K97"/>
    <mergeCell ref="H97:I97"/>
    <mergeCell ref="F97:G97"/>
    <mergeCell ref="D97:E97"/>
    <mergeCell ref="F99:G99"/>
    <mergeCell ref="F100:G100"/>
    <mergeCell ref="F101:G101"/>
    <mergeCell ref="D101:E101"/>
    <mergeCell ref="D100:E100"/>
    <mergeCell ref="D99:E99"/>
    <mergeCell ref="J99:K99"/>
    <mergeCell ref="J100:K100"/>
    <mergeCell ref="J101:K101"/>
    <mergeCell ref="H101:I101"/>
    <mergeCell ref="H100:I100"/>
    <mergeCell ref="H99:I99"/>
    <mergeCell ref="D110:E110"/>
    <mergeCell ref="D111:E111"/>
    <mergeCell ref="B106:K106"/>
    <mergeCell ref="B105:K105"/>
    <mergeCell ref="B104:K104"/>
    <mergeCell ref="J108:K108"/>
    <mergeCell ref="H108:I108"/>
    <mergeCell ref="F108:G108"/>
    <mergeCell ref="D108:E108"/>
    <mergeCell ref="J111:K111"/>
    <mergeCell ref="J110:K110"/>
    <mergeCell ref="H111:I111"/>
    <mergeCell ref="H110:I110"/>
    <mergeCell ref="F111:G111"/>
    <mergeCell ref="F110:G110"/>
    <mergeCell ref="J112:K112"/>
    <mergeCell ref="H112:I112"/>
    <mergeCell ref="F112:G112"/>
    <mergeCell ref="D112:E112"/>
    <mergeCell ref="B115:K115"/>
    <mergeCell ref="B117:K117"/>
    <mergeCell ref="B116:K116"/>
    <mergeCell ref="D119:E119"/>
    <mergeCell ref="F119:G119"/>
    <mergeCell ref="H119:I119"/>
    <mergeCell ref="J119:K119"/>
    <mergeCell ref="H123:I123"/>
    <mergeCell ref="F123:G123"/>
    <mergeCell ref="D123:E123"/>
    <mergeCell ref="B126:K126"/>
    <mergeCell ref="J121:K121"/>
    <mergeCell ref="J122:K122"/>
    <mergeCell ref="H122:I122"/>
    <mergeCell ref="H121:I121"/>
    <mergeCell ref="F121:G121"/>
    <mergeCell ref="F122:G122"/>
    <mergeCell ref="D122:E122"/>
    <mergeCell ref="D121:E121"/>
    <mergeCell ref="B130:K130"/>
    <mergeCell ref="B132:K132"/>
    <mergeCell ref="B128:J128"/>
    <mergeCell ref="B1:K1"/>
    <mergeCell ref="B3:K3"/>
    <mergeCell ref="B5:K5"/>
    <mergeCell ref="B7:K7"/>
    <mergeCell ref="B13:K13"/>
    <mergeCell ref="B17:K17"/>
    <mergeCell ref="B19:K19"/>
    <mergeCell ref="B23:K23"/>
    <mergeCell ref="B27:K27"/>
    <mergeCell ref="B29:K29"/>
    <mergeCell ref="B35:K35"/>
    <mergeCell ref="B39:K39"/>
    <mergeCell ref="J123:K123"/>
  </mergeCells>
  <pageMargins left="0.7" right="0.7" top="0.75" bottom="0.75" header="0.3" footer="0.3"/>
  <pageSetup scale="83" fitToHeight="5" orientation="portrait" cellComments="atEnd" r:id="rId1"/>
  <headerFooter>
    <oddHeader>&amp;R&amp;"Times New Roman,Bold"Exhibit A-1
&amp;P of &amp;N</oddHeader>
  </headerFooter>
  <rowBreaks count="4" manualBreakCount="4">
    <brk id="30" max="11" man="1"/>
    <brk id="42" max="11" man="1"/>
    <brk id="85" max="11" man="1"/>
    <brk id="114"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0"/>
  <sheetViews>
    <sheetView zoomScale="70" zoomScaleNormal="70" workbookViewId="0">
      <selection activeCell="B20" sqref="B20"/>
    </sheetView>
  </sheetViews>
  <sheetFormatPr defaultColWidth="9.81640625" defaultRowHeight="15.6" x14ac:dyDescent="0.3"/>
  <cols>
    <col min="1" max="1" width="8.1796875" style="406" bestFit="1" customWidth="1"/>
    <col min="2" max="2" width="75.1796875" style="378" bestFit="1" customWidth="1"/>
    <col min="3" max="3" width="14.90625" style="378" customWidth="1"/>
    <col min="4" max="4" width="16.6328125" style="378" customWidth="1"/>
    <col min="5" max="5" width="14.1796875" style="378" customWidth="1"/>
    <col min="6" max="6" width="14.81640625" style="378" customWidth="1"/>
    <col min="7" max="7" width="5.6328125" style="378" customWidth="1"/>
    <col min="8" max="8" width="4.453125" style="378" customWidth="1"/>
    <col min="9" max="9" width="10.36328125" style="378" bestFit="1" customWidth="1"/>
    <col min="10" max="16384" width="9.81640625" style="378"/>
  </cols>
  <sheetData>
    <row r="1" spans="1:9" ht="18" x14ac:dyDescent="0.35">
      <c r="A1" s="377"/>
      <c r="B1" s="12"/>
      <c r="C1" s="12"/>
      <c r="D1" s="12"/>
      <c r="E1" s="12"/>
      <c r="F1" s="12"/>
    </row>
    <row r="2" spans="1:9" ht="18" x14ac:dyDescent="0.35">
      <c r="A2" s="379" t="s">
        <v>5</v>
      </c>
      <c r="B2" s="380"/>
      <c r="C2" s="380"/>
      <c r="D2" s="380"/>
      <c r="E2" s="380"/>
      <c r="F2" s="380"/>
      <c r="G2" s="381"/>
    </row>
    <row r="3" spans="1:9" ht="18" x14ac:dyDescent="0.35">
      <c r="A3" s="382" t="s">
        <v>225</v>
      </c>
      <c r="B3" s="383"/>
      <c r="C3" s="383"/>
      <c r="D3" s="383"/>
      <c r="E3" s="380"/>
      <c r="F3" s="380"/>
      <c r="G3" s="381"/>
    </row>
    <row r="4" spans="1:9" ht="18" x14ac:dyDescent="0.35">
      <c r="A4" s="91" t="str">
        <f>CONCATENATE("For the Three-Month Period From ",'Input Data'!D4," thru ",'Input Data'!D5)</f>
        <v>For the Three-Month Period From May 1, 2021 thru July 31, 2021</v>
      </c>
      <c r="B4" s="383"/>
      <c r="C4" s="383"/>
      <c r="D4" s="383"/>
      <c r="E4" s="380"/>
      <c r="F4" s="380"/>
      <c r="G4" s="381"/>
    </row>
    <row r="5" spans="1:9" ht="19.5" customHeight="1" x14ac:dyDescent="0.35">
      <c r="A5" s="377"/>
      <c r="B5" s="12"/>
      <c r="C5" s="12"/>
      <c r="D5" s="12"/>
      <c r="E5" s="12"/>
      <c r="F5" s="365"/>
      <c r="G5" s="12"/>
    </row>
    <row r="6" spans="1:9" ht="18" x14ac:dyDescent="0.35">
      <c r="A6" s="384" t="s">
        <v>249</v>
      </c>
      <c r="B6" s="384" t="s">
        <v>31</v>
      </c>
      <c r="C6" s="385">
        <f>'Input Data'!C4</f>
        <v>44317</v>
      </c>
      <c r="D6" s="385">
        <f>EDATE(C6,1)</f>
        <v>44348</v>
      </c>
      <c r="E6" s="385">
        <f>EDATE(D6,1)</f>
        <v>44378</v>
      </c>
      <c r="F6" s="386" t="s">
        <v>30</v>
      </c>
      <c r="G6" s="12"/>
    </row>
    <row r="7" spans="1:9" ht="18" x14ac:dyDescent="0.35">
      <c r="A7" s="377"/>
      <c r="B7" s="12"/>
      <c r="C7" s="12"/>
      <c r="D7" s="12"/>
      <c r="E7" s="12"/>
      <c r="F7" s="12"/>
      <c r="G7" s="12"/>
    </row>
    <row r="8" spans="1:9" ht="18" x14ac:dyDescent="0.35">
      <c r="A8" s="387" t="s">
        <v>250</v>
      </c>
      <c r="B8" s="388" t="s">
        <v>550</v>
      </c>
      <c r="C8" s="389">
        <f>'Input Data'!C24</f>
        <v>941398</v>
      </c>
      <c r="D8" s="389">
        <f>'Input Data'!D24</f>
        <v>901986</v>
      </c>
      <c r="E8" s="389">
        <f>'Input Data'!E24</f>
        <v>1107992</v>
      </c>
      <c r="F8" s="50">
        <f>ROUND(SUM(C8:E8),0)</f>
        <v>2951376</v>
      </c>
      <c r="G8" s="12"/>
      <c r="I8" s="390"/>
    </row>
    <row r="9" spans="1:9" ht="18" x14ac:dyDescent="0.35">
      <c r="A9" s="387">
        <f>A8+1</f>
        <v>2</v>
      </c>
      <c r="B9" s="388" t="s">
        <v>552</v>
      </c>
      <c r="C9" s="471">
        <f>'Input Data'!C25</f>
        <v>746400</v>
      </c>
      <c r="D9" s="471">
        <f>'Input Data'!D25</f>
        <v>1799800</v>
      </c>
      <c r="E9" s="471">
        <f>'Input Data'!E25</f>
        <v>1859800</v>
      </c>
      <c r="F9" s="50">
        <f>ROUND(SUM(C9:E9),0)</f>
        <v>4406000</v>
      </c>
      <c r="G9" s="12"/>
    </row>
    <row r="10" spans="1:9" ht="18" x14ac:dyDescent="0.35">
      <c r="A10" s="387">
        <f>A9+1</f>
        <v>3</v>
      </c>
      <c r="B10" s="388" t="s">
        <v>558</v>
      </c>
      <c r="C10" s="472">
        <f>'Input Data'!C26</f>
        <v>0</v>
      </c>
      <c r="D10" s="472">
        <f>'Input Data'!D26</f>
        <v>0</v>
      </c>
      <c r="E10" s="472">
        <f>'Input Data'!E26</f>
        <v>620000</v>
      </c>
      <c r="F10" s="391">
        <f>ROUND(SUM(C10:E10),0)</f>
        <v>620000</v>
      </c>
      <c r="G10" s="12"/>
    </row>
    <row r="11" spans="1:9" ht="18" x14ac:dyDescent="0.35">
      <c r="A11" s="387">
        <f>A10+1</f>
        <v>4</v>
      </c>
      <c r="B11" s="388" t="s">
        <v>32</v>
      </c>
      <c r="C11" s="50">
        <f>SUM(C8:C10)</f>
        <v>1687798</v>
      </c>
      <c r="D11" s="50">
        <f>SUM(D8:D10)</f>
        <v>2701786</v>
      </c>
      <c r="E11" s="50">
        <f>SUM(E8:E10)</f>
        <v>3587792</v>
      </c>
      <c r="F11" s="50">
        <f>SUM(C11:E11)</f>
        <v>7977376</v>
      </c>
      <c r="G11" s="12"/>
    </row>
    <row r="12" spans="1:9" ht="18" x14ac:dyDescent="0.35">
      <c r="A12" s="387"/>
      <c r="B12" s="12"/>
      <c r="C12" s="389"/>
      <c r="D12" s="389"/>
      <c r="E12" s="389"/>
      <c r="F12" s="50"/>
      <c r="G12" s="12"/>
    </row>
    <row r="13" spans="1:9" ht="18" x14ac:dyDescent="0.35">
      <c r="A13" s="387">
        <f>A11+1</f>
        <v>5</v>
      </c>
      <c r="B13" s="388" t="s">
        <v>33</v>
      </c>
      <c r="C13" s="471">
        <f>'Input Data'!C28</f>
        <v>0</v>
      </c>
      <c r="D13" s="471">
        <f>'Input Data'!D28</f>
        <v>0</v>
      </c>
      <c r="E13" s="471">
        <f>'Input Data'!E28</f>
        <v>0</v>
      </c>
      <c r="F13" s="50">
        <f>SUM(C13:E13)</f>
        <v>0</v>
      </c>
      <c r="G13" s="12"/>
    </row>
    <row r="14" spans="1:9" ht="18" x14ac:dyDescent="0.35">
      <c r="A14" s="387">
        <f>A13+1</f>
        <v>6</v>
      </c>
      <c r="B14" s="388" t="s">
        <v>34</v>
      </c>
      <c r="C14" s="392">
        <f>'Input Data'!C29</f>
        <v>732400</v>
      </c>
      <c r="D14" s="392">
        <f>'Input Data'!D29</f>
        <v>347700</v>
      </c>
      <c r="E14" s="392">
        <f>'Input Data'!E29</f>
        <v>0</v>
      </c>
      <c r="F14" s="391">
        <f>SUM(C14:E14)</f>
        <v>1080100</v>
      </c>
      <c r="G14" s="12"/>
    </row>
    <row r="15" spans="1:9" ht="18" x14ac:dyDescent="0.35">
      <c r="A15" s="387">
        <f>A14+1</f>
        <v>7</v>
      </c>
      <c r="B15" s="388" t="s">
        <v>35</v>
      </c>
      <c r="C15" s="50">
        <f>C11+C13-C14</f>
        <v>955398</v>
      </c>
      <c r="D15" s="50">
        <f>D11+D13-D14</f>
        <v>2354086</v>
      </c>
      <c r="E15" s="50">
        <f>E11+E13-E14</f>
        <v>3587792</v>
      </c>
      <c r="F15" s="50">
        <f>F11+F13-F14</f>
        <v>6897276</v>
      </c>
      <c r="G15" s="12"/>
    </row>
    <row r="16" spans="1:9" ht="18" x14ac:dyDescent="0.35">
      <c r="A16" s="387"/>
      <c r="B16" s="388" t="s">
        <v>449</v>
      </c>
      <c r="C16" s="12"/>
      <c r="D16" s="12"/>
      <c r="E16" s="12"/>
      <c r="F16" s="12"/>
      <c r="G16" s="12"/>
    </row>
    <row r="17" spans="1:10" ht="18" x14ac:dyDescent="0.35">
      <c r="A17" s="387"/>
      <c r="B17" s="12"/>
      <c r="C17" s="389"/>
      <c r="D17" s="389"/>
      <c r="E17" s="389"/>
      <c r="F17" s="389"/>
      <c r="G17" s="12"/>
    </row>
    <row r="18" spans="1:10" ht="18" x14ac:dyDescent="0.35">
      <c r="A18" s="387"/>
      <c r="B18" s="384" t="s">
        <v>36</v>
      </c>
      <c r="C18" s="389"/>
      <c r="D18" s="389"/>
      <c r="E18" s="389"/>
      <c r="F18" s="389"/>
      <c r="G18" s="12"/>
    </row>
    <row r="19" spans="1:10" ht="18" x14ac:dyDescent="0.35">
      <c r="A19" s="387">
        <f>A15+1</f>
        <v>8</v>
      </c>
      <c r="B19" s="388" t="s">
        <v>37</v>
      </c>
      <c r="C19" s="50">
        <f>ROUND(C11/'Input Data'!$C$17,0)</f>
        <v>1584787</v>
      </c>
      <c r="D19" s="50">
        <f>ROUND(D11/'Input Data'!$C$17,0)</f>
        <v>2536888</v>
      </c>
      <c r="E19" s="50">
        <f>ROUND(E11/'Input Data'!$C$17,0)</f>
        <v>3368819</v>
      </c>
      <c r="F19" s="389"/>
      <c r="G19" s="12"/>
    </row>
    <row r="20" spans="1:10" ht="18" x14ac:dyDescent="0.35">
      <c r="A20" s="387">
        <f>A19+1</f>
        <v>9</v>
      </c>
      <c r="B20" s="388" t="s">
        <v>39</v>
      </c>
      <c r="C20" s="50">
        <f>ROUND(C13/'Input Data'!$C$17,0)</f>
        <v>0</v>
      </c>
      <c r="D20" s="50">
        <f>ROUND(D13/'Input Data'!$C$17,0)</f>
        <v>0</v>
      </c>
      <c r="E20" s="50">
        <f>ROUND(E13/'Input Data'!$C$17,0)</f>
        <v>0</v>
      </c>
      <c r="F20" s="389"/>
      <c r="G20" s="12"/>
    </row>
    <row r="21" spans="1:10" ht="18" x14ac:dyDescent="0.35">
      <c r="A21" s="387">
        <f>A20+1</f>
        <v>10</v>
      </c>
      <c r="B21" s="388" t="s">
        <v>40</v>
      </c>
      <c r="C21" s="393">
        <f>ROUND(C14/'Input Data'!$C$17,0)</f>
        <v>687700</v>
      </c>
      <c r="D21" s="393">
        <f>ROUND(D14/'Input Data'!$C$17,0)</f>
        <v>326479</v>
      </c>
      <c r="E21" s="393">
        <f>ROUND(E14/'Input Data'!$C$17,0)</f>
        <v>0</v>
      </c>
      <c r="F21" s="394"/>
      <c r="G21" s="12"/>
    </row>
    <row r="22" spans="1:10" ht="18" x14ac:dyDescent="0.35">
      <c r="A22" s="387">
        <f>A21+1</f>
        <v>11</v>
      </c>
      <c r="B22" s="388" t="s">
        <v>35</v>
      </c>
      <c r="C22" s="50">
        <f>C19+C20-C21</f>
        <v>897087</v>
      </c>
      <c r="D22" s="50">
        <f>D19+D20-D21</f>
        <v>2210409</v>
      </c>
      <c r="E22" s="50">
        <f>E19+E20-E21</f>
        <v>3368819</v>
      </c>
      <c r="F22" s="12"/>
      <c r="G22" s="12"/>
    </row>
    <row r="23" spans="1:10" ht="18" x14ac:dyDescent="0.35">
      <c r="A23" s="387"/>
      <c r="B23" s="388" t="s">
        <v>449</v>
      </c>
      <c r="C23" s="12"/>
      <c r="D23" s="12"/>
      <c r="E23" s="12"/>
      <c r="F23" s="389"/>
      <c r="G23" s="12"/>
    </row>
    <row r="24" spans="1:10" ht="18" x14ac:dyDescent="0.35">
      <c r="A24" s="387"/>
      <c r="B24" s="12"/>
      <c r="C24" s="389"/>
      <c r="D24" s="12"/>
      <c r="E24" s="389"/>
      <c r="F24" s="389"/>
      <c r="G24" s="12"/>
    </row>
    <row r="25" spans="1:10" ht="18" x14ac:dyDescent="0.35">
      <c r="A25" s="387">
        <f>A22+1</f>
        <v>12</v>
      </c>
      <c r="B25" s="388" t="s">
        <v>450</v>
      </c>
      <c r="C25" s="392">
        <f>VLOOKUP(C6,Forecast!A9:K1000,3,FALSE)</f>
        <v>41370</v>
      </c>
      <c r="D25" s="392">
        <f>VLOOKUP(D6,Forecast!A9:K1000,3,FALSE)</f>
        <v>42137</v>
      </c>
      <c r="E25" s="392">
        <f>VLOOKUP(E6,Forecast!A9:K150,3,FALSE)</f>
        <v>34657</v>
      </c>
      <c r="F25" s="389"/>
      <c r="G25" s="12"/>
      <c r="I25" s="265"/>
      <c r="J25" s="265"/>
    </row>
    <row r="26" spans="1:10" ht="18" x14ac:dyDescent="0.35">
      <c r="A26" s="387">
        <f>A25+1</f>
        <v>13</v>
      </c>
      <c r="B26" s="388" t="s">
        <v>576</v>
      </c>
      <c r="C26" s="50">
        <f>C22+C25</f>
        <v>938457</v>
      </c>
      <c r="D26" s="50">
        <f>D22+D25</f>
        <v>2252546</v>
      </c>
      <c r="E26" s="50">
        <f>E22+E25</f>
        <v>3403476</v>
      </c>
      <c r="F26" s="389"/>
      <c r="G26" s="12"/>
      <c r="I26" s="48"/>
    </row>
    <row r="27" spans="1:10" ht="18" x14ac:dyDescent="0.35">
      <c r="A27" s="387"/>
      <c r="B27" s="12"/>
      <c r="C27" s="389"/>
      <c r="D27" s="389"/>
      <c r="E27" s="389"/>
      <c r="F27" s="389"/>
      <c r="G27" s="12"/>
      <c r="I27" s="48"/>
    </row>
    <row r="28" spans="1:10" ht="18" x14ac:dyDescent="0.35">
      <c r="A28" s="387">
        <f>A26+1</f>
        <v>14</v>
      </c>
      <c r="B28" s="388" t="s">
        <v>41</v>
      </c>
      <c r="C28" s="389">
        <f>VLOOKUP(C6,Forecast!$A9:$K1000,4,FALSE)+VLOOKUP(C6,Forecast!$A9:$K1000,5,FALSE)</f>
        <v>362</v>
      </c>
      <c r="D28" s="389">
        <f>VLOOKUP(D6,Forecast!$A9:$K1000,4,FALSE)+VLOOKUP(D6,Forecast!$A9:$K1000,5,FALSE)</f>
        <v>1825</v>
      </c>
      <c r="E28" s="389">
        <f>VLOOKUP(E6,Forecast!$A9:$K150,4,FALSE)+VLOOKUP(E6,Forecast!$A9:$K150,5,FALSE)</f>
        <v>3676</v>
      </c>
      <c r="F28" s="389"/>
      <c r="G28" s="12"/>
      <c r="I28" s="48"/>
    </row>
    <row r="29" spans="1:10" ht="18" x14ac:dyDescent="0.35">
      <c r="A29" s="387">
        <f>A28+1</f>
        <v>15</v>
      </c>
      <c r="B29" s="388" t="s">
        <v>42</v>
      </c>
      <c r="C29" s="392">
        <f>VLOOKUP(C6,Forecast!$A9:$K1000,6,FALSE)</f>
        <v>0</v>
      </c>
      <c r="D29" s="392">
        <f>VLOOKUP(D6,Forecast!$A9:$K1000,6,FALSE)</f>
        <v>1492886</v>
      </c>
      <c r="E29" s="392">
        <f>VLOOKUP(E6,Forecast!$A9:$K150,6,FALSE)</f>
        <v>2733566</v>
      </c>
      <c r="F29" s="389"/>
      <c r="G29" s="12"/>
    </row>
    <row r="30" spans="1:10" ht="18" x14ac:dyDescent="0.35">
      <c r="A30" s="387">
        <f>A29+1</f>
        <v>16</v>
      </c>
      <c r="B30" s="388" t="s">
        <v>577</v>
      </c>
      <c r="C30" s="50">
        <f>C22-C28-C29</f>
        <v>896725</v>
      </c>
      <c r="D30" s="50">
        <f>D22-D28-D29</f>
        <v>715698</v>
      </c>
      <c r="E30" s="50">
        <f>E22-E28-E29</f>
        <v>631577</v>
      </c>
      <c r="F30" s="50">
        <f>SUM(C30:E30)</f>
        <v>2244000</v>
      </c>
      <c r="G30" s="12"/>
    </row>
    <row r="31" spans="1:10" ht="18" x14ac:dyDescent="0.35">
      <c r="A31" s="387"/>
      <c r="B31" s="12"/>
      <c r="C31" s="389"/>
      <c r="D31" s="389"/>
      <c r="E31" s="389"/>
      <c r="F31" s="389"/>
      <c r="G31" s="12"/>
    </row>
    <row r="32" spans="1:10" ht="18" x14ac:dyDescent="0.35">
      <c r="A32" s="387">
        <f>A30+1</f>
        <v>17</v>
      </c>
      <c r="B32" s="388" t="s">
        <v>43</v>
      </c>
      <c r="C32" s="389">
        <f>'Input Data'!C16</f>
        <v>3010000</v>
      </c>
      <c r="D32" s="389">
        <f>C37</f>
        <v>2810000</v>
      </c>
      <c r="E32" s="389">
        <f>D37</f>
        <v>4273000</v>
      </c>
      <c r="F32" s="389"/>
      <c r="G32" s="12"/>
    </row>
    <row r="33" spans="1:9" ht="18" x14ac:dyDescent="0.35">
      <c r="A33" s="387">
        <f>A32+1</f>
        <v>18</v>
      </c>
      <c r="B33" s="388" t="s">
        <v>578</v>
      </c>
      <c r="C33" s="392">
        <f>C29</f>
        <v>0</v>
      </c>
      <c r="D33" s="392">
        <f>(D29)</f>
        <v>1492886</v>
      </c>
      <c r="E33" s="392">
        <f>(E29)</f>
        <v>2733566</v>
      </c>
      <c r="F33" s="389"/>
      <c r="G33" s="12"/>
    </row>
    <row r="34" spans="1:9" ht="18" x14ac:dyDescent="0.35">
      <c r="A34" s="387">
        <f>A33+1</f>
        <v>19</v>
      </c>
      <c r="B34" s="388" t="s">
        <v>44</v>
      </c>
      <c r="C34" s="50">
        <f>C32+C33</f>
        <v>3010000</v>
      </c>
      <c r="D34" s="50">
        <f>D32+D33</f>
        <v>4302886</v>
      </c>
      <c r="E34" s="50">
        <f>E32+E33</f>
        <v>7006566</v>
      </c>
      <c r="F34" s="389"/>
      <c r="G34" s="12"/>
      <c r="I34" s="48"/>
    </row>
    <row r="35" spans="1:9" ht="18" x14ac:dyDescent="0.35">
      <c r="A35" s="387">
        <f>A34+1</f>
        <v>20</v>
      </c>
      <c r="B35" s="388" t="s">
        <v>45</v>
      </c>
      <c r="C35" s="471">
        <f>VLOOKUP(C6,Forecast!$A9:$K1000,7,FALSE)</f>
        <v>171919</v>
      </c>
      <c r="D35" s="471">
        <f>VLOOKUP(D6,Forecast!$A9:$K1000,7,FALSE)</f>
        <v>0</v>
      </c>
      <c r="E35" s="471">
        <f>VLOOKUP(E6,Forecast!$A9:$K150,7,FALSE)</f>
        <v>0</v>
      </c>
      <c r="F35" s="50">
        <f>SUM(C35:E35)</f>
        <v>171919</v>
      </c>
      <c r="G35" s="12"/>
      <c r="I35" s="48"/>
    </row>
    <row r="36" spans="1:9" ht="18" x14ac:dyDescent="0.35">
      <c r="A36" s="387">
        <f>A35+1</f>
        <v>21</v>
      </c>
      <c r="B36" s="388" t="s">
        <v>46</v>
      </c>
      <c r="C36" s="472">
        <f>VLOOKUP(C6,Forecast!$A9:$K1000,8,FALSE)</f>
        <v>28081</v>
      </c>
      <c r="D36" s="472">
        <f>VLOOKUP(D6,Forecast!$A9:$K1000,8,FALSE)</f>
        <v>29886</v>
      </c>
      <c r="E36" s="472">
        <f>VLOOKUP(E6,Forecast!$A9:$K150,8,FALSE)</f>
        <v>36566</v>
      </c>
      <c r="F36" s="50">
        <f>C36+D36+E36</f>
        <v>94533</v>
      </c>
      <c r="G36" s="12"/>
      <c r="I36" s="48"/>
    </row>
    <row r="37" spans="1:9" ht="18" x14ac:dyDescent="0.35">
      <c r="A37" s="387">
        <f>A36+1</f>
        <v>22</v>
      </c>
      <c r="B37" s="388" t="s">
        <v>47</v>
      </c>
      <c r="C37" s="50">
        <f>C34-C35-C36</f>
        <v>2810000</v>
      </c>
      <c r="D37" s="50">
        <f>D34-D35-D36</f>
        <v>4273000</v>
      </c>
      <c r="E37" s="50">
        <f>E34-E35-E36</f>
        <v>6970000</v>
      </c>
      <c r="F37" s="389"/>
      <c r="G37" s="12"/>
    </row>
    <row r="38" spans="1:9" ht="18" x14ac:dyDescent="0.35">
      <c r="A38" s="387"/>
      <c r="B38" s="12"/>
      <c r="C38" s="389"/>
      <c r="D38" s="389"/>
      <c r="E38" s="389"/>
      <c r="F38" s="389"/>
      <c r="G38" s="12"/>
    </row>
    <row r="39" spans="1:9" ht="18" x14ac:dyDescent="0.35">
      <c r="A39" s="387">
        <f>A37+1</f>
        <v>23</v>
      </c>
      <c r="B39" s="388" t="s">
        <v>559</v>
      </c>
      <c r="C39" s="50">
        <f>C30+C35+C36</f>
        <v>1096725</v>
      </c>
      <c r="D39" s="50">
        <f>D30+D35+D36</f>
        <v>745584</v>
      </c>
      <c r="E39" s="50">
        <f>E30+E35+E36</f>
        <v>668143</v>
      </c>
      <c r="F39" s="50">
        <f>SUM(C39:E39)</f>
        <v>2510452</v>
      </c>
      <c r="G39" s="12"/>
    </row>
    <row r="40" spans="1:9" ht="18" x14ac:dyDescent="0.35">
      <c r="A40" s="387"/>
      <c r="B40" s="12"/>
      <c r="C40" s="389"/>
      <c r="D40" s="389"/>
      <c r="E40" s="389"/>
      <c r="F40" s="389"/>
      <c r="G40" s="12"/>
    </row>
    <row r="41" spans="1:9" ht="18" x14ac:dyDescent="0.35">
      <c r="A41" s="387"/>
      <c r="B41" s="384" t="s">
        <v>48</v>
      </c>
      <c r="C41" s="389"/>
      <c r="D41" s="389"/>
      <c r="E41" s="389"/>
      <c r="F41" s="389"/>
      <c r="G41" s="12"/>
    </row>
    <row r="42" spans="1:9" ht="18" x14ac:dyDescent="0.35">
      <c r="A42" s="387">
        <f>A39+1</f>
        <v>24</v>
      </c>
      <c r="B42" s="388" t="s">
        <v>560</v>
      </c>
      <c r="C42" s="395">
        <f>ROUND(C26*C66,0)</f>
        <v>795999</v>
      </c>
      <c r="D42" s="395">
        <f>ROUND(D26*D66,0)</f>
        <v>1910610</v>
      </c>
      <c r="E42" s="395">
        <f>ROUND(E26*E66,0)</f>
        <v>2886828</v>
      </c>
      <c r="F42" s="50"/>
      <c r="G42" s="12"/>
    </row>
    <row r="43" spans="1:9" ht="18" x14ac:dyDescent="0.35">
      <c r="A43" s="387">
        <f>A42+1</f>
        <v>25</v>
      </c>
      <c r="B43" s="388" t="s">
        <v>561</v>
      </c>
      <c r="C43" s="393">
        <f>ROUND(C25*C66,0)</f>
        <v>35090</v>
      </c>
      <c r="D43" s="393">
        <f>ROUND(D25*D66,0)</f>
        <v>35741</v>
      </c>
      <c r="E43" s="393">
        <f>ROUND(E25*E66,0)</f>
        <v>29396</v>
      </c>
      <c r="F43" s="50"/>
      <c r="G43" s="12"/>
    </row>
    <row r="44" spans="1:9" ht="18" x14ac:dyDescent="0.35">
      <c r="A44" s="387">
        <f t="shared" ref="A44:A54" si="0">A43+1</f>
        <v>26</v>
      </c>
      <c r="B44" s="388" t="s">
        <v>451</v>
      </c>
      <c r="C44" s="395">
        <f>C42-C43</f>
        <v>760909</v>
      </c>
      <c r="D44" s="395">
        <f>D42-D43</f>
        <v>1874869</v>
      </c>
      <c r="E44" s="395">
        <f>E42-E43</f>
        <v>2857432</v>
      </c>
      <c r="F44" s="50"/>
      <c r="G44" s="12"/>
    </row>
    <row r="45" spans="1:9" ht="18" x14ac:dyDescent="0.35">
      <c r="A45" s="387">
        <f t="shared" si="0"/>
        <v>27</v>
      </c>
      <c r="B45" s="388" t="s">
        <v>562</v>
      </c>
      <c r="C45" s="50">
        <f t="shared" ref="C45:E47" si="1">ROUND(C8*C67,0)</f>
        <v>2332784</v>
      </c>
      <c r="D45" s="50">
        <f t="shared" si="1"/>
        <v>2287887</v>
      </c>
      <c r="E45" s="50">
        <f t="shared" si="1"/>
        <v>2875239</v>
      </c>
      <c r="F45" s="50"/>
      <c r="G45" s="12"/>
    </row>
    <row r="46" spans="1:9" ht="18" x14ac:dyDescent="0.35">
      <c r="A46" s="387">
        <f t="shared" si="0"/>
        <v>28</v>
      </c>
      <c r="B46" s="388" t="s">
        <v>579</v>
      </c>
      <c r="C46" s="50">
        <f>ROUND(C9*C68,0)</f>
        <v>1814125</v>
      </c>
      <c r="D46" s="50">
        <f t="shared" si="1"/>
        <v>4479162</v>
      </c>
      <c r="E46" s="50">
        <f t="shared" si="1"/>
        <v>4736725</v>
      </c>
      <c r="F46" s="50"/>
      <c r="G46" s="12"/>
    </row>
    <row r="47" spans="1:9" ht="18" x14ac:dyDescent="0.35">
      <c r="A47" s="387">
        <f t="shared" si="0"/>
        <v>29</v>
      </c>
      <c r="B47" s="388" t="s">
        <v>587</v>
      </c>
      <c r="C47" s="50">
        <f t="shared" si="1"/>
        <v>0</v>
      </c>
      <c r="D47" s="50">
        <f t="shared" si="1"/>
        <v>0</v>
      </c>
      <c r="E47" s="50">
        <f t="shared" si="1"/>
        <v>1615658</v>
      </c>
      <c r="F47" s="50"/>
      <c r="G47" s="12"/>
    </row>
    <row r="48" spans="1:9" ht="18" x14ac:dyDescent="0.35">
      <c r="A48" s="387">
        <f t="shared" si="0"/>
        <v>30</v>
      </c>
      <c r="B48" s="388" t="s">
        <v>49</v>
      </c>
      <c r="C48" s="395">
        <f>SUM(C44:C47)</f>
        <v>4907818</v>
      </c>
      <c r="D48" s="395">
        <f>SUM(D44:D47)</f>
        <v>8641918</v>
      </c>
      <c r="E48" s="395">
        <f>SUM(E44:E47)</f>
        <v>12085054</v>
      </c>
      <c r="F48" s="395">
        <f t="shared" ref="F48:F54" si="2">SUM(C48:E48)</f>
        <v>25634790</v>
      </c>
      <c r="G48" s="12"/>
    </row>
    <row r="49" spans="1:7" ht="18" x14ac:dyDescent="0.35">
      <c r="A49" s="387">
        <f t="shared" si="0"/>
        <v>31</v>
      </c>
      <c r="B49" s="388" t="s">
        <v>563</v>
      </c>
      <c r="C49" s="50">
        <f>ROUND(C13*C67,0)</f>
        <v>0</v>
      </c>
      <c r="D49" s="50">
        <f>ROUND(D13*D67,0)</f>
        <v>0</v>
      </c>
      <c r="E49" s="50">
        <f>ROUND(E13*E67,0)</f>
        <v>0</v>
      </c>
      <c r="F49" s="50">
        <f t="shared" si="2"/>
        <v>0</v>
      </c>
      <c r="G49" s="12"/>
    </row>
    <row r="50" spans="1:7" ht="18" x14ac:dyDescent="0.35">
      <c r="A50" s="387">
        <f t="shared" si="0"/>
        <v>32</v>
      </c>
      <c r="B50" s="388" t="s">
        <v>564</v>
      </c>
      <c r="C50" s="393">
        <f>ROUND(C14*C67,0)</f>
        <v>1814887</v>
      </c>
      <c r="D50" s="393">
        <f>ROUND(D14*D67,0)</f>
        <v>881941</v>
      </c>
      <c r="E50" s="393">
        <f>ROUND(E14*E67,0)</f>
        <v>0</v>
      </c>
      <c r="F50" s="393">
        <f t="shared" si="2"/>
        <v>2696828</v>
      </c>
      <c r="G50" s="12"/>
    </row>
    <row r="51" spans="1:7" ht="18" x14ac:dyDescent="0.35">
      <c r="A51" s="387">
        <f t="shared" si="0"/>
        <v>33</v>
      </c>
      <c r="B51" s="388" t="s">
        <v>50</v>
      </c>
      <c r="C51" s="395">
        <f>C48+C49-C50</f>
        <v>3092931</v>
      </c>
      <c r="D51" s="395">
        <f>D48+D49-D50</f>
        <v>7759977</v>
      </c>
      <c r="E51" s="395">
        <f>E48+E49-E50</f>
        <v>12085054</v>
      </c>
      <c r="F51" s="395">
        <f t="shared" si="2"/>
        <v>22937962</v>
      </c>
      <c r="G51" s="12"/>
    </row>
    <row r="52" spans="1:7" ht="18" x14ac:dyDescent="0.35">
      <c r="A52" s="387">
        <f t="shared" si="0"/>
        <v>34</v>
      </c>
      <c r="B52" s="388" t="s">
        <v>580</v>
      </c>
      <c r="C52" s="50">
        <f>ROUND(C28*C70,0)</f>
        <v>1248</v>
      </c>
      <c r="D52" s="50">
        <f>ROUND(D28*D70,0)</f>
        <v>6407</v>
      </c>
      <c r="E52" s="50">
        <f>ROUND(E28*E70,0)</f>
        <v>13187</v>
      </c>
      <c r="F52" s="50">
        <f t="shared" si="2"/>
        <v>20842</v>
      </c>
      <c r="G52" s="12"/>
    </row>
    <row r="53" spans="1:7" ht="18" x14ac:dyDescent="0.35">
      <c r="A53" s="387">
        <f t="shared" si="0"/>
        <v>35</v>
      </c>
      <c r="B53" s="388" t="s">
        <v>581</v>
      </c>
      <c r="C53" s="393">
        <f>ROUND(C29*C70,0)</f>
        <v>0</v>
      </c>
      <c r="D53" s="393">
        <f>ROUND(D29*D70,0)</f>
        <v>5241075</v>
      </c>
      <c r="E53" s="393">
        <f>ROUND(E29*E70,0)</f>
        <v>9806121</v>
      </c>
      <c r="F53" s="393">
        <f t="shared" si="2"/>
        <v>15047196</v>
      </c>
      <c r="G53" s="12"/>
    </row>
    <row r="54" spans="1:7" ht="18" x14ac:dyDescent="0.35">
      <c r="A54" s="387">
        <f t="shared" si="0"/>
        <v>36</v>
      </c>
      <c r="B54" s="388" t="s">
        <v>51</v>
      </c>
      <c r="C54" s="395">
        <f>C51-C52-C53</f>
        <v>3091683</v>
      </c>
      <c r="D54" s="395">
        <f>D51-D52-D53</f>
        <v>2512495</v>
      </c>
      <c r="E54" s="395">
        <f>E51-E52-E53</f>
        <v>2265746</v>
      </c>
      <c r="F54" s="395">
        <f t="shared" si="2"/>
        <v>7869924</v>
      </c>
      <c r="G54" s="12"/>
    </row>
    <row r="55" spans="1:7" ht="18" x14ac:dyDescent="0.35">
      <c r="A55" s="387"/>
      <c r="B55" s="12"/>
      <c r="C55" s="50"/>
      <c r="D55" s="50"/>
      <c r="E55" s="50"/>
      <c r="F55" s="50"/>
      <c r="G55" s="12"/>
    </row>
    <row r="56" spans="1:7" ht="18" x14ac:dyDescent="0.35">
      <c r="A56" s="387">
        <f>A54+1</f>
        <v>37</v>
      </c>
      <c r="B56" s="388" t="s">
        <v>43</v>
      </c>
      <c r="C56" s="396">
        <f>ROUND(C32*'Input Data'!C15,0)</f>
        <v>7427777</v>
      </c>
      <c r="D56" s="395">
        <f>C61</f>
        <v>6934237</v>
      </c>
      <c r="E56" s="395">
        <f>D61</f>
        <v>12090747</v>
      </c>
      <c r="F56" s="50"/>
      <c r="G56" s="12"/>
    </row>
    <row r="57" spans="1:7" ht="18" x14ac:dyDescent="0.35">
      <c r="A57" s="387">
        <f>A56+1</f>
        <v>38</v>
      </c>
      <c r="B57" s="388" t="s">
        <v>565</v>
      </c>
      <c r="C57" s="393">
        <f>(C53)</f>
        <v>0</v>
      </c>
      <c r="D57" s="393">
        <f>(D53)</f>
        <v>5241075</v>
      </c>
      <c r="E57" s="393">
        <f>(E53)</f>
        <v>9806121</v>
      </c>
      <c r="F57" s="50"/>
      <c r="G57" s="12"/>
    </row>
    <row r="58" spans="1:7" ht="18" x14ac:dyDescent="0.35">
      <c r="A58" s="387">
        <f>A57+1</f>
        <v>39</v>
      </c>
      <c r="B58" s="388" t="s">
        <v>44</v>
      </c>
      <c r="C58" s="395">
        <f>C56+C57</f>
        <v>7427777</v>
      </c>
      <c r="D58" s="395">
        <f>D56+D57</f>
        <v>12175312</v>
      </c>
      <c r="E58" s="395">
        <f>E56+E57</f>
        <v>21896868</v>
      </c>
      <c r="F58" s="50"/>
      <c r="G58" s="12"/>
    </row>
    <row r="59" spans="1:7" ht="18" x14ac:dyDescent="0.35">
      <c r="A59" s="387">
        <f>A58+1</f>
        <v>40</v>
      </c>
      <c r="B59" s="388" t="s">
        <v>582</v>
      </c>
      <c r="C59" s="50">
        <f>ROUND(C35*C71,0)</f>
        <v>424245</v>
      </c>
      <c r="D59" s="50">
        <f>ROUND(D35*D71,0)</f>
        <v>0</v>
      </c>
      <c r="E59" s="50">
        <f>ROUND(E35*E71,0)</f>
        <v>0</v>
      </c>
      <c r="F59" s="395">
        <f>SUM(C59:E59)</f>
        <v>424245</v>
      </c>
      <c r="G59" s="12"/>
    </row>
    <row r="60" spans="1:7" ht="18" x14ac:dyDescent="0.35">
      <c r="A60" s="387">
        <f>A59+1</f>
        <v>41</v>
      </c>
      <c r="B60" s="388" t="s">
        <v>583</v>
      </c>
      <c r="C60" s="393">
        <f>ROUND(C36*C71,0)</f>
        <v>69295</v>
      </c>
      <c r="D60" s="393">
        <f>ROUND(D36*D71,0)</f>
        <v>84565</v>
      </c>
      <c r="E60" s="393">
        <f>ROUND(E36*E71,0)</f>
        <v>114276</v>
      </c>
      <c r="F60" s="391">
        <f>C60+D60+E60</f>
        <v>268136</v>
      </c>
      <c r="G60" s="12"/>
    </row>
    <row r="61" spans="1:7" ht="18" x14ac:dyDescent="0.35">
      <c r="A61" s="387">
        <f>A60+1</f>
        <v>42</v>
      </c>
      <c r="B61" s="388" t="s">
        <v>47</v>
      </c>
      <c r="C61" s="395">
        <f>C58-C59-C60</f>
        <v>6934237</v>
      </c>
      <c r="D61" s="395">
        <f>D58-D59-D60</f>
        <v>12090747</v>
      </c>
      <c r="E61" s="395">
        <f>E58-E59-E60</f>
        <v>21782592</v>
      </c>
      <c r="F61" s="50"/>
      <c r="G61" s="12"/>
    </row>
    <row r="62" spans="1:7" ht="18" x14ac:dyDescent="0.35">
      <c r="A62" s="387"/>
      <c r="B62" s="388"/>
      <c r="C62" s="395"/>
      <c r="D62" s="395"/>
      <c r="E62" s="395"/>
      <c r="F62" s="50"/>
      <c r="G62" s="12"/>
    </row>
    <row r="63" spans="1:7" ht="18" x14ac:dyDescent="0.35">
      <c r="A63" s="387">
        <f>A61+1</f>
        <v>43</v>
      </c>
      <c r="B63" s="388" t="s">
        <v>566</v>
      </c>
      <c r="C63" s="397">
        <f>C54+C59+C60</f>
        <v>3585223</v>
      </c>
      <c r="D63" s="397">
        <f>D54+D59+D60</f>
        <v>2597060</v>
      </c>
      <c r="E63" s="397">
        <f>E54+E59+E60</f>
        <v>2380022</v>
      </c>
      <c r="F63" s="397">
        <f>F54+F59+F60</f>
        <v>8562305</v>
      </c>
      <c r="G63" s="12"/>
    </row>
    <row r="64" spans="1:7" ht="18" x14ac:dyDescent="0.35">
      <c r="A64" s="387"/>
      <c r="B64" s="12"/>
      <c r="C64" s="389"/>
      <c r="D64" s="389"/>
      <c r="E64" s="389"/>
      <c r="F64" s="389"/>
      <c r="G64" s="12"/>
    </row>
    <row r="65" spans="1:14" ht="18" x14ac:dyDescent="0.35">
      <c r="A65" s="387"/>
      <c r="B65" s="384" t="s">
        <v>52</v>
      </c>
      <c r="C65" s="389"/>
      <c r="D65" s="389"/>
      <c r="E65" s="389"/>
      <c r="F65" s="389"/>
      <c r="G65" s="12"/>
    </row>
    <row r="66" spans="1:14" ht="18" x14ac:dyDescent="0.35">
      <c r="A66" s="387">
        <f>A63+1</f>
        <v>44</v>
      </c>
      <c r="B66" s="388" t="s">
        <v>53</v>
      </c>
      <c r="C66" s="398">
        <f>'Ex A 2 of 2'!F27</f>
        <v>0.84819999999999995</v>
      </c>
      <c r="D66" s="399">
        <f>C66</f>
        <v>0.84819999999999995</v>
      </c>
      <c r="E66" s="399">
        <f>C66</f>
        <v>0.84819999999999995</v>
      </c>
      <c r="F66" s="389"/>
      <c r="G66" s="12"/>
    </row>
    <row r="67" spans="1:14" ht="18" x14ac:dyDescent="0.35">
      <c r="A67" s="387">
        <f>A66+1</f>
        <v>45</v>
      </c>
      <c r="B67" s="388" t="s">
        <v>551</v>
      </c>
      <c r="C67" s="398">
        <f>'Input Data'!C31</f>
        <v>2.4780000000000002</v>
      </c>
      <c r="D67" s="398">
        <f>'Input Data'!D31</f>
        <v>2.5365000000000002</v>
      </c>
      <c r="E67" s="398">
        <f>'Input Data'!E31</f>
        <v>2.5950000000000002</v>
      </c>
      <c r="F67" s="400"/>
      <c r="G67" s="12"/>
      <c r="L67" s="401"/>
      <c r="M67" s="401"/>
      <c r="N67" s="401"/>
    </row>
    <row r="68" spans="1:14" ht="18" x14ac:dyDescent="0.35">
      <c r="A68" s="387">
        <f>A67+1</f>
        <v>46</v>
      </c>
      <c r="B68" s="388" t="s">
        <v>553</v>
      </c>
      <c r="C68" s="398">
        <f>'Input Data'!C32</f>
        <v>2.4304999999999999</v>
      </c>
      <c r="D68" s="398">
        <f>'Input Data'!D32</f>
        <v>2.4887000000000001</v>
      </c>
      <c r="E68" s="398">
        <f>'Input Data'!E32</f>
        <v>2.5468999999999999</v>
      </c>
      <c r="F68" s="400"/>
      <c r="G68" s="12"/>
      <c r="L68" s="401"/>
      <c r="M68" s="401"/>
      <c r="N68" s="401"/>
    </row>
    <row r="69" spans="1:14" ht="18" x14ac:dyDescent="0.35">
      <c r="A69" s="387">
        <f>A68+1</f>
        <v>47</v>
      </c>
      <c r="B69" s="388" t="s">
        <v>586</v>
      </c>
      <c r="C69" s="398">
        <f>'Input Data'!C33</f>
        <v>2.4899</v>
      </c>
      <c r="D69" s="398">
        <f>'Input Data'!D33</f>
        <v>2.5478999999999998</v>
      </c>
      <c r="E69" s="398">
        <f>'Input Data'!E33</f>
        <v>2.6059000000000001</v>
      </c>
      <c r="F69" s="400"/>
      <c r="G69" s="12"/>
      <c r="L69" s="401"/>
      <c r="M69" s="401"/>
      <c r="N69" s="401"/>
    </row>
    <row r="70" spans="1:14" ht="18" x14ac:dyDescent="0.35">
      <c r="A70" s="387">
        <f>A69+1</f>
        <v>48</v>
      </c>
      <c r="B70" s="388" t="s">
        <v>567</v>
      </c>
      <c r="C70" s="398">
        <f>ROUND(C51/C22,4)</f>
        <v>3.4477000000000002</v>
      </c>
      <c r="D70" s="398">
        <f>ROUND(D51/D22,4)</f>
        <v>3.5106999999999999</v>
      </c>
      <c r="E70" s="398">
        <f>ROUND(E51/E22,4)</f>
        <v>3.5872999999999999</v>
      </c>
      <c r="F70" s="389"/>
      <c r="G70" s="12"/>
    </row>
    <row r="71" spans="1:14" ht="18" x14ac:dyDescent="0.35">
      <c r="A71" s="387">
        <f>A70+1</f>
        <v>49</v>
      </c>
      <c r="B71" s="388" t="s">
        <v>568</v>
      </c>
      <c r="C71" s="398">
        <f>ROUND(C58/C34,4)</f>
        <v>2.4676999999999998</v>
      </c>
      <c r="D71" s="398">
        <f>ROUND(D58/D34,4)</f>
        <v>2.8296000000000001</v>
      </c>
      <c r="E71" s="398">
        <f>ROUND(E58/E34,4)</f>
        <v>3.1252</v>
      </c>
      <c r="F71" s="389"/>
      <c r="G71" s="12"/>
    </row>
    <row r="72" spans="1:14" ht="18" x14ac:dyDescent="0.35">
      <c r="A72" s="387"/>
      <c r="B72" s="12"/>
      <c r="C72" s="389"/>
      <c r="D72" s="389"/>
      <c r="E72" s="389"/>
      <c r="F72" s="389"/>
      <c r="G72" s="12"/>
    </row>
    <row r="73" spans="1:14" ht="18" x14ac:dyDescent="0.35">
      <c r="A73" s="387"/>
      <c r="B73" s="384" t="s">
        <v>54</v>
      </c>
      <c r="C73" s="402"/>
      <c r="D73" s="402"/>
      <c r="E73" s="402"/>
      <c r="F73" s="389"/>
      <c r="G73" s="12"/>
    </row>
    <row r="74" spans="1:14" ht="18" x14ac:dyDescent="0.35">
      <c r="A74" s="387">
        <f>A71+1</f>
        <v>50</v>
      </c>
      <c r="B74" s="388" t="s">
        <v>55</v>
      </c>
      <c r="C74" s="389"/>
      <c r="D74" s="389"/>
      <c r="E74" s="389"/>
      <c r="F74" s="403">
        <f>ROUND(F39*'Input Data'!C18,4)</f>
        <v>2451205.3328</v>
      </c>
      <c r="G74" s="388" t="s">
        <v>56</v>
      </c>
    </row>
    <row r="75" spans="1:14" ht="18" x14ac:dyDescent="0.35">
      <c r="A75" s="387"/>
      <c r="B75" s="404" t="str">
        <f>CONCATENATE('Input Data'!D4," through ",'Input Data'!D5)</f>
        <v>May 1, 2021 through July 31, 2021</v>
      </c>
      <c r="C75" s="389"/>
      <c r="D75" s="389"/>
      <c r="E75" s="389"/>
      <c r="F75" s="12"/>
      <c r="G75" s="12"/>
    </row>
    <row r="76" spans="1:14" ht="18" x14ac:dyDescent="0.35">
      <c r="A76" s="387"/>
      <c r="B76" s="12"/>
      <c r="C76" s="389"/>
      <c r="D76" s="389"/>
      <c r="E76" s="389"/>
      <c r="F76" s="389"/>
      <c r="G76" s="12"/>
    </row>
    <row r="77" spans="1:14" ht="18" x14ac:dyDescent="0.35">
      <c r="A77" s="387">
        <f>A74+1</f>
        <v>51</v>
      </c>
      <c r="B77" s="404" t="s">
        <v>569</v>
      </c>
      <c r="C77" s="389"/>
      <c r="D77" s="389"/>
      <c r="E77" s="389"/>
      <c r="F77" s="405">
        <f>F63/F74</f>
        <v>3.4930998580275281</v>
      </c>
      <c r="G77" s="388" t="s">
        <v>57</v>
      </c>
    </row>
    <row r="78" spans="1:14" ht="18" x14ac:dyDescent="0.35">
      <c r="A78" s="387"/>
      <c r="B78" s="12"/>
      <c r="C78" s="12"/>
      <c r="D78" s="12"/>
      <c r="E78" s="12"/>
      <c r="F78" s="12"/>
      <c r="G78" s="12"/>
    </row>
    <row r="79" spans="1:14" ht="18" x14ac:dyDescent="0.35">
      <c r="A79" s="387"/>
      <c r="B79" s="12"/>
      <c r="C79" s="12"/>
      <c r="D79" s="12"/>
      <c r="E79" s="12"/>
      <c r="F79" s="12"/>
      <c r="G79" s="12"/>
    </row>
    <row r="80" spans="1:14" ht="18" x14ac:dyDescent="0.35">
      <c r="A80" s="387"/>
      <c r="B80" s="12"/>
      <c r="C80" s="12"/>
      <c r="D80" s="12"/>
      <c r="E80" s="12"/>
      <c r="F80" s="12"/>
      <c r="G80" s="12"/>
    </row>
    <row r="81" spans="1:7" ht="18" x14ac:dyDescent="0.35">
      <c r="A81" s="387"/>
      <c r="B81" s="12"/>
      <c r="C81" s="12"/>
      <c r="D81" s="12"/>
      <c r="E81" s="12"/>
      <c r="F81" s="12"/>
      <c r="G81" s="12"/>
    </row>
    <row r="82" spans="1:7" ht="18" x14ac:dyDescent="0.35">
      <c r="A82" s="387"/>
      <c r="B82" s="12"/>
      <c r="C82" s="12"/>
      <c r="D82" s="12"/>
      <c r="E82" s="12"/>
      <c r="F82" s="12"/>
      <c r="G82" s="12"/>
    </row>
    <row r="83" spans="1:7" ht="18" x14ac:dyDescent="0.35">
      <c r="A83" s="387"/>
      <c r="B83" s="12"/>
      <c r="C83" s="12"/>
      <c r="D83" s="12"/>
      <c r="E83" s="12"/>
      <c r="F83" s="12"/>
      <c r="G83" s="12"/>
    </row>
    <row r="84" spans="1:7" ht="18" x14ac:dyDescent="0.35">
      <c r="A84" s="387"/>
      <c r="B84" s="12"/>
      <c r="C84" s="12"/>
      <c r="D84" s="12"/>
      <c r="E84" s="12"/>
      <c r="F84" s="12"/>
      <c r="G84" s="12"/>
    </row>
    <row r="85" spans="1:7" ht="18" x14ac:dyDescent="0.35">
      <c r="A85" s="387"/>
      <c r="B85" s="12"/>
      <c r="C85" s="12"/>
      <c r="D85" s="12"/>
      <c r="E85" s="12"/>
      <c r="F85" s="12"/>
      <c r="G85" s="12"/>
    </row>
    <row r="86" spans="1:7" ht="18" x14ac:dyDescent="0.35">
      <c r="A86" s="387"/>
      <c r="B86" s="12"/>
      <c r="C86" s="12"/>
      <c r="D86" s="12"/>
      <c r="E86" s="12"/>
      <c r="F86" s="12"/>
      <c r="G86" s="12"/>
    </row>
    <row r="87" spans="1:7" ht="18" x14ac:dyDescent="0.35">
      <c r="A87" s="387"/>
      <c r="B87" s="12"/>
      <c r="C87" s="12"/>
      <c r="D87" s="12"/>
      <c r="E87" s="12"/>
      <c r="F87" s="12"/>
      <c r="G87" s="12"/>
    </row>
    <row r="88" spans="1:7" ht="18" x14ac:dyDescent="0.35">
      <c r="A88" s="387"/>
      <c r="B88" s="12"/>
      <c r="C88" s="398"/>
      <c r="D88" s="12"/>
      <c r="E88" s="12"/>
      <c r="F88" s="12"/>
      <c r="G88" s="12"/>
    </row>
    <row r="89" spans="1:7" ht="18" x14ac:dyDescent="0.35">
      <c r="A89" s="377"/>
      <c r="B89" s="12"/>
      <c r="C89" s="12"/>
      <c r="D89" s="12"/>
      <c r="E89" s="12"/>
      <c r="F89" s="12"/>
      <c r="G89" s="12"/>
    </row>
    <row r="90" spans="1:7" ht="18" x14ac:dyDescent="0.35">
      <c r="A90" s="377"/>
      <c r="B90" s="12"/>
      <c r="C90" s="12"/>
      <c r="D90" s="12"/>
      <c r="E90" s="12"/>
      <c r="F90" s="12"/>
      <c r="G90" s="12"/>
    </row>
  </sheetData>
  <protectedRanges>
    <protectedRange password="C6AD" sqref="C11:E11" name="Range1"/>
    <protectedRange password="C6AD" sqref="D66:E66" name="Range2"/>
  </protectedRanges>
  <phoneticPr fontId="3" type="noConversion"/>
  <pageMargins left="0.75" right="0.75" top="0.75" bottom="0.75" header="0.5" footer="0.5"/>
  <pageSetup scale="50" orientation="portrait" r:id="rId1"/>
  <headerFooter alignWithMargins="0">
    <oddHeader>&amp;R&amp;"Times New Roman,Bold"&amp;20Exhibit A
Page 1 of 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Q76"/>
  <sheetViews>
    <sheetView zoomScale="80" zoomScaleNormal="80" workbookViewId="0">
      <selection activeCell="B8" sqref="B8"/>
    </sheetView>
  </sheetViews>
  <sheetFormatPr defaultColWidth="9.81640625" defaultRowHeight="15.6" x14ac:dyDescent="0.3"/>
  <cols>
    <col min="1" max="1" width="8.1796875" style="3" customWidth="1"/>
    <col min="2" max="2" width="60.36328125" style="3" customWidth="1"/>
    <col min="3" max="3" width="10.6328125" style="3" customWidth="1"/>
    <col min="4" max="4" width="9.6328125" style="3" customWidth="1"/>
    <col min="5" max="5" width="7.453125" style="3" customWidth="1"/>
    <col min="6" max="6" width="13.6328125" style="3" customWidth="1"/>
    <col min="7" max="7" width="11.453125" style="13" customWidth="1"/>
    <col min="8" max="8" width="6" style="3" hidden="1" customWidth="1"/>
    <col min="9" max="9" width="12.54296875" style="3" hidden="1" customWidth="1"/>
    <col min="10" max="10" width="13.453125" style="3" hidden="1" customWidth="1"/>
    <col min="11" max="11" width="14.81640625" style="3" hidden="1" customWidth="1"/>
    <col min="12" max="12" width="14.54296875" style="3" hidden="1" customWidth="1"/>
    <col min="13" max="15" width="9.81640625" style="3" hidden="1" customWidth="1"/>
    <col min="16" max="16" width="12" style="3" hidden="1" customWidth="1"/>
    <col min="17" max="17" width="9.81640625" style="3" hidden="1" customWidth="1"/>
    <col min="18" max="24" width="0" style="3" hidden="1" customWidth="1"/>
    <col min="25" max="16384" width="9.81640625" style="3"/>
  </cols>
  <sheetData>
    <row r="1" spans="1:17" ht="17.399999999999999" x14ac:dyDescent="0.3">
      <c r="A1" s="768" t="s">
        <v>29</v>
      </c>
      <c r="B1" s="768"/>
      <c r="C1" s="768"/>
      <c r="D1" s="768"/>
      <c r="E1" s="768"/>
      <c r="F1" s="768"/>
      <c r="G1" s="64"/>
    </row>
    <row r="2" spans="1:17" ht="18" x14ac:dyDescent="0.3">
      <c r="A2" s="769" t="s">
        <v>263</v>
      </c>
      <c r="B2" s="769"/>
      <c r="C2" s="769"/>
      <c r="D2" s="769"/>
      <c r="E2" s="769"/>
      <c r="F2" s="769"/>
      <c r="G2" s="64"/>
    </row>
    <row r="3" spans="1:17" s="265" customFormat="1" ht="17.25" customHeight="1" x14ac:dyDescent="0.35">
      <c r="A3" s="719" t="str">
        <f>CONCATENATE("For the Three-Month Period From ",'Input Data'!D4," thru ",'Input Data'!D5)</f>
        <v>For the Three-Month Period From May 1, 2021 thru July 31, 2021</v>
      </c>
      <c r="B3" s="719"/>
      <c r="C3" s="719"/>
      <c r="D3" s="719"/>
      <c r="E3" s="719"/>
      <c r="F3" s="719"/>
    </row>
    <row r="4" spans="1:17" ht="17.399999999999999" x14ac:dyDescent="0.3">
      <c r="A4" s="646"/>
      <c r="B4" s="646"/>
      <c r="C4" s="646"/>
      <c r="D4" s="646"/>
      <c r="E4" s="646"/>
      <c r="F4" s="646"/>
      <c r="G4" s="62"/>
    </row>
    <row r="5" spans="1:17" x14ac:dyDescent="0.3">
      <c r="B5" s="649"/>
      <c r="C5" s="309"/>
      <c r="D5" s="309"/>
      <c r="E5" s="309"/>
      <c r="F5" s="62"/>
      <c r="G5" s="65"/>
    </row>
    <row r="6" spans="1:17" x14ac:dyDescent="0.3">
      <c r="B6" s="649"/>
      <c r="C6" s="309"/>
      <c r="D6" s="309"/>
      <c r="E6" s="309"/>
      <c r="F6" s="94"/>
      <c r="G6" s="51"/>
    </row>
    <row r="7" spans="1:17" x14ac:dyDescent="0.3">
      <c r="B7" s="65"/>
      <c r="C7" s="65"/>
      <c r="D7" s="65"/>
      <c r="E7" s="65"/>
      <c r="F7" s="65"/>
      <c r="G7" s="11"/>
    </row>
    <row r="8" spans="1:17" x14ac:dyDescent="0.3">
      <c r="B8" s="52"/>
      <c r="C8" s="268"/>
      <c r="D8" s="268"/>
      <c r="E8" s="268"/>
      <c r="F8" s="51"/>
    </row>
    <row r="9" spans="1:17" ht="18" x14ac:dyDescent="0.35">
      <c r="A9" s="767" t="s">
        <v>251</v>
      </c>
      <c r="B9" s="767"/>
      <c r="C9" s="767"/>
      <c r="D9" s="767"/>
      <c r="E9" s="767"/>
      <c r="F9" s="767"/>
      <c r="G9" s="3"/>
      <c r="I9" s="271" t="s">
        <v>277</v>
      </c>
    </row>
    <row r="10" spans="1:17" ht="16.2" thickBot="1" x14ac:dyDescent="0.35">
      <c r="G10" s="3"/>
      <c r="I10" s="271" t="s">
        <v>356</v>
      </c>
    </row>
    <row r="11" spans="1:17" ht="47.4" thickBot="1" x14ac:dyDescent="0.35">
      <c r="A11" s="67" t="s">
        <v>249</v>
      </c>
      <c r="B11" s="67" t="s">
        <v>256</v>
      </c>
      <c r="C11" s="68" t="s">
        <v>253</v>
      </c>
      <c r="D11" s="67" t="s">
        <v>31</v>
      </c>
      <c r="E11" s="68" t="s">
        <v>254</v>
      </c>
      <c r="F11" s="68" t="s">
        <v>251</v>
      </c>
      <c r="I11" s="764" t="s">
        <v>326</v>
      </c>
      <c r="J11" s="765"/>
      <c r="K11" s="765"/>
      <c r="L11" s="766"/>
    </row>
    <row r="12" spans="1:17" ht="16.2" thickBot="1" x14ac:dyDescent="0.35">
      <c r="F12" s="13"/>
      <c r="I12" s="761" t="s">
        <v>247</v>
      </c>
      <c r="J12" s="762"/>
      <c r="K12" s="762"/>
      <c r="L12" s="763"/>
    </row>
    <row r="13" spans="1:17" x14ac:dyDescent="0.3">
      <c r="A13" s="645">
        <v>1</v>
      </c>
      <c r="B13" s="13" t="s">
        <v>255</v>
      </c>
      <c r="C13" s="102">
        <f>'Input Data'!C39</f>
        <v>12.7104</v>
      </c>
      <c r="D13" s="56">
        <f>'Input Data'!C44</f>
        <v>119913</v>
      </c>
      <c r="E13" s="645">
        <v>12</v>
      </c>
      <c r="F13" s="94">
        <f>ROUND((C13*D13*12),0)</f>
        <v>18289706</v>
      </c>
      <c r="I13" s="71"/>
      <c r="J13" s="30"/>
      <c r="K13" s="30"/>
      <c r="L13" s="53"/>
    </row>
    <row r="14" spans="1:17" x14ac:dyDescent="0.3">
      <c r="A14" s="645">
        <v>2</v>
      </c>
      <c r="B14" s="13" t="s">
        <v>570</v>
      </c>
      <c r="C14" s="102">
        <f>'Input Data'!C40</f>
        <v>4.1792999999999996</v>
      </c>
      <c r="D14" s="56">
        <f>'Input Data'!C45</f>
        <v>60000</v>
      </c>
      <c r="E14" s="645">
        <v>12</v>
      </c>
      <c r="F14" s="56">
        <f>ROUND((C14*D14*12),0)</f>
        <v>3009096</v>
      </c>
      <c r="I14" s="72" t="s">
        <v>78</v>
      </c>
      <c r="J14" s="95" t="s">
        <v>94</v>
      </c>
      <c r="K14" s="43" t="s">
        <v>236</v>
      </c>
      <c r="L14" s="73" t="s">
        <v>262</v>
      </c>
      <c r="N14" s="3" t="s">
        <v>556</v>
      </c>
    </row>
    <row r="15" spans="1:17" x14ac:dyDescent="0.3">
      <c r="A15" s="645">
        <v>3</v>
      </c>
      <c r="B15" s="13" t="s">
        <v>381</v>
      </c>
      <c r="C15" s="102">
        <f>'Input Data'!C41</f>
        <v>5.0601000000000003</v>
      </c>
      <c r="D15" s="56">
        <f>'Input Data'!C46</f>
        <v>20000</v>
      </c>
      <c r="E15" s="645">
        <v>12</v>
      </c>
      <c r="F15" s="56">
        <f>ROUND((C15*D15*12),0)</f>
        <v>1214424</v>
      </c>
      <c r="I15" s="81">
        <f>'Input Data'!C4</f>
        <v>44317</v>
      </c>
      <c r="J15" s="82">
        <f>VLOOKUP(I15,Forecast!A$1:K$200,2)</f>
        <v>897087</v>
      </c>
      <c r="K15" s="82">
        <f>VLOOKUP(I15,Forecast!A$1:K$200,3)</f>
        <v>41370</v>
      </c>
      <c r="L15" s="83">
        <f>SUM(J15:K15)</f>
        <v>938457</v>
      </c>
      <c r="N15" s="82">
        <f>VLOOKUP($I15,Forecast!$A$10:$J$124,2,FALSE)</f>
        <v>897087</v>
      </c>
      <c r="O15" s="3">
        <f>J15-N15</f>
        <v>0</v>
      </c>
      <c r="P15" s="82">
        <f>VLOOKUP($I15,Forecast!$A$10:$J$124,3,FALSE)</f>
        <v>41370</v>
      </c>
      <c r="Q15" s="3">
        <f>K15-P15</f>
        <v>0</v>
      </c>
    </row>
    <row r="16" spans="1:17" x14ac:dyDescent="0.3">
      <c r="A16" s="645">
        <v>4</v>
      </c>
      <c r="B16" s="61" t="s">
        <v>58</v>
      </c>
      <c r="C16" s="652"/>
      <c r="D16" s="652"/>
      <c r="E16" s="653"/>
      <c r="F16" s="100">
        <f>'Input Data'!C49</f>
        <v>6366942</v>
      </c>
      <c r="I16" s="81">
        <f>EOMONTH(I15,0)+1</f>
        <v>44348</v>
      </c>
      <c r="J16" s="82">
        <f>VLOOKUP(I16,Forecast!A$1:K$200,2)</f>
        <v>2210409</v>
      </c>
      <c r="K16" s="82">
        <f>VLOOKUP(I16,Forecast!A$1:K$200,3)</f>
        <v>42137</v>
      </c>
      <c r="L16" s="83">
        <f t="shared" ref="L16:L26" si="0">SUM(J16:K16)</f>
        <v>2252546</v>
      </c>
      <c r="N16" s="82">
        <f>VLOOKUP($I16,Forecast!$A$10:$J$124,2,FALSE)</f>
        <v>2210409</v>
      </c>
      <c r="O16" s="3">
        <f t="shared" ref="O16:O25" si="1">J16-N16</f>
        <v>0</v>
      </c>
      <c r="P16" s="82">
        <f>VLOOKUP($I16,Forecast!$A$10:$J$124,3,FALSE)</f>
        <v>42137</v>
      </c>
      <c r="Q16" s="3">
        <f t="shared" ref="Q16:Q26" si="2">K16-P16</f>
        <v>0</v>
      </c>
    </row>
    <row r="17" spans="1:17" x14ac:dyDescent="0.3">
      <c r="A17" s="645">
        <v>5</v>
      </c>
      <c r="C17" s="16"/>
      <c r="D17" s="16"/>
      <c r="E17" s="63" t="s">
        <v>258</v>
      </c>
      <c r="F17" s="654">
        <f>SUM(F13:F16)</f>
        <v>28880168</v>
      </c>
      <c r="I17" s="81">
        <f t="shared" ref="I17:I26" si="3">EOMONTH(I16,0)+1</f>
        <v>44378</v>
      </c>
      <c r="J17" s="82">
        <f>VLOOKUP(I17,Forecast!A$1:K$200,2)</f>
        <v>3368819</v>
      </c>
      <c r="K17" s="82">
        <f>VLOOKUP(I17,Forecast!A$1:K$200,3)</f>
        <v>34657</v>
      </c>
      <c r="L17" s="83">
        <f t="shared" si="0"/>
        <v>3403476</v>
      </c>
      <c r="N17" s="82">
        <f>VLOOKUP($I17,Forecast!$A$10:$J$124,2,FALSE)</f>
        <v>3368819</v>
      </c>
      <c r="O17" s="3">
        <f t="shared" si="1"/>
        <v>0</v>
      </c>
      <c r="P17" s="82">
        <f>VLOOKUP($I17,Forecast!$A$10:$J$124,3,FALSE)</f>
        <v>34657</v>
      </c>
      <c r="Q17" s="3">
        <f t="shared" si="2"/>
        <v>0</v>
      </c>
    </row>
    <row r="18" spans="1:17" x14ac:dyDescent="0.3">
      <c r="A18" s="645"/>
      <c r="B18" s="16"/>
      <c r="C18" s="16"/>
      <c r="D18" s="16"/>
      <c r="E18" s="16"/>
      <c r="F18" s="654"/>
      <c r="I18" s="81">
        <f t="shared" si="3"/>
        <v>44409</v>
      </c>
      <c r="J18" s="82">
        <f>VLOOKUP(I18,Forecast!A$1:K$200,2)</f>
        <v>3418734</v>
      </c>
      <c r="K18" s="82">
        <f>VLOOKUP(I18,Forecast!A$1:K$200,3)</f>
        <v>44030</v>
      </c>
      <c r="L18" s="83">
        <f t="shared" si="0"/>
        <v>3462764</v>
      </c>
      <c r="N18" s="82">
        <f>VLOOKUP($I18,Forecast!$A$10:$J$124,2,FALSE)</f>
        <v>3418734</v>
      </c>
      <c r="O18" s="3">
        <f t="shared" si="1"/>
        <v>0</v>
      </c>
      <c r="P18" s="82">
        <f>VLOOKUP($I18,Forecast!$A$10:$J$124,3,FALSE)</f>
        <v>44030</v>
      </c>
      <c r="Q18" s="3">
        <f t="shared" si="2"/>
        <v>0</v>
      </c>
    </row>
    <row r="19" spans="1:17" x14ac:dyDescent="0.3">
      <c r="A19" s="645"/>
      <c r="B19" s="16"/>
      <c r="C19" s="16"/>
      <c r="D19" s="16"/>
      <c r="E19" s="16"/>
      <c r="F19" s="654"/>
      <c r="I19" s="81">
        <f t="shared" si="3"/>
        <v>44440</v>
      </c>
      <c r="J19" s="82">
        <f>VLOOKUP(I19,Forecast!A$1:K$200,2)</f>
        <v>3388318</v>
      </c>
      <c r="K19" s="82">
        <f>VLOOKUP(I19,Forecast!A$1:K$200,3)</f>
        <v>56001</v>
      </c>
      <c r="L19" s="83">
        <f t="shared" si="0"/>
        <v>3444319</v>
      </c>
      <c r="N19" s="82">
        <f>VLOOKUP($I19,Forecast!$A$10:$J$124,2,FALSE)</f>
        <v>3388318</v>
      </c>
      <c r="O19" s="3">
        <f t="shared" si="1"/>
        <v>0</v>
      </c>
      <c r="P19" s="82">
        <f>VLOOKUP($I19,Forecast!$A$10:$J$124,3,FALSE)</f>
        <v>56001</v>
      </c>
      <c r="Q19" s="3">
        <f t="shared" si="2"/>
        <v>0</v>
      </c>
    </row>
    <row r="20" spans="1:17" x14ac:dyDescent="0.3">
      <c r="A20" s="645"/>
      <c r="F20" s="66"/>
      <c r="I20" s="81">
        <f t="shared" si="3"/>
        <v>44470</v>
      </c>
      <c r="J20" s="82">
        <f>VLOOKUP(I20,Forecast!A$1:K$200,2)</f>
        <v>3662012</v>
      </c>
      <c r="K20" s="82">
        <f>VLOOKUP(I20,Forecast!A$1:K$200,3)</f>
        <v>60160</v>
      </c>
      <c r="L20" s="83">
        <f t="shared" si="0"/>
        <v>3722172</v>
      </c>
      <c r="N20" s="82">
        <f>VLOOKUP($I20,Forecast!$A$10:$J$124,2,FALSE)</f>
        <v>3662012</v>
      </c>
      <c r="O20" s="3">
        <f t="shared" si="1"/>
        <v>0</v>
      </c>
      <c r="P20" s="82">
        <f>VLOOKUP($I20,Forecast!$A$10:$J$124,3,FALSE)</f>
        <v>60160</v>
      </c>
      <c r="Q20" s="3">
        <f t="shared" si="2"/>
        <v>0</v>
      </c>
    </row>
    <row r="21" spans="1:17" x14ac:dyDescent="0.3">
      <c r="A21" s="649"/>
      <c r="F21" s="66"/>
      <c r="I21" s="81">
        <f t="shared" si="3"/>
        <v>44501</v>
      </c>
      <c r="J21" s="82">
        <f>VLOOKUP(I21,Forecast!A$1:K$200,2)</f>
        <v>3749971</v>
      </c>
      <c r="K21" s="82">
        <f>VLOOKUP(I21,Forecast!A$1:K$200,3)</f>
        <v>58325</v>
      </c>
      <c r="L21" s="83">
        <f t="shared" si="0"/>
        <v>3808296</v>
      </c>
      <c r="N21" s="82">
        <f>VLOOKUP($I21,Forecast!$A$10:$J$124,2,FALSE)</f>
        <v>3749971</v>
      </c>
      <c r="O21" s="3">
        <f t="shared" si="1"/>
        <v>0</v>
      </c>
      <c r="P21" s="82">
        <f>VLOOKUP($I21,Forecast!$A$10:$J$124,3,FALSE)</f>
        <v>58325</v>
      </c>
      <c r="Q21" s="3">
        <f t="shared" si="2"/>
        <v>0</v>
      </c>
    </row>
    <row r="22" spans="1:17" x14ac:dyDescent="0.3">
      <c r="A22" s="649"/>
      <c r="E22" s="55"/>
      <c r="I22" s="81">
        <f t="shared" si="3"/>
        <v>44531</v>
      </c>
      <c r="J22" s="82">
        <f>VLOOKUP(I22,Forecast!A$1:K$200,2)</f>
        <v>3243745</v>
      </c>
      <c r="K22" s="82">
        <f>VLOOKUP(I22,Forecast!A$1:K$200,3)</f>
        <v>33848</v>
      </c>
      <c r="L22" s="83">
        <f t="shared" si="0"/>
        <v>3277593</v>
      </c>
      <c r="N22" s="82">
        <f>VLOOKUP($I22,Forecast!$A$10:$J$124,2,FALSE)</f>
        <v>3243745</v>
      </c>
      <c r="O22" s="3">
        <f t="shared" si="1"/>
        <v>0</v>
      </c>
      <c r="P22" s="82">
        <f>VLOOKUP($I22,Forecast!$A$10:$J$124,3,FALSE)</f>
        <v>33848</v>
      </c>
      <c r="Q22" s="3">
        <f t="shared" si="2"/>
        <v>0</v>
      </c>
    </row>
    <row r="23" spans="1:17" ht="18" x14ac:dyDescent="0.35">
      <c r="A23" s="767" t="s">
        <v>252</v>
      </c>
      <c r="B23" s="767"/>
      <c r="C23" s="767"/>
      <c r="D23" s="767"/>
      <c r="E23" s="767"/>
      <c r="F23" s="767"/>
      <c r="I23" s="81">
        <f t="shared" si="3"/>
        <v>44562</v>
      </c>
      <c r="J23" s="82">
        <f>VLOOKUP(I23,Forecast!A$1:K$200,2)</f>
        <v>3840486</v>
      </c>
      <c r="K23" s="82">
        <f>VLOOKUP(I23,Forecast!A$1:K$200,3)</f>
        <v>19445</v>
      </c>
      <c r="L23" s="83">
        <f t="shared" si="0"/>
        <v>3859931</v>
      </c>
      <c r="N23" s="82">
        <f>VLOOKUP($I23,Forecast!$A$10:$J$124,2,FALSE)</f>
        <v>3840486</v>
      </c>
      <c r="O23" s="3">
        <f t="shared" si="1"/>
        <v>0</v>
      </c>
      <c r="P23" s="82">
        <f>VLOOKUP($I23,Forecast!$A$10:$J$124,3,FALSE)</f>
        <v>19445</v>
      </c>
      <c r="Q23" s="3">
        <f t="shared" si="2"/>
        <v>0</v>
      </c>
    </row>
    <row r="24" spans="1:17" x14ac:dyDescent="0.3">
      <c r="E24" s="55"/>
      <c r="I24" s="81">
        <f t="shared" si="3"/>
        <v>44593</v>
      </c>
      <c r="J24" s="82">
        <f>VLOOKUP(I24,Forecast!A$1:K$200,2)</f>
        <v>2501217</v>
      </c>
      <c r="K24" s="82">
        <f>VLOOKUP(I24,Forecast!A$1:K$200,3)</f>
        <v>22476</v>
      </c>
      <c r="L24" s="83">
        <f t="shared" si="0"/>
        <v>2523693</v>
      </c>
      <c r="N24" s="82">
        <f>VLOOKUP($I24,Forecast!$A$10:$J$124,2,FALSE)</f>
        <v>2501217</v>
      </c>
      <c r="O24" s="3">
        <f t="shared" si="1"/>
        <v>0</v>
      </c>
      <c r="P24" s="82">
        <f>VLOOKUP($I24,Forecast!$A$10:$J$124,3,FALSE)</f>
        <v>22476</v>
      </c>
      <c r="Q24" s="3">
        <f t="shared" si="2"/>
        <v>0</v>
      </c>
    </row>
    <row r="25" spans="1:17" x14ac:dyDescent="0.3">
      <c r="A25" s="645">
        <v>6</v>
      </c>
      <c r="B25" s="3" t="s">
        <v>584</v>
      </c>
      <c r="E25" s="13"/>
      <c r="F25" s="96">
        <f>F17</f>
        <v>28880168</v>
      </c>
      <c r="I25" s="81">
        <f t="shared" si="3"/>
        <v>44621</v>
      </c>
      <c r="J25" s="82">
        <f>VLOOKUP(I25,Forecast!A$1:K$200,2)</f>
        <v>2064189</v>
      </c>
      <c r="K25" s="82">
        <f>VLOOKUP(I25,Forecast!A$1:K$200,3)</f>
        <v>39529</v>
      </c>
      <c r="L25" s="83">
        <f t="shared" si="0"/>
        <v>2103718</v>
      </c>
      <c r="N25" s="82">
        <f>VLOOKUP($I25,Forecast!$A$10:$J$124,2,FALSE)</f>
        <v>2064189</v>
      </c>
      <c r="O25" s="3">
        <f t="shared" si="1"/>
        <v>0</v>
      </c>
      <c r="P25" s="82">
        <f>VLOOKUP($I25,Forecast!$A$10:$J$124,3,FALSE)</f>
        <v>39529</v>
      </c>
      <c r="Q25" s="3">
        <f t="shared" si="2"/>
        <v>0</v>
      </c>
    </row>
    <row r="26" spans="1:17" x14ac:dyDescent="0.3">
      <c r="A26" s="645">
        <v>7</v>
      </c>
      <c r="B26" s="61" t="s">
        <v>447</v>
      </c>
      <c r="C26" s="29"/>
      <c r="D26" s="29"/>
      <c r="E26" s="61"/>
      <c r="F26" s="100">
        <f>L28</f>
        <v>34048043</v>
      </c>
      <c r="G26" s="3"/>
      <c r="I26" s="81">
        <f t="shared" si="3"/>
        <v>44652</v>
      </c>
      <c r="J26" s="82">
        <f>VLOOKUP(I26,Forecast!A$1:K$200,2)</f>
        <v>1209266</v>
      </c>
      <c r="K26" s="82">
        <f>VLOOKUP(I26,Forecast!A$1:K$200,3)</f>
        <v>41812</v>
      </c>
      <c r="L26" s="83">
        <f t="shared" si="0"/>
        <v>1251078</v>
      </c>
      <c r="N26" s="82">
        <f>VLOOKUP($I26,Forecast!$A$10:$J$124,2,FALSE)</f>
        <v>1209266</v>
      </c>
      <c r="O26" s="3">
        <f>J26-N26</f>
        <v>0</v>
      </c>
      <c r="P26" s="82">
        <f>VLOOKUP($I26,Forecast!$A$10:$J$124,3,FALSE)</f>
        <v>41812</v>
      </c>
      <c r="Q26" s="3">
        <f t="shared" si="2"/>
        <v>0</v>
      </c>
    </row>
    <row r="27" spans="1:17" ht="16.2" thickBot="1" x14ac:dyDescent="0.35">
      <c r="A27" s="645">
        <v>8</v>
      </c>
      <c r="B27" s="16"/>
      <c r="C27" s="16"/>
      <c r="D27" s="16"/>
      <c r="E27" s="63" t="s">
        <v>588</v>
      </c>
      <c r="F27" s="101">
        <f>ROUND(F25/F26,4)</f>
        <v>0.84819999999999995</v>
      </c>
      <c r="G27" s="3"/>
      <c r="I27" s="74"/>
      <c r="J27" s="30"/>
      <c r="K27" s="30"/>
      <c r="L27" s="53"/>
      <c r="P27" s="82"/>
    </row>
    <row r="28" spans="1:17" ht="16.2" thickBot="1" x14ac:dyDescent="0.35">
      <c r="I28" s="97" t="s">
        <v>781</v>
      </c>
      <c r="J28" s="98"/>
      <c r="K28" s="98"/>
      <c r="L28" s="99">
        <f>SUM(L15:L27)</f>
        <v>34048043</v>
      </c>
      <c r="P28" s="82">
        <f>SUM(N15:N26)+SUM(P15:P26)</f>
        <v>34048043</v>
      </c>
      <c r="Q28" s="3">
        <f>L28-P28</f>
        <v>0</v>
      </c>
    </row>
    <row r="29" spans="1:17" x14ac:dyDescent="0.3">
      <c r="I29" s="265"/>
    </row>
    <row r="30" spans="1:17" x14ac:dyDescent="0.3">
      <c r="I30" s="265"/>
    </row>
    <row r="31" spans="1:17" x14ac:dyDescent="0.3">
      <c r="I31" s="265"/>
    </row>
    <row r="32" spans="1:17" x14ac:dyDescent="0.3">
      <c r="I32" s="265"/>
    </row>
    <row r="33" spans="1:9" x14ac:dyDescent="0.3">
      <c r="I33" s="265"/>
    </row>
    <row r="34" spans="1:9" x14ac:dyDescent="0.3">
      <c r="F34" s="13"/>
      <c r="I34" s="265"/>
    </row>
    <row r="35" spans="1:9" ht="18.75" customHeight="1" x14ac:dyDescent="0.35">
      <c r="A35" s="719" t="s">
        <v>59</v>
      </c>
      <c r="B35" s="719"/>
      <c r="C35" s="719"/>
      <c r="D35" s="719"/>
      <c r="E35" s="719"/>
      <c r="F35" s="719"/>
      <c r="G35" s="3"/>
      <c r="I35" s="265"/>
    </row>
    <row r="36" spans="1:9" ht="18.75" customHeight="1" x14ac:dyDescent="0.35">
      <c r="A36" s="767" t="s">
        <v>448</v>
      </c>
      <c r="B36" s="767"/>
      <c r="C36" s="767"/>
      <c r="D36" s="767"/>
      <c r="E36" s="767"/>
      <c r="F36" s="767"/>
      <c r="G36" s="65"/>
    </row>
    <row r="37" spans="1:9" x14ac:dyDescent="0.3">
      <c r="F37" s="13"/>
      <c r="G37" s="65"/>
    </row>
    <row r="38" spans="1:9" x14ac:dyDescent="0.3">
      <c r="A38" s="645">
        <v>9</v>
      </c>
      <c r="B38" s="13" t="s">
        <v>585</v>
      </c>
      <c r="F38" s="259">
        <f>(F27)</f>
        <v>0.84819999999999995</v>
      </c>
      <c r="G38" s="3"/>
    </row>
    <row r="39" spans="1:9" x14ac:dyDescent="0.3">
      <c r="A39" s="645">
        <v>10</v>
      </c>
      <c r="B39" s="13" t="s">
        <v>476</v>
      </c>
      <c r="F39" s="269">
        <f>'Ex D-1 1 of 2'!H17</f>
        <v>0</v>
      </c>
    </row>
    <row r="40" spans="1:9" x14ac:dyDescent="0.3">
      <c r="A40" s="645">
        <v>11</v>
      </c>
      <c r="B40" s="61" t="s">
        <v>477</v>
      </c>
      <c r="C40" s="29"/>
      <c r="D40" s="29"/>
      <c r="E40" s="29"/>
      <c r="F40" s="270">
        <f>ROUND('Ex E-1 1 of 1'!D21,4)</f>
        <v>2.7699999999999999E-2</v>
      </c>
    </row>
    <row r="41" spans="1:9" x14ac:dyDescent="0.3">
      <c r="A41" s="645">
        <v>12</v>
      </c>
      <c r="B41" s="54"/>
      <c r="C41" s="16"/>
      <c r="D41" s="16"/>
      <c r="E41" s="63" t="s">
        <v>260</v>
      </c>
      <c r="F41" s="260">
        <f>SUM(F38:F40)</f>
        <v>0.8758999999999999</v>
      </c>
    </row>
    <row r="47" spans="1:9" x14ac:dyDescent="0.3">
      <c r="I47" s="57"/>
    </row>
    <row r="48" spans="1:9" x14ac:dyDescent="0.3">
      <c r="I48" s="468"/>
    </row>
    <row r="49" spans="1:11" ht="18" x14ac:dyDescent="0.35">
      <c r="A49" s="719" t="s">
        <v>259</v>
      </c>
      <c r="B49" s="719"/>
      <c r="C49" s="719"/>
      <c r="D49" s="719"/>
      <c r="E49" s="719"/>
      <c r="F49" s="719"/>
      <c r="I49" s="468"/>
      <c r="J49" s="468"/>
    </row>
    <row r="50" spans="1:11" ht="18" x14ac:dyDescent="0.35">
      <c r="A50" s="767" t="s">
        <v>398</v>
      </c>
      <c r="B50" s="767"/>
      <c r="C50" s="767"/>
      <c r="D50" s="767"/>
      <c r="E50" s="767"/>
      <c r="F50" s="767"/>
      <c r="H50" s="197"/>
      <c r="I50" s="468"/>
      <c r="J50" s="508" t="s">
        <v>634</v>
      </c>
      <c r="K50" s="509"/>
    </row>
    <row r="51" spans="1:11" x14ac:dyDescent="0.3">
      <c r="F51" s="66"/>
      <c r="H51" s="197"/>
      <c r="I51" s="468"/>
      <c r="J51" s="372" t="s">
        <v>452</v>
      </c>
      <c r="K51" s="655">
        <f>'Input Data'!C53</f>
        <v>306513</v>
      </c>
    </row>
    <row r="52" spans="1:11" x14ac:dyDescent="0.3">
      <c r="A52" s="645">
        <v>13</v>
      </c>
      <c r="B52" s="3" t="s">
        <v>584</v>
      </c>
      <c r="F52" s="66">
        <f>F17</f>
        <v>28880168</v>
      </c>
      <c r="I52" s="468"/>
      <c r="J52" s="372" t="s">
        <v>453</v>
      </c>
      <c r="K52" s="655">
        <f>'Input Data'!C54</f>
        <v>148682</v>
      </c>
    </row>
    <row r="53" spans="1:11" x14ac:dyDescent="0.3">
      <c r="A53" s="49">
        <v>14</v>
      </c>
      <c r="B53" s="29" t="s">
        <v>257</v>
      </c>
      <c r="C53" s="29"/>
      <c r="D53" s="29"/>
      <c r="E53" s="29"/>
      <c r="F53" s="100">
        <f>K55</f>
        <v>474652</v>
      </c>
      <c r="I53" s="468"/>
      <c r="J53" s="372" t="s">
        <v>454</v>
      </c>
      <c r="K53" s="655">
        <f>'Input Data'!C55</f>
        <v>18559</v>
      </c>
    </row>
    <row r="54" spans="1:11" ht="16.2" thickBot="1" x14ac:dyDescent="0.35">
      <c r="A54" s="645">
        <v>15</v>
      </c>
      <c r="D54" s="56"/>
      <c r="E54" s="63" t="s">
        <v>589</v>
      </c>
      <c r="F54" s="103">
        <f>ROUND(F52/F53/365,4)</f>
        <v>0.16669999999999999</v>
      </c>
      <c r="I54" s="468"/>
      <c r="J54" s="372" t="s">
        <v>593</v>
      </c>
      <c r="K54" s="655">
        <f>'Input Data'!C56</f>
        <v>898</v>
      </c>
    </row>
    <row r="55" spans="1:11" ht="16.2" thickTop="1" x14ac:dyDescent="0.3">
      <c r="G55" s="265"/>
      <c r="I55" s="468"/>
      <c r="J55" s="508" t="s">
        <v>30</v>
      </c>
      <c r="K55" s="628">
        <f>SUM(K51:K54)</f>
        <v>474652</v>
      </c>
    </row>
    <row r="56" spans="1:11" x14ac:dyDescent="0.3">
      <c r="G56" s="265"/>
    </row>
    <row r="57" spans="1:11" x14ac:dyDescent="0.3">
      <c r="G57" s="265"/>
    </row>
    <row r="58" spans="1:11" x14ac:dyDescent="0.3">
      <c r="F58" s="13"/>
      <c r="G58" s="265"/>
    </row>
    <row r="59" spans="1:11" x14ac:dyDescent="0.3">
      <c r="F59" s="13"/>
      <c r="G59" s="3"/>
    </row>
    <row r="60" spans="1:11" x14ac:dyDescent="0.3">
      <c r="F60" s="13"/>
      <c r="G60" s="3"/>
    </row>
    <row r="61" spans="1:11" x14ac:dyDescent="0.3">
      <c r="A61" s="645"/>
      <c r="F61" s="13"/>
      <c r="G61" s="3"/>
    </row>
    <row r="62" spans="1:11" x14ac:dyDescent="0.3">
      <c r="A62" s="645"/>
      <c r="B62" s="58"/>
      <c r="F62" s="13"/>
      <c r="G62" s="3"/>
    </row>
    <row r="63" spans="1:11" x14ac:dyDescent="0.3">
      <c r="A63" s="645"/>
      <c r="G63" s="56"/>
    </row>
    <row r="64" spans="1:11" x14ac:dyDescent="0.3">
      <c r="A64" s="645"/>
      <c r="G64" s="3"/>
    </row>
    <row r="65" spans="1:7" x14ac:dyDescent="0.3">
      <c r="A65" s="645"/>
      <c r="G65" s="3"/>
    </row>
    <row r="69" spans="1:7" hidden="1" x14ac:dyDescent="0.3">
      <c r="A69" s="645"/>
    </row>
    <row r="70" spans="1:7" hidden="1" x14ac:dyDescent="0.3">
      <c r="F70" s="59"/>
    </row>
    <row r="71" spans="1:7" x14ac:dyDescent="0.3">
      <c r="F71" s="59"/>
    </row>
    <row r="72" spans="1:7" x14ac:dyDescent="0.3">
      <c r="F72" s="59"/>
    </row>
    <row r="73" spans="1:7" x14ac:dyDescent="0.3">
      <c r="F73" s="59"/>
    </row>
    <row r="74" spans="1:7" x14ac:dyDescent="0.3">
      <c r="F74" s="59"/>
    </row>
    <row r="75" spans="1:7" x14ac:dyDescent="0.3">
      <c r="F75" s="60"/>
    </row>
    <row r="76" spans="1:7" x14ac:dyDescent="0.3">
      <c r="F76" s="30"/>
    </row>
  </sheetData>
  <mergeCells count="11">
    <mergeCell ref="A50:F50"/>
    <mergeCell ref="A23:F23"/>
    <mergeCell ref="A35:F35"/>
    <mergeCell ref="A36:F36"/>
    <mergeCell ref="A49:F49"/>
    <mergeCell ref="I12:L12"/>
    <mergeCell ref="I11:L11"/>
    <mergeCell ref="A9:F9"/>
    <mergeCell ref="A1:F1"/>
    <mergeCell ref="A2:F2"/>
    <mergeCell ref="A3:F3"/>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tabColor rgb="FF00B050"/>
  </sheetPr>
  <dimension ref="B1:I33"/>
  <sheetViews>
    <sheetView topLeftCell="B1" zoomScaleNormal="100" workbookViewId="0">
      <selection activeCell="H15" sqref="H15"/>
    </sheetView>
  </sheetViews>
  <sheetFormatPr defaultColWidth="8.81640625" defaultRowHeight="15.6" x14ac:dyDescent="0.3"/>
  <cols>
    <col min="1" max="1" width="1.08984375" style="6" customWidth="1"/>
    <col min="2" max="2" width="8.81640625" style="6"/>
    <col min="3" max="3" width="9.6328125" style="6" customWidth="1"/>
    <col min="4" max="4" width="13.54296875" style="6" bestFit="1" customWidth="1"/>
    <col min="5" max="5" width="14.6328125" style="6" customWidth="1"/>
    <col min="6" max="6" width="8.81640625" style="6"/>
    <col min="7" max="7" width="9.6328125" style="6" customWidth="1"/>
    <col min="8" max="8" width="8.81640625" style="6"/>
    <col min="9" max="9" width="11.1796875" style="6" customWidth="1"/>
    <col min="10" max="16384" width="8.81640625" style="6"/>
  </cols>
  <sheetData>
    <row r="1" spans="2:9" x14ac:dyDescent="0.3">
      <c r="B1" s="738" t="s">
        <v>5</v>
      </c>
      <c r="C1" s="738"/>
      <c r="D1" s="738"/>
      <c r="E1" s="738"/>
      <c r="F1" s="738"/>
      <c r="G1" s="738"/>
      <c r="H1" s="738"/>
      <c r="I1" s="738"/>
    </row>
    <row r="2" spans="2:9" x14ac:dyDescent="0.3">
      <c r="B2" s="597"/>
      <c r="C2" s="597"/>
      <c r="D2" s="597"/>
      <c r="E2" s="597"/>
      <c r="F2" s="597"/>
      <c r="G2" s="597"/>
      <c r="H2" s="597"/>
      <c r="I2" s="597"/>
    </row>
    <row r="3" spans="2:9" x14ac:dyDescent="0.3">
      <c r="B3" s="738" t="str">
        <f>'Exhibit F Write-Up'!B3:N3</f>
        <v>Gas Supply Clause: 2021-00130</v>
      </c>
      <c r="C3" s="738"/>
      <c r="D3" s="738"/>
      <c r="E3" s="738"/>
      <c r="F3" s="738"/>
      <c r="G3" s="738"/>
      <c r="H3" s="738"/>
      <c r="I3" s="738"/>
    </row>
    <row r="4" spans="2:9" x14ac:dyDescent="0.3">
      <c r="B4" s="597"/>
      <c r="C4" s="597"/>
      <c r="D4" s="597"/>
      <c r="E4" s="597"/>
      <c r="F4" s="597"/>
      <c r="G4" s="597"/>
      <c r="H4" s="597"/>
      <c r="I4" s="597"/>
    </row>
    <row r="5" spans="2:9" x14ac:dyDescent="0.3">
      <c r="B5" s="738" t="s">
        <v>744</v>
      </c>
      <c r="C5" s="738"/>
      <c r="D5" s="738"/>
      <c r="E5" s="738"/>
      <c r="F5" s="738"/>
      <c r="G5" s="738"/>
      <c r="H5" s="738"/>
      <c r="I5" s="738"/>
    </row>
    <row r="7" spans="2:9" s="700" customFormat="1" ht="45.6" customHeight="1" x14ac:dyDescent="0.3">
      <c r="B7" s="736" t="s">
        <v>745</v>
      </c>
      <c r="C7" s="736"/>
      <c r="D7" s="736"/>
      <c r="E7" s="736"/>
      <c r="F7" s="736"/>
      <c r="G7" s="736"/>
      <c r="H7" s="736"/>
      <c r="I7" s="736"/>
    </row>
    <row r="9" spans="2:9" s="700" customFormat="1" ht="31.2" customHeight="1" x14ac:dyDescent="0.3">
      <c r="B9" s="736" t="str">
        <f>CONCATENATE("As shown on Page 1 of Exhibit B-1, the amount of recovery from Case Number ",'Ex B-1 1 of 7'!C15, " during the three-month period of ", 'Input Data'!B65, " through ", 'Input Data'!B66," was the following:")</f>
        <v>As shown on Page 1 of Exhibit B-1, the amount of recovery from Case Number 2020-00309 during the three-month period of November 2020 through January 2021 was the following:</v>
      </c>
      <c r="C9" s="736"/>
      <c r="D9" s="736"/>
      <c r="E9" s="736"/>
      <c r="F9" s="736"/>
      <c r="G9" s="736"/>
      <c r="H9" s="736"/>
      <c r="I9" s="736"/>
    </row>
    <row r="11" spans="2:9" x14ac:dyDescent="0.3">
      <c r="B11" s="13" t="s">
        <v>746</v>
      </c>
      <c r="C11" s="85"/>
      <c r="D11" s="629">
        <f>'Ex B-1 1 of 7'!D21</f>
        <v>-1667638.6999999993</v>
      </c>
    </row>
    <row r="13" spans="2:9" ht="45.6" customHeight="1" x14ac:dyDescent="0.3">
      <c r="B13" s="736" t="str">
        <f>CONCATENATE("The calculation of the Gas Cost Actual Adjustment (GCAA) set forth in Exhibit B-1 results in the following factor, which LG&amp;E will place in effect ", 'Input Data'!B69, " with service rendered on and after ",'Input Data'!D4, " and continue for 12 months:")</f>
        <v>The calculation of the Gas Cost Actual Adjustment (GCAA) set forth in Exhibit B-1 results in the following factor, which LG&amp;E will place in effect as a credit with service rendered on and after May 1, 2021 and continue for 12 months:</v>
      </c>
      <c r="C13" s="736"/>
      <c r="D13" s="736"/>
      <c r="E13" s="736"/>
      <c r="F13" s="736"/>
      <c r="G13" s="736"/>
      <c r="H13" s="736"/>
      <c r="I13" s="736"/>
    </row>
    <row r="15" spans="2:9" x14ac:dyDescent="0.3">
      <c r="B15" s="6" t="s">
        <v>747</v>
      </c>
      <c r="E15" s="630">
        <f>'Ex B-1 1 of 7'!D28</f>
        <v>-5.3400000000000001E-3</v>
      </c>
    </row>
    <row r="17" spans="2:9" s="700" customFormat="1" ht="46.95" customHeight="1" x14ac:dyDescent="0.3">
      <c r="B17" s="736" t="str">
        <f>CONCATENATE("Also enclosed, on pages 6 and 7 of Exhibit B-1, is a breakdown of gas purchases for the three-month period from ", 'Input Data'!B65, " through ", 'Input Data'!B66, ".  [Please note that the names of the suppliers have been redacted from this page, in accordance with LG&amp;E's Petition for Confidentiality filed this quarter.]")</f>
        <v>Also enclosed, on pages 6 and 7 of Exhibit B-1, is a breakdown of gas purchases for the three-month period from November 2020 through January 2021.  [Please note that the names of the suppliers have been redacted from this page, in accordance with LG&amp;E's Petition for Confidentiality filed this quarter.]</v>
      </c>
      <c r="C17" s="736"/>
      <c r="D17" s="736"/>
      <c r="E17" s="736"/>
      <c r="F17" s="736"/>
      <c r="G17" s="736"/>
      <c r="H17" s="736"/>
      <c r="I17" s="736"/>
    </row>
    <row r="19" spans="2:9" ht="50.4" customHeight="1" x14ac:dyDescent="0.3">
      <c r="B19" s="736" t="str">
        <f>CONCATENATE("In this filing, LG&amp;E will be eliminating the GCAA from Case Number ", 'Input Data'!B67,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2019-00327 which will have been in effect for twelve months.  Any over- or under-recovery of the amount originally established will be transferred to the Gas Cost Balance Adjustment (GCBA) which will be implemented in LG&amp;E's next Gas Supply Clause filing.</v>
      </c>
      <c r="C19" s="736"/>
      <c r="D19" s="736"/>
      <c r="E19" s="736"/>
      <c r="F19" s="736"/>
      <c r="G19" s="736"/>
      <c r="H19" s="736"/>
      <c r="I19" s="736"/>
    </row>
    <row r="21" spans="2:9" x14ac:dyDescent="0.3">
      <c r="B21" s="6" t="s">
        <v>748</v>
      </c>
    </row>
    <row r="23" spans="2:9" s="702" customFormat="1" ht="31.2" x14ac:dyDescent="0.3">
      <c r="E23" s="609" t="s">
        <v>373</v>
      </c>
      <c r="G23" s="609" t="s">
        <v>116</v>
      </c>
      <c r="I23" s="609" t="s">
        <v>753</v>
      </c>
    </row>
    <row r="24" spans="2:9" s="702" customFormat="1" x14ac:dyDescent="0.3"/>
    <row r="25" spans="2:9" x14ac:dyDescent="0.3">
      <c r="B25" s="6" t="s">
        <v>749</v>
      </c>
      <c r="E25" s="627">
        <f>'Summary Sheet'!F22</f>
        <v>44317</v>
      </c>
      <c r="G25" s="6" t="str">
        <f>'Summary Sheet'!G22</f>
        <v>2020-00309</v>
      </c>
      <c r="I25" s="603">
        <f>'Summary Sheet'!K22</f>
        <v>-5.3400000000000001E-3</v>
      </c>
    </row>
    <row r="26" spans="2:9" x14ac:dyDescent="0.3">
      <c r="E26" s="627"/>
      <c r="I26" s="603"/>
    </row>
    <row r="27" spans="2:9" x14ac:dyDescent="0.3">
      <c r="B27" s="6" t="s">
        <v>750</v>
      </c>
      <c r="E27" s="627">
        <f>'Summary Sheet'!F23</f>
        <v>44228</v>
      </c>
      <c r="G27" s="6" t="str">
        <f>'Summary Sheet'!G23</f>
        <v>2020-00204</v>
      </c>
      <c r="I27" s="603">
        <f>'Summary Sheet'!K23</f>
        <v>-1.09E-3</v>
      </c>
    </row>
    <row r="28" spans="2:9" x14ac:dyDescent="0.3">
      <c r="E28" s="627"/>
      <c r="I28" s="603"/>
    </row>
    <row r="29" spans="2:9" ht="18.600000000000001" x14ac:dyDescent="0.3">
      <c r="B29" s="6" t="s">
        <v>751</v>
      </c>
      <c r="E29" s="627">
        <f>'Summary Sheet'!F24</f>
        <v>44136</v>
      </c>
      <c r="G29" s="6" t="str">
        <f>'Summary Sheet'!G24</f>
        <v>2020-00070</v>
      </c>
      <c r="I29" s="603">
        <f>'Summary Sheet'!K24</f>
        <v>-3.2000000000000003E-4</v>
      </c>
    </row>
    <row r="30" spans="2:9" x14ac:dyDescent="0.3">
      <c r="E30" s="627"/>
      <c r="I30" s="603"/>
    </row>
    <row r="31" spans="2:9" ht="18.600000000000001" x14ac:dyDescent="0.3">
      <c r="B31" s="6" t="s">
        <v>752</v>
      </c>
      <c r="E31" s="627">
        <f>'Summary Sheet'!F25</f>
        <v>44044</v>
      </c>
      <c r="G31" s="6" t="str">
        <f>'Summary Sheet'!G25</f>
        <v>2019-00436</v>
      </c>
      <c r="I31" s="603">
        <f>'Summary Sheet'!K25</f>
        <v>4.5599999999999998E-3</v>
      </c>
    </row>
    <row r="33" spans="2:9" x14ac:dyDescent="0.3">
      <c r="B33" s="597" t="s">
        <v>754</v>
      </c>
      <c r="I33" s="632">
        <f>SUM(I25:I31)</f>
        <v>-2.1900000000000001E-3</v>
      </c>
    </row>
  </sheetData>
  <mergeCells count="8">
    <mergeCell ref="B13:I13"/>
    <mergeCell ref="B17:I17"/>
    <mergeCell ref="B19:I19"/>
    <mergeCell ref="B1:I1"/>
    <mergeCell ref="B3:I3"/>
    <mergeCell ref="B5:I5"/>
    <mergeCell ref="B7:I7"/>
    <mergeCell ref="B9:I9"/>
  </mergeCells>
  <pageMargins left="0.7" right="0.7" top="0.75" bottom="0.75" header="0.3" footer="0.3"/>
  <pageSetup scale="89" orientation="portrait" r:id="rId1"/>
  <headerFooter>
    <oddHeader>&amp;R&amp;"Times New Roman,Bold"Exhibit B</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R110"/>
  <sheetViews>
    <sheetView zoomScale="80" zoomScaleNormal="80" workbookViewId="0">
      <selection activeCell="A8" sqref="A8"/>
    </sheetView>
  </sheetViews>
  <sheetFormatPr defaultColWidth="9.81640625" defaultRowHeight="15.6" x14ac:dyDescent="0.3"/>
  <cols>
    <col min="1" max="1" width="7.81640625" style="3" customWidth="1"/>
    <col min="2" max="2" width="15.54296875" style="3" customWidth="1"/>
    <col min="3" max="3" width="22.453125" style="3" customWidth="1"/>
    <col min="4" max="4" width="18.1796875" style="3" customWidth="1"/>
    <col min="5" max="5" width="17.36328125" style="3" customWidth="1"/>
    <col min="6" max="6" width="16.1796875" style="3" customWidth="1"/>
    <col min="7" max="7" width="14.90625" style="3" customWidth="1"/>
    <col min="8" max="8" width="14.08984375" style="3" customWidth="1"/>
    <col min="9" max="9" width="13.453125" style="1" hidden="1" customWidth="1"/>
    <col min="10" max="10" width="14.54296875" style="23" hidden="1" customWidth="1"/>
    <col min="11" max="11" width="14" style="3" hidden="1" customWidth="1"/>
    <col min="12" max="12" width="15.1796875" style="3" hidden="1" customWidth="1"/>
    <col min="13" max="18" width="9.81640625" style="3" hidden="1" customWidth="1"/>
    <col min="19" max="20" width="9.81640625" style="3" customWidth="1"/>
    <col min="21" max="21" width="11.54296875" style="3" customWidth="1"/>
    <col min="22" max="22" width="4.81640625" style="3" customWidth="1"/>
    <col min="23" max="23" width="4.36328125" style="3" customWidth="1"/>
    <col min="24" max="24" width="12" style="3" customWidth="1"/>
    <col min="25" max="25" width="11.54296875" style="3" customWidth="1"/>
    <col min="26" max="26" width="5.90625" style="3" customWidth="1"/>
    <col min="27" max="28" width="9.81640625" style="3"/>
    <col min="29" max="29" width="3.08984375" style="3" bestFit="1" customWidth="1"/>
    <col min="30" max="16384" width="9.81640625" style="3"/>
  </cols>
  <sheetData>
    <row r="1" spans="1:17" ht="17.399999999999999" x14ac:dyDescent="0.3">
      <c r="A1" s="732" t="s">
        <v>5</v>
      </c>
      <c r="B1" s="732"/>
      <c r="C1" s="732"/>
      <c r="D1" s="732"/>
      <c r="E1" s="732"/>
      <c r="F1" s="732"/>
    </row>
    <row r="2" spans="1:17" ht="18" x14ac:dyDescent="0.35">
      <c r="A2" s="719" t="s">
        <v>297</v>
      </c>
      <c r="B2" s="719"/>
      <c r="C2" s="719"/>
      <c r="D2" s="719"/>
      <c r="E2" s="719"/>
      <c r="F2" s="719"/>
    </row>
    <row r="3" spans="1:17" ht="18" x14ac:dyDescent="0.35">
      <c r="A3" s="719" t="s">
        <v>346</v>
      </c>
      <c r="B3" s="719"/>
      <c r="C3" s="719"/>
      <c r="D3" s="719"/>
      <c r="E3" s="719"/>
      <c r="F3" s="719"/>
    </row>
    <row r="4" spans="1:17" ht="18" x14ac:dyDescent="0.35">
      <c r="A4" s="719" t="s">
        <v>298</v>
      </c>
      <c r="B4" s="719"/>
      <c r="C4" s="719"/>
      <c r="D4" s="719"/>
      <c r="E4" s="719"/>
      <c r="F4" s="719"/>
    </row>
    <row r="5" spans="1:17" ht="18" x14ac:dyDescent="0.35">
      <c r="A5" s="719" t="str">
        <f>CONCATENATE("For Service Rendered On and After ",'Input Data'!$D$4)</f>
        <v>For Service Rendered On and After May 1, 2021</v>
      </c>
      <c r="B5" s="719"/>
      <c r="C5" s="719"/>
      <c r="D5" s="719"/>
      <c r="E5" s="719"/>
      <c r="F5" s="719"/>
    </row>
    <row r="6" spans="1:17" x14ac:dyDescent="0.3">
      <c r="I6" s="271" t="s">
        <v>277</v>
      </c>
    </row>
    <row r="7" spans="1:17" ht="16.2" thickBot="1" x14ac:dyDescent="0.35">
      <c r="F7" s="332"/>
      <c r="G7" s="332"/>
      <c r="I7" s="271" t="s">
        <v>356</v>
      </c>
      <c r="J7" s="35"/>
      <c r="K7" s="35"/>
      <c r="L7" s="35"/>
    </row>
    <row r="8" spans="1:17" ht="25.2" thickBot="1" x14ac:dyDescent="0.45">
      <c r="B8" s="30"/>
      <c r="D8" s="332"/>
      <c r="E8" s="332"/>
      <c r="F8" s="332"/>
      <c r="G8" s="332"/>
      <c r="I8" s="770" t="s">
        <v>212</v>
      </c>
      <c r="J8" s="771"/>
      <c r="K8" s="771"/>
      <c r="L8" s="772"/>
    </row>
    <row r="9" spans="1:17" ht="16.2" thickBot="1" x14ac:dyDescent="0.35">
      <c r="B9" s="30"/>
      <c r="D9" s="332"/>
      <c r="E9" s="332"/>
      <c r="F9" s="332"/>
      <c r="G9" s="332"/>
      <c r="I9" s="761" t="s">
        <v>247</v>
      </c>
      <c r="J9" s="762"/>
      <c r="K9" s="762"/>
      <c r="L9" s="763"/>
      <c r="M9" s="39"/>
    </row>
    <row r="10" spans="1:17" ht="62.4" x14ac:dyDescent="0.3">
      <c r="A10" s="336" t="s">
        <v>249</v>
      </c>
      <c r="B10" s="337" t="s">
        <v>350</v>
      </c>
      <c r="C10" s="336" t="s">
        <v>0</v>
      </c>
      <c r="D10" s="147" t="s">
        <v>394</v>
      </c>
      <c r="E10" s="147" t="s">
        <v>395</v>
      </c>
      <c r="F10" s="147" t="s">
        <v>311</v>
      </c>
      <c r="G10" s="148"/>
      <c r="I10" s="77"/>
      <c r="J10" s="481" t="s">
        <v>211</v>
      </c>
      <c r="K10" s="482" t="s">
        <v>643</v>
      </c>
      <c r="L10" s="483" t="s">
        <v>234</v>
      </c>
      <c r="M10" s="39"/>
      <c r="N10" s="3" t="s">
        <v>557</v>
      </c>
    </row>
    <row r="11" spans="1:17" ht="15.75" customHeight="1" x14ac:dyDescent="0.3">
      <c r="A11" s="47" t="s">
        <v>60</v>
      </c>
      <c r="B11" s="47" t="s">
        <v>61</v>
      </c>
      <c r="C11" s="47" t="s">
        <v>62</v>
      </c>
      <c r="D11" s="47" t="s">
        <v>63</v>
      </c>
      <c r="E11" s="47" t="s">
        <v>64</v>
      </c>
      <c r="F11" s="47" t="s">
        <v>498</v>
      </c>
      <c r="G11" s="47"/>
      <c r="I11" s="484">
        <f>'Input Data'!C4</f>
        <v>44317</v>
      </c>
      <c r="J11" s="197">
        <f>VLOOKUP(I11,Forecast!A$1:K$200,9)</f>
        <v>963877</v>
      </c>
      <c r="K11" s="197">
        <f>VLOOKUP(I11,Forecast!A$1:K$200,10)</f>
        <v>22331</v>
      </c>
      <c r="L11" s="485">
        <f>SUM(J11:K11)</f>
        <v>986208</v>
      </c>
      <c r="M11" s="39"/>
      <c r="N11" s="82">
        <f>VLOOKUP($I11,Forecast!$A$10:$J$124,9,FALSE)</f>
        <v>963877</v>
      </c>
      <c r="O11" s="3">
        <f>J11-N11</f>
        <v>0</v>
      </c>
      <c r="P11" s="82">
        <f>VLOOKUP($I11,Forecast!$A$10:$J$124,10,FALSE)</f>
        <v>22331</v>
      </c>
      <c r="Q11" s="3">
        <f>K11-P11</f>
        <v>0</v>
      </c>
    </row>
    <row r="12" spans="1:17" ht="15.75" customHeight="1" x14ac:dyDescent="0.3">
      <c r="A12" s="47">
        <v>1</v>
      </c>
      <c r="B12" s="149">
        <v>44044</v>
      </c>
      <c r="C12" s="333" t="s">
        <v>697</v>
      </c>
      <c r="D12" s="85">
        <f>'Ex B-1 2 of 7'!J22</f>
        <v>970</v>
      </c>
      <c r="E12" s="85">
        <v>0</v>
      </c>
      <c r="F12" s="85">
        <f t="shared" ref="F12:F14" si="0">E12-D12</f>
        <v>-970</v>
      </c>
      <c r="G12" s="718">
        <v>4</v>
      </c>
      <c r="H12" s="150"/>
      <c r="I12" s="81">
        <f>EOMONTH(I11,0)+1</f>
        <v>44348</v>
      </c>
      <c r="J12" s="197">
        <f>VLOOKUP(I12,Forecast!A$1:K$200,9)</f>
        <v>641098</v>
      </c>
      <c r="K12" s="197">
        <f>VLOOKUP(I12,Forecast!A$1:K$200,10)</f>
        <v>22331</v>
      </c>
      <c r="L12" s="485">
        <f t="shared" ref="L12:L22" si="1">SUM(J12:K12)</f>
        <v>663429</v>
      </c>
      <c r="M12" s="39"/>
      <c r="N12" s="82">
        <f>VLOOKUP($I12,Forecast!$A$10:$J$124,9,FALSE)</f>
        <v>641098</v>
      </c>
      <c r="O12" s="3">
        <f t="shared" ref="O12:O22" si="2">J12-N12</f>
        <v>0</v>
      </c>
      <c r="P12" s="82">
        <f>VLOOKUP($I12,Forecast!$A$10:$J$124,10,FALSE)</f>
        <v>22331</v>
      </c>
      <c r="Q12" s="3">
        <f t="shared" ref="Q12:Q22" si="3">K12-P12</f>
        <v>0</v>
      </c>
    </row>
    <row r="13" spans="1:17" ht="15.75" customHeight="1" x14ac:dyDescent="0.3">
      <c r="A13" s="47">
        <v>2</v>
      </c>
      <c r="B13" s="149">
        <v>44094</v>
      </c>
      <c r="C13" s="333" t="s">
        <v>697</v>
      </c>
      <c r="D13" s="85">
        <f>'Ex B-1 2 of 7'!J23</f>
        <v>2014</v>
      </c>
      <c r="E13" s="85">
        <v>0</v>
      </c>
      <c r="F13" s="85">
        <f t="shared" si="0"/>
        <v>-2014</v>
      </c>
      <c r="G13" s="718">
        <v>4</v>
      </c>
      <c r="H13" s="153"/>
      <c r="I13" s="81">
        <f t="shared" ref="I13:I22" si="4">EOMONTH(I12,0)+1</f>
        <v>44378</v>
      </c>
      <c r="J13" s="197">
        <f>VLOOKUP(I13,Forecast!A$1:K$200,9)</f>
        <v>562469</v>
      </c>
      <c r="K13" s="197">
        <f>VLOOKUP(I13,Forecast!A$1:K$200,10)</f>
        <v>22331</v>
      </c>
      <c r="L13" s="485">
        <f t="shared" si="1"/>
        <v>584800</v>
      </c>
      <c r="M13" s="39"/>
      <c r="N13" s="82">
        <f>VLOOKUP($I13,Forecast!$A$10:$J$124,9,FALSE)</f>
        <v>562469</v>
      </c>
      <c r="O13" s="3">
        <f t="shared" si="2"/>
        <v>0</v>
      </c>
      <c r="P13" s="82">
        <f>VLOOKUP($I13,Forecast!$A$10:$J$124,10,FALSE)</f>
        <v>22331</v>
      </c>
      <c r="Q13" s="3">
        <f t="shared" si="3"/>
        <v>0</v>
      </c>
    </row>
    <row r="14" spans="1:17" ht="15.75" customHeight="1" x14ac:dyDescent="0.3">
      <c r="A14" s="47">
        <v>3</v>
      </c>
      <c r="B14" s="149">
        <v>44124</v>
      </c>
      <c r="C14" s="333" t="s">
        <v>697</v>
      </c>
      <c r="D14" s="85">
        <f>'Ex B-1 2 of 7'!J24</f>
        <v>73</v>
      </c>
      <c r="E14" s="85">
        <v>0</v>
      </c>
      <c r="F14" s="85">
        <f t="shared" si="0"/>
        <v>-73</v>
      </c>
      <c r="G14" s="718">
        <v>4</v>
      </c>
      <c r="H14" s="153"/>
      <c r="I14" s="81">
        <f t="shared" si="4"/>
        <v>44409</v>
      </c>
      <c r="J14" s="197">
        <f>VLOOKUP(I14,Forecast!A$1:K$200,9)</f>
        <v>579871</v>
      </c>
      <c r="K14" s="197">
        <f>VLOOKUP(I14,Forecast!A$1:K$200,10)</f>
        <v>22331</v>
      </c>
      <c r="L14" s="485">
        <f t="shared" si="1"/>
        <v>602202</v>
      </c>
      <c r="M14" s="39"/>
      <c r="N14" s="82">
        <f>VLOOKUP($I14,Forecast!$A$10:$J$124,9,FALSE)</f>
        <v>579871</v>
      </c>
      <c r="O14" s="3">
        <f t="shared" si="2"/>
        <v>0</v>
      </c>
      <c r="P14" s="82">
        <f>VLOOKUP($I14,Forecast!$A$10:$J$124,10,FALSE)</f>
        <v>22331</v>
      </c>
      <c r="Q14" s="3">
        <f t="shared" si="3"/>
        <v>0</v>
      </c>
    </row>
    <row r="15" spans="1:17" ht="15.75" customHeight="1" x14ac:dyDescent="0.3">
      <c r="A15" s="576">
        <v>4</v>
      </c>
      <c r="B15" s="149">
        <f>'Input Data'!C7</f>
        <v>44136</v>
      </c>
      <c r="C15" s="332" t="str">
        <f>VLOOKUP(B15,'Case Database'!$A$5:$H$200,3,FALSE)</f>
        <v>2020-00309</v>
      </c>
      <c r="D15" s="85">
        <f>'Ex B-1 2 of 7'!J25</f>
        <v>3178086</v>
      </c>
      <c r="E15" s="85">
        <f>'Ex B-1 5 of 7'!I31</f>
        <v>10380853</v>
      </c>
      <c r="F15" s="85">
        <f>E15-D15</f>
        <v>7202767</v>
      </c>
      <c r="G15" s="85"/>
      <c r="H15" s="153"/>
      <c r="I15" s="81">
        <f t="shared" si="4"/>
        <v>44440</v>
      </c>
      <c r="J15" s="197">
        <f>VLOOKUP(I15,Forecast!A$1:K$200,9)</f>
        <v>742399</v>
      </c>
      <c r="K15" s="197">
        <f>VLOOKUP(I15,Forecast!A$1:K$200,10)</f>
        <v>19692</v>
      </c>
      <c r="L15" s="485">
        <f t="shared" si="1"/>
        <v>762091</v>
      </c>
      <c r="M15" s="39"/>
      <c r="N15" s="82">
        <f>VLOOKUP($I15,Forecast!$A$10:$J$124,9,FALSE)</f>
        <v>742399</v>
      </c>
      <c r="O15" s="3">
        <f t="shared" si="2"/>
        <v>0</v>
      </c>
      <c r="P15" s="82">
        <f>VLOOKUP($I15,Forecast!$A$10:$J$124,10,FALSE)</f>
        <v>19692</v>
      </c>
      <c r="Q15" s="3">
        <f t="shared" si="3"/>
        <v>0</v>
      </c>
    </row>
    <row r="16" spans="1:17" ht="15.75" customHeight="1" x14ac:dyDescent="0.3">
      <c r="A16" s="576">
        <v>5</v>
      </c>
      <c r="B16" s="149">
        <f>EDATE(B15,1)</f>
        <v>44166</v>
      </c>
      <c r="C16" s="332" t="str">
        <f>C15</f>
        <v>2020-00309</v>
      </c>
      <c r="D16" s="85">
        <f>'Ex B-1 2 of 7'!J26</f>
        <v>14608657</v>
      </c>
      <c r="E16" s="85">
        <f>'Ex B-1 5 of 7'!I32</f>
        <v>18593958</v>
      </c>
      <c r="F16" s="85">
        <f>E16-D16</f>
        <v>3985301</v>
      </c>
      <c r="G16" s="157"/>
      <c r="H16" s="153"/>
      <c r="I16" s="81">
        <f t="shared" si="4"/>
        <v>44470</v>
      </c>
      <c r="J16" s="197">
        <f>VLOOKUP(I16,Forecast!A$1:K$200,9)</f>
        <v>1492868</v>
      </c>
      <c r="K16" s="197">
        <f>VLOOKUP(I16,Forecast!A$1:K$200,10)</f>
        <v>26739</v>
      </c>
      <c r="L16" s="485">
        <f t="shared" si="1"/>
        <v>1519607</v>
      </c>
      <c r="M16" s="39"/>
      <c r="N16" s="82">
        <f>VLOOKUP($I16,Forecast!$A$10:$J$124,9,FALSE)</f>
        <v>1492868</v>
      </c>
      <c r="O16" s="3">
        <f t="shared" si="2"/>
        <v>0</v>
      </c>
      <c r="P16" s="82">
        <f>VLOOKUP($I16,Forecast!$A$10:$J$124,10,FALSE)</f>
        <v>26739</v>
      </c>
      <c r="Q16" s="3">
        <f t="shared" si="3"/>
        <v>0</v>
      </c>
    </row>
    <row r="17" spans="1:17" ht="15.75" customHeight="1" x14ac:dyDescent="0.3">
      <c r="A17" s="332">
        <v>6</v>
      </c>
      <c r="B17" s="149">
        <f>EDATE(B16,1)</f>
        <v>44197</v>
      </c>
      <c r="C17" s="151" t="str">
        <f>C16</f>
        <v>2020-00309</v>
      </c>
      <c r="D17" s="85">
        <f>'Ex B-1 2 of 7'!J27</f>
        <v>22294712.699999999</v>
      </c>
      <c r="E17" s="152">
        <f>'Ex B-1 5 of 7'!I33</f>
        <v>20986544</v>
      </c>
      <c r="F17" s="85">
        <f>E17-D17</f>
        <v>-1308168.6999999993</v>
      </c>
      <c r="G17" s="157"/>
      <c r="I17" s="81">
        <f t="shared" si="4"/>
        <v>44501</v>
      </c>
      <c r="J17" s="197">
        <f>VLOOKUP(I17,Forecast!A$1:K$200,9)</f>
        <v>3570245</v>
      </c>
      <c r="K17" s="197">
        <f>VLOOKUP(I17,Forecast!A$1:K$200,10)</f>
        <v>30390</v>
      </c>
      <c r="L17" s="485">
        <f t="shared" si="1"/>
        <v>3600635</v>
      </c>
      <c r="M17" s="39"/>
      <c r="N17" s="82">
        <f>VLOOKUP($I17,Forecast!$A$10:$J$124,9,FALSE)</f>
        <v>3570245</v>
      </c>
      <c r="O17" s="3">
        <f t="shared" si="2"/>
        <v>0</v>
      </c>
      <c r="P17" s="82">
        <f>VLOOKUP($I17,Forecast!$A$10:$J$124,10,FALSE)</f>
        <v>30390</v>
      </c>
      <c r="Q17" s="3">
        <f t="shared" si="3"/>
        <v>0</v>
      </c>
    </row>
    <row r="18" spans="1:17" ht="15.75" customHeight="1" x14ac:dyDescent="0.3">
      <c r="A18" s="332">
        <v>7</v>
      </c>
      <c r="B18" s="149">
        <f>EDATE(B17,1)</f>
        <v>44228</v>
      </c>
      <c r="C18" s="151" t="s">
        <v>269</v>
      </c>
      <c r="D18" s="154">
        <f>'Ex B-1 2 of 7'!J28</f>
        <v>11544481</v>
      </c>
      <c r="E18" s="154">
        <f>'Ex B-1 5 of 7'!I34</f>
        <v>0</v>
      </c>
      <c r="F18" s="154">
        <f>E18-D18</f>
        <v>-11544481</v>
      </c>
      <c r="G18" s="157"/>
      <c r="I18" s="81">
        <f t="shared" si="4"/>
        <v>44531</v>
      </c>
      <c r="J18" s="197">
        <f>VLOOKUP(I18,Forecast!A$1:K$200,9)</f>
        <v>5094853</v>
      </c>
      <c r="K18" s="197">
        <f>VLOOKUP(I18,Forecast!A$1:K$200,10)</f>
        <v>25816</v>
      </c>
      <c r="L18" s="485">
        <f t="shared" si="1"/>
        <v>5120669</v>
      </c>
      <c r="M18" s="39"/>
      <c r="N18" s="82">
        <f>VLOOKUP($I18,Forecast!$A$10:$J$124,9,FALSE)</f>
        <v>5094853</v>
      </c>
      <c r="O18" s="3">
        <f t="shared" si="2"/>
        <v>0</v>
      </c>
      <c r="P18" s="82">
        <f>VLOOKUP($I18,Forecast!$A$10:$J$124,10,FALSE)</f>
        <v>25816</v>
      </c>
      <c r="Q18" s="3">
        <f t="shared" si="3"/>
        <v>0</v>
      </c>
    </row>
    <row r="19" spans="1:17" ht="15.75" customHeight="1" x14ac:dyDescent="0.3">
      <c r="A19" s="407">
        <v>8</v>
      </c>
      <c r="B19" s="155"/>
      <c r="C19" s="151"/>
      <c r="D19" s="85">
        <f>(SUM(D12:D18))</f>
        <v>51628993.700000003</v>
      </c>
      <c r="E19" s="85">
        <f>(SUM(E12:E18))</f>
        <v>49961355</v>
      </c>
      <c r="F19" s="85">
        <f>(SUM(F12:F18))</f>
        <v>-1667638.6999999993</v>
      </c>
      <c r="G19" s="157"/>
      <c r="I19" s="81">
        <f t="shared" si="4"/>
        <v>44562</v>
      </c>
      <c r="J19" s="197">
        <f>VLOOKUP(I19,Forecast!A$1:K$200,9)</f>
        <v>6487518</v>
      </c>
      <c r="K19" s="197">
        <f>VLOOKUP(I19,Forecast!A$1:K$200,10)</f>
        <v>24349</v>
      </c>
      <c r="L19" s="485">
        <f t="shared" si="1"/>
        <v>6511867</v>
      </c>
      <c r="M19" s="39"/>
      <c r="N19" s="82">
        <f>VLOOKUP($I19,Forecast!$A$10:$J$124,9,FALSE)</f>
        <v>6487518</v>
      </c>
      <c r="O19" s="3">
        <f t="shared" si="2"/>
        <v>0</v>
      </c>
      <c r="P19" s="82">
        <f>VLOOKUP($I19,Forecast!$A$10:$J$124,10,FALSE)</f>
        <v>24349</v>
      </c>
      <c r="Q19" s="3">
        <f t="shared" si="3"/>
        <v>0</v>
      </c>
    </row>
    <row r="20" spans="1:17" ht="15.75" customHeight="1" x14ac:dyDescent="0.3">
      <c r="B20" s="156"/>
      <c r="C20" s="156"/>
      <c r="D20" s="150"/>
      <c r="E20" s="150"/>
      <c r="F20" s="157"/>
      <c r="G20" s="157"/>
      <c r="I20" s="81">
        <f t="shared" si="4"/>
        <v>44593</v>
      </c>
      <c r="J20" s="197">
        <f>VLOOKUP(I20,Forecast!A$1:K$200,9)</f>
        <v>5072424</v>
      </c>
      <c r="K20" s="197">
        <f>VLOOKUP(I20,Forecast!A$1:K$200,10)</f>
        <v>26448</v>
      </c>
      <c r="L20" s="485">
        <f t="shared" si="1"/>
        <v>5098872</v>
      </c>
      <c r="M20" s="39"/>
      <c r="N20" s="82">
        <f>VLOOKUP($I20,Forecast!$A$10:$J$124,9,FALSE)</f>
        <v>5072424</v>
      </c>
      <c r="O20" s="3">
        <f t="shared" si="2"/>
        <v>0</v>
      </c>
      <c r="P20" s="82">
        <f>VLOOKUP($I20,Forecast!$A$10:$J$124,10,FALSE)</f>
        <v>26448</v>
      </c>
      <c r="Q20" s="3">
        <f t="shared" si="3"/>
        <v>0</v>
      </c>
    </row>
    <row r="21" spans="1:17" ht="15.75" customHeight="1" x14ac:dyDescent="0.3">
      <c r="A21" s="332">
        <v>9</v>
      </c>
      <c r="B21" s="156"/>
      <c r="C21" s="55" t="s">
        <v>311</v>
      </c>
      <c r="D21" s="85">
        <f>F19</f>
        <v>-1667638.6999999993</v>
      </c>
      <c r="E21" s="150"/>
      <c r="F21" s="157"/>
      <c r="G21" s="157"/>
      <c r="I21" s="81">
        <f t="shared" si="4"/>
        <v>44621</v>
      </c>
      <c r="J21" s="197">
        <f>VLOOKUP(I21,Forecast!A$1:K$200,9)</f>
        <v>3898238</v>
      </c>
      <c r="K21" s="197">
        <f>VLOOKUP(I21,Forecast!A$1:K$200,10)</f>
        <v>21861</v>
      </c>
      <c r="L21" s="485">
        <f t="shared" si="1"/>
        <v>3920099</v>
      </c>
      <c r="M21" s="39"/>
      <c r="N21" s="82">
        <f>VLOOKUP($I21,Forecast!$A$10:$J$124,9,FALSE)</f>
        <v>3898238</v>
      </c>
      <c r="O21" s="3">
        <f t="shared" si="2"/>
        <v>0</v>
      </c>
      <c r="P21" s="82">
        <f>VLOOKUP($I21,Forecast!$A$10:$J$124,10,FALSE)</f>
        <v>21861</v>
      </c>
      <c r="Q21" s="3">
        <f t="shared" si="3"/>
        <v>0</v>
      </c>
    </row>
    <row r="22" spans="1:17" ht="15.75" customHeight="1" x14ac:dyDescent="0.3">
      <c r="A22" s="332"/>
      <c r="B22"/>
      <c r="C22" s="55"/>
      <c r="D22"/>
      <c r="E22"/>
      <c r="F22" s="157"/>
      <c r="G22" s="157"/>
      <c r="I22" s="81">
        <f t="shared" si="4"/>
        <v>44652</v>
      </c>
      <c r="J22" s="197">
        <f>VLOOKUP(I22,Forecast!A$1:K$200,9)</f>
        <v>1828721</v>
      </c>
      <c r="K22" s="197">
        <f>VLOOKUP(I22,Forecast!A$1:K$200,10)</f>
        <v>24797</v>
      </c>
      <c r="L22" s="485">
        <f t="shared" si="1"/>
        <v>1853518</v>
      </c>
      <c r="M22" s="39"/>
      <c r="N22" s="580">
        <f>VLOOKUP($I22,Forecast!$A$10:$J$124,9,FALSE)</f>
        <v>1828721</v>
      </c>
      <c r="O22" s="531">
        <f t="shared" si="2"/>
        <v>0</v>
      </c>
      <c r="P22" s="580">
        <f>VLOOKUP($I22,Forecast!$A$10:$J$124,10,FALSE)</f>
        <v>24797</v>
      </c>
      <c r="Q22" s="531">
        <f t="shared" si="3"/>
        <v>0</v>
      </c>
    </row>
    <row r="23" spans="1:17" ht="15.75" customHeight="1" x14ac:dyDescent="0.3">
      <c r="F23" s="157"/>
      <c r="G23" s="284"/>
      <c r="I23" s="486"/>
      <c r="J23" s="487"/>
      <c r="K23" s="487"/>
      <c r="L23" s="488"/>
      <c r="M23" s="39"/>
      <c r="N23" s="197">
        <f>SUM(N11:N22)</f>
        <v>30934581</v>
      </c>
      <c r="P23" s="197">
        <f>SUM(P11:P22)</f>
        <v>289416</v>
      </c>
    </row>
    <row r="24" spans="1:17" ht="16.2" thickBot="1" x14ac:dyDescent="0.35">
      <c r="A24" s="332">
        <v>10</v>
      </c>
      <c r="B24" s="156"/>
      <c r="C24" s="55" t="s">
        <v>320</v>
      </c>
      <c r="E24" s="158"/>
      <c r="F24" s="282"/>
      <c r="G24" s="1"/>
      <c r="I24" s="486"/>
      <c r="J24" s="487"/>
      <c r="K24" s="487"/>
      <c r="L24" s="488"/>
      <c r="M24" s="39"/>
      <c r="N24" s="38"/>
      <c r="P24" s="38"/>
      <c r="Q24" s="38"/>
    </row>
    <row r="25" spans="1:17" ht="15.75" customHeight="1" thickBot="1" x14ac:dyDescent="0.35">
      <c r="A25" s="332">
        <v>11</v>
      </c>
      <c r="B25" s="156"/>
      <c r="C25" s="55" t="s">
        <v>321</v>
      </c>
      <c r="D25" s="56">
        <f>L25</f>
        <v>31223997</v>
      </c>
      <c r="E25" s="158"/>
      <c r="F25" s="157"/>
      <c r="G25" s="1"/>
      <c r="H25" s="1"/>
      <c r="I25" s="489"/>
      <c r="J25" s="490"/>
      <c r="K25" s="491"/>
      <c r="L25" s="492">
        <f>SUM(L11:L23)</f>
        <v>31223997</v>
      </c>
      <c r="M25" s="31"/>
      <c r="N25" s="197">
        <f>N23+P23</f>
        <v>31223997</v>
      </c>
      <c r="O25" s="3">
        <f>L25-N25</f>
        <v>0</v>
      </c>
      <c r="P25" s="38"/>
    </row>
    <row r="26" spans="1:17" ht="15.75" customHeight="1" x14ac:dyDescent="0.3">
      <c r="A26" s="332"/>
      <c r="E26" s="150"/>
      <c r="F26" s="157"/>
      <c r="G26" s="1"/>
      <c r="H26" s="1"/>
      <c r="M26" s="31"/>
    </row>
    <row r="27" spans="1:17" ht="15.75" customHeight="1" x14ac:dyDescent="0.3">
      <c r="A27" s="332">
        <v>12</v>
      </c>
      <c r="B27" s="156"/>
      <c r="C27" s="55" t="s">
        <v>319</v>
      </c>
      <c r="D27" s="102">
        <f>ROUND((D21)/D25,4)</f>
        <v>-5.3400000000000003E-2</v>
      </c>
      <c r="E27" s="150"/>
      <c r="F27" s="157"/>
    </row>
    <row r="28" spans="1:17" x14ac:dyDescent="0.3">
      <c r="A28" s="332">
        <v>13</v>
      </c>
      <c r="B28" s="156"/>
      <c r="C28" s="55" t="s">
        <v>322</v>
      </c>
      <c r="D28" s="159">
        <f>ROUND(D27/10,5)</f>
        <v>-5.3400000000000001E-3</v>
      </c>
      <c r="E28" s="1"/>
      <c r="F28" s="1"/>
    </row>
    <row r="29" spans="1:17" x14ac:dyDescent="0.3">
      <c r="A29" s="520"/>
      <c r="B29" s="1"/>
      <c r="C29" s="55"/>
      <c r="D29" s="572"/>
      <c r="E29" s="1"/>
      <c r="F29" s="1"/>
    </row>
    <row r="30" spans="1:17" x14ac:dyDescent="0.3">
      <c r="D30" s="1"/>
      <c r="E30" s="1"/>
      <c r="F30" s="1"/>
    </row>
    <row r="31" spans="1:17" x14ac:dyDescent="0.3">
      <c r="D31" s="1"/>
    </row>
    <row r="32" spans="1:17" ht="18.600000000000001" x14ac:dyDescent="0.3">
      <c r="B32" s="160" t="s">
        <v>396</v>
      </c>
      <c r="C32" s="1"/>
    </row>
    <row r="33" spans="2:3" ht="18.600000000000001" x14ac:dyDescent="0.3">
      <c r="B33" s="160" t="s">
        <v>468</v>
      </c>
      <c r="C33" s="1"/>
    </row>
    <row r="34" spans="2:3" ht="18.600000000000001" x14ac:dyDescent="0.3">
      <c r="B34" s="3" t="s">
        <v>479</v>
      </c>
    </row>
    <row r="35" spans="2:3" ht="18.600000000000001" x14ac:dyDescent="0.3">
      <c r="B35" s="3" t="s">
        <v>821</v>
      </c>
    </row>
    <row r="45" spans="2:3" ht="15.75" customHeight="1" x14ac:dyDescent="0.3"/>
    <row r="58" spans="9:10" x14ac:dyDescent="0.3">
      <c r="I58" s="3"/>
      <c r="J58" s="3"/>
    </row>
    <row r="59" spans="9:10" x14ac:dyDescent="0.3">
      <c r="I59" s="3"/>
      <c r="J59" s="3"/>
    </row>
    <row r="60" spans="9:10" x14ac:dyDescent="0.3">
      <c r="I60" s="3"/>
      <c r="J60" s="3"/>
    </row>
    <row r="61" spans="9:10" x14ac:dyDescent="0.3">
      <c r="I61" s="3"/>
      <c r="J61" s="3"/>
    </row>
    <row r="62" spans="9:10" x14ac:dyDescent="0.3">
      <c r="I62" s="3"/>
      <c r="J62" s="3"/>
    </row>
    <row r="63" spans="9:10" x14ac:dyDescent="0.3">
      <c r="I63" s="3"/>
      <c r="J63" s="3"/>
    </row>
    <row r="64" spans="9:10" x14ac:dyDescent="0.3">
      <c r="I64" s="3"/>
      <c r="J64" s="3"/>
    </row>
    <row r="65" spans="9:10" x14ac:dyDescent="0.3">
      <c r="I65" s="3"/>
      <c r="J65" s="3"/>
    </row>
    <row r="66" spans="9:10" x14ac:dyDescent="0.3">
      <c r="I66" s="3"/>
      <c r="J66" s="3"/>
    </row>
    <row r="67" spans="9:10" x14ac:dyDescent="0.3">
      <c r="I67" s="3"/>
      <c r="J67" s="3"/>
    </row>
    <row r="68" spans="9:10" x14ac:dyDescent="0.3">
      <c r="I68" s="3"/>
      <c r="J68" s="3"/>
    </row>
    <row r="69" spans="9:10" x14ac:dyDescent="0.3">
      <c r="I69" s="3"/>
      <c r="J69" s="3"/>
    </row>
    <row r="70" spans="9:10" x14ac:dyDescent="0.3">
      <c r="I70" s="3"/>
      <c r="J70" s="3"/>
    </row>
    <row r="71" spans="9:10" x14ac:dyDescent="0.3">
      <c r="I71" s="3"/>
      <c r="J71" s="3"/>
    </row>
    <row r="72" spans="9:10" x14ac:dyDescent="0.3">
      <c r="I72" s="3"/>
      <c r="J72" s="3"/>
    </row>
    <row r="73" spans="9:10" x14ac:dyDescent="0.3">
      <c r="I73" s="3"/>
      <c r="J73" s="3"/>
    </row>
    <row r="74" spans="9:10" x14ac:dyDescent="0.3">
      <c r="I74" s="3"/>
      <c r="J74" s="3"/>
    </row>
    <row r="75" spans="9:10" x14ac:dyDescent="0.3">
      <c r="I75" s="3"/>
      <c r="J75" s="3"/>
    </row>
    <row r="76" spans="9:10" x14ac:dyDescent="0.3">
      <c r="I76" s="3"/>
      <c r="J76" s="3"/>
    </row>
    <row r="77" spans="9:10" x14ac:dyDescent="0.3">
      <c r="I77" s="3"/>
      <c r="J77" s="3"/>
    </row>
    <row r="78" spans="9:10" x14ac:dyDescent="0.3">
      <c r="I78" s="3"/>
      <c r="J78" s="3"/>
    </row>
    <row r="79" spans="9:10" x14ac:dyDescent="0.3">
      <c r="I79" s="3"/>
      <c r="J79" s="3"/>
    </row>
    <row r="80" spans="9:10" x14ac:dyDescent="0.3">
      <c r="I80" s="3"/>
      <c r="J80" s="3"/>
    </row>
    <row r="81" spans="9:10" x14ac:dyDescent="0.3">
      <c r="I81" s="3"/>
      <c r="J81" s="3"/>
    </row>
    <row r="82" spans="9:10" x14ac:dyDescent="0.3">
      <c r="I82" s="3"/>
      <c r="J82" s="3"/>
    </row>
    <row r="83" spans="9:10" x14ac:dyDescent="0.3">
      <c r="I83" s="3"/>
      <c r="J83" s="3"/>
    </row>
    <row r="84" spans="9:10" x14ac:dyDescent="0.3">
      <c r="I84" s="3"/>
      <c r="J84" s="3"/>
    </row>
    <row r="85" spans="9:10" x14ac:dyDescent="0.3">
      <c r="I85" s="3"/>
      <c r="J85" s="3"/>
    </row>
    <row r="86" spans="9:10" x14ac:dyDescent="0.3">
      <c r="I86" s="3"/>
      <c r="J86" s="3"/>
    </row>
    <row r="87" spans="9:10" x14ac:dyDescent="0.3">
      <c r="I87" s="3"/>
      <c r="J87" s="3"/>
    </row>
    <row r="88" spans="9:10" x14ac:dyDescent="0.3">
      <c r="I88" s="3"/>
      <c r="J88" s="3"/>
    </row>
    <row r="89" spans="9:10" x14ac:dyDescent="0.3">
      <c r="I89" s="3"/>
      <c r="J89" s="3"/>
    </row>
    <row r="90" spans="9:10" x14ac:dyDescent="0.3">
      <c r="I90" s="3"/>
      <c r="J90" s="3"/>
    </row>
    <row r="91" spans="9:10" x14ac:dyDescent="0.3">
      <c r="I91" s="3"/>
      <c r="J91" s="3"/>
    </row>
    <row r="92" spans="9:10" x14ac:dyDescent="0.3">
      <c r="I92" s="3"/>
      <c r="J92" s="3"/>
    </row>
    <row r="93" spans="9:10" x14ac:dyDescent="0.3">
      <c r="I93" s="3"/>
      <c r="J93" s="3"/>
    </row>
    <row r="94" spans="9:10" x14ac:dyDescent="0.3">
      <c r="I94" s="3"/>
      <c r="J94" s="3"/>
    </row>
    <row r="95" spans="9:10" x14ac:dyDescent="0.3">
      <c r="I95" s="3"/>
      <c r="J95" s="3"/>
    </row>
    <row r="96" spans="9:10" x14ac:dyDescent="0.3">
      <c r="I96" s="3"/>
      <c r="J96" s="3"/>
    </row>
    <row r="97" spans="9:10" x14ac:dyDescent="0.3">
      <c r="I97" s="3"/>
      <c r="J97" s="3"/>
    </row>
    <row r="98" spans="9:10" x14ac:dyDescent="0.3">
      <c r="I98" s="3"/>
      <c r="J98" s="3"/>
    </row>
    <row r="99" spans="9:10" x14ac:dyDescent="0.3">
      <c r="I99" s="3"/>
      <c r="J99" s="3"/>
    </row>
    <row r="100" spans="9:10" x14ac:dyDescent="0.3">
      <c r="I100" s="3"/>
      <c r="J100" s="3"/>
    </row>
    <row r="101" spans="9:10" x14ac:dyDescent="0.3">
      <c r="I101" s="3"/>
      <c r="J101" s="3"/>
    </row>
    <row r="102" spans="9:10" x14ac:dyDescent="0.3">
      <c r="I102" s="3"/>
      <c r="J102" s="3"/>
    </row>
    <row r="103" spans="9:10" x14ac:dyDescent="0.3">
      <c r="I103" s="3"/>
      <c r="J103" s="3"/>
    </row>
    <row r="104" spans="9:10" x14ac:dyDescent="0.3">
      <c r="I104" s="3"/>
      <c r="J104" s="3"/>
    </row>
    <row r="105" spans="9:10" x14ac:dyDescent="0.3">
      <c r="I105" s="3"/>
      <c r="J105" s="3"/>
    </row>
    <row r="106" spans="9:10" x14ac:dyDescent="0.3">
      <c r="I106" s="3"/>
      <c r="J106" s="3"/>
    </row>
    <row r="107" spans="9:10" x14ac:dyDescent="0.3">
      <c r="I107" s="3"/>
      <c r="J107" s="3"/>
    </row>
    <row r="108" spans="9:10" x14ac:dyDescent="0.3">
      <c r="I108" s="3"/>
      <c r="J108" s="3"/>
    </row>
    <row r="109" spans="9:10" x14ac:dyDescent="0.3">
      <c r="I109" s="3"/>
      <c r="J109" s="3"/>
    </row>
    <row r="110" spans="9:10" x14ac:dyDescent="0.3">
      <c r="I110" s="3"/>
      <c r="J110" s="3"/>
    </row>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9"/>
  <sheetViews>
    <sheetView zoomScale="80" zoomScaleNormal="80" workbookViewId="0">
      <selection sqref="A1:N1"/>
    </sheetView>
  </sheetViews>
  <sheetFormatPr defaultColWidth="9.1796875" defaultRowHeight="13.8" x14ac:dyDescent="0.25"/>
  <cols>
    <col min="1" max="1" width="7" style="2" customWidth="1"/>
    <col min="2" max="2" width="14.90625" style="2" customWidth="1"/>
    <col min="3" max="3" width="3.1796875" style="2" customWidth="1"/>
    <col min="4" max="4" width="13.36328125" style="2" customWidth="1"/>
    <col min="5" max="5" width="3" style="2" customWidth="1"/>
    <col min="6" max="6" width="13" style="2" customWidth="1"/>
    <col min="7" max="7" width="2.1796875" style="2" customWidth="1"/>
    <col min="8" max="8" width="10.6328125" style="2" customWidth="1"/>
    <col min="9" max="9" width="2.36328125" style="2" customWidth="1"/>
    <col min="10" max="10" width="14.90625" style="2" customWidth="1"/>
    <col min="11" max="11" width="2.453125" style="2" customWidth="1"/>
    <col min="12" max="12" width="12.36328125" style="2" customWidth="1"/>
    <col min="13" max="13" width="11.90625" style="2" customWidth="1"/>
    <col min="14" max="14" width="16.08984375" style="2" customWidth="1"/>
    <col min="15" max="15" width="13.6328125" style="2" customWidth="1"/>
    <col min="16" max="16" width="11.36328125" style="2" customWidth="1"/>
    <col min="17" max="17" width="15.81640625" style="2" customWidth="1"/>
    <col min="18" max="19" width="13.1796875" style="2" customWidth="1"/>
    <col min="20" max="20" width="8.81640625" style="2" customWidth="1"/>
    <col min="21" max="21" width="18" style="2" customWidth="1"/>
    <col min="22" max="16384" width="9.1796875" style="2"/>
  </cols>
  <sheetData>
    <row r="1" spans="1:21" ht="17.399999999999999" x14ac:dyDescent="0.3">
      <c r="A1" s="732" t="s">
        <v>5</v>
      </c>
      <c r="B1" s="732"/>
      <c r="C1" s="732"/>
      <c r="D1" s="732"/>
      <c r="E1" s="732"/>
      <c r="F1" s="732"/>
      <c r="G1" s="732"/>
      <c r="H1" s="732"/>
      <c r="I1" s="732"/>
      <c r="J1" s="732"/>
      <c r="K1" s="732"/>
      <c r="L1" s="732"/>
      <c r="M1" s="732"/>
      <c r="N1" s="732"/>
      <c r="O1" s="182"/>
      <c r="P1" s="182"/>
      <c r="Q1" s="182"/>
      <c r="R1" s="182"/>
      <c r="S1" s="182"/>
      <c r="T1" s="182"/>
      <c r="U1" s="182"/>
    </row>
    <row r="2" spans="1:21" ht="18" x14ac:dyDescent="0.35">
      <c r="A2" s="719" t="s">
        <v>295</v>
      </c>
      <c r="B2" s="719"/>
      <c r="C2" s="719"/>
      <c r="D2" s="719"/>
      <c r="E2" s="719"/>
      <c r="F2" s="719"/>
      <c r="G2" s="719"/>
      <c r="H2" s="719"/>
      <c r="I2" s="719"/>
      <c r="J2" s="719"/>
      <c r="K2" s="719"/>
      <c r="L2" s="719"/>
      <c r="M2" s="719"/>
      <c r="N2" s="719"/>
      <c r="O2" s="107"/>
      <c r="P2" s="107"/>
      <c r="Q2" s="107"/>
      <c r="R2" s="107"/>
      <c r="S2" s="107"/>
      <c r="T2" s="107"/>
      <c r="U2" s="107"/>
    </row>
    <row r="3" spans="1:21" ht="18" x14ac:dyDescent="0.35">
      <c r="A3" s="719" t="s">
        <v>296</v>
      </c>
      <c r="B3" s="719"/>
      <c r="C3" s="719"/>
      <c r="D3" s="719"/>
      <c r="E3" s="719"/>
      <c r="F3" s="719"/>
      <c r="G3" s="719"/>
      <c r="H3" s="719"/>
      <c r="I3" s="719"/>
      <c r="J3" s="719"/>
      <c r="K3" s="719"/>
      <c r="L3" s="719"/>
      <c r="M3" s="719"/>
      <c r="N3" s="719"/>
      <c r="O3" s="107"/>
      <c r="P3" s="107"/>
      <c r="Q3" s="107"/>
      <c r="R3" s="107"/>
      <c r="S3" s="107"/>
      <c r="T3" s="107"/>
      <c r="U3" s="107"/>
    </row>
    <row r="4" spans="1:21" ht="18" x14ac:dyDescent="0.35">
      <c r="A4" s="719" t="str">
        <f>CONCATENATE("For Service Rendered On and After ",'Input Data'!$D$4)</f>
        <v>For Service Rendered On and After May 1, 2021</v>
      </c>
      <c r="B4" s="719"/>
      <c r="C4" s="719"/>
      <c r="D4" s="719"/>
      <c r="E4" s="719"/>
      <c r="F4" s="719"/>
      <c r="G4" s="719"/>
      <c r="H4" s="719"/>
      <c r="I4" s="719"/>
      <c r="J4" s="719"/>
      <c r="K4" s="719"/>
      <c r="L4" s="719"/>
      <c r="M4" s="719"/>
      <c r="N4" s="719"/>
      <c r="O4" s="107"/>
      <c r="P4" s="107"/>
      <c r="Q4" s="107"/>
      <c r="R4" s="107"/>
      <c r="S4" s="107"/>
      <c r="T4" s="107"/>
      <c r="U4" s="107"/>
    </row>
    <row r="5" spans="1:21" ht="15.6" x14ac:dyDescent="0.3">
      <c r="A5" s="3"/>
      <c r="B5" s="3"/>
      <c r="C5" s="3"/>
      <c r="D5" s="3"/>
      <c r="E5" s="3"/>
      <c r="F5" s="3"/>
      <c r="G5" s="3"/>
      <c r="H5" s="3"/>
      <c r="I5" s="3"/>
      <c r="J5" s="645"/>
      <c r="K5" s="3"/>
      <c r="L5" s="645"/>
      <c r="M5" s="339"/>
    </row>
    <row r="6" spans="1:21" ht="87" customHeight="1" x14ac:dyDescent="0.3">
      <c r="A6" s="647" t="s">
        <v>249</v>
      </c>
      <c r="B6" s="648" t="s">
        <v>350</v>
      </c>
      <c r="C6" s="648"/>
      <c r="D6" s="647" t="s">
        <v>312</v>
      </c>
      <c r="E6" s="647"/>
      <c r="F6" s="647" t="s">
        <v>116</v>
      </c>
      <c r="G6" s="647"/>
      <c r="H6" s="648" t="s">
        <v>371</v>
      </c>
      <c r="I6" s="648"/>
      <c r="J6" s="648" t="s">
        <v>363</v>
      </c>
      <c r="K6" s="3"/>
      <c r="L6" s="648" t="s">
        <v>270</v>
      </c>
      <c r="M6" s="408" t="s">
        <v>445</v>
      </c>
      <c r="N6" s="147" t="s">
        <v>266</v>
      </c>
    </row>
    <row r="7" spans="1:21" ht="34.5" customHeight="1" x14ac:dyDescent="0.3">
      <c r="A7" s="409" t="s">
        <v>60</v>
      </c>
      <c r="B7" s="409" t="s">
        <v>61</v>
      </c>
      <c r="C7" s="409"/>
      <c r="D7" s="409" t="s">
        <v>62</v>
      </c>
      <c r="F7" s="409" t="s">
        <v>63</v>
      </c>
      <c r="G7" s="409"/>
      <c r="H7" s="409" t="s">
        <v>64</v>
      </c>
      <c r="I7" s="3"/>
      <c r="J7" s="409" t="s">
        <v>65</v>
      </c>
      <c r="L7" s="410" t="s">
        <v>66</v>
      </c>
      <c r="M7" s="410" t="s">
        <v>111</v>
      </c>
      <c r="N7" s="409" t="s">
        <v>497</v>
      </c>
      <c r="Q7" s="265"/>
      <c r="R7" s="265"/>
    </row>
    <row r="8" spans="1:21" ht="15.6" x14ac:dyDescent="0.3">
      <c r="A8" s="55"/>
      <c r="B8" s="411"/>
      <c r="C8" s="411"/>
      <c r="D8" s="411"/>
      <c r="E8" s="411"/>
      <c r="F8" s="411"/>
      <c r="G8" s="411"/>
      <c r="H8" s="411"/>
      <c r="I8" s="411"/>
      <c r="K8" s="1"/>
      <c r="L8" s="3"/>
      <c r="Q8" s="265"/>
      <c r="R8" s="265"/>
    </row>
    <row r="9" spans="1:21" ht="15.6" x14ac:dyDescent="0.3">
      <c r="A9" s="709">
        <v>1</v>
      </c>
      <c r="B9" s="151">
        <v>44044</v>
      </c>
      <c r="C9" s="411"/>
      <c r="D9" s="411"/>
      <c r="E9" s="411"/>
      <c r="F9" s="333" t="s">
        <v>697</v>
      </c>
      <c r="G9" s="411"/>
      <c r="H9" s="411"/>
      <c r="I9" s="411"/>
      <c r="K9" s="1"/>
      <c r="L9" s="3"/>
      <c r="Q9" s="265"/>
      <c r="R9" s="265"/>
    </row>
    <row r="10" spans="1:21" ht="15.6" x14ac:dyDescent="0.3">
      <c r="A10" s="709">
        <v>2</v>
      </c>
      <c r="B10" s="151">
        <v>44094</v>
      </c>
      <c r="C10" s="411"/>
      <c r="D10" s="411"/>
      <c r="E10" s="411"/>
      <c r="F10" s="333" t="s">
        <v>697</v>
      </c>
      <c r="G10" s="411"/>
      <c r="H10" s="411"/>
      <c r="I10" s="411"/>
      <c r="K10" s="1"/>
      <c r="L10" s="3"/>
      <c r="Q10" s="265"/>
      <c r="R10" s="265"/>
    </row>
    <row r="11" spans="1:21" ht="15.6" x14ac:dyDescent="0.3">
      <c r="A11" s="709">
        <v>3</v>
      </c>
      <c r="B11" s="151">
        <v>44124</v>
      </c>
      <c r="C11" s="411"/>
      <c r="D11" s="411"/>
      <c r="E11" s="411"/>
      <c r="F11" s="333" t="s">
        <v>697</v>
      </c>
      <c r="G11" s="411"/>
      <c r="H11" s="411"/>
      <c r="I11" s="411"/>
      <c r="K11" s="1"/>
      <c r="L11" s="3"/>
      <c r="Q11" s="265"/>
      <c r="R11" s="265"/>
    </row>
    <row r="12" spans="1:21" ht="18.600000000000001" x14ac:dyDescent="0.3">
      <c r="A12" s="645">
        <v>4</v>
      </c>
      <c r="B12" s="151">
        <f>'Input Data'!C7</f>
        <v>44136</v>
      </c>
      <c r="C12" s="151"/>
      <c r="D12" s="151" t="s">
        <v>366</v>
      </c>
      <c r="E12" s="151"/>
      <c r="F12" s="151" t="str">
        <f>'Ex B-1 1 of 7'!C15</f>
        <v>2020-00309</v>
      </c>
      <c r="G12" s="151"/>
      <c r="H12" s="412">
        <f>VLOOKUP($B12,'Sales Volumes'!$A$1:$H$150,2,FALSE)</f>
        <v>1919239</v>
      </c>
      <c r="I12" s="413">
        <v>1</v>
      </c>
      <c r="J12" s="414">
        <f>VLOOKUP($B12,'Sales Volumes'!$A$1:$H$150,4,FALSE)</f>
        <v>862002.4</v>
      </c>
      <c r="K12" s="413">
        <v>2</v>
      </c>
      <c r="L12" s="415">
        <f>VLOOKUP(F12,'Case Database'!C3:E200,2)</f>
        <v>3.5640000000000001</v>
      </c>
      <c r="M12" s="161">
        <f>'Ex B-1 3 of 7'!L13</f>
        <v>0</v>
      </c>
      <c r="N12" s="161">
        <f>ROUND(J12*L12,0)+M12</f>
        <v>3072177</v>
      </c>
      <c r="Q12" s="265"/>
      <c r="R12" s="265"/>
    </row>
    <row r="13" spans="1:21" ht="18.600000000000001" x14ac:dyDescent="0.3">
      <c r="A13" s="645">
        <v>5</v>
      </c>
      <c r="B13" s="151">
        <f>EDATE(B12,1)</f>
        <v>44166</v>
      </c>
      <c r="C13" s="151"/>
      <c r="D13" s="151"/>
      <c r="E13" s="151"/>
      <c r="F13" s="151" t="str">
        <f>F12</f>
        <v>2020-00309</v>
      </c>
      <c r="G13" s="151"/>
      <c r="H13" s="412">
        <f>VLOOKUP($B13,'Sales Volumes'!$A$1:$H$150,2,FALSE)</f>
        <v>3979897.4</v>
      </c>
      <c r="I13" s="416"/>
      <c r="J13" s="414">
        <f>H13</f>
        <v>3979897.4</v>
      </c>
      <c r="K13" s="198"/>
      <c r="L13" s="415">
        <f>$L$12</f>
        <v>3.5640000000000001</v>
      </c>
      <c r="M13" s="161">
        <f>'Ex B-1 3 of 7'!L14</f>
        <v>0</v>
      </c>
      <c r="N13" s="161">
        <f>ROUND(J13*L13,0)+M13</f>
        <v>14184354</v>
      </c>
      <c r="Q13" s="265"/>
      <c r="R13" s="265"/>
    </row>
    <row r="14" spans="1:21" ht="18.600000000000001" x14ac:dyDescent="0.3">
      <c r="A14" s="645">
        <v>6</v>
      </c>
      <c r="B14" s="151">
        <f>EDATE(B13,1)</f>
        <v>44197</v>
      </c>
      <c r="C14" s="151"/>
      <c r="D14" s="151"/>
      <c r="E14" s="151"/>
      <c r="F14" s="151" t="str">
        <f>F12</f>
        <v>2020-00309</v>
      </c>
      <c r="G14" s="151"/>
      <c r="H14" s="412">
        <f>VLOOKUP($B14,'Sales Volumes'!$A$1:$H$150,2,FALSE)</f>
        <v>5828853.2000000002</v>
      </c>
      <c r="I14" s="416"/>
      <c r="J14" s="414">
        <f>H14</f>
        <v>5828853.2000000002</v>
      </c>
      <c r="K14" s="198"/>
      <c r="L14" s="415">
        <f>$L$12</f>
        <v>3.5640000000000001</v>
      </c>
      <c r="M14" s="161">
        <f>'Ex B-1 3 of 7'!L15</f>
        <v>0</v>
      </c>
      <c r="N14" s="161">
        <f>ROUND(J14*L14,0)+M14</f>
        <v>20774033</v>
      </c>
      <c r="Q14" s="265"/>
      <c r="R14" s="265"/>
    </row>
    <row r="15" spans="1:21" ht="18.600000000000001" x14ac:dyDescent="0.3">
      <c r="A15" s="645">
        <v>7</v>
      </c>
      <c r="B15" s="151">
        <f>EDATE(B14,1)</f>
        <v>44228</v>
      </c>
      <c r="C15" s="151"/>
      <c r="D15" s="151" t="s">
        <v>366</v>
      </c>
      <c r="E15" s="151"/>
      <c r="F15" s="151" t="str">
        <f>F12</f>
        <v>2020-00309</v>
      </c>
      <c r="G15" s="151"/>
      <c r="H15" s="412">
        <f>VLOOKUP($B15,'Sales Volumes'!$A$1:$H$150,2,FALSE)</f>
        <v>6106907.0999999996</v>
      </c>
      <c r="I15" s="413">
        <v>1</v>
      </c>
      <c r="J15" s="417">
        <f>VLOOKUP($B15,'Sales Volumes'!$A$1:$H$150,3,FALSE)</f>
        <v>3239192.3</v>
      </c>
      <c r="K15" s="413">
        <v>2</v>
      </c>
      <c r="L15" s="415">
        <f>$L$12</f>
        <v>3.5640000000000001</v>
      </c>
      <c r="M15" s="418"/>
      <c r="N15" s="419">
        <f>ROUND(J15*L15,0)+M15</f>
        <v>11544481</v>
      </c>
    </row>
    <row r="16" spans="1:21" ht="18" customHeight="1" x14ac:dyDescent="0.3">
      <c r="A16" s="645">
        <v>8</v>
      </c>
      <c r="I16" s="1"/>
      <c r="J16" s="420">
        <f>SUM(J12:J15)</f>
        <v>13909945.300000001</v>
      </c>
      <c r="K16" s="421"/>
      <c r="L16" s="55"/>
      <c r="M16" s="161">
        <f>SUM(M12:M15)</f>
        <v>0</v>
      </c>
      <c r="N16" s="161">
        <f>SUM(N12:N15)</f>
        <v>49575045</v>
      </c>
    </row>
    <row r="17" spans="1:14" ht="16.5" customHeight="1" x14ac:dyDescent="0.3">
      <c r="I17" s="1"/>
      <c r="K17" s="3"/>
      <c r="L17" s="3"/>
    </row>
    <row r="18" spans="1:14" ht="15.6" x14ac:dyDescent="0.3">
      <c r="K18" s="3"/>
      <c r="L18" s="3"/>
    </row>
    <row r="19" spans="1:14" ht="51.75" customHeight="1" x14ac:dyDescent="0.3">
      <c r="D19" s="147" t="s">
        <v>469</v>
      </c>
      <c r="E19" s="413">
        <v>3</v>
      </c>
      <c r="F19" s="147" t="s">
        <v>463</v>
      </c>
      <c r="G19" s="413">
        <v>4</v>
      </c>
      <c r="H19" s="147" t="s">
        <v>267</v>
      </c>
      <c r="J19" s="147" t="s">
        <v>268</v>
      </c>
    </row>
    <row r="20" spans="1:14" ht="31.2" x14ac:dyDescent="0.3">
      <c r="D20" s="409" t="s">
        <v>113</v>
      </c>
      <c r="E20" s="409"/>
      <c r="F20" s="409" t="s">
        <v>377</v>
      </c>
      <c r="G20" s="409"/>
      <c r="H20" s="409" t="s">
        <v>367</v>
      </c>
      <c r="J20" s="422" t="s">
        <v>480</v>
      </c>
      <c r="K20" s="265"/>
      <c r="L20" s="265"/>
      <c r="M20" s="265"/>
      <c r="N20" s="265"/>
    </row>
    <row r="21" spans="1:14" ht="16.5" customHeight="1" x14ac:dyDescent="0.3">
      <c r="K21" s="265"/>
      <c r="L21" s="265"/>
      <c r="M21" s="265"/>
      <c r="N21" s="265"/>
    </row>
    <row r="22" spans="1:14" ht="16.5" customHeight="1" x14ac:dyDescent="0.3">
      <c r="A22" s="717">
        <v>9</v>
      </c>
      <c r="B22" s="151">
        <v>44044</v>
      </c>
      <c r="F22" s="161">
        <f>'Ex B-1 4 of 7'!N15</f>
        <v>970</v>
      </c>
      <c r="G22" s="431">
        <v>5</v>
      </c>
      <c r="J22" s="219">
        <f>N9+D22+F22+H22</f>
        <v>970</v>
      </c>
      <c r="K22" s="265"/>
      <c r="L22" s="265"/>
      <c r="M22" s="265"/>
      <c r="N22" s="265"/>
    </row>
    <row r="23" spans="1:14" ht="16.5" customHeight="1" x14ac:dyDescent="0.3">
      <c r="A23" s="717">
        <v>10</v>
      </c>
      <c r="B23" s="151">
        <v>44094</v>
      </c>
      <c r="F23" s="161">
        <f>'Ex B-1 4 of 7'!N16</f>
        <v>2014</v>
      </c>
      <c r="G23" s="431">
        <v>5</v>
      </c>
      <c r="J23" s="161">
        <f t="shared" ref="J23:J24" si="0">N10+D23+F23+H23</f>
        <v>2014</v>
      </c>
      <c r="K23" s="265"/>
      <c r="L23" s="265"/>
      <c r="M23" s="265"/>
      <c r="N23" s="265"/>
    </row>
    <row r="24" spans="1:14" ht="16.5" customHeight="1" x14ac:dyDescent="0.3">
      <c r="A24" s="717">
        <v>11</v>
      </c>
      <c r="B24" s="151">
        <v>44124</v>
      </c>
      <c r="F24" s="161">
        <f>'Ex B-1 4 of 7'!N17</f>
        <v>73</v>
      </c>
      <c r="G24" s="431">
        <v>5</v>
      </c>
      <c r="J24" s="161">
        <f t="shared" si="0"/>
        <v>73</v>
      </c>
      <c r="K24" s="265"/>
      <c r="L24" s="265"/>
      <c r="M24" s="265"/>
      <c r="N24" s="265"/>
    </row>
    <row r="25" spans="1:14" ht="18.75" customHeight="1" x14ac:dyDescent="0.3">
      <c r="A25" s="339">
        <v>12</v>
      </c>
      <c r="B25" s="151">
        <f>B12</f>
        <v>44136</v>
      </c>
      <c r="D25" s="161">
        <f>'Ex B-1 3 of 7'!N13</f>
        <v>61033</v>
      </c>
      <c r="F25" s="161">
        <f>'Ex B-1 4 of 7'!N18</f>
        <v>44876</v>
      </c>
      <c r="G25" s="161"/>
      <c r="H25" s="161">
        <f>'Input Data'!C74</f>
        <v>0</v>
      </c>
      <c r="J25" s="161">
        <f>N12+D25+F25+H25</f>
        <v>3178086</v>
      </c>
      <c r="K25" s="265"/>
      <c r="L25" s="265"/>
      <c r="M25" s="265"/>
      <c r="N25" s="265"/>
    </row>
    <row r="26" spans="1:14" ht="18.75" customHeight="1" x14ac:dyDescent="0.3">
      <c r="A26" s="339">
        <v>13</v>
      </c>
      <c r="B26" s="151">
        <f>B13</f>
        <v>44166</v>
      </c>
      <c r="D26" s="161">
        <f>'Ex B-1 3 of 7'!N14</f>
        <v>37945</v>
      </c>
      <c r="E26" s="423"/>
      <c r="F26" s="161">
        <f>'Ex B-1 4 of 7'!N19</f>
        <v>386358</v>
      </c>
      <c r="G26" s="161"/>
      <c r="H26" s="161">
        <f>'Input Data'!D74</f>
        <v>0</v>
      </c>
      <c r="J26" s="161">
        <f>N13+D26+F26+H26</f>
        <v>14608657</v>
      </c>
      <c r="K26" s="265"/>
      <c r="L26" s="265"/>
      <c r="M26" s="265"/>
      <c r="N26" s="265"/>
    </row>
    <row r="27" spans="1:14" ht="18.75" customHeight="1" x14ac:dyDescent="0.3">
      <c r="A27" s="339">
        <v>14</v>
      </c>
      <c r="B27" s="151">
        <f>B14</f>
        <v>44197</v>
      </c>
      <c r="D27" s="161">
        <f>'Ex B-1 3 of 7'!N15</f>
        <v>19575</v>
      </c>
      <c r="E27" s="423"/>
      <c r="F27" s="161">
        <f>'Ex B-1 4 of 7'!N20</f>
        <v>215218</v>
      </c>
      <c r="G27" s="161"/>
      <c r="H27" s="161">
        <f>'Input Data'!E74</f>
        <v>1285886.7</v>
      </c>
      <c r="J27" s="161">
        <f>N14+D27+F27+H27</f>
        <v>22294712.699999999</v>
      </c>
      <c r="K27" s="265"/>
      <c r="L27" s="265"/>
      <c r="M27" s="265"/>
      <c r="N27" s="265"/>
    </row>
    <row r="28" spans="1:14" ht="18.75" customHeight="1" x14ac:dyDescent="0.3">
      <c r="A28" s="339">
        <v>15</v>
      </c>
      <c r="B28" s="151">
        <f>B15</f>
        <v>44228</v>
      </c>
      <c r="D28" s="424"/>
      <c r="E28" s="425"/>
      <c r="F28" s="426"/>
      <c r="G28" s="427"/>
      <c r="H28" s="428"/>
      <c r="J28" s="419">
        <f>N15+D28+F28+H28</f>
        <v>11544481</v>
      </c>
      <c r="K28" s="265"/>
      <c r="L28" s="265"/>
      <c r="M28" s="265"/>
      <c r="N28" s="265"/>
    </row>
    <row r="29" spans="1:14" ht="18.75" customHeight="1" x14ac:dyDescent="0.3">
      <c r="A29" s="339">
        <v>16</v>
      </c>
      <c r="B29" s="151"/>
      <c r="D29" s="161">
        <f>SUM(D25:D28)</f>
        <v>118553</v>
      </c>
      <c r="E29" s="162"/>
      <c r="F29" s="161">
        <f>SUM(F22:F28)</f>
        <v>649509</v>
      </c>
      <c r="G29" s="161"/>
      <c r="H29" s="161">
        <f>SUM(H25:H28)</f>
        <v>1285886.7</v>
      </c>
      <c r="J29" s="161">
        <f>SUM(J22:J28)</f>
        <v>51628993.700000003</v>
      </c>
      <c r="K29" s="265"/>
      <c r="L29" s="265"/>
      <c r="M29" s="265"/>
      <c r="N29" s="265"/>
    </row>
    <row r="30" spans="1:14" ht="16.5" customHeight="1" x14ac:dyDescent="0.3">
      <c r="H30" s="429"/>
      <c r="K30" s="3"/>
      <c r="L30" s="3"/>
      <c r="N30" s="430"/>
    </row>
    <row r="31" spans="1:14" ht="16.5" customHeight="1" x14ac:dyDescent="0.3">
      <c r="K31" s="3"/>
      <c r="L31" s="3"/>
      <c r="N31" s="430"/>
    </row>
    <row r="32" spans="1:14" ht="18.600000000000001" x14ac:dyDescent="0.3">
      <c r="A32" s="431">
        <v>1</v>
      </c>
      <c r="B32" s="3" t="s">
        <v>481</v>
      </c>
      <c r="C32" s="3"/>
      <c r="D32" s="3"/>
      <c r="E32" s="3"/>
      <c r="F32" s="3"/>
      <c r="G32" s="3"/>
      <c r="H32" s="3"/>
      <c r="K32" s="3"/>
      <c r="L32" s="3"/>
      <c r="N32" s="430"/>
    </row>
    <row r="33" spans="1:21" ht="18.600000000000001" x14ac:dyDescent="0.3">
      <c r="A33" s="431">
        <v>2</v>
      </c>
      <c r="B33" s="3" t="s">
        <v>482</v>
      </c>
      <c r="C33" s="3"/>
      <c r="D33" s="3"/>
      <c r="E33" s="3"/>
      <c r="F33" s="3"/>
      <c r="G33" s="3"/>
      <c r="H33" s="3"/>
      <c r="K33" s="3"/>
      <c r="L33" s="3"/>
      <c r="N33" s="430"/>
    </row>
    <row r="34" spans="1:21" ht="18.600000000000001" x14ac:dyDescent="0.3">
      <c r="A34" s="431">
        <v>3</v>
      </c>
      <c r="B34" s="3" t="s">
        <v>483</v>
      </c>
      <c r="C34" s="3"/>
      <c r="D34" s="3"/>
      <c r="E34" s="3"/>
      <c r="F34" s="3"/>
      <c r="G34" s="3"/>
      <c r="H34" s="3"/>
      <c r="K34" s="3"/>
      <c r="L34" s="3"/>
      <c r="N34" s="430"/>
    </row>
    <row r="35" spans="1:21" ht="18.600000000000001" x14ac:dyDescent="0.3">
      <c r="A35" s="431">
        <v>4</v>
      </c>
      <c r="B35" s="3" t="s">
        <v>484</v>
      </c>
      <c r="C35" s="3"/>
      <c r="D35" s="3"/>
      <c r="E35" s="3"/>
      <c r="F35" s="3"/>
      <c r="G35" s="3"/>
      <c r="H35" s="3"/>
      <c r="I35" s="3"/>
      <c r="J35" s="3"/>
      <c r="K35" s="3"/>
      <c r="L35" s="3"/>
      <c r="Q35" s="265"/>
      <c r="R35" s="265"/>
      <c r="S35" s="265"/>
      <c r="T35" s="265"/>
      <c r="U35" s="265"/>
    </row>
    <row r="36" spans="1:21" ht="20.100000000000001" customHeight="1" x14ac:dyDescent="0.3">
      <c r="A36" s="431">
        <v>5</v>
      </c>
      <c r="B36" s="13" t="s">
        <v>820</v>
      </c>
      <c r="C36" s="13"/>
      <c r="D36" s="13"/>
      <c r="E36" s="13"/>
      <c r="F36" s="13"/>
      <c r="G36" s="13"/>
      <c r="H36" s="13"/>
      <c r="I36" s="13"/>
      <c r="J36" s="3"/>
      <c r="K36" s="3"/>
      <c r="L36" s="3"/>
    </row>
    <row r="37" spans="1:21" ht="20.100000000000001" customHeight="1" x14ac:dyDescent="0.3">
      <c r="I37" s="3"/>
      <c r="J37" s="3"/>
      <c r="K37" s="3"/>
      <c r="L37" s="3"/>
    </row>
    <row r="38" spans="1:21" ht="20.100000000000001" customHeight="1" x14ac:dyDescent="0.3">
      <c r="I38" s="3"/>
      <c r="J38" s="3"/>
      <c r="K38" s="3"/>
      <c r="L38" s="3"/>
    </row>
    <row r="39" spans="1:21" ht="20.100000000000001" customHeight="1" x14ac:dyDescent="0.3">
      <c r="I39" s="3"/>
      <c r="J39" s="3"/>
      <c r="K39" s="3"/>
      <c r="L39" s="3"/>
    </row>
    <row r="40" spans="1:21" ht="20.100000000000001" customHeight="1" x14ac:dyDescent="0.3">
      <c r="A40" s="3"/>
      <c r="B40" s="3"/>
      <c r="C40" s="3"/>
      <c r="D40" s="3"/>
      <c r="E40" s="3"/>
      <c r="F40" s="3"/>
      <c r="G40" s="3"/>
      <c r="H40" s="3"/>
      <c r="I40" s="3"/>
      <c r="J40" s="3"/>
      <c r="K40" s="3"/>
      <c r="L40" s="3"/>
    </row>
    <row r="41" spans="1:21" ht="20.100000000000001" customHeight="1" x14ac:dyDescent="0.3">
      <c r="A41" s="3"/>
      <c r="B41" s="3"/>
      <c r="C41" s="3"/>
      <c r="D41" s="3"/>
      <c r="E41" s="3"/>
      <c r="F41" s="3"/>
      <c r="G41" s="3"/>
      <c r="H41" s="3"/>
      <c r="I41" s="3"/>
      <c r="J41" s="3"/>
    </row>
    <row r="42" spans="1:21" ht="15.6" x14ac:dyDescent="0.3">
      <c r="A42" s="3"/>
      <c r="B42" s="3"/>
      <c r="C42" s="3"/>
      <c r="D42" s="3"/>
      <c r="E42" s="3"/>
      <c r="F42" s="3"/>
      <c r="G42" s="3"/>
      <c r="H42" s="3"/>
      <c r="I42" s="3"/>
      <c r="J42" s="3"/>
    </row>
    <row r="43" spans="1:21" ht="15.6" x14ac:dyDescent="0.3">
      <c r="A43" s="3"/>
      <c r="B43" s="3"/>
      <c r="C43" s="3"/>
      <c r="D43" s="3"/>
      <c r="E43" s="3"/>
      <c r="F43" s="3"/>
      <c r="G43" s="3"/>
      <c r="H43" s="3"/>
      <c r="I43" s="3"/>
      <c r="J43" s="3"/>
    </row>
    <row r="44" spans="1:21" ht="15.6" x14ac:dyDescent="0.3">
      <c r="A44" s="3"/>
      <c r="B44" s="3"/>
      <c r="C44" s="3"/>
      <c r="D44" s="3"/>
      <c r="E44" s="3"/>
      <c r="F44" s="3"/>
      <c r="G44" s="3"/>
      <c r="H44" s="3"/>
      <c r="I44" s="3"/>
    </row>
    <row r="45" spans="1:21" ht="21" customHeight="1" x14ac:dyDescent="0.3">
      <c r="A45" s="3"/>
    </row>
    <row r="46" spans="1:21" ht="21.75" customHeight="1" x14ac:dyDescent="0.3">
      <c r="K46" s="3"/>
      <c r="L46" s="3"/>
    </row>
    <row r="47" spans="1:21" ht="15.6" x14ac:dyDescent="0.3">
      <c r="K47" s="3"/>
      <c r="L47" s="3"/>
    </row>
    <row r="48" spans="1:21" ht="15.6" x14ac:dyDescent="0.3">
      <c r="A48" s="3"/>
      <c r="B48" s="11"/>
      <c r="C48" s="11"/>
      <c r="D48" s="11"/>
      <c r="E48" s="11"/>
      <c r="F48" s="11"/>
      <c r="G48" s="11"/>
      <c r="H48" s="11"/>
      <c r="I48" s="11"/>
    </row>
    <row r="49" spans="1:9" ht="15.6" x14ac:dyDescent="0.3">
      <c r="A49" s="3"/>
      <c r="B49" s="13"/>
      <c r="C49" s="13"/>
      <c r="D49" s="13"/>
      <c r="E49" s="13"/>
      <c r="F49" s="13"/>
      <c r="G49" s="13"/>
      <c r="H49" s="13"/>
      <c r="I49" s="13"/>
    </row>
    <row r="50" spans="1:9" ht="15.6" x14ac:dyDescent="0.3">
      <c r="A50" s="3"/>
      <c r="B50" s="3"/>
      <c r="C50" s="3"/>
      <c r="D50" s="3"/>
      <c r="E50" s="3"/>
      <c r="F50" s="3"/>
      <c r="G50" s="3"/>
      <c r="H50" s="3"/>
      <c r="I50" s="3"/>
    </row>
    <row r="51" spans="1:9" ht="15.6" x14ac:dyDescent="0.3">
      <c r="A51" s="3"/>
      <c r="B51" s="3"/>
      <c r="C51" s="3"/>
      <c r="D51" s="3"/>
      <c r="E51" s="3"/>
      <c r="F51" s="3"/>
      <c r="G51" s="3"/>
      <c r="H51" s="3"/>
      <c r="I51" s="3"/>
    </row>
    <row r="52" spans="1:9" ht="15.6" x14ac:dyDescent="0.3">
      <c r="A52" s="3"/>
      <c r="B52" s="3"/>
      <c r="C52" s="3"/>
      <c r="D52" s="3"/>
      <c r="E52" s="3"/>
      <c r="F52" s="3"/>
      <c r="G52" s="3"/>
      <c r="H52" s="3"/>
      <c r="I52" s="3"/>
    </row>
    <row r="53" spans="1:9" ht="15.6" x14ac:dyDescent="0.3">
      <c r="A53" s="3"/>
      <c r="B53" s="3"/>
      <c r="C53" s="3"/>
      <c r="D53" s="3"/>
      <c r="E53" s="3"/>
      <c r="F53" s="3"/>
      <c r="G53" s="3"/>
      <c r="H53" s="3"/>
      <c r="I53" s="3"/>
    </row>
    <row r="54" spans="1:9" ht="15.6" x14ac:dyDescent="0.3">
      <c r="A54" s="3"/>
      <c r="B54" s="3"/>
      <c r="C54" s="3"/>
      <c r="D54" s="3"/>
      <c r="E54" s="3"/>
      <c r="F54" s="3"/>
      <c r="G54" s="3"/>
      <c r="H54" s="3"/>
      <c r="I54" s="3"/>
    </row>
    <row r="55" spans="1:9" ht="15.6" x14ac:dyDescent="0.3">
      <c r="A55" s="3"/>
      <c r="B55" s="3"/>
      <c r="C55" s="3"/>
      <c r="D55" s="3"/>
      <c r="E55" s="3"/>
      <c r="F55" s="3"/>
      <c r="G55" s="3"/>
      <c r="H55" s="3"/>
      <c r="I55" s="3"/>
    </row>
    <row r="56" spans="1:9" ht="15.6" x14ac:dyDescent="0.3">
      <c r="A56" s="3"/>
      <c r="B56" s="3"/>
      <c r="C56" s="3"/>
      <c r="D56" s="3"/>
      <c r="E56" s="3"/>
      <c r="F56" s="3"/>
      <c r="G56" s="3"/>
      <c r="H56" s="3"/>
      <c r="I56" s="3"/>
    </row>
    <row r="57" spans="1:9" ht="15.6" x14ac:dyDescent="0.3">
      <c r="A57" s="3"/>
      <c r="B57" s="3"/>
      <c r="C57" s="3"/>
      <c r="D57" s="3"/>
      <c r="E57" s="3"/>
      <c r="F57" s="3"/>
      <c r="G57" s="3"/>
      <c r="H57" s="3"/>
      <c r="I57" s="3"/>
    </row>
    <row r="58" spans="1:9" ht="15.6" x14ac:dyDescent="0.3">
      <c r="A58" s="3"/>
    </row>
    <row r="59" spans="1:9" ht="15.6" x14ac:dyDescent="0.3">
      <c r="A59"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N1"/>
    </sheetView>
  </sheetViews>
  <sheetFormatPr defaultColWidth="8.90625" defaultRowHeight="15.6" x14ac:dyDescent="0.3"/>
  <cols>
    <col min="1" max="1" width="7.08984375" style="4" customWidth="1"/>
    <col min="2" max="2" width="10.453125" style="123" customWidth="1"/>
    <col min="3" max="3" width="11.90625" style="123" customWidth="1"/>
    <col min="4" max="4" width="11.1796875" style="123" customWidth="1"/>
    <col min="5" max="5" width="10.81640625" style="123" customWidth="1"/>
    <col min="6" max="6" width="11.08984375" style="123" customWidth="1"/>
    <col min="7" max="7" width="9.90625" style="123" bestFit="1" customWidth="1"/>
    <col min="8" max="8" width="8.90625" style="123"/>
    <col min="9" max="9" width="9.90625" style="123" bestFit="1" customWidth="1"/>
    <col min="10" max="11" width="9.90625" style="123" customWidth="1"/>
    <col min="12" max="12" width="10.6328125" style="123" customWidth="1"/>
    <col min="13" max="13" width="10.1796875" style="123" customWidth="1"/>
    <col min="14" max="14" width="13.54296875" style="123" customWidth="1"/>
    <col min="15" max="15" width="13.90625" style="123" customWidth="1"/>
    <col min="16" max="16384" width="8.90625" style="123"/>
  </cols>
  <sheetData>
    <row r="1" spans="1:18" ht="17.399999999999999" x14ac:dyDescent="0.3">
      <c r="A1" s="773" t="s">
        <v>5</v>
      </c>
      <c r="B1" s="773"/>
      <c r="C1" s="773"/>
      <c r="D1" s="773"/>
      <c r="E1" s="773"/>
      <c r="F1" s="773"/>
      <c r="G1" s="773"/>
      <c r="H1" s="773"/>
      <c r="I1" s="773"/>
      <c r="J1" s="773"/>
      <c r="K1" s="773"/>
      <c r="L1" s="773"/>
      <c r="M1" s="773"/>
      <c r="N1" s="773"/>
      <c r="O1" s="330"/>
      <c r="P1" s="330"/>
      <c r="Q1" s="330"/>
      <c r="R1" s="330"/>
    </row>
    <row r="2" spans="1:18" ht="18" x14ac:dyDescent="0.35">
      <c r="A2" s="774" t="s">
        <v>299</v>
      </c>
      <c r="B2" s="774"/>
      <c r="C2" s="774"/>
      <c r="D2" s="774"/>
      <c r="E2" s="774"/>
      <c r="F2" s="774"/>
      <c r="G2" s="774"/>
      <c r="H2" s="774"/>
      <c r="I2" s="774"/>
      <c r="J2" s="774"/>
      <c r="K2" s="774"/>
      <c r="L2" s="774"/>
      <c r="M2" s="774"/>
      <c r="N2" s="774"/>
      <c r="O2" s="267"/>
      <c r="P2" s="267"/>
      <c r="Q2" s="267"/>
      <c r="R2" s="267"/>
    </row>
    <row r="3" spans="1:18" ht="18" x14ac:dyDescent="0.35">
      <c r="A3" s="774" t="s">
        <v>457</v>
      </c>
      <c r="B3" s="774"/>
      <c r="C3" s="774"/>
      <c r="D3" s="774"/>
      <c r="E3" s="774"/>
      <c r="F3" s="774"/>
      <c r="G3" s="774"/>
      <c r="H3" s="774"/>
      <c r="I3" s="774"/>
      <c r="J3" s="774"/>
      <c r="K3" s="774"/>
      <c r="L3" s="774"/>
      <c r="M3" s="774"/>
      <c r="N3" s="774"/>
      <c r="O3" s="267"/>
      <c r="P3" s="267"/>
      <c r="Q3" s="267"/>
      <c r="R3" s="267"/>
    </row>
    <row r="4" spans="1:18" ht="18" x14ac:dyDescent="0.35">
      <c r="A4" s="774" t="str">
        <f>CONCATENATE("For Service Rendered On and After ",'Input Data'!$D$4)</f>
        <v>For Service Rendered On and After May 1, 2021</v>
      </c>
      <c r="B4" s="774"/>
      <c r="C4" s="774"/>
      <c r="D4" s="774"/>
      <c r="E4" s="774"/>
      <c r="F4" s="774"/>
      <c r="G4" s="774"/>
      <c r="H4" s="774"/>
      <c r="I4" s="774"/>
      <c r="J4" s="774"/>
      <c r="K4" s="774"/>
      <c r="L4" s="774"/>
      <c r="M4" s="774"/>
      <c r="N4" s="774"/>
      <c r="O4" s="267"/>
      <c r="P4" s="267"/>
      <c r="Q4" s="267"/>
      <c r="R4" s="267"/>
    </row>
    <row r="5" spans="1:18" x14ac:dyDescent="0.3">
      <c r="B5" s="334"/>
      <c r="C5" s="334"/>
      <c r="D5" s="334"/>
      <c r="E5" s="334"/>
      <c r="F5" s="334"/>
      <c r="G5" s="334"/>
      <c r="H5" s="334"/>
      <c r="I5" s="334"/>
      <c r="J5" s="334"/>
      <c r="K5" s="334"/>
      <c r="L5" s="334"/>
      <c r="M5" s="334"/>
      <c r="N5" s="334"/>
      <c r="O5" s="334"/>
      <c r="P5" s="334"/>
      <c r="Q5" s="334"/>
      <c r="R5" s="334"/>
    </row>
    <row r="6" spans="1:18" x14ac:dyDescent="0.3">
      <c r="B6" s="334"/>
      <c r="C6" s="334"/>
      <c r="D6" s="334"/>
      <c r="E6" s="334"/>
      <c r="F6" s="334"/>
      <c r="G6" s="334"/>
      <c r="H6" s="334"/>
      <c r="I6" s="334"/>
      <c r="J6" s="334"/>
      <c r="K6" s="334"/>
      <c r="L6" s="334"/>
      <c r="M6" s="334"/>
      <c r="N6" s="334"/>
      <c r="O6" s="334"/>
      <c r="P6" s="334"/>
      <c r="Q6" s="334"/>
      <c r="R6" s="334"/>
    </row>
    <row r="7" spans="1:18" x14ac:dyDescent="0.3">
      <c r="B7" s="4"/>
      <c r="C7" s="4"/>
      <c r="D7" s="4"/>
      <c r="E7" s="4"/>
      <c r="F7" s="4"/>
      <c r="G7" s="4"/>
      <c r="H7" s="4"/>
      <c r="I7" s="4"/>
      <c r="J7" s="4"/>
      <c r="K7" s="4"/>
      <c r="L7" s="4"/>
      <c r="M7" s="4"/>
      <c r="N7" s="4"/>
      <c r="O7" s="4"/>
      <c r="P7" s="4"/>
    </row>
    <row r="8" spans="1:18" x14ac:dyDescent="0.3">
      <c r="B8" s="4"/>
      <c r="C8" s="4"/>
      <c r="D8" s="333"/>
      <c r="E8" s="4"/>
      <c r="F8" s="4"/>
      <c r="G8" s="4"/>
      <c r="H8" s="4"/>
      <c r="I8" s="4"/>
      <c r="J8" s="4"/>
      <c r="K8" s="4"/>
      <c r="L8" s="4"/>
      <c r="M8" s="4"/>
      <c r="N8" s="4"/>
      <c r="O8" s="4"/>
      <c r="P8" s="333"/>
    </row>
    <row r="9" spans="1:18" x14ac:dyDescent="0.3">
      <c r="A9" s="333"/>
      <c r="B9" s="333"/>
      <c r="C9" s="333"/>
      <c r="D9" s="333"/>
      <c r="E9" s="333"/>
      <c r="F9" s="333"/>
      <c r="G9" s="333"/>
      <c r="H9" s="333"/>
      <c r="I9" s="179"/>
      <c r="J9" s="179"/>
      <c r="K9" s="179"/>
      <c r="L9" s="179"/>
      <c r="M9" s="333"/>
    </row>
    <row r="10" spans="1:18" ht="78" x14ac:dyDescent="0.3">
      <c r="A10" s="165" t="s">
        <v>249</v>
      </c>
      <c r="B10" s="320" t="s">
        <v>350</v>
      </c>
      <c r="C10" s="320" t="s">
        <v>0</v>
      </c>
      <c r="D10" s="329" t="s">
        <v>466</v>
      </c>
      <c r="E10" s="320" t="s">
        <v>467</v>
      </c>
      <c r="F10" s="328" t="s">
        <v>462</v>
      </c>
      <c r="G10" s="320" t="s">
        <v>458</v>
      </c>
      <c r="H10" s="320" t="s">
        <v>470</v>
      </c>
      <c r="I10" s="320" t="s">
        <v>459</v>
      </c>
      <c r="J10" s="320" t="s">
        <v>499</v>
      </c>
      <c r="K10" s="320" t="s">
        <v>471</v>
      </c>
      <c r="L10" s="320" t="s">
        <v>465</v>
      </c>
      <c r="M10" s="320" t="s">
        <v>460</v>
      </c>
      <c r="N10" s="320" t="s">
        <v>461</v>
      </c>
    </row>
    <row r="11" spans="1:18" ht="46.8" x14ac:dyDescent="0.3">
      <c r="B11" s="333" t="s">
        <v>60</v>
      </c>
      <c r="C11" s="333" t="s">
        <v>61</v>
      </c>
      <c r="D11" s="333" t="s">
        <v>62</v>
      </c>
      <c r="E11" s="432">
        <v>-4</v>
      </c>
      <c r="F11" s="433" t="s">
        <v>489</v>
      </c>
      <c r="G11" s="432">
        <v>-6</v>
      </c>
      <c r="H11" s="433">
        <v>-7</v>
      </c>
      <c r="I11" s="433" t="s">
        <v>111</v>
      </c>
      <c r="J11" s="432">
        <v>-9</v>
      </c>
      <c r="K11" s="432" t="s">
        <v>113</v>
      </c>
      <c r="L11" s="432" t="s">
        <v>377</v>
      </c>
      <c r="M11" s="432" t="s">
        <v>367</v>
      </c>
      <c r="N11" s="434" t="s">
        <v>472</v>
      </c>
    </row>
    <row r="12" spans="1:18" x14ac:dyDescent="0.3">
      <c r="B12" s="333"/>
      <c r="C12" s="166"/>
      <c r="D12" s="333"/>
      <c r="E12" s="435"/>
      <c r="G12" s="436"/>
      <c r="H12" s="436"/>
      <c r="I12" s="436"/>
      <c r="J12" s="436"/>
      <c r="K12" s="436"/>
      <c r="L12" s="436"/>
      <c r="M12" s="436"/>
      <c r="N12" s="18"/>
    </row>
    <row r="13" spans="1:18" x14ac:dyDescent="0.3">
      <c r="A13" s="333">
        <v>1</v>
      </c>
      <c r="B13" s="283">
        <f>'Input Data'!C7</f>
        <v>44136</v>
      </c>
      <c r="C13" s="333" t="str">
        <f>'Ex B-1 1 of 7'!C15</f>
        <v>2020-00309</v>
      </c>
      <c r="D13" s="437">
        <f>'TS-2 Data'!B5</f>
        <v>71473.600000000006</v>
      </c>
      <c r="E13" s="656">
        <f>VLOOKUP(C13,'Case Database'!C3:K200,7)</f>
        <v>0.84940000000000004</v>
      </c>
      <c r="F13" s="438">
        <f>D13*E13</f>
        <v>60709.675840000011</v>
      </c>
      <c r="G13" s="368">
        <f>'TS-2 Data'!H5</f>
        <v>323.74</v>
      </c>
      <c r="H13" s="420">
        <f>'TS-2 Data'!P5</f>
        <v>0</v>
      </c>
      <c r="I13" s="439">
        <f>'TS-2 Data'!Q5</f>
        <v>0</v>
      </c>
      <c r="J13" s="493">
        <f>'TS-2 Data'!T5</f>
        <v>0</v>
      </c>
      <c r="K13" s="439">
        <f>'TS-2 Data'!U5</f>
        <v>0</v>
      </c>
      <c r="L13" s="441">
        <f>'Input Data'!C80</f>
        <v>0</v>
      </c>
      <c r="M13" s="441">
        <f>'TS-2 Data'!I5</f>
        <v>0</v>
      </c>
      <c r="N13" s="261">
        <f>ROUND((F13+G13+I13+K13+L13+M13),0)</f>
        <v>61033</v>
      </c>
    </row>
    <row r="14" spans="1:18" x14ac:dyDescent="0.3">
      <c r="A14" s="333">
        <v>2</v>
      </c>
      <c r="B14" s="283">
        <f>EDATE(B13,1)</f>
        <v>44166</v>
      </c>
      <c r="C14" s="333" t="str">
        <f>C13</f>
        <v>2020-00309</v>
      </c>
      <c r="D14" s="437">
        <f>'TS-2 Data'!B6</f>
        <v>44430.3</v>
      </c>
      <c r="E14" s="442">
        <f>E13</f>
        <v>0.84940000000000004</v>
      </c>
      <c r="F14" s="438">
        <f>D14*E14</f>
        <v>37739.096820000006</v>
      </c>
      <c r="G14" s="368">
        <f>'TS-2 Data'!H6</f>
        <v>205.98</v>
      </c>
      <c r="H14" s="420">
        <f>'TS-2 Data'!P6</f>
        <v>0</v>
      </c>
      <c r="I14" s="439">
        <f>'TS-2 Data'!Q6</f>
        <v>0</v>
      </c>
      <c r="J14" s="493">
        <f>'TS-2 Data'!T6</f>
        <v>0</v>
      </c>
      <c r="K14" s="439">
        <f>'TS-2 Data'!U6</f>
        <v>0</v>
      </c>
      <c r="L14" s="441">
        <f>'Input Data'!D80</f>
        <v>0</v>
      </c>
      <c r="M14" s="441">
        <f>'TS-2 Data'!I6</f>
        <v>0</v>
      </c>
      <c r="N14" s="261">
        <f>ROUND((F14+G14+I14+K14+L14+M14),0)</f>
        <v>37945</v>
      </c>
    </row>
    <row r="15" spans="1:18" x14ac:dyDescent="0.3">
      <c r="A15" s="333">
        <v>3</v>
      </c>
      <c r="B15" s="373">
        <f>EDATE(B14,1)</f>
        <v>44197</v>
      </c>
      <c r="C15" s="322" t="str">
        <f>C13</f>
        <v>2020-00309</v>
      </c>
      <c r="D15" s="443">
        <f>'TS-2 Data'!B7</f>
        <v>22918</v>
      </c>
      <c r="E15" s="444">
        <f>E13</f>
        <v>0.84940000000000004</v>
      </c>
      <c r="F15" s="445">
        <f>D15*E15</f>
        <v>19466.549200000001</v>
      </c>
      <c r="G15" s="369">
        <f>'TS-2 Data'!H7</f>
        <v>44.65</v>
      </c>
      <c r="H15" s="446">
        <f>'TS-2 Data'!P7</f>
        <v>0</v>
      </c>
      <c r="I15" s="447">
        <f>'TS-2 Data'!Q7</f>
        <v>0</v>
      </c>
      <c r="J15" s="494">
        <f>'TS-2 Data'!T7</f>
        <v>23</v>
      </c>
      <c r="K15" s="447">
        <f>'TS-2 Data'!U7</f>
        <v>63.89</v>
      </c>
      <c r="L15" s="449">
        <f>'Input Data'!E80</f>
        <v>0</v>
      </c>
      <c r="M15" s="449">
        <f>'TS-2 Data'!I7</f>
        <v>0</v>
      </c>
      <c r="N15" s="450">
        <f>ROUND((F15+G15+I15+K15+L15+M15),0)</f>
        <v>19575</v>
      </c>
    </row>
    <row r="16" spans="1:18" x14ac:dyDescent="0.3">
      <c r="B16" s="333"/>
      <c r="C16" s="333"/>
      <c r="D16" s="333"/>
      <c r="E16" s="451"/>
      <c r="F16" s="452"/>
      <c r="G16" s="451"/>
      <c r="H16" s="451"/>
      <c r="I16" s="453"/>
      <c r="J16" s="453"/>
      <c r="K16" s="453"/>
      <c r="L16" s="451"/>
      <c r="M16" s="451"/>
      <c r="N16" s="452"/>
      <c r="O16" s="104"/>
      <c r="P16" s="104"/>
      <c r="Q16" s="321"/>
      <c r="R16" s="261"/>
    </row>
    <row r="17" spans="1:18" x14ac:dyDescent="0.3">
      <c r="A17" s="333">
        <v>4</v>
      </c>
      <c r="B17" s="333"/>
      <c r="C17" s="333"/>
      <c r="D17" s="333"/>
      <c r="E17" s="451"/>
      <c r="F17" s="452"/>
      <c r="G17" s="451"/>
      <c r="H17" s="451"/>
      <c r="L17" s="451"/>
      <c r="M17" s="167" t="s">
        <v>382</v>
      </c>
      <c r="N17" s="261">
        <f>SUM(N13:N15)</f>
        <v>118553</v>
      </c>
      <c r="P17" s="167"/>
      <c r="Q17" s="161"/>
      <c r="R17" s="261"/>
    </row>
    <row r="18" spans="1:18" x14ac:dyDescent="0.3">
      <c r="B18" s="172"/>
      <c r="C18" s="4"/>
      <c r="D18" s="168"/>
      <c r="E18" s="169"/>
      <c r="F18" s="170"/>
      <c r="G18" s="169"/>
      <c r="H18" s="169"/>
      <c r="I18" s="171"/>
      <c r="J18" s="171"/>
      <c r="K18" s="171"/>
      <c r="L18" s="169"/>
      <c r="M18" s="169"/>
      <c r="N18" s="170"/>
      <c r="O18" s="40"/>
      <c r="P18" s="40"/>
      <c r="Q18" s="40"/>
      <c r="R18" s="20"/>
    </row>
    <row r="19" spans="1:18" x14ac:dyDescent="0.3">
      <c r="B19" s="172"/>
      <c r="C19" s="4"/>
      <c r="D19" s="168"/>
      <c r="E19" s="169"/>
      <c r="F19" s="170"/>
      <c r="G19" s="169"/>
      <c r="H19" s="169"/>
      <c r="I19" s="171"/>
      <c r="J19" s="171"/>
      <c r="K19" s="171"/>
      <c r="L19" s="4"/>
      <c r="M19" s="4"/>
    </row>
    <row r="20" spans="1:18" x14ac:dyDescent="0.3">
      <c r="B20" s="172"/>
      <c r="C20" s="4"/>
      <c r="D20" s="168"/>
      <c r="E20" s="169"/>
      <c r="F20" s="170"/>
      <c r="G20" s="169"/>
      <c r="H20" s="169"/>
      <c r="I20" s="171"/>
      <c r="J20" s="171"/>
      <c r="K20" s="171"/>
      <c r="L20" s="4"/>
      <c r="M20" s="4"/>
    </row>
    <row r="21" spans="1:18" x14ac:dyDescent="0.3">
      <c r="B21" s="172"/>
      <c r="C21" s="4"/>
      <c r="D21" s="168"/>
      <c r="E21" s="169"/>
      <c r="F21" s="170"/>
      <c r="G21" s="169"/>
      <c r="H21" s="169"/>
      <c r="I21" s="171"/>
      <c r="J21" s="171"/>
      <c r="K21" s="171"/>
      <c r="L21" s="4"/>
      <c r="M21" s="4"/>
    </row>
    <row r="22" spans="1:18" x14ac:dyDescent="0.3">
      <c r="B22" s="172"/>
      <c r="C22" s="4"/>
      <c r="D22" s="168"/>
      <c r="E22" s="169"/>
      <c r="F22" s="170"/>
      <c r="G22" s="169"/>
      <c r="H22" s="169"/>
      <c r="I22" s="171"/>
      <c r="J22" s="171"/>
      <c r="K22" s="171"/>
      <c r="L22" s="4"/>
      <c r="M22" s="4"/>
    </row>
    <row r="23" spans="1:18" x14ac:dyDescent="0.3">
      <c r="B23" s="172"/>
      <c r="C23" s="4"/>
      <c r="D23" s="168"/>
      <c r="E23" s="169"/>
      <c r="F23" s="170"/>
      <c r="G23" s="169"/>
      <c r="H23" s="169"/>
      <c r="I23" s="171"/>
      <c r="J23" s="171"/>
      <c r="K23" s="171"/>
      <c r="L23" s="4"/>
      <c r="M23" s="4"/>
    </row>
    <row r="24" spans="1:18" x14ac:dyDescent="0.3">
      <c r="B24" s="173" t="s">
        <v>487</v>
      </c>
      <c r="C24" s="4"/>
      <c r="D24" s="4"/>
      <c r="E24" s="4"/>
      <c r="F24" s="4"/>
      <c r="G24" s="4"/>
      <c r="H24" s="4"/>
      <c r="I24" s="4"/>
      <c r="J24" s="4"/>
      <c r="K24" s="171"/>
      <c r="L24" s="4"/>
      <c r="M24" s="4"/>
    </row>
    <row r="25" spans="1:18" x14ac:dyDescent="0.3">
      <c r="B25" s="4"/>
      <c r="C25" s="173" t="s">
        <v>488</v>
      </c>
      <c r="D25" s="4"/>
      <c r="E25" s="4"/>
      <c r="F25" s="4"/>
      <c r="G25" s="4"/>
      <c r="H25" s="4"/>
      <c r="I25" s="174"/>
      <c r="J25" s="19"/>
      <c r="K25" s="171"/>
      <c r="L25" s="4"/>
      <c r="M25" s="4"/>
    </row>
    <row r="26" spans="1:18" x14ac:dyDescent="0.3">
      <c r="B26" s="4"/>
      <c r="C26" s="4"/>
      <c r="D26" s="4"/>
      <c r="E26" s="4"/>
      <c r="F26" s="4"/>
      <c r="G26" s="4"/>
      <c r="H26" s="4"/>
      <c r="I26" s="174"/>
      <c r="J26" s="19"/>
    </row>
    <row r="27" spans="1:18" x14ac:dyDescent="0.3">
      <c r="B27" s="173" t="s">
        <v>88</v>
      </c>
      <c r="C27" s="4"/>
      <c r="D27" s="4"/>
      <c r="E27" s="4"/>
      <c r="F27" s="4"/>
      <c r="G27" s="4"/>
      <c r="H27" s="4"/>
      <c r="I27" s="174"/>
      <c r="J27" s="19"/>
    </row>
    <row r="28" spans="1:18" x14ac:dyDescent="0.3">
      <c r="B28" s="4"/>
      <c r="C28" s="173" t="s">
        <v>89</v>
      </c>
      <c r="D28" s="4"/>
      <c r="E28" s="4"/>
      <c r="F28" s="4"/>
      <c r="G28" s="4"/>
      <c r="H28" s="4"/>
      <c r="I28" s="174"/>
      <c r="J28" s="19"/>
    </row>
  </sheetData>
  <mergeCells count="4">
    <mergeCell ref="A1:N1"/>
    <mergeCell ref="A2:N2"/>
    <mergeCell ref="A3:N3"/>
    <mergeCell ref="A4:N4"/>
  </mergeCells>
  <pageMargins left="0.7" right="0.7" top="0.75" bottom="0.75" header="0.3" footer="0.3"/>
  <pageSetup scale="71" orientation="landscape" r:id="rId1"/>
  <headerFooter>
    <oddFooter>&amp;R&amp;"Times New Roman,Bold"Exhibit B-1
Page 3 of 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T67"/>
  <sheetViews>
    <sheetView zoomScale="80" zoomScaleNormal="80" workbookViewId="0">
      <selection activeCell="D7" sqref="D7"/>
    </sheetView>
  </sheetViews>
  <sheetFormatPr defaultColWidth="6.08984375" defaultRowHeight="15.6" x14ac:dyDescent="0.3"/>
  <cols>
    <col min="1" max="1" width="6.08984375" style="4"/>
    <col min="2" max="2" width="16.36328125" style="4" customWidth="1"/>
    <col min="3" max="3" width="2.453125" style="4" customWidth="1"/>
    <col min="4" max="4" width="18.81640625" style="4" customWidth="1"/>
    <col min="5" max="5" width="11.1796875" style="4" customWidth="1"/>
    <col min="6" max="6" width="10.36328125" style="4" customWidth="1"/>
    <col min="7" max="7" width="12.1796875" style="4" customWidth="1"/>
    <col min="8" max="8" width="11" style="4" customWidth="1"/>
    <col min="9" max="9" width="12" style="4" customWidth="1"/>
    <col min="10" max="10" width="11.453125" style="4" customWidth="1"/>
    <col min="11" max="11" width="12.54296875" style="4" bestFit="1" customWidth="1"/>
    <col min="12" max="12" width="13.08984375" style="4" customWidth="1"/>
    <col min="13" max="13" width="15.90625" style="4" bestFit="1" customWidth="1"/>
    <col min="14" max="14" width="22" style="4" customWidth="1"/>
    <col min="15" max="16384" width="6.08984375" style="4"/>
  </cols>
  <sheetData>
    <row r="1" spans="1:15" ht="17.399999999999999" x14ac:dyDescent="0.3">
      <c r="B1" s="773" t="s">
        <v>5</v>
      </c>
      <c r="C1" s="773"/>
      <c r="D1" s="773"/>
      <c r="E1" s="773"/>
      <c r="F1" s="773"/>
      <c r="G1" s="773"/>
      <c r="H1" s="773"/>
      <c r="I1" s="773"/>
      <c r="J1" s="773"/>
      <c r="K1" s="773"/>
      <c r="L1" s="773"/>
      <c r="M1" s="773"/>
      <c r="N1" s="773"/>
    </row>
    <row r="2" spans="1:15" ht="18" x14ac:dyDescent="0.35">
      <c r="B2" s="774" t="s">
        <v>299</v>
      </c>
      <c r="C2" s="774"/>
      <c r="D2" s="774"/>
      <c r="E2" s="774"/>
      <c r="F2" s="774"/>
      <c r="G2" s="774"/>
      <c r="H2" s="774"/>
      <c r="I2" s="774"/>
      <c r="J2" s="774"/>
      <c r="K2" s="774"/>
      <c r="L2" s="774"/>
      <c r="M2" s="774"/>
      <c r="N2" s="774"/>
    </row>
    <row r="3" spans="1:15" ht="18" x14ac:dyDescent="0.35">
      <c r="B3" s="774" t="s">
        <v>300</v>
      </c>
      <c r="C3" s="774"/>
      <c r="D3" s="774"/>
      <c r="E3" s="774"/>
      <c r="F3" s="774"/>
      <c r="G3" s="774"/>
      <c r="H3" s="774"/>
      <c r="I3" s="774"/>
      <c r="J3" s="774"/>
      <c r="K3" s="774"/>
      <c r="L3" s="774"/>
      <c r="M3" s="774"/>
      <c r="N3" s="774"/>
    </row>
    <row r="4" spans="1:15" ht="18" x14ac:dyDescent="0.35">
      <c r="B4" s="774" t="str">
        <f>CONCATENATE("For Service Rendered On and After ",'Input Data'!$D$4)</f>
        <v>For Service Rendered On and After May 1, 2021</v>
      </c>
      <c r="C4" s="774"/>
      <c r="D4" s="774"/>
      <c r="E4" s="774"/>
      <c r="F4" s="774"/>
      <c r="G4" s="774"/>
      <c r="H4" s="774"/>
      <c r="I4" s="774"/>
      <c r="J4" s="774"/>
      <c r="K4" s="774"/>
      <c r="L4" s="774"/>
      <c r="M4" s="774"/>
      <c r="N4" s="774"/>
      <c r="O4" s="267"/>
    </row>
    <row r="5" spans="1:15" x14ac:dyDescent="0.3">
      <c r="B5" s="334"/>
      <c r="C5" s="334"/>
      <c r="D5" s="334"/>
      <c r="E5" s="334"/>
      <c r="F5" s="334"/>
      <c r="G5" s="334"/>
      <c r="H5" s="334"/>
      <c r="I5" s="334"/>
      <c r="J5" s="334"/>
      <c r="K5" s="334"/>
      <c r="L5" s="334"/>
      <c r="M5" s="334"/>
      <c r="N5" s="334"/>
    </row>
    <row r="6" spans="1:15" x14ac:dyDescent="0.3">
      <c r="B6" s="334"/>
      <c r="C6" s="334"/>
      <c r="D6" s="334"/>
      <c r="E6" s="334"/>
      <c r="F6" s="334"/>
      <c r="G6" s="334"/>
      <c r="H6" s="334"/>
      <c r="I6" s="334"/>
      <c r="J6" s="334"/>
      <c r="K6" s="334"/>
      <c r="L6" s="334"/>
      <c r="M6" s="334"/>
      <c r="N6" s="334"/>
    </row>
    <row r="7" spans="1:15" x14ac:dyDescent="0.3">
      <c r="B7" s="334"/>
      <c r="C7" s="334"/>
      <c r="D7" s="334"/>
      <c r="E7" s="334"/>
      <c r="F7" s="334"/>
      <c r="G7" s="334"/>
      <c r="H7" s="334"/>
      <c r="I7" s="334"/>
      <c r="J7" s="334"/>
      <c r="K7" s="334"/>
      <c r="L7" s="334"/>
      <c r="M7" s="334"/>
      <c r="N7" s="334"/>
    </row>
    <row r="10" spans="1:15" x14ac:dyDescent="0.3">
      <c r="E10" s="333" t="s">
        <v>69</v>
      </c>
      <c r="N10" s="333" t="s">
        <v>68</v>
      </c>
    </row>
    <row r="11" spans="1:15" x14ac:dyDescent="0.3">
      <c r="A11" s="333" t="s">
        <v>323</v>
      </c>
      <c r="B11" s="333" t="s">
        <v>374</v>
      </c>
      <c r="C11" s="333"/>
      <c r="D11" s="333" t="s">
        <v>72</v>
      </c>
      <c r="E11" s="333" t="s">
        <v>73</v>
      </c>
      <c r="F11" s="333" t="s">
        <v>74</v>
      </c>
      <c r="G11" s="333" t="s">
        <v>74</v>
      </c>
      <c r="H11" s="333" t="s">
        <v>75</v>
      </c>
      <c r="I11" s="333" t="s">
        <v>75</v>
      </c>
      <c r="J11" s="333" t="s">
        <v>69</v>
      </c>
      <c r="K11" s="333" t="s">
        <v>76</v>
      </c>
      <c r="M11" s="333" t="s">
        <v>440</v>
      </c>
      <c r="N11" s="333" t="s">
        <v>70</v>
      </c>
    </row>
    <row r="12" spans="1:15" x14ac:dyDescent="0.3">
      <c r="A12" s="165" t="s">
        <v>324</v>
      </c>
      <c r="B12" s="165" t="s">
        <v>265</v>
      </c>
      <c r="C12" s="165"/>
      <c r="D12" s="165" t="s">
        <v>79</v>
      </c>
      <c r="E12" s="165" t="s">
        <v>80</v>
      </c>
      <c r="F12" s="165" t="s">
        <v>81</v>
      </c>
      <c r="G12" s="165" t="s">
        <v>82</v>
      </c>
      <c r="H12" s="165" t="s">
        <v>83</v>
      </c>
      <c r="I12" s="165" t="s">
        <v>84</v>
      </c>
      <c r="J12" s="165" t="s">
        <v>11</v>
      </c>
      <c r="K12" s="165" t="s">
        <v>490</v>
      </c>
      <c r="L12" s="165" t="s">
        <v>77</v>
      </c>
      <c r="M12" s="147" t="s">
        <v>441</v>
      </c>
      <c r="N12" s="320" t="s">
        <v>464</v>
      </c>
    </row>
    <row r="13" spans="1:15" x14ac:dyDescent="0.3">
      <c r="B13" s="333" t="s">
        <v>60</v>
      </c>
      <c r="C13" s="333"/>
      <c r="D13" s="333" t="s">
        <v>61</v>
      </c>
      <c r="E13" s="333" t="s">
        <v>62</v>
      </c>
      <c r="F13" s="432">
        <v>-4</v>
      </c>
      <c r="G13" s="432">
        <v>-5</v>
      </c>
      <c r="H13" s="432">
        <v>-6</v>
      </c>
      <c r="I13" s="432">
        <v>-7</v>
      </c>
      <c r="J13" s="432">
        <v>-8</v>
      </c>
      <c r="K13" s="433" t="s">
        <v>112</v>
      </c>
      <c r="L13" s="432">
        <v>-10</v>
      </c>
      <c r="M13" s="409" t="s">
        <v>377</v>
      </c>
      <c r="N13" s="432">
        <v>-12</v>
      </c>
    </row>
    <row r="14" spans="1:15" x14ac:dyDescent="0.3">
      <c r="B14" s="333"/>
      <c r="C14" s="333"/>
      <c r="D14" s="333"/>
      <c r="E14" s="333"/>
      <c r="F14" s="432"/>
      <c r="G14" s="432"/>
      <c r="H14" s="432"/>
      <c r="I14" s="432"/>
      <c r="J14" s="432"/>
      <c r="K14" s="433"/>
      <c r="L14" s="432"/>
      <c r="M14" s="409"/>
      <c r="N14" s="432"/>
    </row>
    <row r="15" spans="1:15" x14ac:dyDescent="0.3">
      <c r="A15" s="333">
        <v>1</v>
      </c>
      <c r="B15" s="283">
        <v>44044</v>
      </c>
      <c r="C15" s="714">
        <v>1</v>
      </c>
      <c r="D15" s="333" t="s">
        <v>697</v>
      </c>
      <c r="E15" s="454">
        <v>0.16259999999999999</v>
      </c>
      <c r="F15" s="432"/>
      <c r="G15" s="432"/>
      <c r="H15" s="432"/>
      <c r="I15" s="432"/>
      <c r="J15" s="440">
        <v>5964</v>
      </c>
      <c r="K15" s="439">
        <f>J15*E15</f>
        <v>969.74639999999999</v>
      </c>
      <c r="L15" s="432"/>
      <c r="M15" s="409"/>
      <c r="N15" s="261">
        <f>ROUND((G15+I15+K15+L15+M15),0)</f>
        <v>970</v>
      </c>
    </row>
    <row r="16" spans="1:15" x14ac:dyDescent="0.3">
      <c r="A16" s="333">
        <v>2</v>
      </c>
      <c r="B16" s="283">
        <v>44094</v>
      </c>
      <c r="C16" s="714">
        <v>1</v>
      </c>
      <c r="D16" s="333" t="s">
        <v>697</v>
      </c>
      <c r="E16" s="454">
        <v>0.16259999999999999</v>
      </c>
      <c r="F16" s="432"/>
      <c r="G16" s="432"/>
      <c r="H16" s="432"/>
      <c r="I16" s="432"/>
      <c r="J16" s="440">
        <v>12385</v>
      </c>
      <c r="K16" s="439">
        <f t="shared" ref="K16:K17" si="0">J16*E16</f>
        <v>2013.8009999999999</v>
      </c>
      <c r="L16" s="432"/>
      <c r="M16" s="409"/>
      <c r="N16" s="261">
        <f t="shared" ref="N16:N17" si="1">ROUND((G16+I16+K16+L16+M16),0)</f>
        <v>2014</v>
      </c>
    </row>
    <row r="17" spans="1:20" x14ac:dyDescent="0.3">
      <c r="A17" s="333">
        <v>3</v>
      </c>
      <c r="B17" s="283">
        <v>44124</v>
      </c>
      <c r="C17" s="714">
        <v>1</v>
      </c>
      <c r="D17" s="333" t="s">
        <v>697</v>
      </c>
      <c r="E17" s="454">
        <v>0.16259999999999999</v>
      </c>
      <c r="F17" s="432"/>
      <c r="G17" s="432"/>
      <c r="H17" s="432"/>
      <c r="I17" s="432"/>
      <c r="J17" s="440">
        <v>448</v>
      </c>
      <c r="K17" s="439">
        <f t="shared" si="0"/>
        <v>72.844799999999992</v>
      </c>
      <c r="L17" s="432"/>
      <c r="M17" s="409"/>
      <c r="N17" s="261">
        <f t="shared" si="1"/>
        <v>73</v>
      </c>
    </row>
    <row r="18" spans="1:20" ht="18.75" customHeight="1" x14ac:dyDescent="0.3">
      <c r="A18" s="333">
        <v>4</v>
      </c>
      <c r="B18" s="283">
        <f>'Input Data'!C7</f>
        <v>44136</v>
      </c>
      <c r="C18" s="283"/>
      <c r="D18" s="333" t="str">
        <f>'Ex B-1 1 of 7'!C15</f>
        <v>2020-00309</v>
      </c>
      <c r="E18" s="454">
        <f>VLOOKUP(D18,'Case Database'!C3:K200,9)</f>
        <v>0.1666</v>
      </c>
      <c r="F18" s="451">
        <f>'FT Data'!L5</f>
        <v>12479</v>
      </c>
      <c r="G18" s="439">
        <f>'FT Data'!M5</f>
        <v>37406.559999999998</v>
      </c>
      <c r="H18" s="451">
        <f>'FT Data'!U5</f>
        <v>0</v>
      </c>
      <c r="I18" s="439">
        <f>'FT Data'!V5</f>
        <v>0</v>
      </c>
      <c r="J18" s="440">
        <f>'FT Data'!AK5</f>
        <v>39031</v>
      </c>
      <c r="K18" s="439">
        <f>ROUND(E18*J18,2)</f>
        <v>6502.56</v>
      </c>
      <c r="L18" s="439">
        <f>'FT Data'!Z5</f>
        <v>0</v>
      </c>
      <c r="M18" s="439">
        <f>'FT Data'!X5</f>
        <v>966.78</v>
      </c>
      <c r="N18" s="261">
        <f>ROUND((G18+I18+K18+L18+M18),0)</f>
        <v>44876</v>
      </c>
    </row>
    <row r="19" spans="1:20" ht="18.75" customHeight="1" x14ac:dyDescent="0.3">
      <c r="A19" s="333">
        <v>5</v>
      </c>
      <c r="B19" s="283">
        <f>EDATE(B18,1)</f>
        <v>44166</v>
      </c>
      <c r="C19" s="283"/>
      <c r="D19" s="333" t="str">
        <f>D18</f>
        <v>2020-00309</v>
      </c>
      <c r="E19" s="454">
        <f>E18</f>
        <v>0.1666</v>
      </c>
      <c r="F19" s="451">
        <f>'FT Data'!L6</f>
        <v>137354</v>
      </c>
      <c r="G19" s="439">
        <f>'FT Data'!M6</f>
        <v>373048.68</v>
      </c>
      <c r="H19" s="451">
        <f>'FT Data'!U6</f>
        <v>0</v>
      </c>
      <c r="I19" s="439">
        <f>'FT Data'!V6</f>
        <v>68.45</v>
      </c>
      <c r="J19" s="440">
        <v>74846</v>
      </c>
      <c r="K19" s="439">
        <f>ROUND(E19*J19,2)</f>
        <v>12469.34</v>
      </c>
      <c r="L19" s="439">
        <f>'FT Data'!Z6</f>
        <v>0</v>
      </c>
      <c r="M19" s="439">
        <f>'FT Data'!X6</f>
        <v>771.31</v>
      </c>
      <c r="N19" s="261">
        <f>ROUND((G19+I19+K19+L19+M19),0)</f>
        <v>386358</v>
      </c>
    </row>
    <row r="20" spans="1:20" ht="18.75" customHeight="1" x14ac:dyDescent="0.3">
      <c r="A20" s="333">
        <v>6</v>
      </c>
      <c r="B20" s="373">
        <f>EDATE(B19,1)</f>
        <v>44197</v>
      </c>
      <c r="C20" s="373"/>
      <c r="D20" s="322" t="str">
        <f>D18</f>
        <v>2020-00309</v>
      </c>
      <c r="E20" s="455">
        <f>E18</f>
        <v>0.1666</v>
      </c>
      <c r="F20" s="456">
        <f>'FT Data'!L7</f>
        <v>70549</v>
      </c>
      <c r="G20" s="447">
        <f>'FT Data'!M7</f>
        <v>204262.98</v>
      </c>
      <c r="H20" s="456">
        <f>'FT Data'!U7</f>
        <v>0</v>
      </c>
      <c r="I20" s="447">
        <f>'FT Data'!V7</f>
        <v>0</v>
      </c>
      <c r="J20" s="448">
        <f>'FT Data'!AK7</f>
        <v>61409</v>
      </c>
      <c r="K20" s="447">
        <f>ROUND(E20*J20,2)</f>
        <v>10230.74</v>
      </c>
      <c r="L20" s="447">
        <f>'FT Data'!Z7</f>
        <v>0</v>
      </c>
      <c r="M20" s="447">
        <f>'FT Data'!X7</f>
        <v>723.9</v>
      </c>
      <c r="N20" s="450">
        <f>ROUND((G20+I20+K20+L20+M20),0)</f>
        <v>215218</v>
      </c>
    </row>
    <row r="21" spans="1:20" ht="16.5" customHeight="1" x14ac:dyDescent="0.3">
      <c r="B21" s="367"/>
      <c r="C21" s="367"/>
      <c r="D21" s="333"/>
      <c r="E21" s="333"/>
      <c r="F21" s="451"/>
      <c r="G21" s="452"/>
      <c r="H21" s="451"/>
      <c r="I21" s="453"/>
      <c r="J21" s="451"/>
      <c r="K21" s="452"/>
      <c r="L21" s="104"/>
      <c r="M21" s="321"/>
      <c r="N21" s="261"/>
    </row>
    <row r="22" spans="1:20" x14ac:dyDescent="0.3">
      <c r="A22" s="333">
        <v>7</v>
      </c>
      <c r="B22" s="333"/>
      <c r="C22" s="333"/>
      <c r="D22" s="333"/>
      <c r="E22" s="333"/>
      <c r="F22" s="451"/>
      <c r="G22" s="452"/>
      <c r="H22" s="451"/>
      <c r="I22" s="453"/>
      <c r="J22" s="451"/>
      <c r="K22" s="452"/>
      <c r="L22" s="167" t="s">
        <v>382</v>
      </c>
      <c r="M22" s="161"/>
      <c r="N22" s="261">
        <f>SUM(N15:N20)</f>
        <v>649509</v>
      </c>
    </row>
    <row r="23" spans="1:20" x14ac:dyDescent="0.3">
      <c r="A23" s="333"/>
      <c r="B23" s="333"/>
      <c r="C23" s="333"/>
      <c r="D23" s="333"/>
      <c r="E23" s="333"/>
      <c r="F23" s="451"/>
      <c r="G23" s="452"/>
      <c r="H23" s="451"/>
      <c r="I23" s="453"/>
      <c r="J23" s="451"/>
      <c r="K23" s="452"/>
      <c r="L23" s="167"/>
      <c r="M23" s="161"/>
      <c r="N23" s="261"/>
    </row>
    <row r="24" spans="1:20" x14ac:dyDescent="0.3">
      <c r="A24" s="333"/>
      <c r="B24" s="333"/>
      <c r="C24" s="333"/>
      <c r="D24" s="333"/>
      <c r="E24" s="333"/>
      <c r="F24" s="451"/>
      <c r="G24" s="452"/>
      <c r="H24" s="451"/>
      <c r="I24" s="453"/>
      <c r="J24" s="451"/>
      <c r="K24" s="452"/>
      <c r="L24" s="167"/>
      <c r="M24" s="161"/>
      <c r="N24" s="261"/>
    </row>
    <row r="25" spans="1:20" x14ac:dyDescent="0.3">
      <c r="A25" s="716">
        <v>1</v>
      </c>
      <c r="B25" s="715" t="s">
        <v>819</v>
      </c>
      <c r="C25" s="172"/>
      <c r="E25" s="168"/>
      <c r="F25" s="169"/>
      <c r="G25" s="170"/>
      <c r="H25" s="169"/>
      <c r="I25" s="171"/>
      <c r="J25" s="169"/>
      <c r="K25" s="170"/>
      <c r="L25" s="40"/>
      <c r="M25" s="40"/>
      <c r="N25" s="20"/>
    </row>
    <row r="26" spans="1:20" x14ac:dyDescent="0.3">
      <c r="B26" s="172"/>
      <c r="C26" s="172"/>
      <c r="E26" s="168"/>
      <c r="F26" s="169"/>
      <c r="G26" s="170"/>
      <c r="H26" s="169"/>
      <c r="I26" s="171"/>
      <c r="K26" s="123"/>
      <c r="L26" s="123"/>
      <c r="M26" s="123"/>
      <c r="N26" s="123"/>
      <c r="O26" s="123"/>
      <c r="P26" s="123"/>
      <c r="Q26" s="123"/>
      <c r="R26" s="123"/>
      <c r="S26" s="123"/>
      <c r="T26" s="123"/>
    </row>
    <row r="27" spans="1:20" x14ac:dyDescent="0.3">
      <c r="B27" s="172"/>
      <c r="C27" s="172"/>
      <c r="E27" s="168"/>
      <c r="F27" s="169"/>
      <c r="G27" s="170"/>
      <c r="H27" s="169"/>
      <c r="I27" s="171"/>
      <c r="K27" s="123"/>
      <c r="L27" s="123"/>
      <c r="M27" s="123"/>
      <c r="N27" s="712"/>
      <c r="O27" s="123"/>
      <c r="P27" s="123"/>
      <c r="Q27" s="123"/>
      <c r="R27" s="123"/>
      <c r="S27" s="123"/>
      <c r="T27" s="123"/>
    </row>
    <row r="28" spans="1:20" x14ac:dyDescent="0.3">
      <c r="B28" s="173" t="s">
        <v>86</v>
      </c>
      <c r="C28" s="173"/>
    </row>
    <row r="29" spans="1:20" x14ac:dyDescent="0.3">
      <c r="D29" s="173" t="s">
        <v>87</v>
      </c>
      <c r="J29" s="174"/>
      <c r="K29" s="19"/>
      <c r="L29" s="710"/>
      <c r="N29" s="713"/>
    </row>
    <row r="30" spans="1:20" x14ac:dyDescent="0.3">
      <c r="J30" s="174"/>
      <c r="K30" s="19"/>
      <c r="N30" s="18"/>
    </row>
    <row r="31" spans="1:20" x14ac:dyDescent="0.3">
      <c r="B31" s="173" t="s">
        <v>88</v>
      </c>
      <c r="C31" s="173"/>
      <c r="J31" s="174"/>
      <c r="K31" s="19"/>
      <c r="L31" s="711"/>
      <c r="N31" s="18"/>
    </row>
    <row r="32" spans="1:20" x14ac:dyDescent="0.3">
      <c r="D32" s="173" t="s">
        <v>89</v>
      </c>
      <c r="J32" s="174"/>
      <c r="K32" s="19"/>
      <c r="N32" s="20"/>
    </row>
    <row r="33" spans="2:14" x14ac:dyDescent="0.3">
      <c r="B33" s="173"/>
      <c r="C33" s="173"/>
      <c r="J33" s="174"/>
      <c r="K33" s="19"/>
      <c r="M33" s="711"/>
      <c r="N33" s="20"/>
    </row>
    <row r="34" spans="2:14" x14ac:dyDescent="0.3">
      <c r="B34" s="173"/>
      <c r="C34" s="173"/>
      <c r="J34" s="174"/>
      <c r="K34" s="19"/>
      <c r="M34" s="711"/>
      <c r="N34" s="20"/>
    </row>
    <row r="35" spans="2:14" x14ac:dyDescent="0.3">
      <c r="B35" s="173"/>
      <c r="C35" s="173"/>
      <c r="J35" s="174"/>
      <c r="K35" s="19"/>
      <c r="N35" s="20"/>
    </row>
    <row r="36" spans="2:14" x14ac:dyDescent="0.3">
      <c r="B36" s="173"/>
      <c r="C36" s="173"/>
      <c r="J36" s="174"/>
      <c r="K36" s="19"/>
      <c r="N36" s="20"/>
    </row>
    <row r="37" spans="2:14" x14ac:dyDescent="0.3">
      <c r="B37" s="173"/>
      <c r="C37" s="173"/>
      <c r="J37" s="174"/>
      <c r="K37" s="19"/>
    </row>
    <row r="38" spans="2:14" x14ac:dyDescent="0.3">
      <c r="B38" s="8"/>
      <c r="C38" s="8"/>
      <c r="D38" s="8"/>
      <c r="E38" s="8"/>
      <c r="F38" s="8"/>
      <c r="G38" s="8"/>
      <c r="H38" s="8"/>
      <c r="I38" s="8"/>
      <c r="J38" s="21"/>
      <c r="K38" s="22"/>
      <c r="L38" s="8"/>
      <c r="M38" s="8"/>
      <c r="N38" s="8"/>
    </row>
    <row r="39" spans="2:14" ht="17.399999999999999" x14ac:dyDescent="0.3">
      <c r="E39" s="8"/>
      <c r="J39" s="21"/>
      <c r="K39" s="22"/>
      <c r="L39" s="8"/>
      <c r="M39" s="8"/>
      <c r="N39" s="17"/>
    </row>
    <row r="40" spans="2:14" ht="17.399999999999999" x14ac:dyDescent="0.3">
      <c r="B40" s="8"/>
      <c r="C40" s="8"/>
      <c r="D40" s="8"/>
      <c r="E40" s="8"/>
      <c r="F40" s="8"/>
      <c r="G40" s="8"/>
      <c r="H40" s="8"/>
      <c r="I40" s="8"/>
      <c r="J40" s="21"/>
      <c r="K40" s="22"/>
      <c r="L40" s="8"/>
      <c r="M40" s="8"/>
      <c r="N40" s="17"/>
    </row>
    <row r="41" spans="2:14" x14ac:dyDescent="0.3">
      <c r="B41" s="8"/>
      <c r="C41" s="8"/>
      <c r="D41" s="8"/>
      <c r="E41" s="8"/>
      <c r="F41" s="8"/>
      <c r="G41" s="8"/>
      <c r="H41" s="8"/>
      <c r="I41" s="8"/>
      <c r="J41" s="8"/>
      <c r="K41" s="22"/>
      <c r="L41" s="8"/>
      <c r="M41" s="8"/>
    </row>
    <row r="42" spans="2:14" x14ac:dyDescent="0.3">
      <c r="I42" s="8"/>
    </row>
    <row r="53" spans="2:14" x14ac:dyDescent="0.3">
      <c r="B53" s="8"/>
      <c r="C53" s="8"/>
      <c r="D53" s="8"/>
      <c r="E53" s="8"/>
      <c r="F53" s="8"/>
      <c r="G53" s="8"/>
      <c r="H53" s="8"/>
      <c r="I53" s="8"/>
    </row>
    <row r="59" spans="2:14" ht="18" x14ac:dyDescent="0.35">
      <c r="L59" s="9"/>
      <c r="M59" s="9"/>
      <c r="N59" s="9"/>
    </row>
    <row r="60" spans="2:14" ht="22.8" x14ac:dyDescent="0.4">
      <c r="L60" s="9"/>
      <c r="M60" s="9"/>
      <c r="N60" s="10"/>
    </row>
    <row r="61" spans="2:14" ht="22.8" x14ac:dyDescent="0.4">
      <c r="L61" s="9"/>
      <c r="M61" s="9"/>
      <c r="N61" s="10"/>
    </row>
    <row r="62" spans="2:14" ht="22.8" x14ac:dyDescent="0.4">
      <c r="L62" s="9"/>
      <c r="M62" s="9"/>
      <c r="N62" s="10"/>
    </row>
    <row r="63" spans="2:14" ht="22.8" x14ac:dyDescent="0.4">
      <c r="L63" s="9"/>
      <c r="M63" s="9"/>
      <c r="N63" s="10"/>
    </row>
    <row r="64" spans="2:14" ht="22.8" x14ac:dyDescent="0.4">
      <c r="L64" s="9"/>
      <c r="M64" s="9"/>
      <c r="N64" s="10"/>
    </row>
    <row r="65" spans="12:14" ht="22.8" x14ac:dyDescent="0.4">
      <c r="L65" s="9"/>
      <c r="M65" s="9"/>
      <c r="N65" s="10"/>
    </row>
    <row r="66" spans="12:14" ht="22.8" x14ac:dyDescent="0.4">
      <c r="L66" s="9"/>
      <c r="M66" s="9"/>
      <c r="N66" s="10"/>
    </row>
    <row r="67" spans="12:14" ht="22.8" x14ac:dyDescent="0.4">
      <c r="L67" s="9"/>
      <c r="M67" s="9"/>
      <c r="N67" s="10"/>
    </row>
  </sheetData>
  <mergeCells count="4">
    <mergeCell ref="B1:N1"/>
    <mergeCell ref="B2:N2"/>
    <mergeCell ref="B3:N3"/>
    <mergeCell ref="B4:N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oddFoot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heetViews>
  <sheetFormatPr defaultRowHeight="15.6" x14ac:dyDescent="0.3"/>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heetViews>
  <sheetFormatPr defaultColWidth="9.81640625" defaultRowHeight="15.6" x14ac:dyDescent="0.3"/>
  <cols>
    <col min="1" max="1" width="5.453125" style="5" customWidth="1"/>
    <col min="2" max="2" width="11.453125" style="5" customWidth="1"/>
    <col min="3" max="3" width="13.36328125" style="5" customWidth="1"/>
    <col min="4" max="4" width="9.453125" style="5" customWidth="1"/>
    <col min="5" max="5" width="12.90625" style="5" customWidth="1"/>
    <col min="6" max="6" width="12.453125" style="5" customWidth="1"/>
    <col min="7" max="7" width="11.54296875" style="5" customWidth="1"/>
    <col min="8" max="8" width="13.36328125" style="5" customWidth="1"/>
    <col min="9" max="9" width="17.36328125" style="5" customWidth="1"/>
    <col min="10" max="10" width="5.36328125" style="5" customWidth="1"/>
    <col min="11" max="11" width="12.90625" style="5" customWidth="1"/>
    <col min="12" max="12" width="11.90625" style="5" customWidth="1"/>
    <col min="13" max="13" width="15.90625" style="5" customWidth="1"/>
    <col min="14" max="14" width="12.6328125" style="5" customWidth="1"/>
    <col min="15" max="15" width="11.6328125" style="5" customWidth="1"/>
    <col min="16" max="16" width="11.54296875" style="5" customWidth="1"/>
    <col min="17" max="17" width="13.81640625" style="5" customWidth="1"/>
    <col min="18" max="18" width="12.90625" style="5" bestFit="1" customWidth="1"/>
    <col min="19" max="16384" width="9.81640625" style="5"/>
  </cols>
  <sheetData>
    <row r="1" spans="1:19" ht="17.399999999999999" x14ac:dyDescent="0.3">
      <c r="B1" s="776" t="s">
        <v>5</v>
      </c>
      <c r="C1" s="776"/>
      <c r="D1" s="776"/>
      <c r="E1" s="776"/>
      <c r="F1" s="776"/>
      <c r="G1" s="776"/>
      <c r="H1" s="776"/>
      <c r="I1" s="776"/>
      <c r="J1" s="24"/>
      <c r="K1" s="24"/>
      <c r="L1" s="24"/>
      <c r="M1" s="24"/>
      <c r="N1" s="24"/>
      <c r="O1" s="24"/>
      <c r="P1" s="24"/>
      <c r="Q1" s="24"/>
      <c r="R1" s="24"/>
    </row>
    <row r="2" spans="1:19" ht="18" x14ac:dyDescent="0.35">
      <c r="B2" s="777" t="s">
        <v>313</v>
      </c>
      <c r="C2" s="777"/>
      <c r="D2" s="777"/>
      <c r="E2" s="777"/>
      <c r="F2" s="777"/>
      <c r="G2" s="777"/>
      <c r="H2" s="777"/>
      <c r="I2" s="777"/>
    </row>
    <row r="3" spans="1:19" ht="18" x14ac:dyDescent="0.35">
      <c r="B3" s="777" t="str">
        <f>CONCATENATE("For Service Rendered On and After ",'Input Data'!$D$4)</f>
        <v>For Service Rendered On and After May 1, 2021</v>
      </c>
      <c r="C3" s="777"/>
      <c r="D3" s="777"/>
      <c r="E3" s="777"/>
      <c r="F3" s="777"/>
      <c r="G3" s="777"/>
      <c r="H3" s="777"/>
      <c r="I3" s="777"/>
    </row>
    <row r="4" spans="1:19" x14ac:dyDescent="0.3">
      <c r="B4" s="335"/>
      <c r="C4" s="335"/>
      <c r="D4" s="335"/>
      <c r="E4" s="335"/>
      <c r="F4" s="335"/>
      <c r="G4" s="335"/>
      <c r="H4" s="335"/>
      <c r="I4" s="335"/>
      <c r="J4" s="335"/>
      <c r="N4" s="175"/>
      <c r="O4" s="175"/>
      <c r="P4" s="175"/>
      <c r="R4" s="24"/>
    </row>
    <row r="5" spans="1:19" x14ac:dyDescent="0.3">
      <c r="B5" s="335"/>
      <c r="C5" s="335"/>
      <c r="D5" s="335"/>
      <c r="E5" s="335"/>
      <c r="F5" s="335"/>
      <c r="G5" s="335"/>
      <c r="H5" s="335"/>
      <c r="I5" s="335"/>
      <c r="J5" s="335"/>
      <c r="N5" s="175"/>
      <c r="O5" s="175"/>
      <c r="P5" s="175"/>
      <c r="R5" s="24"/>
    </row>
    <row r="6" spans="1:19" x14ac:dyDescent="0.3">
      <c r="D6" s="175"/>
      <c r="E6" s="175"/>
      <c r="F6" s="175"/>
      <c r="I6" s="24"/>
      <c r="J6" s="24"/>
      <c r="N6" s="175"/>
      <c r="O6" s="175"/>
      <c r="P6" s="175"/>
      <c r="R6" s="24"/>
    </row>
    <row r="7" spans="1:19" x14ac:dyDescent="0.3">
      <c r="B7" s="175"/>
      <c r="C7" s="175"/>
      <c r="D7" s="175"/>
      <c r="E7" s="175"/>
      <c r="F7" s="175"/>
      <c r="G7" s="175"/>
      <c r="H7" s="175"/>
      <c r="I7" s="175"/>
      <c r="J7" s="175"/>
      <c r="K7" s="175"/>
      <c r="L7" s="175"/>
      <c r="M7" s="176"/>
      <c r="N7" s="175"/>
      <c r="O7" s="175"/>
      <c r="P7" s="175"/>
    </row>
    <row r="8" spans="1:19" x14ac:dyDescent="0.3">
      <c r="B8" s="175"/>
      <c r="C8" s="175"/>
      <c r="D8" s="175"/>
      <c r="E8" s="175"/>
      <c r="F8" s="175"/>
      <c r="G8" s="175"/>
      <c r="H8" s="175"/>
      <c r="I8" s="175"/>
      <c r="J8" s="3"/>
      <c r="K8" s="175"/>
      <c r="L8" s="175"/>
      <c r="M8" s="175"/>
      <c r="N8" s="175"/>
      <c r="O8" s="175"/>
      <c r="P8" s="175"/>
      <c r="Q8" s="175"/>
    </row>
    <row r="9" spans="1:19" ht="16.2" thickBot="1" x14ac:dyDescent="0.35">
      <c r="B9" s="775" t="s">
        <v>90</v>
      </c>
      <c r="C9" s="775"/>
      <c r="D9" s="775"/>
      <c r="E9" s="775"/>
      <c r="F9" s="775"/>
      <c r="G9" s="775"/>
      <c r="H9" s="775"/>
      <c r="I9" s="775"/>
      <c r="J9" s="3"/>
    </row>
    <row r="10" spans="1:19" x14ac:dyDescent="0.3">
      <c r="B10" s="175"/>
      <c r="C10" s="175"/>
      <c r="D10" s="175"/>
      <c r="E10" s="177" t="s">
        <v>92</v>
      </c>
      <c r="F10" s="177" t="s">
        <v>92</v>
      </c>
      <c r="G10" s="177" t="s">
        <v>93</v>
      </c>
      <c r="H10" s="175"/>
      <c r="I10" s="175"/>
      <c r="J10" s="3"/>
    </row>
    <row r="11" spans="1:19" x14ac:dyDescent="0.3">
      <c r="B11" s="175"/>
      <c r="C11" s="175"/>
      <c r="D11" s="175"/>
      <c r="E11" s="177" t="s">
        <v>94</v>
      </c>
      <c r="F11" s="177" t="s">
        <v>94</v>
      </c>
      <c r="G11" s="177" t="s">
        <v>11</v>
      </c>
      <c r="H11" s="175"/>
      <c r="I11" s="175"/>
      <c r="J11" s="3"/>
    </row>
    <row r="12" spans="1:19" x14ac:dyDescent="0.3">
      <c r="B12" s="175"/>
      <c r="C12" s="175"/>
      <c r="D12" s="175"/>
      <c r="E12" s="177" t="s">
        <v>96</v>
      </c>
      <c r="F12" s="177" t="s">
        <v>97</v>
      </c>
      <c r="G12" s="177" t="s">
        <v>98</v>
      </c>
      <c r="H12" s="177" t="s">
        <v>93</v>
      </c>
      <c r="I12" s="177" t="s">
        <v>11</v>
      </c>
      <c r="J12" s="177"/>
      <c r="K12" s="457"/>
      <c r="L12" s="457"/>
      <c r="M12" s="457"/>
      <c r="N12" s="457"/>
      <c r="O12" s="457"/>
      <c r="P12" s="457"/>
      <c r="Q12" s="457"/>
      <c r="R12" s="457"/>
      <c r="S12" s="457"/>
    </row>
    <row r="13" spans="1:19" x14ac:dyDescent="0.3">
      <c r="A13" s="333" t="s">
        <v>323</v>
      </c>
      <c r="B13" s="177" t="s">
        <v>374</v>
      </c>
      <c r="C13" s="177" t="s">
        <v>11</v>
      </c>
      <c r="D13" s="177" t="s">
        <v>94</v>
      </c>
      <c r="E13" s="177" t="s">
        <v>100</v>
      </c>
      <c r="F13" s="177" t="s">
        <v>101</v>
      </c>
      <c r="G13" s="177" t="s">
        <v>102</v>
      </c>
      <c r="H13" s="177" t="s">
        <v>103</v>
      </c>
      <c r="I13" s="177" t="s">
        <v>104</v>
      </c>
      <c r="J13" s="177"/>
      <c r="K13" s="457"/>
      <c r="L13" s="457"/>
      <c r="M13" s="457"/>
      <c r="N13" s="457"/>
      <c r="O13" s="457"/>
      <c r="P13" s="457"/>
      <c r="Q13" s="457"/>
      <c r="R13" s="457"/>
      <c r="S13" s="457"/>
    </row>
    <row r="14" spans="1:19" ht="15" customHeight="1" x14ac:dyDescent="0.3">
      <c r="A14" s="165" t="s">
        <v>324</v>
      </c>
      <c r="B14" s="458" t="s">
        <v>265</v>
      </c>
      <c r="C14" s="459" t="s">
        <v>94</v>
      </c>
      <c r="D14" s="458" t="s">
        <v>107</v>
      </c>
      <c r="E14" s="459" t="s">
        <v>108</v>
      </c>
      <c r="F14" s="459" t="s">
        <v>103</v>
      </c>
      <c r="G14" s="459" t="s">
        <v>103</v>
      </c>
      <c r="H14" s="458" t="s">
        <v>109</v>
      </c>
      <c r="I14" s="459" t="s">
        <v>486</v>
      </c>
      <c r="J14" s="178"/>
      <c r="K14" s="457"/>
      <c r="L14" s="457"/>
      <c r="M14" s="457"/>
      <c r="N14" s="457"/>
      <c r="O14" s="457"/>
      <c r="P14" s="457"/>
      <c r="Q14" s="457"/>
      <c r="R14" s="457"/>
      <c r="S14" s="457"/>
    </row>
    <row r="15" spans="1:19" ht="28.2" x14ac:dyDescent="0.3">
      <c r="A15" s="179"/>
      <c r="B15" s="460" t="s">
        <v>60</v>
      </c>
      <c r="C15" s="460" t="s">
        <v>61</v>
      </c>
      <c r="D15" s="460" t="s">
        <v>62</v>
      </c>
      <c r="E15" s="460" t="s">
        <v>63</v>
      </c>
      <c r="F15" s="460" t="s">
        <v>64</v>
      </c>
      <c r="G15" s="460" t="s">
        <v>65</v>
      </c>
      <c r="H15" s="460" t="s">
        <v>66</v>
      </c>
      <c r="I15" s="461" t="s">
        <v>443</v>
      </c>
      <c r="J15" s="178"/>
      <c r="K15" s="457"/>
      <c r="L15" s="457"/>
      <c r="M15" s="457"/>
      <c r="N15" s="457"/>
      <c r="O15" s="457"/>
      <c r="P15" s="457"/>
      <c r="Q15" s="457"/>
      <c r="R15" s="457"/>
      <c r="S15" s="457"/>
    </row>
    <row r="16" spans="1:19" ht="18.75" customHeight="1" x14ac:dyDescent="0.3">
      <c r="A16" s="4"/>
      <c r="B16" s="24"/>
      <c r="K16" s="457"/>
      <c r="L16" s="457"/>
      <c r="M16" s="457"/>
      <c r="N16" s="457"/>
      <c r="O16" s="457"/>
      <c r="P16" s="457"/>
      <c r="Q16" s="457"/>
      <c r="R16" s="457"/>
      <c r="S16" s="457"/>
    </row>
    <row r="17" spans="1:19" ht="18.75" customHeight="1" x14ac:dyDescent="0.3">
      <c r="A17" s="333">
        <v>1</v>
      </c>
      <c r="B17" s="462">
        <f>'Input Data'!C7</f>
        <v>44136</v>
      </c>
      <c r="C17" s="5">
        <f>'Input Data'!C96</f>
        <v>2862178</v>
      </c>
      <c r="D17" s="5">
        <f>'Input Data'!C97</f>
        <v>0</v>
      </c>
      <c r="E17" s="5">
        <f>'Input Data'!C103</f>
        <v>-3055</v>
      </c>
      <c r="F17" s="5">
        <f>'Input Data'!C104</f>
        <v>-250645</v>
      </c>
      <c r="G17" s="5">
        <f>'Input Data'!C105</f>
        <v>221237</v>
      </c>
      <c r="H17" s="5">
        <f>'Input Data'!C106</f>
        <v>51634</v>
      </c>
      <c r="I17" s="180">
        <f>SUM(C17:H17)</f>
        <v>2881349</v>
      </c>
      <c r="J17" s="180"/>
      <c r="K17" s="457"/>
      <c r="L17" s="457"/>
      <c r="M17" s="457"/>
      <c r="N17" s="457"/>
      <c r="O17" s="457"/>
      <c r="P17" s="457"/>
      <c r="Q17" s="457"/>
      <c r="R17" s="457"/>
      <c r="S17" s="457"/>
    </row>
    <row r="18" spans="1:19" ht="18.75" customHeight="1" x14ac:dyDescent="0.3">
      <c r="A18" s="333">
        <v>2</v>
      </c>
      <c r="B18" s="462">
        <f>EDATE(B17,1)</f>
        <v>44166</v>
      </c>
      <c r="C18" s="5">
        <f>'Input Data'!D96</f>
        <v>3732356</v>
      </c>
      <c r="D18" s="5">
        <f>'Input Data'!D97</f>
        <v>0</v>
      </c>
      <c r="E18" s="5">
        <f>'Input Data'!D103</f>
        <v>-3439</v>
      </c>
      <c r="F18" s="5">
        <f>'Input Data'!D104</f>
        <v>-30004</v>
      </c>
      <c r="G18" s="5">
        <f>'Input Data'!D105</f>
        <v>1990053</v>
      </c>
      <c r="H18" s="5">
        <f>'Input Data'!D106</f>
        <v>48975</v>
      </c>
      <c r="I18" s="180">
        <f>SUM(C18:H18)</f>
        <v>5737941</v>
      </c>
      <c r="J18" s="180"/>
      <c r="K18" s="457"/>
      <c r="L18" s="457"/>
      <c r="M18" s="457"/>
      <c r="N18" s="457"/>
      <c r="O18" s="457"/>
      <c r="P18" s="457"/>
      <c r="Q18" s="457"/>
      <c r="R18" s="457"/>
      <c r="S18" s="457"/>
    </row>
    <row r="19" spans="1:19" ht="18.75" customHeight="1" x14ac:dyDescent="0.3">
      <c r="A19" s="333">
        <v>3</v>
      </c>
      <c r="B19" s="462">
        <f>EDATE(B18,1)</f>
        <v>44197</v>
      </c>
      <c r="C19" s="5">
        <f>'Input Data'!E96</f>
        <v>3155866</v>
      </c>
      <c r="D19" s="5">
        <f>'Input Data'!E97</f>
        <v>476047</v>
      </c>
      <c r="E19" s="5">
        <f>'Input Data'!E103</f>
        <v>-4772</v>
      </c>
      <c r="F19" s="5">
        <f>'Input Data'!E104</f>
        <v>0</v>
      </c>
      <c r="G19" s="5">
        <f>'Input Data'!E105</f>
        <v>3227239</v>
      </c>
      <c r="H19" s="5">
        <f>'Input Data'!E106</f>
        <v>40016</v>
      </c>
      <c r="I19" s="463">
        <f>SUM(C19:H19)</f>
        <v>6894396</v>
      </c>
      <c r="J19" s="180"/>
      <c r="K19" s="457"/>
      <c r="L19" s="457"/>
      <c r="M19" s="457"/>
      <c r="N19" s="457"/>
      <c r="O19" s="457"/>
      <c r="P19" s="457"/>
      <c r="Q19" s="457"/>
      <c r="R19" s="457"/>
      <c r="S19" s="457"/>
    </row>
    <row r="20" spans="1:19" ht="18.75" customHeight="1" x14ac:dyDescent="0.3">
      <c r="A20" s="4"/>
      <c r="B20" s="24"/>
      <c r="K20" s="457"/>
      <c r="L20" s="457"/>
      <c r="M20" s="457"/>
      <c r="N20" s="457"/>
      <c r="O20" s="457"/>
      <c r="P20" s="457"/>
      <c r="Q20" s="457"/>
      <c r="R20" s="457"/>
      <c r="S20" s="457"/>
    </row>
    <row r="21" spans="1:19" ht="18.75" customHeight="1" x14ac:dyDescent="0.3">
      <c r="A21" s="333">
        <v>4</v>
      </c>
      <c r="B21" s="24"/>
      <c r="I21" s="180">
        <f>SUM(I17:I20)</f>
        <v>15513686</v>
      </c>
      <c r="K21" s="457"/>
      <c r="L21" s="457"/>
      <c r="M21" s="457"/>
      <c r="N21" s="457"/>
      <c r="O21" s="457"/>
      <c r="P21" s="457"/>
      <c r="Q21" s="457"/>
      <c r="R21" s="457"/>
      <c r="S21" s="457"/>
    </row>
    <row r="22" spans="1:19" ht="18.75" customHeight="1" x14ac:dyDescent="0.3">
      <c r="B22" s="24"/>
      <c r="I22" s="24"/>
      <c r="J22" s="24"/>
      <c r="K22" s="457"/>
      <c r="L22" s="457"/>
      <c r="M22" s="457"/>
      <c r="N22" s="457"/>
      <c r="O22" s="457"/>
      <c r="P22" s="457"/>
      <c r="Q22" s="457"/>
      <c r="R22" s="457"/>
      <c r="S22" s="457"/>
    </row>
    <row r="23" spans="1:19" ht="18.75" customHeight="1" thickBot="1" x14ac:dyDescent="0.35">
      <c r="B23" s="775" t="s">
        <v>91</v>
      </c>
      <c r="C23" s="775"/>
      <c r="D23" s="775"/>
      <c r="E23" s="775"/>
      <c r="F23" s="775"/>
      <c r="G23" s="775"/>
      <c r="H23" s="775"/>
      <c r="I23" s="775"/>
      <c r="K23" s="457"/>
      <c r="L23" s="457"/>
      <c r="M23" s="457"/>
      <c r="N23" s="457"/>
      <c r="O23" s="457"/>
      <c r="P23" s="457"/>
      <c r="Q23" s="457"/>
      <c r="R23" s="457"/>
      <c r="S23" s="457"/>
    </row>
    <row r="24" spans="1:19" x14ac:dyDescent="0.3">
      <c r="B24" s="175"/>
      <c r="C24" s="175"/>
      <c r="D24" s="178"/>
      <c r="E24" s="177" t="s">
        <v>92</v>
      </c>
      <c r="F24" s="177" t="s">
        <v>93</v>
      </c>
      <c r="G24" s="178"/>
      <c r="H24" s="177"/>
      <c r="I24" s="177"/>
      <c r="K24" s="457"/>
      <c r="L24" s="457"/>
      <c r="M24" s="457"/>
      <c r="N24" s="457"/>
      <c r="O24" s="457"/>
      <c r="P24" s="457"/>
      <c r="Q24" s="457"/>
      <c r="R24" s="457"/>
      <c r="S24" s="457"/>
    </row>
    <row r="25" spans="1:19" x14ac:dyDescent="0.3">
      <c r="B25" s="175"/>
      <c r="C25" s="178"/>
      <c r="D25" s="177" t="s">
        <v>92</v>
      </c>
      <c r="E25" s="177" t="s">
        <v>94</v>
      </c>
      <c r="F25" s="177" t="s">
        <v>95</v>
      </c>
      <c r="G25" s="177"/>
      <c r="H25" s="177" t="s">
        <v>93</v>
      </c>
      <c r="I25" s="177"/>
      <c r="K25" s="457"/>
      <c r="L25" s="457"/>
      <c r="M25" s="457"/>
      <c r="N25" s="457"/>
      <c r="O25" s="457"/>
      <c r="P25" s="457"/>
      <c r="Q25" s="457"/>
      <c r="R25" s="457"/>
      <c r="S25" s="457"/>
    </row>
    <row r="26" spans="1:19" x14ac:dyDescent="0.3">
      <c r="B26" s="177"/>
      <c r="C26" s="177" t="s">
        <v>99</v>
      </c>
      <c r="D26" s="177" t="s">
        <v>94</v>
      </c>
      <c r="E26" s="177" t="s">
        <v>97</v>
      </c>
      <c r="F26" s="177" t="s">
        <v>98</v>
      </c>
      <c r="G26" s="177" t="s">
        <v>93</v>
      </c>
      <c r="H26" s="177" t="s">
        <v>357</v>
      </c>
      <c r="I26" s="177" t="s">
        <v>30</v>
      </c>
      <c r="K26" s="457"/>
      <c r="L26" s="457"/>
      <c r="M26" s="457"/>
      <c r="N26" s="457"/>
      <c r="O26" s="457"/>
      <c r="P26" s="457"/>
      <c r="Q26" s="457"/>
      <c r="R26" s="457"/>
      <c r="S26" s="457"/>
    </row>
    <row r="27" spans="1:19" x14ac:dyDescent="0.3">
      <c r="B27" s="177" t="s">
        <v>99</v>
      </c>
      <c r="C27" s="178" t="s">
        <v>105</v>
      </c>
      <c r="D27" s="177" t="s">
        <v>106</v>
      </c>
      <c r="E27" s="177" t="s">
        <v>101</v>
      </c>
      <c r="F27" s="177" t="s">
        <v>102</v>
      </c>
      <c r="G27" s="177" t="s">
        <v>103</v>
      </c>
      <c r="H27" s="177" t="s">
        <v>358</v>
      </c>
      <c r="I27" s="177" t="s">
        <v>67</v>
      </c>
      <c r="K27" s="457"/>
      <c r="L27" s="457"/>
      <c r="M27" s="457"/>
      <c r="N27" s="457"/>
      <c r="O27" s="457"/>
      <c r="P27" s="457"/>
      <c r="Q27" s="457"/>
      <c r="R27" s="457"/>
      <c r="S27" s="457"/>
    </row>
    <row r="28" spans="1:19" x14ac:dyDescent="0.3">
      <c r="B28" s="459" t="s">
        <v>105</v>
      </c>
      <c r="C28" s="459" t="s">
        <v>107</v>
      </c>
      <c r="D28" s="459" t="s">
        <v>485</v>
      </c>
      <c r="E28" s="459" t="s">
        <v>103</v>
      </c>
      <c r="F28" s="459" t="s">
        <v>103</v>
      </c>
      <c r="G28" s="458" t="s">
        <v>109</v>
      </c>
      <c r="H28" s="458" t="s">
        <v>359</v>
      </c>
      <c r="I28" s="459" t="s">
        <v>110</v>
      </c>
      <c r="K28" s="457"/>
      <c r="L28" s="457"/>
      <c r="M28" s="457"/>
      <c r="N28" s="457"/>
      <c r="O28" s="457"/>
      <c r="P28" s="457"/>
      <c r="Q28" s="457"/>
      <c r="R28" s="457"/>
      <c r="S28" s="457"/>
    </row>
    <row r="29" spans="1:19" ht="38.25" customHeight="1" x14ac:dyDescent="0.3">
      <c r="B29" s="460" t="s">
        <v>112</v>
      </c>
      <c r="C29" s="460" t="s">
        <v>113</v>
      </c>
      <c r="D29" s="460" t="s">
        <v>377</v>
      </c>
      <c r="E29" s="460" t="s">
        <v>367</v>
      </c>
      <c r="F29" s="460" t="s">
        <v>372</v>
      </c>
      <c r="G29" s="460" t="s">
        <v>378</v>
      </c>
      <c r="H29" s="460" t="s">
        <v>379</v>
      </c>
      <c r="I29" s="461" t="s">
        <v>444</v>
      </c>
      <c r="K29" s="457"/>
      <c r="L29" s="457"/>
      <c r="M29" s="457"/>
      <c r="N29" s="457"/>
      <c r="O29" s="457"/>
      <c r="P29" s="457"/>
      <c r="Q29" s="457"/>
      <c r="R29" s="457"/>
      <c r="S29" s="457"/>
    </row>
    <row r="30" spans="1:19" x14ac:dyDescent="0.3">
      <c r="K30" s="457"/>
      <c r="L30" s="457"/>
      <c r="M30" s="457"/>
      <c r="N30" s="457"/>
      <c r="O30" s="457"/>
      <c r="P30" s="457"/>
      <c r="Q30" s="457"/>
      <c r="R30" s="457"/>
      <c r="S30" s="457"/>
    </row>
    <row r="31" spans="1:19" x14ac:dyDescent="0.3">
      <c r="A31" s="5">
        <v>5</v>
      </c>
      <c r="B31" s="657">
        <f>'Input Data'!C109</f>
        <v>10637931.210000001</v>
      </c>
      <c r="C31" s="657">
        <f>'Input Data'!C110</f>
        <v>0</v>
      </c>
      <c r="D31" s="657">
        <f>'Input Data'!C111</f>
        <v>-2756.4</v>
      </c>
      <c r="E31" s="657">
        <f>'Input Data'!C112</f>
        <v>-931572.27</v>
      </c>
      <c r="F31" s="657">
        <f>'Input Data'!C113</f>
        <v>544265.15</v>
      </c>
      <c r="G31" s="657">
        <f>'Input Data'!C114</f>
        <v>127024.81</v>
      </c>
      <c r="H31" s="657">
        <f>'Input Data'!C115</f>
        <v>5960.74</v>
      </c>
      <c r="I31" s="464">
        <f>ROUND(SUM(B31:H31),0)</f>
        <v>10380853</v>
      </c>
      <c r="K31" s="457"/>
      <c r="L31" s="457"/>
      <c r="M31" s="457"/>
      <c r="N31" s="457"/>
      <c r="O31" s="457"/>
      <c r="P31" s="457"/>
      <c r="Q31" s="457"/>
      <c r="R31" s="457"/>
      <c r="S31" s="457"/>
    </row>
    <row r="32" spans="1:19" x14ac:dyDescent="0.3">
      <c r="A32" s="5">
        <v>6</v>
      </c>
      <c r="B32" s="657">
        <f>'Input Data'!D109</f>
        <v>13681517.470000001</v>
      </c>
      <c r="C32" s="657">
        <f>'Input Data'!D110</f>
        <v>0</v>
      </c>
      <c r="D32" s="657">
        <f>'Input Data'!D111</f>
        <v>-5718.99</v>
      </c>
      <c r="E32" s="657">
        <f>'Input Data'!D112</f>
        <v>-109985.66</v>
      </c>
      <c r="F32" s="657">
        <f>'Input Data'!D113</f>
        <v>4900704.5199999996</v>
      </c>
      <c r="G32" s="657">
        <f>'Input Data'!D114</f>
        <v>120605.84</v>
      </c>
      <c r="H32" s="657">
        <f>'Input Data'!D115</f>
        <v>6834.67</v>
      </c>
      <c r="I32" s="464">
        <f>ROUND(SUM(B32:H32),0)</f>
        <v>18593958</v>
      </c>
      <c r="K32" s="457"/>
      <c r="L32" s="457"/>
      <c r="M32" s="457"/>
      <c r="N32" s="457"/>
      <c r="O32" s="457"/>
      <c r="P32" s="457"/>
      <c r="Q32" s="457"/>
      <c r="R32" s="457"/>
      <c r="S32" s="457"/>
    </row>
    <row r="33" spans="1:19" x14ac:dyDescent="0.3">
      <c r="A33" s="5">
        <v>7</v>
      </c>
      <c r="B33" s="657">
        <f>'Input Data'!E109</f>
        <v>11758044.17</v>
      </c>
      <c r="C33" s="657">
        <f>'Input Data'!E110</f>
        <v>1178346.8999999999</v>
      </c>
      <c r="D33" s="657">
        <f>'Input Data'!E111</f>
        <v>-10291.15</v>
      </c>
      <c r="E33" s="657">
        <f>'Input Data'!E112</f>
        <v>0</v>
      </c>
      <c r="F33" s="657">
        <f>'Input Data'!E113</f>
        <v>7947398.7599999998</v>
      </c>
      <c r="G33" s="657">
        <f>'Input Data'!E114</f>
        <v>98543.41</v>
      </c>
      <c r="H33" s="657">
        <f>'Input Data'!E115</f>
        <v>14501.81</v>
      </c>
      <c r="I33" s="465">
        <f>ROUND(SUM(B33:H33),0)</f>
        <v>20986544</v>
      </c>
      <c r="K33" s="457"/>
      <c r="L33" s="457"/>
      <c r="M33" s="457"/>
      <c r="N33" s="457"/>
      <c r="O33" s="457"/>
      <c r="P33" s="457"/>
      <c r="Q33" s="457"/>
      <c r="R33" s="457"/>
      <c r="S33" s="457"/>
    </row>
    <row r="34" spans="1:19" x14ac:dyDescent="0.3">
      <c r="B34" s="75"/>
      <c r="C34" s="75"/>
      <c r="D34" s="75"/>
      <c r="E34" s="75"/>
      <c r="F34" s="75"/>
      <c r="G34" s="75"/>
      <c r="H34" s="75"/>
      <c r="I34" s="75"/>
      <c r="K34" s="457"/>
      <c r="L34" s="457"/>
      <c r="M34" s="457"/>
      <c r="N34" s="457"/>
      <c r="O34" s="457"/>
      <c r="P34" s="457"/>
      <c r="Q34" s="457"/>
      <c r="R34" s="457"/>
      <c r="S34" s="457"/>
    </row>
    <row r="35" spans="1:19" x14ac:dyDescent="0.3">
      <c r="A35" s="5">
        <v>8</v>
      </c>
      <c r="B35" s="75"/>
      <c r="C35" s="75"/>
      <c r="D35" s="75"/>
      <c r="E35" s="75"/>
      <c r="F35" s="75"/>
      <c r="G35" s="75"/>
      <c r="H35" s="466"/>
      <c r="I35" s="75">
        <f>I31+I32+I33</f>
        <v>49961355</v>
      </c>
      <c r="J35" s="75"/>
      <c r="K35" s="457"/>
      <c r="L35" s="457"/>
      <c r="M35" s="457"/>
      <c r="N35" s="457"/>
      <c r="O35" s="457"/>
      <c r="P35" s="457"/>
      <c r="Q35" s="457"/>
      <c r="R35" s="457"/>
      <c r="S35" s="457"/>
    </row>
    <row r="36" spans="1:19" x14ac:dyDescent="0.3">
      <c r="K36" s="457"/>
      <c r="L36" s="457"/>
      <c r="M36" s="457"/>
      <c r="N36" s="457"/>
      <c r="O36" s="457"/>
      <c r="P36" s="457"/>
      <c r="Q36" s="457"/>
      <c r="R36" s="457"/>
      <c r="S36" s="457"/>
    </row>
    <row r="37" spans="1:19" x14ac:dyDescent="0.3">
      <c r="K37" s="457"/>
      <c r="L37" s="457"/>
      <c r="M37" s="457"/>
      <c r="N37" s="457"/>
      <c r="O37" s="457"/>
      <c r="P37" s="457"/>
      <c r="Q37" s="457"/>
      <c r="R37" s="457"/>
      <c r="S37" s="457"/>
    </row>
    <row r="38" spans="1:19" x14ac:dyDescent="0.3">
      <c r="K38" s="457"/>
      <c r="L38" s="457"/>
      <c r="M38" s="457"/>
      <c r="N38" s="457"/>
      <c r="O38" s="457"/>
      <c r="P38" s="457"/>
      <c r="Q38" s="457"/>
      <c r="R38" s="457"/>
      <c r="S38" s="457"/>
    </row>
  </sheetData>
  <mergeCells count="5">
    <mergeCell ref="B23:I23"/>
    <mergeCell ref="B1:I1"/>
    <mergeCell ref="B2:I2"/>
    <mergeCell ref="B3:I3"/>
    <mergeCell ref="B9:I9"/>
  </mergeCells>
  <phoneticPr fontId="3" type="noConversion"/>
  <pageMargins left="0.72" right="0.78" top="1.47" bottom="1.25" header="0.64" footer="0.5"/>
  <pageSetup scale="70" orientation="portrait" r:id="rId1"/>
  <headerFooter alignWithMargins="0">
    <oddHeader>&amp;R&amp;"Times New Roman,Bold"Exhibit B-1
Page 5 of 7</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
  <sheetViews>
    <sheetView workbookViewId="0">
      <selection activeCell="A5" sqref="A5"/>
    </sheetView>
  </sheetViews>
  <sheetFormatPr defaultRowHeight="15.6" x14ac:dyDescent="0.3"/>
  <sheetData>
    <row r="4" spans="1:1" x14ac:dyDescent="0.3">
      <c r="A4" s="473" t="s">
        <v>823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
  <sheetViews>
    <sheetView workbookViewId="0">
      <selection activeCell="A5" sqref="A5"/>
    </sheetView>
  </sheetViews>
  <sheetFormatPr defaultRowHeight="15.6" x14ac:dyDescent="0.3"/>
  <sheetData>
    <row r="4" spans="1:1" x14ac:dyDescent="0.3">
      <c r="A4" s="473" t="s">
        <v>824</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tabColor rgb="FF00B050"/>
  </sheetPr>
  <dimension ref="B1:L18"/>
  <sheetViews>
    <sheetView topLeftCell="A4" zoomScaleNormal="100" workbookViewId="0">
      <selection activeCell="I17" sqref="I17"/>
    </sheetView>
  </sheetViews>
  <sheetFormatPr defaultColWidth="8.81640625" defaultRowHeight="15.6" x14ac:dyDescent="0.3"/>
  <cols>
    <col min="1" max="1" width="1.08984375" style="6" customWidth="1"/>
    <col min="2" max="4" width="8.81640625" style="6"/>
    <col min="5" max="5" width="10.81640625" style="6" bestFit="1" customWidth="1"/>
    <col min="6" max="8" width="8.81640625" style="6"/>
    <col min="9" max="9" width="9.81640625" style="6" customWidth="1"/>
    <col min="10" max="10" width="1.08984375" style="6" customWidth="1"/>
    <col min="11" max="16384" width="8.81640625" style="6"/>
  </cols>
  <sheetData>
    <row r="1" spans="2:9" x14ac:dyDescent="0.3">
      <c r="B1" s="738" t="s">
        <v>5</v>
      </c>
      <c r="C1" s="738"/>
      <c r="D1" s="738"/>
      <c r="E1" s="738"/>
      <c r="F1" s="738"/>
      <c r="G1" s="738"/>
      <c r="H1" s="738"/>
      <c r="I1" s="738"/>
    </row>
    <row r="2" spans="2:9" x14ac:dyDescent="0.3">
      <c r="B2" s="597"/>
      <c r="C2" s="597"/>
      <c r="D2" s="597"/>
      <c r="E2" s="597"/>
      <c r="F2" s="597"/>
      <c r="G2" s="597"/>
      <c r="H2" s="597"/>
      <c r="I2" s="597"/>
    </row>
    <row r="3" spans="2:9" x14ac:dyDescent="0.3">
      <c r="B3" s="738" t="str">
        <f>'Exhibit F Write-Up'!B3:N3</f>
        <v>Gas Supply Clause: 2021-00130</v>
      </c>
      <c r="C3" s="738"/>
      <c r="D3" s="738"/>
      <c r="E3" s="738"/>
      <c r="F3" s="738"/>
      <c r="G3" s="738"/>
      <c r="H3" s="738"/>
      <c r="I3" s="738"/>
    </row>
    <row r="4" spans="2:9" x14ac:dyDescent="0.3">
      <c r="B4" s="597"/>
      <c r="C4" s="597"/>
      <c r="D4" s="597"/>
      <c r="E4" s="597"/>
      <c r="F4" s="597"/>
      <c r="G4" s="597"/>
      <c r="H4" s="597"/>
      <c r="I4" s="597"/>
    </row>
    <row r="5" spans="2:9" x14ac:dyDescent="0.3">
      <c r="B5" s="738" t="s">
        <v>679</v>
      </c>
      <c r="C5" s="738"/>
      <c r="D5" s="738"/>
      <c r="E5" s="738"/>
      <c r="F5" s="738"/>
      <c r="G5" s="738"/>
      <c r="H5" s="738"/>
      <c r="I5" s="738"/>
    </row>
    <row r="8" spans="2:9" ht="31.95" customHeight="1" x14ac:dyDescent="0.3">
      <c r="B8" s="736" t="s">
        <v>680</v>
      </c>
      <c r="C8" s="736"/>
      <c r="D8" s="736"/>
      <c r="E8" s="736"/>
      <c r="F8" s="736"/>
      <c r="G8" s="736"/>
      <c r="H8" s="736"/>
      <c r="I8" s="736"/>
    </row>
    <row r="9" spans="2:9" ht="15.6" customHeight="1" x14ac:dyDescent="0.3">
      <c r="B9" s="697"/>
      <c r="C9" s="697"/>
      <c r="D9" s="697"/>
      <c r="E9" s="697"/>
      <c r="F9" s="697"/>
      <c r="G9" s="697"/>
      <c r="H9" s="697"/>
      <c r="I9" s="697"/>
    </row>
    <row r="10" spans="2:9" ht="32.4" customHeight="1" x14ac:dyDescent="0.3">
      <c r="B10" s="736"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May 1, 2021 through July 31, 2021 set forth on Page 1 of Exhibit C-1:</v>
      </c>
      <c r="C10" s="736"/>
      <c r="D10" s="736"/>
      <c r="E10" s="736"/>
      <c r="F10" s="736"/>
      <c r="G10" s="736"/>
      <c r="H10" s="736"/>
      <c r="I10" s="736"/>
    </row>
    <row r="11" spans="2:9" ht="15.6" customHeight="1" x14ac:dyDescent="0.3">
      <c r="B11" s="697"/>
      <c r="C11" s="697"/>
      <c r="D11" s="697"/>
      <c r="E11" s="697"/>
      <c r="F11" s="697"/>
      <c r="G11" s="697"/>
      <c r="H11" s="697"/>
      <c r="I11" s="697"/>
    </row>
    <row r="12" spans="2:9" ht="15.6" customHeight="1" x14ac:dyDescent="0.3">
      <c r="B12" s="778" t="s">
        <v>681</v>
      </c>
      <c r="C12" s="778"/>
      <c r="D12" s="778"/>
      <c r="E12" s="605">
        <f>'Ex C-1 1 of 3'!D13</f>
        <v>-112347</v>
      </c>
      <c r="F12" s="697"/>
      <c r="G12" s="697"/>
      <c r="H12" s="697"/>
      <c r="I12" s="697"/>
    </row>
    <row r="13" spans="2:9" ht="15.6" customHeight="1" x14ac:dyDescent="0.3">
      <c r="B13" s="697"/>
      <c r="C13" s="697"/>
      <c r="D13" s="697"/>
      <c r="E13" s="697"/>
      <c r="F13" s="697"/>
      <c r="G13" s="697"/>
      <c r="H13" s="697"/>
      <c r="I13" s="697"/>
    </row>
    <row r="14" spans="2:9" ht="31.95" customHeight="1" x14ac:dyDescent="0.3">
      <c r="B14" s="736" t="str">
        <f>CONCATENATE("The GCBA factor required to collect the recovery balance will be in effect ", 'Input Data'!B147, " with service rendered on and after ", 'Input Data'!D4, " and continue for three months:")</f>
        <v>The GCBA factor required to collect the recovery balance will be in effect as a credit with service rendered on and after May 1, 2021 and continue for three months:</v>
      </c>
      <c r="C14" s="736"/>
      <c r="D14" s="736"/>
      <c r="E14" s="736"/>
      <c r="F14" s="736"/>
      <c r="G14" s="736"/>
      <c r="H14" s="736"/>
      <c r="I14" s="736"/>
    </row>
    <row r="15" spans="2:9" ht="15.6" customHeight="1" x14ac:dyDescent="0.3">
      <c r="B15" s="697"/>
      <c r="C15" s="697"/>
      <c r="D15" s="697"/>
      <c r="E15" s="697"/>
      <c r="F15" s="697"/>
      <c r="G15" s="697"/>
      <c r="H15" s="697"/>
      <c r="I15" s="697"/>
    </row>
    <row r="16" spans="2:9" ht="15.6" customHeight="1" x14ac:dyDescent="0.3">
      <c r="B16" s="779" t="s">
        <v>682</v>
      </c>
      <c r="C16" s="779"/>
      <c r="D16" s="779"/>
      <c r="E16" s="606">
        <f>'Ex C-1 1 of 3'!D19</f>
        <v>-4.5799999999999999E-3</v>
      </c>
      <c r="F16" s="697"/>
      <c r="G16" s="697"/>
      <c r="H16" s="697"/>
      <c r="I16" s="697"/>
    </row>
    <row r="17" spans="2:12" ht="15.6" customHeight="1" x14ac:dyDescent="0.3">
      <c r="B17" s="697"/>
      <c r="C17" s="697"/>
      <c r="D17" s="697"/>
      <c r="E17" s="697"/>
      <c r="F17" s="697"/>
      <c r="G17" s="697"/>
      <c r="H17" s="697"/>
      <c r="I17" s="697"/>
    </row>
    <row r="18" spans="2:12" ht="61.2" customHeight="1" x14ac:dyDescent="0.3">
      <c r="B18" s="743"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Data'!B146)</f>
        <v>In this filing, LG&amp;E will eliminate the GCBA from Case No. 2020-00401 as it will have been in effect for three months.  Any over- or under-recovery of the amount originally established will be transferred to the GCBA which will be implemented in LG&amp;E's next Gas Supply Clause filing with service rendered on and after August 1, 2021.</v>
      </c>
      <c r="C18" s="743"/>
      <c r="D18" s="743"/>
      <c r="E18" s="743"/>
      <c r="F18" s="743"/>
      <c r="G18" s="743"/>
      <c r="H18" s="743"/>
      <c r="I18" s="743"/>
      <c r="L18" s="3"/>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election activeCell="C21" sqref="C21"/>
    </sheetView>
  </sheetViews>
  <sheetFormatPr defaultColWidth="9.81640625" defaultRowHeight="18" x14ac:dyDescent="0.35"/>
  <cols>
    <col min="1" max="1" width="9.81640625" style="181"/>
    <col min="2" max="2" width="25.6328125" style="181" customWidth="1"/>
    <col min="3" max="3" width="27" style="181" customWidth="1"/>
    <col min="4" max="4" width="15.36328125" style="181" customWidth="1"/>
    <col min="5" max="11" width="22.36328125" style="181" customWidth="1"/>
    <col min="12" max="12" width="8.08984375" style="181" customWidth="1"/>
    <col min="13" max="16384" width="9.81640625" style="181"/>
  </cols>
  <sheetData>
    <row r="1" spans="1:12" x14ac:dyDescent="0.35">
      <c r="B1" s="732" t="s">
        <v>5</v>
      </c>
      <c r="C1" s="732"/>
      <c r="D1" s="732"/>
      <c r="E1" s="182"/>
      <c r="F1" s="182"/>
      <c r="G1" s="182"/>
      <c r="H1" s="182"/>
      <c r="I1" s="182"/>
      <c r="J1" s="182"/>
      <c r="K1" s="182"/>
      <c r="L1" s="183"/>
    </row>
    <row r="2" spans="1:12" x14ac:dyDescent="0.35">
      <c r="B2" s="719" t="s">
        <v>307</v>
      </c>
      <c r="C2" s="719"/>
      <c r="D2" s="719"/>
      <c r="E2" s="182"/>
      <c r="F2" s="182"/>
      <c r="G2" s="182"/>
      <c r="H2" s="182"/>
      <c r="I2" s="182"/>
      <c r="J2" s="182"/>
      <c r="K2" s="182"/>
      <c r="L2" s="91"/>
    </row>
    <row r="3" spans="1:12" x14ac:dyDescent="0.35">
      <c r="B3" s="719" t="str">
        <f>CONCATENATE("For Service Rendered On and After ",'Input Data'!$D$4)</f>
        <v>For Service Rendered On and After May 1, 2021</v>
      </c>
      <c r="C3" s="719"/>
      <c r="D3" s="719"/>
      <c r="E3" s="182"/>
      <c r="F3" s="182"/>
      <c r="G3" s="182"/>
      <c r="H3" s="182"/>
      <c r="I3" s="182"/>
      <c r="J3" s="182"/>
      <c r="K3" s="182"/>
      <c r="L3" s="91"/>
    </row>
    <row r="4" spans="1:12" x14ac:dyDescent="0.35">
      <c r="B4" s="646"/>
      <c r="C4" s="646"/>
      <c r="D4" s="646"/>
      <c r="E4" s="182"/>
      <c r="F4" s="182"/>
      <c r="G4" s="182"/>
      <c r="H4" s="182"/>
      <c r="I4" s="182"/>
      <c r="J4" s="182"/>
      <c r="K4" s="182"/>
      <c r="L4" s="91"/>
    </row>
    <row r="5" spans="1:12" x14ac:dyDescent="0.35">
      <c r="B5" s="646"/>
      <c r="C5" s="646"/>
      <c r="D5" s="646"/>
      <c r="E5" s="182"/>
      <c r="F5" s="182"/>
      <c r="G5" s="182"/>
      <c r="H5" s="182"/>
      <c r="I5" s="182"/>
      <c r="J5" s="182"/>
      <c r="K5" s="182"/>
      <c r="L5" s="91"/>
    </row>
    <row r="6" spans="1:12" x14ac:dyDescent="0.35">
      <c r="L6" s="91"/>
    </row>
    <row r="7" spans="1:12" x14ac:dyDescent="0.35">
      <c r="A7" s="645" t="s">
        <v>323</v>
      </c>
      <c r="B7" s="3"/>
      <c r="C7" s="3"/>
      <c r="D7" s="645" t="s">
        <v>426</v>
      </c>
      <c r="L7" s="91"/>
    </row>
    <row r="8" spans="1:12" x14ac:dyDescent="0.35">
      <c r="A8" s="647" t="s">
        <v>324</v>
      </c>
      <c r="B8" s="780" t="s">
        <v>325</v>
      </c>
      <c r="C8" s="780"/>
      <c r="D8" s="647" t="s">
        <v>304</v>
      </c>
      <c r="L8" s="91"/>
    </row>
    <row r="9" spans="1:12" ht="21.9" customHeight="1" x14ac:dyDescent="0.35">
      <c r="A9" s="645">
        <v>1</v>
      </c>
      <c r="B9" s="3" t="s">
        <v>430</v>
      </c>
      <c r="C9" s="3"/>
      <c r="D9" s="278">
        <f>'Ex C-1 2 of 3'!G29</f>
        <v>-97758</v>
      </c>
      <c r="L9" s="91"/>
    </row>
    <row r="10" spans="1:12" ht="21.9" customHeight="1" x14ac:dyDescent="0.35">
      <c r="A10" s="645">
        <v>2</v>
      </c>
      <c r="B10" s="3" t="s">
        <v>431</v>
      </c>
      <c r="C10" s="3"/>
      <c r="D10" s="278">
        <f>'Ex C-1 3 of 3'!G27</f>
        <v>-14589</v>
      </c>
      <c r="L10" s="91"/>
    </row>
    <row r="11" spans="1:12" ht="21.9" customHeight="1" x14ac:dyDescent="0.35">
      <c r="A11" s="645">
        <v>3</v>
      </c>
      <c r="B11" s="3" t="s">
        <v>432</v>
      </c>
      <c r="C11" s="3"/>
      <c r="D11" s="278">
        <f>'Ex D-1 2 of 2'!G31</f>
        <v>0</v>
      </c>
      <c r="L11" s="91"/>
    </row>
    <row r="12" spans="1:12" ht="21.9" customHeight="1" x14ac:dyDescent="0.35">
      <c r="A12" s="645">
        <v>4</v>
      </c>
      <c r="B12" s="3" t="s">
        <v>433</v>
      </c>
      <c r="C12" s="3"/>
      <c r="D12" s="658">
        <f>'Input Data'!D131</f>
        <v>0</v>
      </c>
      <c r="L12" s="91"/>
    </row>
    <row r="13" spans="1:12" ht="21.9" customHeight="1" x14ac:dyDescent="0.35">
      <c r="A13" s="645">
        <v>5</v>
      </c>
      <c r="B13" s="3" t="s">
        <v>308</v>
      </c>
      <c r="C13" s="3"/>
      <c r="D13" s="323">
        <f>SUM(D9:D12)</f>
        <v>-112347</v>
      </c>
      <c r="L13" s="91"/>
    </row>
    <row r="14" spans="1:12" ht="21.9" customHeight="1" x14ac:dyDescent="0.35">
      <c r="A14" s="645"/>
      <c r="B14" s="3"/>
      <c r="C14" s="3"/>
      <c r="D14" s="3"/>
    </row>
    <row r="15" spans="1:12" ht="21.9" customHeight="1" x14ac:dyDescent="0.35">
      <c r="A15" s="645">
        <v>6</v>
      </c>
      <c r="B15" s="3" t="s">
        <v>434</v>
      </c>
      <c r="C15" s="3"/>
      <c r="D15" s="338">
        <f>'Ex A 1 of 2'!F74</f>
        <v>2451205.3328</v>
      </c>
    </row>
    <row r="16" spans="1:12" ht="21.9" customHeight="1" x14ac:dyDescent="0.35">
      <c r="A16" s="645"/>
      <c r="B16" s="3"/>
      <c r="C16" s="3"/>
      <c r="D16" s="3"/>
    </row>
    <row r="17" spans="1:15" ht="21.9" customHeight="1" x14ac:dyDescent="0.35">
      <c r="A17" s="645">
        <v>7</v>
      </c>
      <c r="B17" s="3" t="s">
        <v>309</v>
      </c>
      <c r="C17" s="3"/>
      <c r="D17" s="195">
        <f>ROUND(D13/D15,4)</f>
        <v>-4.58E-2</v>
      </c>
    </row>
    <row r="18" spans="1:15" ht="21.9" customHeight="1" x14ac:dyDescent="0.35">
      <c r="A18" s="645"/>
      <c r="B18" s="3"/>
      <c r="C18" s="3"/>
      <c r="D18" s="3"/>
    </row>
    <row r="19" spans="1:15" ht="21.9" customHeight="1" x14ac:dyDescent="0.35">
      <c r="A19" s="645">
        <v>8</v>
      </c>
      <c r="B19" s="3" t="s">
        <v>310</v>
      </c>
      <c r="C19" s="3"/>
      <c r="D19" s="279">
        <f>ROUND(D17/10,5)</f>
        <v>-4.5799999999999999E-3</v>
      </c>
    </row>
    <row r="20" spans="1:15" ht="21.9" customHeight="1" x14ac:dyDescent="0.35">
      <c r="A20" s="3"/>
      <c r="B20" s="3"/>
      <c r="C20" s="3"/>
      <c r="D20" s="3"/>
    </row>
    <row r="21" spans="1:15" x14ac:dyDescent="0.35">
      <c r="A21" s="3"/>
      <c r="B21" s="3"/>
      <c r="C21" s="3"/>
      <c r="D21" s="3"/>
    </row>
    <row r="22" spans="1:15" x14ac:dyDescent="0.35">
      <c r="A22" s="3"/>
      <c r="B22" s="3"/>
      <c r="C22" s="3"/>
      <c r="D22" s="3"/>
    </row>
    <row r="23" spans="1:15" x14ac:dyDescent="0.35">
      <c r="A23" s="3"/>
      <c r="B23" s="280"/>
      <c r="C23" s="56"/>
      <c r="D23" s="56"/>
      <c r="E23" s="184"/>
    </row>
    <row r="24" spans="1:15" x14ac:dyDescent="0.35">
      <c r="A24" s="3"/>
      <c r="B24" s="280"/>
      <c r="C24" s="56"/>
      <c r="D24" s="56"/>
      <c r="F24" s="50"/>
    </row>
    <row r="25" spans="1:15" ht="19.2" x14ac:dyDescent="0.35">
      <c r="A25" s="281">
        <v>1</v>
      </c>
      <c r="B25" s="13" t="s">
        <v>115</v>
      </c>
      <c r="C25" s="3"/>
      <c r="D25" s="3"/>
    </row>
    <row r="26" spans="1:15" ht="19.2" x14ac:dyDescent="0.35">
      <c r="A26" s="281">
        <v>2</v>
      </c>
      <c r="B26" s="13" t="s">
        <v>306</v>
      </c>
      <c r="C26" s="3"/>
      <c r="D26" s="3"/>
    </row>
    <row r="27" spans="1:15" ht="19.2" x14ac:dyDescent="0.35">
      <c r="A27" s="281">
        <v>3</v>
      </c>
      <c r="B27" s="13" t="s">
        <v>630</v>
      </c>
      <c r="C27" s="3"/>
      <c r="D27" s="3"/>
    </row>
    <row r="28" spans="1:15" ht="19.2" x14ac:dyDescent="0.35">
      <c r="A28" s="281">
        <v>4</v>
      </c>
      <c r="B28" s="13" t="s">
        <v>644</v>
      </c>
      <c r="C28" s="3"/>
      <c r="D28" s="3"/>
    </row>
    <row r="29" spans="1:15" ht="19.2" x14ac:dyDescent="0.35">
      <c r="A29" s="281">
        <v>5</v>
      </c>
      <c r="B29" s="13" t="s">
        <v>429</v>
      </c>
      <c r="C29" s="3"/>
      <c r="D29" s="3"/>
      <c r="G29" s="50"/>
      <c r="H29" s="50"/>
      <c r="J29" s="184"/>
      <c r="N29" s="659"/>
      <c r="O29" s="185"/>
    </row>
    <row r="30" spans="1:15" x14ac:dyDescent="0.35">
      <c r="A30" s="3"/>
      <c r="B30" s="3"/>
      <c r="C30" s="3"/>
      <c r="D30" s="3"/>
      <c r="N30" s="659"/>
      <c r="O30" s="185"/>
    </row>
    <row r="31" spans="1:15" hidden="1" x14ac:dyDescent="0.35">
      <c r="A31" s="3"/>
      <c r="B31" s="3"/>
      <c r="C31" s="3"/>
      <c r="D31" s="3"/>
      <c r="K31" s="186"/>
    </row>
    <row r="32" spans="1:15" hidden="1" x14ac:dyDescent="0.35">
      <c r="A32" s="3"/>
      <c r="B32" s="3"/>
      <c r="C32" s="3"/>
      <c r="D32" s="3"/>
    </row>
    <row r="33" spans="1:11" ht="19.2" hidden="1" x14ac:dyDescent="0.35">
      <c r="A33" s="281"/>
      <c r="B33" s="3"/>
      <c r="C33" s="3"/>
      <c r="D33" s="3"/>
    </row>
    <row r="34" spans="1:11" x14ac:dyDescent="0.35">
      <c r="K34" s="187"/>
    </row>
    <row r="38" spans="1:11" ht="14.25" customHeight="1" x14ac:dyDescent="0.35"/>
    <row r="39" spans="1:11" ht="14.25" customHeight="1" x14ac:dyDescent="0.35"/>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heetViews>
  <sheetFormatPr defaultColWidth="9.81640625" defaultRowHeight="15.6" x14ac:dyDescent="0.3"/>
  <cols>
    <col min="1" max="1" width="5.90625" style="3" customWidth="1"/>
    <col min="2" max="2" width="12.6328125" style="3" customWidth="1"/>
    <col min="3" max="3" width="15.453125" style="3" customWidth="1"/>
    <col min="4" max="4" width="14.453125" style="3" customWidth="1"/>
    <col min="5" max="5" width="13.54296875" style="3" customWidth="1"/>
    <col min="6" max="6" width="14" style="3" customWidth="1"/>
    <col min="7" max="7" width="14.54296875" style="3" customWidth="1"/>
    <col min="8" max="8" width="18.08984375" style="3" customWidth="1"/>
    <col min="9" max="12" width="11.08984375" style="3" customWidth="1"/>
    <col min="13" max="13" width="10.1796875" style="3" customWidth="1"/>
    <col min="14" max="14" width="17.6328125" style="80" customWidth="1"/>
    <col min="15" max="15" width="13.6328125" style="3" customWidth="1"/>
    <col min="16" max="16" width="16.90625" style="3" customWidth="1"/>
    <col min="17" max="16384" width="9.81640625" style="3"/>
  </cols>
  <sheetData>
    <row r="1" spans="1:16" ht="17.399999999999999" x14ac:dyDescent="0.3">
      <c r="B1" s="732" t="s">
        <v>5</v>
      </c>
      <c r="C1" s="732"/>
      <c r="D1" s="732"/>
      <c r="E1" s="732"/>
      <c r="F1" s="732"/>
      <c r="G1" s="732"/>
      <c r="H1" s="732"/>
    </row>
    <row r="2" spans="1:16" ht="18" x14ac:dyDescent="0.35">
      <c r="B2" s="719" t="s">
        <v>427</v>
      </c>
      <c r="C2" s="719"/>
      <c r="D2" s="719"/>
      <c r="E2" s="719"/>
      <c r="F2" s="719"/>
      <c r="G2" s="719"/>
      <c r="H2" s="719"/>
    </row>
    <row r="3" spans="1:16" ht="18" x14ac:dyDescent="0.35">
      <c r="B3" s="719" t="str">
        <f>CONCATENATE("For Service Rendered On and After ",'Input Data'!$D$4)</f>
        <v>For Service Rendered On and After May 1, 2021</v>
      </c>
      <c r="C3" s="719"/>
      <c r="D3" s="719"/>
      <c r="E3" s="719"/>
      <c r="F3" s="719"/>
      <c r="G3" s="719"/>
      <c r="H3" s="719"/>
      <c r="I3" s="107"/>
      <c r="J3" s="107"/>
      <c r="K3" s="107"/>
      <c r="L3" s="107"/>
      <c r="M3" s="107"/>
    </row>
    <row r="4" spans="1:16" ht="18" x14ac:dyDescent="0.35">
      <c r="A4" s="644"/>
      <c r="B4" s="644"/>
      <c r="C4" s="644"/>
      <c r="D4" s="644"/>
      <c r="E4" s="644"/>
      <c r="F4" s="644"/>
      <c r="G4" s="644"/>
      <c r="H4" s="644"/>
    </row>
    <row r="5" spans="1:16" x14ac:dyDescent="0.3">
      <c r="B5" s="13" t="s">
        <v>354</v>
      </c>
      <c r="C5" s="13" t="str">
        <f>VLOOKUP($B$13,'Case Database'!$A$2:$G$200,6,FALSE)</f>
        <v>2019-00179</v>
      </c>
    </row>
    <row r="7" spans="1:16" x14ac:dyDescent="0.3">
      <c r="I7" s="190"/>
      <c r="J7" s="190"/>
      <c r="K7" s="190"/>
      <c r="L7" s="190"/>
      <c r="M7" s="190"/>
      <c r="N7" s="191"/>
    </row>
    <row r="8" spans="1:16" ht="46.8" x14ac:dyDescent="0.3">
      <c r="A8" s="648" t="s">
        <v>249</v>
      </c>
      <c r="B8" s="467" t="s">
        <v>350</v>
      </c>
      <c r="C8" s="188" t="s">
        <v>312</v>
      </c>
      <c r="D8" s="648" t="s">
        <v>371</v>
      </c>
      <c r="E8" s="113" t="s">
        <v>275</v>
      </c>
      <c r="F8" s="189" t="s">
        <v>274</v>
      </c>
      <c r="G8" s="189" t="s">
        <v>355</v>
      </c>
      <c r="H8" s="189" t="s">
        <v>273</v>
      </c>
      <c r="I8" s="190"/>
      <c r="J8" s="468"/>
      <c r="K8" s="468"/>
      <c r="L8" s="468"/>
      <c r="M8" s="468"/>
      <c r="N8" s="468"/>
      <c r="O8" s="468"/>
      <c r="P8" s="468"/>
    </row>
    <row r="9" spans="1:16" ht="18" customHeight="1" x14ac:dyDescent="0.3">
      <c r="A9" s="645"/>
      <c r="B9" s="192" t="s">
        <v>60</v>
      </c>
      <c r="C9" s="192" t="s">
        <v>61</v>
      </c>
      <c r="D9" s="192" t="s">
        <v>62</v>
      </c>
      <c r="E9" s="192" t="s">
        <v>63</v>
      </c>
      <c r="F9" s="192" t="s">
        <v>64</v>
      </c>
      <c r="G9" s="192" t="s">
        <v>491</v>
      </c>
      <c r="H9" s="192" t="s">
        <v>330</v>
      </c>
      <c r="I9" s="190"/>
      <c r="J9" s="468"/>
      <c r="K9" s="468"/>
      <c r="L9" s="468"/>
      <c r="M9" s="468"/>
      <c r="N9" s="468"/>
      <c r="O9" s="468"/>
      <c r="P9" s="468"/>
    </row>
    <row r="10" spans="1:16" x14ac:dyDescent="0.3">
      <c r="A10" s="645"/>
      <c r="B10" s="122"/>
      <c r="C10" s="122"/>
      <c r="D10" s="122"/>
      <c r="E10" s="105"/>
      <c r="G10" s="193"/>
      <c r="H10" s="193"/>
      <c r="I10" s="190"/>
      <c r="J10" s="468"/>
      <c r="K10" s="468"/>
      <c r="L10" s="468"/>
      <c r="M10" s="468"/>
      <c r="N10" s="468"/>
      <c r="O10" s="468"/>
      <c r="P10" s="468"/>
    </row>
    <row r="11" spans="1:16" ht="18" customHeight="1" x14ac:dyDescent="0.3">
      <c r="A11" s="645">
        <v>1</v>
      </c>
      <c r="E11" s="105"/>
      <c r="G11" s="161" t="s">
        <v>272</v>
      </c>
      <c r="H11" s="85">
        <f>'Input Data'!D137</f>
        <v>-1689571</v>
      </c>
      <c r="I11" s="190"/>
      <c r="J11" s="468"/>
      <c r="K11" s="468"/>
      <c r="L11" s="468"/>
      <c r="M11" s="468"/>
      <c r="N11" s="468"/>
      <c r="O11" s="468"/>
      <c r="P11" s="468"/>
    </row>
    <row r="12" spans="1:16" x14ac:dyDescent="0.3">
      <c r="A12" s="645"/>
      <c r="E12" s="105"/>
      <c r="G12" s="85"/>
      <c r="H12" s="85"/>
      <c r="I12" s="190"/>
      <c r="J12" s="468"/>
      <c r="K12" s="468"/>
      <c r="L12" s="468"/>
      <c r="M12" s="468"/>
      <c r="N12" s="468"/>
      <c r="O12" s="468"/>
      <c r="P12" s="468"/>
    </row>
    <row r="13" spans="1:16" x14ac:dyDescent="0.3">
      <c r="A13" s="645">
        <v>2</v>
      </c>
      <c r="B13" s="122">
        <f>'Input Data'!C6</f>
        <v>43862</v>
      </c>
      <c r="C13" s="194" t="s">
        <v>366</v>
      </c>
      <c r="D13" s="366">
        <f>VLOOKUP(B13,'Sales Volumes'!$A$1:$H$100,2,FALSE)</f>
        <v>4895025.5999999996</v>
      </c>
      <c r="E13" s="366">
        <f>VLOOKUP(B13,'Sales Volumes'!$A$1:$H$100,4,FALSE)</f>
        <v>2360944.1</v>
      </c>
      <c r="F13" s="195">
        <f>VLOOKUP($B$13,'Case Database'!$A$2:$G$200,7,FALSE)</f>
        <v>-5.4100000000000002E-2</v>
      </c>
      <c r="G13" s="85">
        <f t="shared" ref="G13:G25" si="0">ROUND(E13*F13,0)</f>
        <v>-127727</v>
      </c>
      <c r="H13" s="85">
        <f>+H11-G13</f>
        <v>-1561844</v>
      </c>
      <c r="I13" s="190"/>
      <c r="J13" s="468"/>
      <c r="K13" s="468"/>
      <c r="L13" s="468"/>
      <c r="M13" s="468"/>
      <c r="N13" s="468"/>
      <c r="O13" s="468"/>
      <c r="P13" s="468"/>
    </row>
    <row r="14" spans="1:16" x14ac:dyDescent="0.3">
      <c r="A14" s="645">
        <v>3</v>
      </c>
      <c r="B14" s="122">
        <f>EDATE(B13,1)</f>
        <v>43891</v>
      </c>
      <c r="C14" s="194"/>
      <c r="D14" s="366">
        <f>VLOOKUP(B14,'Sales Volumes'!$A$1:$H$100,2,FALSE)</f>
        <v>4167631.8</v>
      </c>
      <c r="E14" s="366">
        <f>D14</f>
        <v>4167631.8</v>
      </c>
      <c r="F14" s="195">
        <f t="shared" ref="F14:F25" si="1">$F$13</f>
        <v>-5.4100000000000002E-2</v>
      </c>
      <c r="G14" s="85">
        <f t="shared" si="0"/>
        <v>-225469</v>
      </c>
      <c r="H14" s="85">
        <f t="shared" ref="H14:H25" si="2">+H13-G14</f>
        <v>-1336375</v>
      </c>
      <c r="I14" s="190"/>
      <c r="J14" s="468"/>
      <c r="K14" s="468"/>
      <c r="L14" s="468"/>
      <c r="M14" s="468"/>
      <c r="N14" s="468"/>
      <c r="O14" s="468"/>
      <c r="P14" s="468"/>
    </row>
    <row r="15" spans="1:16" x14ac:dyDescent="0.3">
      <c r="A15" s="645">
        <v>4</v>
      </c>
      <c r="B15" s="122">
        <f t="shared" ref="B15:B25" si="3">EDATE(B14,1)</f>
        <v>43922</v>
      </c>
      <c r="C15" s="194"/>
      <c r="D15" s="366">
        <f>VLOOKUP(B15,'Sales Volumes'!$A$1:$H$100,2,FALSE)</f>
        <v>2380089.7000000002</v>
      </c>
      <c r="E15" s="366">
        <f t="shared" ref="E15:E24" si="4">D15</f>
        <v>2380089.7000000002</v>
      </c>
      <c r="F15" s="195">
        <f t="shared" si="1"/>
        <v>-5.4100000000000002E-2</v>
      </c>
      <c r="G15" s="85">
        <f t="shared" si="0"/>
        <v>-128763</v>
      </c>
      <c r="H15" s="85">
        <f t="shared" si="2"/>
        <v>-1207612</v>
      </c>
      <c r="I15" s="190"/>
      <c r="J15" s="468"/>
      <c r="K15" s="468"/>
      <c r="L15" s="468"/>
      <c r="M15" s="468"/>
      <c r="N15" s="468"/>
      <c r="O15" s="468"/>
      <c r="P15" s="468"/>
    </row>
    <row r="16" spans="1:16" x14ac:dyDescent="0.3">
      <c r="A16" s="645">
        <v>5</v>
      </c>
      <c r="B16" s="122">
        <f t="shared" si="3"/>
        <v>43952</v>
      </c>
      <c r="C16" s="194"/>
      <c r="D16" s="366">
        <f>VLOOKUP(B16,'Sales Volumes'!$A$1:$H$100,2,FALSE)</f>
        <v>1668456.8</v>
      </c>
      <c r="E16" s="366">
        <f t="shared" si="4"/>
        <v>1668456.8</v>
      </c>
      <c r="F16" s="195">
        <f t="shared" si="1"/>
        <v>-5.4100000000000002E-2</v>
      </c>
      <c r="G16" s="85">
        <f t="shared" si="0"/>
        <v>-90264</v>
      </c>
      <c r="H16" s="85">
        <f t="shared" si="2"/>
        <v>-1117348</v>
      </c>
      <c r="I16" s="190"/>
      <c r="J16" s="468"/>
      <c r="K16" s="468"/>
      <c r="L16" s="468"/>
      <c r="M16" s="468"/>
      <c r="N16" s="468"/>
      <c r="O16" s="468"/>
      <c r="P16" s="468"/>
    </row>
    <row r="17" spans="1:16" x14ac:dyDescent="0.3">
      <c r="A17" s="645">
        <v>6</v>
      </c>
      <c r="B17" s="122">
        <f t="shared" si="3"/>
        <v>43983</v>
      </c>
      <c r="C17" s="194"/>
      <c r="D17" s="366">
        <f>VLOOKUP(B17,'Sales Volumes'!$A$1:$H$100,2,FALSE)</f>
        <v>937602.9</v>
      </c>
      <c r="E17" s="366">
        <f t="shared" si="4"/>
        <v>937602.9</v>
      </c>
      <c r="F17" s="195">
        <f t="shared" si="1"/>
        <v>-5.4100000000000002E-2</v>
      </c>
      <c r="G17" s="85">
        <f t="shared" si="0"/>
        <v>-50724</v>
      </c>
      <c r="H17" s="85">
        <f t="shared" si="2"/>
        <v>-1066624</v>
      </c>
      <c r="I17" s="190"/>
      <c r="J17" s="468"/>
      <c r="K17" s="468"/>
      <c r="L17" s="468"/>
      <c r="M17" s="468"/>
      <c r="N17" s="468"/>
      <c r="O17" s="468"/>
      <c r="P17" s="468"/>
    </row>
    <row r="18" spans="1:16" x14ac:dyDescent="0.3">
      <c r="A18" s="645">
        <v>7</v>
      </c>
      <c r="B18" s="122">
        <f t="shared" si="3"/>
        <v>44013</v>
      </c>
      <c r="C18" s="194"/>
      <c r="D18" s="366">
        <f>VLOOKUP(B18,'Sales Volumes'!$A$1:$H$100,2,FALSE)</f>
        <v>687225.60000000009</v>
      </c>
      <c r="E18" s="366">
        <f t="shared" si="4"/>
        <v>687225.60000000009</v>
      </c>
      <c r="F18" s="195">
        <f t="shared" si="1"/>
        <v>-5.4100000000000002E-2</v>
      </c>
      <c r="G18" s="85">
        <f t="shared" si="0"/>
        <v>-37179</v>
      </c>
      <c r="H18" s="85">
        <f t="shared" si="2"/>
        <v>-1029445</v>
      </c>
      <c r="I18" s="190"/>
      <c r="J18" s="468"/>
      <c r="K18" s="468"/>
      <c r="L18" s="468"/>
      <c r="M18" s="468"/>
      <c r="N18" s="468"/>
      <c r="O18" s="468"/>
      <c r="P18" s="468"/>
    </row>
    <row r="19" spans="1:16" x14ac:dyDescent="0.3">
      <c r="A19" s="645">
        <v>8</v>
      </c>
      <c r="B19" s="122">
        <f t="shared" si="3"/>
        <v>44044</v>
      </c>
      <c r="C19" s="194"/>
      <c r="D19" s="366">
        <f>VLOOKUP(B19,'Sales Volumes'!$A$1:$H$100,2,FALSE)</f>
        <v>630697.30000000005</v>
      </c>
      <c r="E19" s="366">
        <f t="shared" si="4"/>
        <v>630697.30000000005</v>
      </c>
      <c r="F19" s="195">
        <f t="shared" si="1"/>
        <v>-5.4100000000000002E-2</v>
      </c>
      <c r="G19" s="85">
        <f t="shared" si="0"/>
        <v>-34121</v>
      </c>
      <c r="H19" s="85">
        <f t="shared" si="2"/>
        <v>-995324</v>
      </c>
      <c r="I19" s="190"/>
      <c r="J19" s="468"/>
      <c r="K19" s="468"/>
      <c r="L19" s="468"/>
      <c r="M19" s="468"/>
      <c r="N19" s="468"/>
      <c r="O19" s="468"/>
      <c r="P19" s="468"/>
    </row>
    <row r="20" spans="1:16" x14ac:dyDescent="0.3">
      <c r="A20" s="645">
        <v>9</v>
      </c>
      <c r="B20" s="122">
        <f t="shared" si="3"/>
        <v>44075</v>
      </c>
      <c r="C20" s="194"/>
      <c r="D20" s="366">
        <f>VLOOKUP(B20,'Sales Volumes'!$A$1:$H$100,2,FALSE)</f>
        <v>670179.9</v>
      </c>
      <c r="E20" s="366">
        <f t="shared" si="4"/>
        <v>670179.9</v>
      </c>
      <c r="F20" s="195">
        <f t="shared" si="1"/>
        <v>-5.4100000000000002E-2</v>
      </c>
      <c r="G20" s="85">
        <f t="shared" si="0"/>
        <v>-36257</v>
      </c>
      <c r="H20" s="85">
        <f t="shared" si="2"/>
        <v>-959067</v>
      </c>
      <c r="I20" s="190"/>
      <c r="J20" s="468"/>
      <c r="K20" s="468"/>
      <c r="L20" s="468"/>
      <c r="M20" s="468"/>
      <c r="N20" s="468"/>
    </row>
    <row r="21" spans="1:16" x14ac:dyDescent="0.3">
      <c r="A21" s="645">
        <v>10</v>
      </c>
      <c r="B21" s="122">
        <f t="shared" si="3"/>
        <v>44105</v>
      </c>
      <c r="C21" s="194"/>
      <c r="D21" s="366">
        <f>VLOOKUP(B21,'Sales Volumes'!$A$1:$H$100,2,FALSE)</f>
        <v>953506.2</v>
      </c>
      <c r="E21" s="366">
        <f t="shared" si="4"/>
        <v>953506.2</v>
      </c>
      <c r="F21" s="195">
        <f t="shared" si="1"/>
        <v>-5.4100000000000002E-2</v>
      </c>
      <c r="G21" s="85">
        <f>ROUND(E21*F21,0)</f>
        <v>-51585</v>
      </c>
      <c r="H21" s="85">
        <f t="shared" si="2"/>
        <v>-907482</v>
      </c>
      <c r="I21" s="190"/>
      <c r="J21" s="468"/>
      <c r="K21" s="468"/>
      <c r="L21" s="468"/>
      <c r="M21" s="468"/>
      <c r="N21" s="468"/>
    </row>
    <row r="22" spans="1:16" x14ac:dyDescent="0.3">
      <c r="A22" s="645">
        <v>11</v>
      </c>
      <c r="B22" s="122">
        <f t="shared" si="3"/>
        <v>44136</v>
      </c>
      <c r="C22" s="194"/>
      <c r="D22" s="366">
        <f>VLOOKUP(B22,'Sales Volumes'!$A$1:$H$100,2,FALSE)</f>
        <v>1919239</v>
      </c>
      <c r="E22" s="366">
        <f t="shared" si="4"/>
        <v>1919239</v>
      </c>
      <c r="F22" s="195">
        <f t="shared" si="1"/>
        <v>-5.4100000000000002E-2</v>
      </c>
      <c r="G22" s="85">
        <f t="shared" si="0"/>
        <v>-103831</v>
      </c>
      <c r="H22" s="85">
        <f t="shared" si="2"/>
        <v>-803651</v>
      </c>
      <c r="I22" s="190"/>
      <c r="J22" s="468"/>
      <c r="K22" s="468"/>
      <c r="L22" s="468"/>
      <c r="M22" s="468"/>
      <c r="N22" s="468"/>
    </row>
    <row r="23" spans="1:16" x14ac:dyDescent="0.3">
      <c r="A23" s="645">
        <v>12</v>
      </c>
      <c r="B23" s="122">
        <f t="shared" si="3"/>
        <v>44166</v>
      </c>
      <c r="C23" s="194"/>
      <c r="D23" s="366">
        <f>VLOOKUP(B23,'Sales Volumes'!$A$1:$H$100,2,FALSE)</f>
        <v>3979897.4</v>
      </c>
      <c r="E23" s="366">
        <f t="shared" si="4"/>
        <v>3979897.4</v>
      </c>
      <c r="F23" s="195">
        <f t="shared" si="1"/>
        <v>-5.4100000000000002E-2</v>
      </c>
      <c r="G23" s="85">
        <f t="shared" si="0"/>
        <v>-215312</v>
      </c>
      <c r="H23" s="85">
        <f t="shared" si="2"/>
        <v>-588339</v>
      </c>
      <c r="I23" s="190"/>
      <c r="J23" s="468"/>
      <c r="K23" s="468"/>
      <c r="L23" s="468"/>
      <c r="M23" s="468"/>
      <c r="N23" s="468"/>
    </row>
    <row r="24" spans="1:16" x14ac:dyDescent="0.3">
      <c r="A24" s="645">
        <v>13</v>
      </c>
      <c r="B24" s="122">
        <f t="shared" si="3"/>
        <v>44197</v>
      </c>
      <c r="C24" s="194"/>
      <c r="D24" s="366">
        <f>VLOOKUP(B24,'Sales Volumes'!$A$1:$H$100,2,FALSE)</f>
        <v>5828853.2000000002</v>
      </c>
      <c r="E24" s="366">
        <f t="shared" si="4"/>
        <v>5828853.2000000002</v>
      </c>
      <c r="F24" s="195">
        <f t="shared" si="1"/>
        <v>-5.4100000000000002E-2</v>
      </c>
      <c r="G24" s="85">
        <f t="shared" si="0"/>
        <v>-315341</v>
      </c>
      <c r="H24" s="85">
        <f t="shared" si="2"/>
        <v>-272998</v>
      </c>
      <c r="I24" s="190"/>
      <c r="J24" s="468"/>
      <c r="K24" s="468"/>
      <c r="L24" s="468"/>
      <c r="M24" s="468"/>
      <c r="N24" s="468"/>
    </row>
    <row r="25" spans="1:16" x14ac:dyDescent="0.3">
      <c r="A25" s="645">
        <v>14</v>
      </c>
      <c r="B25" s="122">
        <f t="shared" si="3"/>
        <v>44228</v>
      </c>
      <c r="C25" s="194" t="str">
        <f>$C$13</f>
        <v>Prorated</v>
      </c>
      <c r="D25" s="366">
        <f>VLOOKUP(B25,'Sales Volumes'!$A$1:$H$100,2,FALSE)</f>
        <v>6106907.0999999996</v>
      </c>
      <c r="E25" s="366">
        <f>VLOOKUP(B25,'Sales Volumes'!$A$1:$H$100,3,FALSE)</f>
        <v>3239192.3</v>
      </c>
      <c r="F25" s="195">
        <f t="shared" si="1"/>
        <v>-5.4100000000000002E-2</v>
      </c>
      <c r="G25" s="152">
        <f t="shared" si="0"/>
        <v>-175240</v>
      </c>
      <c r="H25" s="85">
        <f t="shared" si="2"/>
        <v>-97758</v>
      </c>
      <c r="I25" s="190"/>
      <c r="J25" s="468"/>
      <c r="K25" s="468"/>
      <c r="L25" s="468"/>
      <c r="M25" s="468"/>
      <c r="N25" s="468"/>
    </row>
    <row r="26" spans="1:16" x14ac:dyDescent="0.3">
      <c r="A26" s="645"/>
      <c r="B26" s="122"/>
      <c r="C26" s="194"/>
      <c r="E26" s="105"/>
      <c r="F26" s="105"/>
      <c r="H26" s="193"/>
      <c r="I26" s="190"/>
      <c r="J26" s="468"/>
      <c r="K26" s="468"/>
      <c r="L26" s="468"/>
      <c r="M26" s="468"/>
      <c r="N26" s="468"/>
    </row>
    <row r="27" spans="1:16" ht="20.25" customHeight="1" x14ac:dyDescent="0.3">
      <c r="A27" s="645">
        <v>15</v>
      </c>
      <c r="E27" s="105"/>
      <c r="F27" s="196" t="s">
        <v>549</v>
      </c>
      <c r="G27" s="85">
        <f>SUM(G13:G25)</f>
        <v>-1591813</v>
      </c>
      <c r="H27" s="193"/>
      <c r="I27" s="190"/>
      <c r="J27" s="468"/>
      <c r="K27" s="468"/>
      <c r="L27" s="468"/>
      <c r="M27" s="468"/>
      <c r="N27" s="468"/>
    </row>
    <row r="28" spans="1:16" ht="20.25" customHeight="1" x14ac:dyDescent="0.3">
      <c r="E28" s="105"/>
      <c r="F28" s="105"/>
      <c r="G28" s="85"/>
      <c r="I28" s="190"/>
      <c r="J28" s="468"/>
      <c r="K28" s="468"/>
      <c r="L28" s="468"/>
      <c r="M28" s="468"/>
      <c r="N28" s="468"/>
    </row>
    <row r="29" spans="1:16" x14ac:dyDescent="0.3">
      <c r="A29" s="645">
        <v>16</v>
      </c>
      <c r="F29" s="55" t="s">
        <v>305</v>
      </c>
      <c r="G29" s="85">
        <f>ROUND(H25,0)</f>
        <v>-97758</v>
      </c>
      <c r="J29" s="468"/>
      <c r="K29" s="468"/>
      <c r="L29" s="468"/>
      <c r="M29" s="468"/>
      <c r="N29" s="468"/>
    </row>
    <row r="30" spans="1:16" x14ac:dyDescent="0.3">
      <c r="J30" s="468"/>
      <c r="K30" s="468"/>
      <c r="L30" s="468"/>
      <c r="M30" s="468"/>
      <c r="N30" s="468"/>
    </row>
    <row r="31" spans="1:16" x14ac:dyDescent="0.3">
      <c r="A31" s="645"/>
      <c r="J31" s="468"/>
      <c r="K31" s="468"/>
      <c r="L31" s="468"/>
      <c r="M31" s="468"/>
      <c r="N31" s="468"/>
    </row>
    <row r="32" spans="1:16" x14ac:dyDescent="0.3">
      <c r="J32" s="468"/>
      <c r="K32" s="468"/>
      <c r="L32" s="468"/>
      <c r="M32" s="468"/>
      <c r="N32" s="468"/>
    </row>
    <row r="33" spans="2:14" x14ac:dyDescent="0.3">
      <c r="J33" s="468"/>
      <c r="K33" s="468"/>
      <c r="L33" s="468"/>
      <c r="M33" s="468"/>
      <c r="N33" s="468"/>
    </row>
    <row r="34" spans="2:14" x14ac:dyDescent="0.3">
      <c r="D34" s="55"/>
      <c r="E34" s="13"/>
      <c r="J34" s="468"/>
      <c r="K34" s="468"/>
      <c r="L34" s="468"/>
      <c r="M34" s="468"/>
      <c r="N34" s="468"/>
    </row>
    <row r="35" spans="2:14" x14ac:dyDescent="0.3">
      <c r="B35" s="55"/>
      <c r="C35" s="55"/>
      <c r="D35" s="55"/>
      <c r="E35" s="198"/>
    </row>
    <row r="36" spans="2:14" x14ac:dyDescent="0.3">
      <c r="B36" s="55"/>
      <c r="C36" s="55"/>
      <c r="D36" s="55"/>
      <c r="E36" s="13"/>
    </row>
    <row r="37" spans="2:14" x14ac:dyDescent="0.3">
      <c r="B37" s="55"/>
      <c r="C37" s="55"/>
      <c r="D37" s="199"/>
      <c r="E37" s="13"/>
      <c r="H37" s="16"/>
      <c r="I37" s="16"/>
      <c r="J37" s="16"/>
      <c r="K37" s="16"/>
      <c r="L37" s="16"/>
      <c r="M37" s="16"/>
    </row>
    <row r="38" spans="2:14" x14ac:dyDescent="0.3">
      <c r="B38" s="199"/>
      <c r="C38" s="199"/>
    </row>
    <row r="39" spans="2:14" x14ac:dyDescent="0.3">
      <c r="D39" s="13"/>
    </row>
    <row r="40" spans="2:14" x14ac:dyDescent="0.3">
      <c r="B40" s="13"/>
      <c r="C40" s="13"/>
      <c r="E40" s="13"/>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oddFooter>
  </headerFooter>
  <ignoredErrors>
    <ignoredError sqref="B9:H9"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heetViews>
  <sheetFormatPr defaultColWidth="8.90625" defaultRowHeight="15.6" x14ac:dyDescent="0.3"/>
  <cols>
    <col min="1" max="1" width="8.90625" style="3"/>
    <col min="2" max="2" width="11.08984375" style="3" customWidth="1"/>
    <col min="3" max="4" width="13.54296875" style="3" customWidth="1"/>
    <col min="5" max="5" width="13.90625" style="3" customWidth="1"/>
    <col min="6" max="6" width="11.90625" style="3" customWidth="1"/>
    <col min="7" max="7" width="15.81640625" style="3" bestFit="1" customWidth="1"/>
    <col min="8" max="8" width="14.81640625" style="3" bestFit="1" customWidth="1"/>
    <col min="9" max="9" width="13.54296875" style="3" bestFit="1" customWidth="1"/>
    <col min="10" max="10" width="13.6328125" style="3" customWidth="1"/>
    <col min="11" max="11" width="16.08984375" style="3" customWidth="1"/>
    <col min="12" max="12" width="14.36328125" style="3" customWidth="1"/>
    <col min="13" max="16384" width="8.90625" style="3"/>
  </cols>
  <sheetData>
    <row r="6" spans="1:13" ht="17.399999999999999" x14ac:dyDescent="0.3">
      <c r="B6" s="732" t="s">
        <v>5</v>
      </c>
      <c r="C6" s="732"/>
      <c r="D6" s="732"/>
      <c r="E6" s="732"/>
      <c r="F6" s="732"/>
      <c r="G6" s="732"/>
      <c r="H6" s="732"/>
    </row>
    <row r="7" spans="1:13" ht="18" x14ac:dyDescent="0.35">
      <c r="B7" s="719" t="s">
        <v>314</v>
      </c>
      <c r="C7" s="719"/>
      <c r="D7" s="719"/>
      <c r="E7" s="719"/>
      <c r="F7" s="719"/>
      <c r="G7" s="719"/>
      <c r="H7" s="719"/>
    </row>
    <row r="8" spans="1:13" ht="18" x14ac:dyDescent="0.35">
      <c r="B8" s="719" t="str">
        <f>CONCATENATE("For Service Rendered On and After ",'Input Data'!$D$4)</f>
        <v>For Service Rendered On and After May 1, 2021</v>
      </c>
      <c r="C8" s="719"/>
      <c r="D8" s="719"/>
      <c r="E8" s="719"/>
      <c r="F8" s="719"/>
      <c r="G8" s="719"/>
      <c r="H8" s="719"/>
    </row>
    <row r="9" spans="1:13" x14ac:dyDescent="0.3">
      <c r="A9" s="162"/>
      <c r="B9" s="200"/>
      <c r="C9" s="649"/>
      <c r="D9" s="649"/>
      <c r="E9" s="649"/>
      <c r="F9" s="649"/>
      <c r="G9" s="649"/>
      <c r="H9" s="649"/>
    </row>
    <row r="10" spans="1:13" x14ac:dyDescent="0.3">
      <c r="A10" s="162"/>
      <c r="B10" s="200"/>
      <c r="C10" s="649"/>
      <c r="D10" s="649"/>
      <c r="E10" s="649"/>
      <c r="F10" s="649"/>
      <c r="G10" s="649"/>
      <c r="H10" s="649"/>
    </row>
    <row r="11" spans="1:13" x14ac:dyDescent="0.3">
      <c r="A11" s="162"/>
      <c r="B11" s="200"/>
      <c r="C11" s="649"/>
      <c r="D11" s="649"/>
      <c r="E11" s="649"/>
      <c r="F11" s="649"/>
      <c r="G11" s="649"/>
      <c r="H11" s="649"/>
    </row>
    <row r="12" spans="1:13" x14ac:dyDescent="0.3">
      <c r="A12" s="162"/>
      <c r="B12" s="200"/>
      <c r="C12" s="649"/>
      <c r="D12" s="649"/>
      <c r="E12" s="649"/>
      <c r="F12" s="649"/>
      <c r="G12" s="649"/>
      <c r="H12" s="649"/>
    </row>
    <row r="13" spans="1:13" x14ac:dyDescent="0.3">
      <c r="A13" s="16" t="s">
        <v>116</v>
      </c>
      <c r="B13" s="645" t="str">
        <f>VLOOKUP(B20,'Case Database'!$A$2:$F$200,3,FALSE)</f>
        <v>2020-00309</v>
      </c>
      <c r="C13" s="649"/>
      <c r="D13" s="649"/>
      <c r="E13" s="649"/>
      <c r="F13" s="649"/>
      <c r="G13" s="649"/>
      <c r="H13" s="649"/>
    </row>
    <row r="14" spans="1:13" x14ac:dyDescent="0.3">
      <c r="J14" s="468"/>
      <c r="K14" s="468"/>
      <c r="L14" s="468"/>
      <c r="M14" s="468"/>
    </row>
    <row r="15" spans="1:13" ht="46.8" x14ac:dyDescent="0.3">
      <c r="A15" s="189" t="s">
        <v>249</v>
      </c>
      <c r="B15" s="189" t="s">
        <v>350</v>
      </c>
      <c r="C15" s="189" t="s">
        <v>312</v>
      </c>
      <c r="D15" s="648" t="s">
        <v>371</v>
      </c>
      <c r="E15" s="189" t="s">
        <v>301</v>
      </c>
      <c r="F15" s="189" t="s">
        <v>302</v>
      </c>
      <c r="G15" s="189" t="s">
        <v>355</v>
      </c>
      <c r="H15" s="189" t="s">
        <v>273</v>
      </c>
      <c r="J15" s="468"/>
      <c r="K15" s="468"/>
      <c r="L15" s="468"/>
      <c r="M15" s="468"/>
    </row>
    <row r="16" spans="1:13" x14ac:dyDescent="0.3">
      <c r="A16" s="645"/>
      <c r="B16" s="194" t="s">
        <v>60</v>
      </c>
      <c r="C16" s="194" t="s">
        <v>61</v>
      </c>
      <c r="D16" s="194" t="s">
        <v>62</v>
      </c>
      <c r="E16" s="194" t="s">
        <v>63</v>
      </c>
      <c r="F16" s="201" t="s">
        <v>64</v>
      </c>
      <c r="G16" s="194" t="s">
        <v>491</v>
      </c>
      <c r="H16" s="192" t="s">
        <v>330</v>
      </c>
      <c r="J16" s="468"/>
      <c r="K16" s="468"/>
      <c r="L16" s="468"/>
      <c r="M16" s="468"/>
    </row>
    <row r="17" spans="1:13" x14ac:dyDescent="0.3">
      <c r="A17" s="645"/>
      <c r="B17" s="122"/>
      <c r="C17" s="122"/>
      <c r="D17" s="122"/>
      <c r="E17" s="202"/>
      <c r="J17" s="468"/>
      <c r="K17" s="468"/>
      <c r="L17" s="468"/>
      <c r="M17" s="468"/>
    </row>
    <row r="18" spans="1:13" x14ac:dyDescent="0.3">
      <c r="A18" s="645">
        <v>1</v>
      </c>
      <c r="E18" s="202"/>
      <c r="G18" s="203" t="s">
        <v>272</v>
      </c>
      <c r="H18" s="164">
        <f>'Input Data'!D143</f>
        <v>-125869</v>
      </c>
      <c r="J18" s="468"/>
      <c r="K18" s="468"/>
      <c r="L18" s="468"/>
      <c r="M18" s="468"/>
    </row>
    <row r="19" spans="1:13" x14ac:dyDescent="0.3">
      <c r="A19" s="645"/>
      <c r="E19" s="202"/>
      <c r="G19" s="122"/>
      <c r="H19" s="193"/>
      <c r="J19" s="468"/>
      <c r="K19" s="468"/>
      <c r="L19" s="468"/>
      <c r="M19" s="468"/>
    </row>
    <row r="20" spans="1:13" x14ac:dyDescent="0.3">
      <c r="A20" s="645">
        <v>2</v>
      </c>
      <c r="B20" s="151">
        <f>'Input Data'!C7</f>
        <v>44136</v>
      </c>
      <c r="C20" s="194" t="s">
        <v>366</v>
      </c>
      <c r="D20" s="423">
        <f>VLOOKUP($B20,'Sales Volumes'!$A$1:$H$100,2,FALSE)</f>
        <v>1919239</v>
      </c>
      <c r="E20" s="423">
        <f>VLOOKUP($B20,'Sales Volumes'!$A$1:$H$100,4,FALSE)</f>
        <v>862002.4</v>
      </c>
      <c r="F20" s="163">
        <f>VLOOKUP(B13,'Case Database'!C3:M200,10)</f>
        <v>-8.0000000000000002E-3</v>
      </c>
      <c r="G20" s="161">
        <f>ROUND(E20*F20,0)</f>
        <v>-6896</v>
      </c>
      <c r="H20" s="164">
        <f>+H18-G20</f>
        <v>-118973</v>
      </c>
      <c r="J20" s="468"/>
      <c r="K20" s="468"/>
      <c r="L20" s="468"/>
      <c r="M20" s="468"/>
    </row>
    <row r="21" spans="1:13" x14ac:dyDescent="0.3">
      <c r="A21" s="645">
        <v>3</v>
      </c>
      <c r="B21" s="151">
        <f>EDATE(B20,1)</f>
        <v>44166</v>
      </c>
      <c r="C21" s="194"/>
      <c r="D21" s="423">
        <f>VLOOKUP($B21,'Sales Volumes'!$A$1:$H$100,2,FALSE)</f>
        <v>3979897.4</v>
      </c>
      <c r="E21" s="423">
        <f>D21</f>
        <v>3979897.4</v>
      </c>
      <c r="F21" s="163">
        <f>F20</f>
        <v>-8.0000000000000002E-3</v>
      </c>
      <c r="G21" s="161">
        <f>ROUND(E21*F21,0)</f>
        <v>-31839</v>
      </c>
      <c r="H21" s="164">
        <f>+H20-G21</f>
        <v>-87134</v>
      </c>
      <c r="J21" s="468"/>
      <c r="K21" s="468"/>
      <c r="L21" s="468"/>
      <c r="M21" s="468"/>
    </row>
    <row r="22" spans="1:13" x14ac:dyDescent="0.3">
      <c r="A22" s="645">
        <v>4</v>
      </c>
      <c r="B22" s="151">
        <f>EDATE(B21,1)</f>
        <v>44197</v>
      </c>
      <c r="C22" s="194"/>
      <c r="D22" s="423">
        <f>VLOOKUP($B22,'Sales Volumes'!$A$1:$H$100,2,FALSE)</f>
        <v>5828853.2000000002</v>
      </c>
      <c r="E22" s="423">
        <f>D22</f>
        <v>5828853.2000000002</v>
      </c>
      <c r="F22" s="163">
        <f>F20</f>
        <v>-8.0000000000000002E-3</v>
      </c>
      <c r="G22" s="161">
        <f>ROUND(E22*F22,0)</f>
        <v>-46631</v>
      </c>
      <c r="H22" s="164">
        <f>+H21-G22</f>
        <v>-40503</v>
      </c>
      <c r="J22" s="468"/>
      <c r="K22" s="468"/>
      <c r="L22" s="468"/>
      <c r="M22" s="468"/>
    </row>
    <row r="23" spans="1:13" x14ac:dyDescent="0.3">
      <c r="A23" s="645">
        <v>5</v>
      </c>
      <c r="B23" s="151">
        <f>EDATE(B22,1)</f>
        <v>44228</v>
      </c>
      <c r="C23" s="194" t="s">
        <v>366</v>
      </c>
      <c r="D23" s="423">
        <f>VLOOKUP($B23,'Sales Volumes'!$A$1:$H$100,2,FALSE)</f>
        <v>6106907.0999999996</v>
      </c>
      <c r="E23" s="423">
        <f>VLOOKUP($B23,'Sales Volumes'!$A$1:$H$100,3,FALSE)</f>
        <v>3239192.3</v>
      </c>
      <c r="F23" s="163">
        <f>F20</f>
        <v>-8.0000000000000002E-3</v>
      </c>
      <c r="G23" s="161">
        <f>ROUND(E23*F23,0)</f>
        <v>-25914</v>
      </c>
      <c r="H23" s="164">
        <f>+H22-G23</f>
        <v>-14589</v>
      </c>
      <c r="J23" s="468"/>
      <c r="K23" s="468"/>
      <c r="L23" s="468"/>
      <c r="M23" s="468"/>
    </row>
    <row r="24" spans="1:13" x14ac:dyDescent="0.3">
      <c r="A24" s="645"/>
      <c r="E24" s="193"/>
      <c r="F24" s="200"/>
      <c r="H24" s="200"/>
      <c r="J24" s="468"/>
      <c r="K24" s="468"/>
      <c r="L24" s="468"/>
      <c r="M24" s="468"/>
    </row>
    <row r="25" spans="1:13" x14ac:dyDescent="0.3">
      <c r="A25" s="645">
        <v>6</v>
      </c>
      <c r="E25" s="202"/>
      <c r="F25" s="196" t="s">
        <v>549</v>
      </c>
      <c r="G25" s="164">
        <f>SUM(G20:G23)</f>
        <v>-111280</v>
      </c>
      <c r="H25" s="193"/>
      <c r="J25" s="468"/>
      <c r="K25" s="468"/>
      <c r="L25" s="468"/>
      <c r="M25" s="468"/>
    </row>
    <row r="26" spans="1:13" x14ac:dyDescent="0.3">
      <c r="A26" s="645"/>
      <c r="E26" s="202"/>
      <c r="F26" s="202"/>
      <c r="J26" s="468"/>
      <c r="K26" s="468"/>
      <c r="L26" s="468"/>
      <c r="M26" s="468"/>
    </row>
    <row r="27" spans="1:13" ht="18" customHeight="1" x14ac:dyDescent="0.4">
      <c r="A27" s="645">
        <v>7</v>
      </c>
      <c r="F27" s="55" t="s">
        <v>305</v>
      </c>
      <c r="G27" s="164">
        <f>ROUND(H23,0)</f>
        <v>-14589</v>
      </c>
      <c r="H27" s="76"/>
      <c r="J27" s="468"/>
      <c r="K27" s="468"/>
      <c r="L27" s="468"/>
      <c r="M27" s="468"/>
    </row>
    <row r="28" spans="1:13" x14ac:dyDescent="0.3">
      <c r="J28" s="468"/>
      <c r="K28" s="468"/>
      <c r="L28" s="468"/>
      <c r="M28" s="468"/>
    </row>
    <row r="29" spans="1:13" x14ac:dyDescent="0.3">
      <c r="J29" s="468"/>
      <c r="K29" s="468"/>
      <c r="L29" s="468"/>
      <c r="M29" s="468"/>
    </row>
    <row r="30" spans="1:13" x14ac:dyDescent="0.3">
      <c r="J30" s="468"/>
      <c r="K30" s="468"/>
      <c r="L30" s="468"/>
      <c r="M30" s="468"/>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tabColor rgb="FF00B050"/>
  </sheetPr>
  <dimension ref="B1:N9"/>
  <sheetViews>
    <sheetView zoomScaleNormal="100" workbookViewId="0">
      <selection activeCell="I17" sqref="I17"/>
    </sheetView>
  </sheetViews>
  <sheetFormatPr defaultColWidth="8.81640625" defaultRowHeight="15.6" x14ac:dyDescent="0.3"/>
  <cols>
    <col min="1" max="1" width="1.08984375" style="6" customWidth="1"/>
    <col min="2" max="9" width="8.81640625" style="6"/>
    <col min="10" max="10" width="1.08984375" style="6" customWidth="1"/>
    <col min="11" max="16384" width="8.81640625" style="6"/>
  </cols>
  <sheetData>
    <row r="1" spans="2:14" x14ac:dyDescent="0.3">
      <c r="B1" s="738" t="s">
        <v>5</v>
      </c>
      <c r="C1" s="738"/>
      <c r="D1" s="738"/>
      <c r="E1" s="738"/>
      <c r="F1" s="738"/>
      <c r="G1" s="738"/>
      <c r="H1" s="738"/>
      <c r="I1" s="738"/>
      <c r="K1" s="601"/>
      <c r="L1" s="601"/>
      <c r="M1" s="601"/>
      <c r="N1" s="601"/>
    </row>
    <row r="2" spans="2:14" x14ac:dyDescent="0.3">
      <c r="B2" s="597"/>
      <c r="C2" s="597"/>
      <c r="D2" s="597"/>
      <c r="E2" s="597"/>
      <c r="F2" s="597"/>
      <c r="G2" s="597"/>
      <c r="H2" s="597"/>
      <c r="I2" s="597"/>
    </row>
    <row r="3" spans="2:14" x14ac:dyDescent="0.3">
      <c r="B3" s="738" t="str">
        <f>'Exhibit F Write-Up'!B3:N3</f>
        <v>Gas Supply Clause: 2021-00130</v>
      </c>
      <c r="C3" s="738"/>
      <c r="D3" s="738"/>
      <c r="E3" s="738"/>
      <c r="F3" s="738"/>
      <c r="G3" s="738"/>
      <c r="H3" s="738"/>
      <c r="I3" s="738"/>
    </row>
    <row r="5" spans="2:14" ht="30.6" customHeight="1" x14ac:dyDescent="0.3">
      <c r="B5" s="736" t="s">
        <v>676</v>
      </c>
      <c r="C5" s="736"/>
      <c r="D5" s="736"/>
      <c r="E5" s="736"/>
      <c r="F5" s="736"/>
      <c r="G5" s="736"/>
      <c r="H5" s="736"/>
      <c r="I5" s="736"/>
    </row>
    <row r="7" spans="2:14" x14ac:dyDescent="0.3">
      <c r="B7" s="781" t="s">
        <v>677</v>
      </c>
      <c r="C7" s="781"/>
      <c r="D7" s="781"/>
      <c r="E7" s="781"/>
      <c r="F7" s="781"/>
      <c r="G7" s="781"/>
      <c r="H7" s="781"/>
      <c r="I7" s="781"/>
    </row>
    <row r="9" spans="2:14" x14ac:dyDescent="0.3">
      <c r="C9" s="6" t="s">
        <v>678</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zoomScale="80" zoomScaleNormal="80" workbookViewId="0"/>
  </sheetViews>
  <sheetFormatPr defaultColWidth="8.90625" defaultRowHeight="15.6" x14ac:dyDescent="0.3"/>
  <cols>
    <col min="1" max="1" width="8.90625" style="3"/>
    <col min="2" max="2" width="10.81640625" style="3" customWidth="1"/>
    <col min="3" max="3" width="20.54296875" style="3" customWidth="1"/>
    <col min="4" max="4" width="16.81640625" style="3" customWidth="1"/>
    <col min="5" max="5" width="15.36328125" style="3" customWidth="1"/>
    <col min="6" max="6" width="13.36328125" style="3" customWidth="1"/>
    <col min="7" max="7" width="12.453125" style="105" customWidth="1"/>
    <col min="8" max="8" width="13.81640625" style="3" customWidth="1"/>
    <col min="9" max="9" width="12.54296875" style="3" customWidth="1"/>
    <col min="10" max="10" width="1.6328125" style="3" hidden="1" customWidth="1"/>
    <col min="11" max="11" width="10.1796875" style="3" hidden="1" customWidth="1"/>
    <col min="12" max="12" width="15.453125" style="3" hidden="1" customWidth="1"/>
    <col min="13" max="13" width="14.08984375" style="3" hidden="1" customWidth="1"/>
    <col min="14" max="14" width="14.81640625" style="3" hidden="1" customWidth="1"/>
    <col min="15" max="15" width="20.90625" style="3" hidden="1" customWidth="1"/>
    <col min="16" max="16" width="12.453125" style="3" hidden="1" customWidth="1"/>
    <col min="17" max="17" width="14.1796875" style="3" hidden="1" customWidth="1"/>
    <col min="18" max="18" width="10.1796875" style="3" customWidth="1"/>
    <col min="19" max="19" width="6.90625" style="3" customWidth="1"/>
    <col min="20" max="20" width="8.90625" style="3"/>
    <col min="21" max="21" width="7.81640625" style="3" customWidth="1"/>
    <col min="22" max="16384" width="8.90625" style="3"/>
  </cols>
  <sheetData>
    <row r="2" spans="1:22" ht="18.75" customHeight="1" x14ac:dyDescent="0.3">
      <c r="B2" s="786" t="s">
        <v>5</v>
      </c>
      <c r="C2" s="786"/>
      <c r="D2" s="786"/>
      <c r="E2" s="786"/>
      <c r="F2" s="786"/>
      <c r="G2" s="786"/>
      <c r="H2" s="786"/>
      <c r="I2" s="786"/>
      <c r="J2" s="786"/>
    </row>
    <row r="3" spans="1:22" ht="18.75" customHeight="1" x14ac:dyDescent="0.3">
      <c r="B3" s="786" t="s">
        <v>117</v>
      </c>
      <c r="C3" s="786"/>
      <c r="D3" s="786"/>
      <c r="E3" s="786"/>
      <c r="F3" s="786"/>
      <c r="G3" s="786"/>
      <c r="H3" s="786"/>
      <c r="I3" s="786"/>
      <c r="J3" s="786"/>
    </row>
    <row r="4" spans="1:22" ht="18" x14ac:dyDescent="0.35">
      <c r="B4" s="719" t="str">
        <f>CONCATENATE("For Service Rendered On and After ",'Input Data'!$D$4)</f>
        <v>For Service Rendered On and After May 1, 2021</v>
      </c>
      <c r="C4" s="719"/>
      <c r="D4" s="719"/>
      <c r="E4" s="719"/>
      <c r="F4" s="719"/>
      <c r="G4" s="719"/>
      <c r="H4" s="719"/>
      <c r="I4" s="719"/>
      <c r="J4" s="266"/>
    </row>
    <row r="5" spans="1:22" ht="18" x14ac:dyDescent="0.35">
      <c r="B5" s="91"/>
      <c r="D5" s="91"/>
      <c r="E5" s="91"/>
      <c r="F5" s="91"/>
      <c r="G5" s="106"/>
      <c r="H5" s="91"/>
      <c r="I5" s="91"/>
      <c r="J5" s="91"/>
      <c r="L5" s="271" t="s">
        <v>277</v>
      </c>
      <c r="M5" s="35"/>
      <c r="N5" s="35"/>
      <c r="O5" s="35"/>
      <c r="P5" s="35"/>
    </row>
    <row r="6" spans="1:22" ht="18" x14ac:dyDescent="0.35">
      <c r="C6" s="107"/>
      <c r="D6" s="107"/>
      <c r="E6" s="107"/>
      <c r="F6" s="107"/>
      <c r="G6" s="108"/>
      <c r="H6" s="107"/>
      <c r="I6" s="107"/>
      <c r="J6" s="107"/>
      <c r="L6" s="271" t="s">
        <v>231</v>
      </c>
      <c r="M6" s="33"/>
      <c r="N6" s="33"/>
      <c r="O6" s="33"/>
      <c r="P6" s="33"/>
      <c r="Q6" s="35"/>
      <c r="R6" s="35"/>
    </row>
    <row r="7" spans="1:22" ht="24.6" x14ac:dyDescent="0.4">
      <c r="C7" s="3" t="s">
        <v>548</v>
      </c>
      <c r="F7" s="109"/>
      <c r="G7" s="109"/>
      <c r="H7" s="109"/>
      <c r="I7" s="109"/>
      <c r="J7" s="110"/>
      <c r="L7" s="783" t="s">
        <v>212</v>
      </c>
      <c r="M7" s="784"/>
      <c r="N7" s="784"/>
      <c r="O7" s="784"/>
      <c r="P7" s="785"/>
    </row>
    <row r="8" spans="1:22" x14ac:dyDescent="0.3">
      <c r="B8" s="111"/>
      <c r="C8" s="111"/>
      <c r="D8" s="111"/>
      <c r="E8" s="111"/>
      <c r="F8" s="111"/>
      <c r="G8" s="112"/>
      <c r="H8" s="111"/>
      <c r="I8" s="111"/>
      <c r="J8" s="110"/>
      <c r="L8" s="787" t="s">
        <v>247</v>
      </c>
      <c r="M8" s="788"/>
      <c r="N8" s="788"/>
      <c r="O8" s="788"/>
      <c r="P8" s="789"/>
    </row>
    <row r="9" spans="1:22" ht="62.4" x14ac:dyDescent="0.3">
      <c r="A9" s="648" t="s">
        <v>249</v>
      </c>
      <c r="B9" s="648" t="s">
        <v>373</v>
      </c>
      <c r="C9" s="648" t="s">
        <v>0</v>
      </c>
      <c r="D9" s="648" t="s">
        <v>218</v>
      </c>
      <c r="E9" s="648" t="s">
        <v>219</v>
      </c>
      <c r="F9" s="648" t="s">
        <v>220</v>
      </c>
      <c r="G9" s="113" t="s">
        <v>221</v>
      </c>
      <c r="H9" s="648" t="s">
        <v>233</v>
      </c>
      <c r="I9" s="782" t="s">
        <v>615</v>
      </c>
      <c r="J9" s="782"/>
      <c r="L9" s="84"/>
      <c r="M9" s="326" t="s">
        <v>211</v>
      </c>
      <c r="N9" s="327" t="s">
        <v>643</v>
      </c>
      <c r="O9" s="326" t="s">
        <v>213</v>
      </c>
      <c r="P9" s="272" t="s">
        <v>30</v>
      </c>
    </row>
    <row r="10" spans="1:22" ht="21.75" customHeight="1" x14ac:dyDescent="0.35">
      <c r="A10" s="205"/>
      <c r="B10" s="111" t="s">
        <v>60</v>
      </c>
      <c r="C10" s="109" t="s">
        <v>61</v>
      </c>
      <c r="D10" s="109" t="s">
        <v>62</v>
      </c>
      <c r="E10" s="109" t="s">
        <v>63</v>
      </c>
      <c r="F10" s="109" t="s">
        <v>496</v>
      </c>
      <c r="G10" s="114" t="s">
        <v>65</v>
      </c>
      <c r="H10" s="109" t="s">
        <v>492</v>
      </c>
      <c r="I10" s="109" t="s">
        <v>111</v>
      </c>
      <c r="L10" s="311">
        <f>'Input Data'!C4</f>
        <v>44317</v>
      </c>
      <c r="M10" s="82">
        <f>VLOOKUP(L10,Forecast!A$1:K$200,9)</f>
        <v>963877</v>
      </c>
      <c r="N10" s="82">
        <f>VLOOKUP(L10,Forecast!A$19:$K$200,10)</f>
        <v>22331</v>
      </c>
      <c r="O10" s="82">
        <f>VLOOKUP(L10,Forecast!A$1:K$200,3)</f>
        <v>41370</v>
      </c>
      <c r="P10" s="312">
        <f>SUM(M10:O10)</f>
        <v>1027578</v>
      </c>
      <c r="R10" s="48"/>
      <c r="T10" s="48"/>
      <c r="V10" s="48"/>
    </row>
    <row r="11" spans="1:22" ht="18" x14ac:dyDescent="0.35">
      <c r="A11" s="644"/>
      <c r="B11" s="111"/>
      <c r="C11" s="111"/>
      <c r="D11" s="111"/>
      <c r="E11" s="111"/>
      <c r="F11" s="111"/>
      <c r="G11" s="112"/>
      <c r="H11" s="111"/>
      <c r="I11" s="111"/>
      <c r="L11" s="120">
        <f>EDATE(L10,1)</f>
        <v>44348</v>
      </c>
      <c r="M11" s="82">
        <f>VLOOKUP(L11,Forecast!A$1:K$200,9)</f>
        <v>641098</v>
      </c>
      <c r="N11" s="82">
        <f>VLOOKUP(L11,Forecast!A$19:$K$200,10)</f>
        <v>22331</v>
      </c>
      <c r="O11" s="82">
        <f>VLOOKUP(L11,Forecast!A$1:K$200,3)</f>
        <v>42137</v>
      </c>
      <c r="P11" s="313">
        <f t="shared" ref="P11:P21" si="0">SUM(M11:O11)</f>
        <v>705566</v>
      </c>
      <c r="R11" s="48"/>
      <c r="T11" s="48"/>
      <c r="V11" s="48"/>
    </row>
    <row r="12" spans="1:22" x14ac:dyDescent="0.3">
      <c r="A12" s="645">
        <v>1</v>
      </c>
      <c r="B12" s="115">
        <f>'Input Data'!C4</f>
        <v>44317</v>
      </c>
      <c r="C12" s="339" t="str">
        <f>VLOOKUP(B12,'Case Database'!$A$2:$H$200,3,FALSE)</f>
        <v>2021-00130</v>
      </c>
      <c r="D12" s="19">
        <f>'Input Data'!D152</f>
        <v>0</v>
      </c>
      <c r="E12" s="19">
        <f>'Input Data'!D153</f>
        <v>0</v>
      </c>
      <c r="F12" s="19">
        <f>+D12+E12</f>
        <v>0</v>
      </c>
      <c r="G12" s="105">
        <f>P23</f>
        <v>31717787</v>
      </c>
      <c r="H12" s="116">
        <f>+ROUND(F12/G12,4)</f>
        <v>0</v>
      </c>
      <c r="I12" s="573">
        <f>H12/10</f>
        <v>0</v>
      </c>
      <c r="J12" s="13" t="s">
        <v>217</v>
      </c>
      <c r="L12" s="120">
        <f t="shared" ref="L12:L20" si="1">EDATE(L11,1)</f>
        <v>44378</v>
      </c>
      <c r="M12" s="82">
        <f>VLOOKUP(L12,Forecast!A$1:K$200,9)</f>
        <v>562469</v>
      </c>
      <c r="N12" s="82">
        <f>VLOOKUP(L12,Forecast!A$19:$K$200,10)</f>
        <v>22331</v>
      </c>
      <c r="O12" s="82">
        <f>VLOOKUP(L12,Forecast!A$1:K$200,3)</f>
        <v>34657</v>
      </c>
      <c r="P12" s="313">
        <f t="shared" si="0"/>
        <v>619457</v>
      </c>
      <c r="R12" s="48"/>
      <c r="T12" s="48"/>
      <c r="V12" s="48"/>
    </row>
    <row r="13" spans="1:22" ht="14.25" customHeight="1" x14ac:dyDescent="0.3">
      <c r="A13" s="645">
        <v>2</v>
      </c>
      <c r="B13" s="115">
        <f>EDATE(B12,-3)</f>
        <v>44228</v>
      </c>
      <c r="C13" s="339" t="str">
        <f>VLOOKUP(B13,'Case Database'!$A$2:$H$200,3,FALSE)</f>
        <v>2020-00401</v>
      </c>
      <c r="D13" s="19">
        <f>VLOOKUP($C13,'Case Database'!$C$3:$O$200,12)</f>
        <v>0</v>
      </c>
      <c r="E13" s="19">
        <f>VLOOKUP($C13,'Case Database'!$C$3:$O$200,13)</f>
        <v>0</v>
      </c>
      <c r="F13" s="19">
        <f>+D13+E13</f>
        <v>0</v>
      </c>
      <c r="G13" s="696">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31649735</v>
      </c>
      <c r="H13" s="116">
        <f>+ROUND(F13/G13,4)</f>
        <v>0</v>
      </c>
      <c r="I13" s="573">
        <f>H13/10</f>
        <v>0</v>
      </c>
      <c r="J13" s="13" t="s">
        <v>217</v>
      </c>
      <c r="L13" s="120">
        <f>EDATE(L12,1)</f>
        <v>44409</v>
      </c>
      <c r="M13" s="82">
        <f>VLOOKUP(L13,Forecast!A$1:K$200,9)</f>
        <v>579871</v>
      </c>
      <c r="N13" s="82">
        <f>VLOOKUP(L13,Forecast!A$19:$K$200,10)</f>
        <v>22331</v>
      </c>
      <c r="O13" s="82">
        <f>VLOOKUP(L13,Forecast!A$1:K$200,3)</f>
        <v>44030</v>
      </c>
      <c r="P13" s="313">
        <f t="shared" si="0"/>
        <v>646232</v>
      </c>
      <c r="R13" s="48"/>
      <c r="T13" s="48"/>
      <c r="V13" s="48"/>
    </row>
    <row r="14" spans="1:22" x14ac:dyDescent="0.3">
      <c r="A14" s="645">
        <v>3</v>
      </c>
      <c r="B14" s="115">
        <f>EDATE(B13,-3)</f>
        <v>44136</v>
      </c>
      <c r="C14" s="339" t="str">
        <f>VLOOKUP(B14,'Case Database'!$A$2:$H$200,3,FALSE)</f>
        <v>2020-00309</v>
      </c>
      <c r="D14" s="19">
        <f>VLOOKUP($C14,'Case Database'!$C$3:$O$200,12)</f>
        <v>0</v>
      </c>
      <c r="E14" s="19">
        <f>VLOOKUP($C14,'Case Database'!$C$3:$O$200,13)</f>
        <v>0</v>
      </c>
      <c r="F14" s="19">
        <f>+D14+E14</f>
        <v>0</v>
      </c>
      <c r="G14" s="696">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31626567</v>
      </c>
      <c r="H14" s="116">
        <f>+ROUND(F14/G14,4)</f>
        <v>0</v>
      </c>
      <c r="I14" s="573">
        <f>H14/10</f>
        <v>0</v>
      </c>
      <c r="J14" s="13" t="s">
        <v>217</v>
      </c>
      <c r="L14" s="120">
        <f t="shared" si="1"/>
        <v>44440</v>
      </c>
      <c r="M14" s="82">
        <f>VLOOKUP(L14,Forecast!A$1:K$200,9)</f>
        <v>742399</v>
      </c>
      <c r="N14" s="82">
        <f>VLOOKUP(L14,Forecast!A$19:$K$200,10)</f>
        <v>19692</v>
      </c>
      <c r="O14" s="82">
        <f>VLOOKUP(L14,Forecast!A$1:K$200,3)</f>
        <v>56001</v>
      </c>
      <c r="P14" s="313">
        <f t="shared" si="0"/>
        <v>818092</v>
      </c>
      <c r="R14" s="48"/>
      <c r="T14" s="48"/>
      <c r="V14" s="48"/>
    </row>
    <row r="15" spans="1:22" ht="15" customHeight="1" x14ac:dyDescent="0.3">
      <c r="A15" s="645">
        <v>4</v>
      </c>
      <c r="B15" s="115">
        <f>EDATE(B14,-3)</f>
        <v>44044</v>
      </c>
      <c r="C15" s="339" t="str">
        <f>VLOOKUP(B15,'Case Database'!$A$2:$H$200,3,FALSE)</f>
        <v>2020-00204</v>
      </c>
      <c r="D15" s="19">
        <f>VLOOKUP($C15,'Case Database'!$C$3:$O$200,12)</f>
        <v>0</v>
      </c>
      <c r="E15" s="19">
        <f>VLOOKUP($C15,'Case Database'!$C$3:$O$200,13)</f>
        <v>0</v>
      </c>
      <c r="F15" s="19">
        <f>+D15+E15</f>
        <v>0</v>
      </c>
      <c r="G15" s="696">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31721976</v>
      </c>
      <c r="H15" s="117">
        <f>+ROUND(F15/G15,4)</f>
        <v>0</v>
      </c>
      <c r="I15" s="573">
        <f>H15/10</f>
        <v>0</v>
      </c>
      <c r="J15" s="13" t="s">
        <v>217</v>
      </c>
      <c r="L15" s="120">
        <f t="shared" si="1"/>
        <v>44470</v>
      </c>
      <c r="M15" s="82">
        <f>VLOOKUP(L15,Forecast!A$1:K$200,9)</f>
        <v>1492868</v>
      </c>
      <c r="N15" s="82">
        <f>VLOOKUP(L15,Forecast!A$19:$K$200,10)</f>
        <v>26739</v>
      </c>
      <c r="O15" s="82">
        <f>VLOOKUP(L15,Forecast!A$1:K$200,3)</f>
        <v>60160</v>
      </c>
      <c r="P15" s="313">
        <f t="shared" si="0"/>
        <v>1579767</v>
      </c>
      <c r="R15" s="48"/>
      <c r="T15" s="48"/>
      <c r="V15" s="48"/>
    </row>
    <row r="16" spans="1:22" ht="15" customHeight="1" x14ac:dyDescent="0.3">
      <c r="A16" s="645"/>
      <c r="L16" s="120">
        <f t="shared" si="1"/>
        <v>44501</v>
      </c>
      <c r="M16" s="82">
        <f>VLOOKUP(L16,Forecast!A$1:K$200,9)</f>
        <v>3570245</v>
      </c>
      <c r="N16" s="82">
        <f>VLOOKUP(L16,Forecast!A$19:$K$200,10)</f>
        <v>30390</v>
      </c>
      <c r="O16" s="82">
        <f>VLOOKUP(L16,Forecast!A$1:K$200,3)</f>
        <v>58325</v>
      </c>
      <c r="P16" s="313">
        <f t="shared" si="0"/>
        <v>3658960</v>
      </c>
      <c r="R16" s="48"/>
      <c r="T16" s="48"/>
      <c r="V16" s="48"/>
    </row>
    <row r="17" spans="1:85" x14ac:dyDescent="0.3">
      <c r="A17" s="645">
        <v>5</v>
      </c>
      <c r="G17" s="55" t="s">
        <v>316</v>
      </c>
      <c r="H17" s="574">
        <f>SUM(H12:H15)</f>
        <v>0</v>
      </c>
      <c r="L17" s="120">
        <f t="shared" si="1"/>
        <v>44531</v>
      </c>
      <c r="M17" s="82">
        <f>VLOOKUP(L17,Forecast!A$1:K$200,9)</f>
        <v>5094853</v>
      </c>
      <c r="N17" s="82">
        <f>VLOOKUP(L17,Forecast!A$19:$K$200,10)</f>
        <v>25816</v>
      </c>
      <c r="O17" s="82">
        <f>VLOOKUP(L17,Forecast!A$1:K$200,3)</f>
        <v>33848</v>
      </c>
      <c r="P17" s="313">
        <f t="shared" si="0"/>
        <v>5154517</v>
      </c>
      <c r="R17" s="48"/>
      <c r="T17" s="48"/>
      <c r="V17" s="48"/>
    </row>
    <row r="18" spans="1:85" ht="18" x14ac:dyDescent="0.35">
      <c r="A18" s="644"/>
      <c r="L18" s="120">
        <f t="shared" si="1"/>
        <v>44562</v>
      </c>
      <c r="M18" s="82">
        <f>VLOOKUP(L18,Forecast!A$1:K$200,9)</f>
        <v>6487518</v>
      </c>
      <c r="N18" s="82">
        <f>VLOOKUP(L18,Forecast!A$19:$K$200,10)</f>
        <v>24349</v>
      </c>
      <c r="O18" s="82">
        <f>VLOOKUP(L18,Forecast!A$1:K$200,3)</f>
        <v>19445</v>
      </c>
      <c r="P18" s="313">
        <f t="shared" si="0"/>
        <v>6531312</v>
      </c>
      <c r="R18" s="48"/>
      <c r="T18" s="48"/>
      <c r="V18" s="48"/>
    </row>
    <row r="19" spans="1:85" ht="18" x14ac:dyDescent="0.35">
      <c r="A19" s="644"/>
      <c r="L19" s="120">
        <f t="shared" si="1"/>
        <v>44593</v>
      </c>
      <c r="M19" s="82">
        <f>VLOOKUP(L19,Forecast!A$1:K$200,9)</f>
        <v>5072424</v>
      </c>
      <c r="N19" s="82">
        <f>VLOOKUP(L19,Forecast!A$19:$K$200,10)</f>
        <v>26448</v>
      </c>
      <c r="O19" s="82">
        <f>VLOOKUP(L19,Forecast!A$1:K$200,3)</f>
        <v>22476</v>
      </c>
      <c r="P19" s="313">
        <f t="shared" si="0"/>
        <v>5121348</v>
      </c>
      <c r="R19" s="48"/>
      <c r="T19" s="48"/>
      <c r="V19" s="48"/>
    </row>
    <row r="20" spans="1:85" ht="18" x14ac:dyDescent="0.35">
      <c r="A20" s="644"/>
      <c r="L20" s="120">
        <f t="shared" si="1"/>
        <v>44621</v>
      </c>
      <c r="M20" s="82">
        <f>VLOOKUP(L20,Forecast!A$1:K$200,9)</f>
        <v>3898238</v>
      </c>
      <c r="N20" s="82">
        <f>VLOOKUP(L20,Forecast!A$19:$K$200,10)</f>
        <v>21861</v>
      </c>
      <c r="O20" s="82">
        <f>VLOOKUP(L20,Forecast!A$1:K$200,3)</f>
        <v>39529</v>
      </c>
      <c r="P20" s="313">
        <f t="shared" si="0"/>
        <v>3959628</v>
      </c>
      <c r="R20" s="48"/>
      <c r="T20" s="48"/>
      <c r="V20" s="48"/>
    </row>
    <row r="21" spans="1:85" ht="18" x14ac:dyDescent="0.35">
      <c r="A21" s="644"/>
      <c r="F21" s="118"/>
      <c r="H21" s="118"/>
      <c r="L21" s="120">
        <f>EDATE(L20,1)</f>
        <v>44652</v>
      </c>
      <c r="M21" s="82">
        <f>VLOOKUP(L21,Forecast!A$1:K$200,9)</f>
        <v>1828721</v>
      </c>
      <c r="N21" s="82">
        <f>VLOOKUP(L21,Forecast!A$19:$K$200,10)</f>
        <v>24797</v>
      </c>
      <c r="O21" s="82">
        <f>VLOOKUP(L21,Forecast!A$1:K$200,3)</f>
        <v>41812</v>
      </c>
      <c r="P21" s="313">
        <f t="shared" si="0"/>
        <v>1895330</v>
      </c>
      <c r="R21" s="48"/>
      <c r="T21" s="48"/>
      <c r="V21" s="48"/>
    </row>
    <row r="22" spans="1:85" ht="18.600000000000001" thickBot="1" x14ac:dyDescent="0.4">
      <c r="A22" s="644"/>
      <c r="B22" s="115"/>
      <c r="D22" s="19"/>
      <c r="E22" s="19"/>
      <c r="F22" s="19"/>
      <c r="K22" s="30"/>
      <c r="L22" s="314"/>
      <c r="M22" s="315"/>
      <c r="N22" s="315"/>
      <c r="O22" s="315"/>
      <c r="P22" s="316"/>
      <c r="T22" s="48"/>
      <c r="V22" s="48"/>
    </row>
    <row r="23" spans="1:85" ht="16.2" thickBot="1" x14ac:dyDescent="0.35">
      <c r="B23" s="115"/>
      <c r="D23" s="19"/>
      <c r="E23" s="19"/>
      <c r="F23" s="19"/>
      <c r="L23" s="317"/>
      <c r="M23" s="318"/>
      <c r="N23" s="318"/>
      <c r="O23" s="647"/>
      <c r="P23" s="319">
        <f>SUM(P10:P22)</f>
        <v>31717787</v>
      </c>
      <c r="R23" s="48"/>
      <c r="T23" s="48"/>
      <c r="V23" s="48"/>
      <c r="W23" s="48"/>
    </row>
    <row r="24" spans="1:85" x14ac:dyDescent="0.3">
      <c r="B24" s="115"/>
      <c r="D24" s="19"/>
      <c r="E24" s="19"/>
      <c r="F24" s="19"/>
      <c r="L24" s="36"/>
      <c r="M24" s="36"/>
      <c r="N24" s="36"/>
      <c r="O24" s="36"/>
      <c r="P24" s="36"/>
      <c r="Q24" s="36"/>
      <c r="R24" s="36"/>
    </row>
    <row r="25" spans="1:85" x14ac:dyDescent="0.3">
      <c r="D25" s="625"/>
      <c r="E25" s="625"/>
      <c r="F25" s="625"/>
      <c r="M25" s="36"/>
      <c r="N25" s="36"/>
      <c r="O25" s="36"/>
      <c r="P25" s="36"/>
      <c r="Q25" s="36"/>
      <c r="R25" s="36"/>
    </row>
    <row r="26" spans="1:85" x14ac:dyDescent="0.3">
      <c r="D26" s="625"/>
      <c r="E26" s="625"/>
      <c r="F26" s="625"/>
    </row>
    <row r="27" spans="1:85" x14ac:dyDescent="0.3">
      <c r="D27" s="625"/>
      <c r="E27" s="625"/>
      <c r="F27" s="625"/>
    </row>
    <row r="28" spans="1:85" x14ac:dyDescent="0.3">
      <c r="D28" s="19"/>
      <c r="E28" s="19"/>
      <c r="F28" s="19"/>
    </row>
    <row r="29" spans="1:85" x14ac:dyDescent="0.3">
      <c r="D29" s="19"/>
      <c r="E29" s="19"/>
      <c r="F29" s="19"/>
      <c r="CG29" s="3" t="s">
        <v>273</v>
      </c>
    </row>
    <row r="30" spans="1:85" x14ac:dyDescent="0.3">
      <c r="D30" s="19"/>
      <c r="E30" s="19"/>
      <c r="F30" s="19"/>
      <c r="CG30" s="3" t="s">
        <v>276</v>
      </c>
    </row>
    <row r="31" spans="1:85" x14ac:dyDescent="0.3">
      <c r="D31" s="19"/>
      <c r="E31" s="19"/>
      <c r="F31" s="19"/>
    </row>
    <row r="32" spans="1:85" x14ac:dyDescent="0.3">
      <c r="D32" s="19"/>
      <c r="E32" s="19"/>
      <c r="F32" s="19"/>
      <c r="CG32" s="3">
        <v>-411623</v>
      </c>
    </row>
    <row r="33" spans="7:85" x14ac:dyDescent="0.3">
      <c r="G33" s="3"/>
    </row>
    <row r="34" spans="7:85" x14ac:dyDescent="0.3">
      <c r="G34" s="3"/>
      <c r="CA34" s="3" t="e">
        <v>#REF!</v>
      </c>
      <c r="CB34" s="3" t="s">
        <v>61</v>
      </c>
      <c r="CC34" s="3" t="e">
        <v>#REF!</v>
      </c>
      <c r="CD34" s="3" t="s">
        <v>60</v>
      </c>
      <c r="CE34" s="3" t="e">
        <v>#REF!</v>
      </c>
      <c r="CF34" s="3" t="s">
        <v>60</v>
      </c>
      <c r="CG34" s="3">
        <v>-402587.94319999998</v>
      </c>
    </row>
    <row r="35" spans="7:85" x14ac:dyDescent="0.3">
      <c r="G35" s="3"/>
      <c r="CC35" s="3" t="e">
        <v>#REF!</v>
      </c>
      <c r="CD35" s="3" t="s">
        <v>60</v>
      </c>
      <c r="CE35" s="3" t="e">
        <v>#REF!</v>
      </c>
      <c r="CF35" s="3" t="s">
        <v>60</v>
      </c>
      <c r="CG35" s="3">
        <v>-389209.51574</v>
      </c>
    </row>
    <row r="36" spans="7:85" x14ac:dyDescent="0.3">
      <c r="G36" s="3"/>
      <c r="CC36" s="3" t="e">
        <v>#REF!</v>
      </c>
      <c r="CD36" s="3" t="s">
        <v>60</v>
      </c>
      <c r="CE36" s="3" t="e">
        <v>#REF!</v>
      </c>
      <c r="CF36" s="3" t="s">
        <v>60</v>
      </c>
      <c r="CG36" s="3">
        <v>-379257.88942999998</v>
      </c>
    </row>
    <row r="37" spans="7:85" x14ac:dyDescent="0.3">
      <c r="G37" s="3"/>
      <c r="CC37" s="3" t="e">
        <v>#REF!</v>
      </c>
      <c r="CD37" s="3" t="s">
        <v>61</v>
      </c>
      <c r="CE37" s="3" t="e">
        <v>#REF!</v>
      </c>
      <c r="CF37" s="3" t="s">
        <v>60</v>
      </c>
      <c r="CG37" s="3">
        <v>-369315.90457999997</v>
      </c>
    </row>
    <row r="38" spans="7:85" x14ac:dyDescent="0.3">
      <c r="G38" s="3"/>
      <c r="CE38" s="3" t="e">
        <v>#REF!</v>
      </c>
      <c r="CF38" s="3" t="s">
        <v>60</v>
      </c>
      <c r="CG38" s="3">
        <v>-359018.76595999999</v>
      </c>
    </row>
    <row r="39" spans="7:85" x14ac:dyDescent="0.3">
      <c r="G39" s="3"/>
      <c r="CE39" s="3" t="e">
        <v>#REF!</v>
      </c>
      <c r="CF39" s="3" t="s">
        <v>60</v>
      </c>
      <c r="CG39" s="3">
        <v>-345075.15596</v>
      </c>
    </row>
    <row r="40" spans="7:85" x14ac:dyDescent="0.3">
      <c r="G40" s="3"/>
      <c r="CE40" s="3" t="e">
        <v>#REF!</v>
      </c>
      <c r="CF40" s="3" t="s">
        <v>61</v>
      </c>
      <c r="CG40" s="3">
        <v>-318552.39218000002</v>
      </c>
    </row>
    <row r="41" spans="7:85" x14ac:dyDescent="0.3">
      <c r="G41" s="3"/>
      <c r="CG41" s="3">
        <v>-272826.39557000005</v>
      </c>
    </row>
    <row r="42" spans="7:85" x14ac:dyDescent="0.3">
      <c r="G42" s="3"/>
      <c r="CG42" s="3">
        <v>-205104.66959000006</v>
      </c>
    </row>
    <row r="43" spans="7:85" x14ac:dyDescent="0.3">
      <c r="G43" s="3"/>
      <c r="CG43" s="3">
        <v>-140806.26692000008</v>
      </c>
    </row>
    <row r="44" spans="7:85" x14ac:dyDescent="0.3">
      <c r="G44" s="3"/>
      <c r="CG44" s="3">
        <v>-95338.527020000081</v>
      </c>
    </row>
    <row r="45" spans="7:85" x14ac:dyDescent="0.3">
      <c r="G45" s="3"/>
      <c r="CG45" s="3">
        <v>-76782.608450000087</v>
      </c>
    </row>
    <row r="46" spans="7:85" x14ac:dyDescent="0.3">
      <c r="G46" s="3"/>
      <c r="CG46" s="3">
        <v>-68418.687050000095</v>
      </c>
    </row>
    <row r="47" spans="7:85" x14ac:dyDescent="0.3">
      <c r="G47" s="3"/>
    </row>
    <row r="48" spans="7:85" x14ac:dyDescent="0.3">
      <c r="G48" s="3"/>
    </row>
    <row r="49" spans="7:85" x14ac:dyDescent="0.3">
      <c r="G49" s="3"/>
    </row>
    <row r="50" spans="7:85" x14ac:dyDescent="0.3">
      <c r="G50" s="3"/>
      <c r="CG50" s="3">
        <v>-68418.687050000095</v>
      </c>
    </row>
    <row r="51" spans="7:85" x14ac:dyDescent="0.3">
      <c r="G51" s="3"/>
    </row>
    <row r="52" spans="7:85" x14ac:dyDescent="0.3">
      <c r="G52" s="3"/>
    </row>
    <row r="53" spans="7:85" x14ac:dyDescent="0.3">
      <c r="G53" s="3"/>
    </row>
    <row r="54" spans="7:85" x14ac:dyDescent="0.3">
      <c r="G54" s="3"/>
    </row>
    <row r="55" spans="7:85" x14ac:dyDescent="0.3">
      <c r="G55" s="3"/>
    </row>
    <row r="56" spans="7:85" x14ac:dyDescent="0.3">
      <c r="G56" s="3"/>
    </row>
    <row r="57" spans="7:85" x14ac:dyDescent="0.3">
      <c r="G57" s="3"/>
    </row>
    <row r="58" spans="7:85" x14ac:dyDescent="0.3">
      <c r="G58" s="3"/>
      <c r="L58" s="36"/>
      <c r="M58" s="36"/>
      <c r="N58" s="30"/>
      <c r="O58" s="30"/>
      <c r="P58" s="30"/>
      <c r="Q58" s="30"/>
      <c r="R58" s="30"/>
      <c r="S58" s="30"/>
      <c r="T58" s="30"/>
      <c r="U58" s="30"/>
      <c r="V58" s="30"/>
      <c r="W58" s="30"/>
    </row>
    <row r="59" spans="7:85" x14ac:dyDescent="0.3">
      <c r="G59" s="3"/>
      <c r="L59" s="273"/>
      <c r="M59" s="273"/>
      <c r="N59" s="30"/>
      <c r="O59" s="30"/>
      <c r="P59" s="30"/>
      <c r="Q59" s="30"/>
      <c r="R59" s="30"/>
      <c r="S59" s="30"/>
      <c r="T59" s="30"/>
      <c r="U59" s="30"/>
      <c r="V59" s="30"/>
      <c r="W59" s="30"/>
    </row>
    <row r="60" spans="7:85" ht="15.75" customHeight="1" x14ac:dyDescent="0.3">
      <c r="G60" s="3"/>
      <c r="L60" s="30"/>
      <c r="M60" s="273"/>
      <c r="N60" s="30"/>
      <c r="O60" s="30"/>
      <c r="P60" s="30"/>
      <c r="Q60" s="30"/>
      <c r="R60" s="30"/>
      <c r="S60" s="30"/>
      <c r="T60" s="30"/>
      <c r="U60" s="30"/>
      <c r="V60" s="30"/>
      <c r="W60" s="30"/>
    </row>
    <row r="61" spans="7:85" x14ac:dyDescent="0.3">
      <c r="G61" s="3"/>
      <c r="L61" s="274"/>
      <c r="M61" s="36"/>
      <c r="N61" s="30"/>
      <c r="O61" s="30"/>
      <c r="P61" s="30"/>
      <c r="Q61" s="30"/>
      <c r="R61" s="30"/>
      <c r="S61" s="30"/>
      <c r="T61" s="30"/>
      <c r="U61" s="30"/>
      <c r="V61" s="30"/>
      <c r="W61" s="30"/>
    </row>
    <row r="62" spans="7:85" x14ac:dyDescent="0.3">
      <c r="G62" s="3"/>
      <c r="L62" s="274"/>
      <c r="M62" s="36"/>
      <c r="N62" s="30"/>
      <c r="O62" s="30"/>
      <c r="P62" s="30"/>
      <c r="Q62" s="30"/>
      <c r="R62" s="30"/>
      <c r="S62" s="30"/>
      <c r="T62" s="30"/>
      <c r="U62" s="30"/>
      <c r="V62" s="30"/>
      <c r="W62" s="30"/>
    </row>
    <row r="63" spans="7:85" x14ac:dyDescent="0.3">
      <c r="G63" s="3"/>
      <c r="L63" s="274"/>
      <c r="M63" s="36"/>
      <c r="N63" s="30"/>
      <c r="O63" s="30"/>
      <c r="P63" s="30"/>
      <c r="Q63" s="30"/>
      <c r="R63" s="30"/>
      <c r="S63" s="30"/>
      <c r="T63" s="30"/>
      <c r="U63" s="30"/>
      <c r="V63" s="30"/>
      <c r="W63" s="30"/>
    </row>
    <row r="64" spans="7:85" x14ac:dyDescent="0.3">
      <c r="G64" s="3"/>
      <c r="L64" s="274"/>
      <c r="M64" s="36"/>
      <c r="N64" s="30"/>
      <c r="O64" s="30"/>
      <c r="P64" s="30"/>
      <c r="Q64" s="30"/>
      <c r="R64" s="30"/>
      <c r="S64" s="30"/>
      <c r="T64" s="30"/>
      <c r="U64" s="30"/>
      <c r="V64" s="30"/>
      <c r="W64" s="30"/>
    </row>
    <row r="65" spans="7:23" x14ac:dyDescent="0.3">
      <c r="G65" s="3"/>
      <c r="L65" s="274"/>
      <c r="M65" s="36"/>
      <c r="N65" s="30"/>
      <c r="O65" s="30"/>
      <c r="P65" s="30"/>
      <c r="Q65" s="30"/>
      <c r="R65" s="30"/>
      <c r="S65" s="30"/>
      <c r="T65" s="30"/>
      <c r="U65" s="30"/>
      <c r="V65" s="30"/>
      <c r="W65" s="30"/>
    </row>
    <row r="66" spans="7:23" x14ac:dyDescent="0.3">
      <c r="G66" s="3"/>
      <c r="L66" s="274"/>
      <c r="M66" s="36"/>
      <c r="N66" s="30"/>
      <c r="O66" s="30"/>
      <c r="P66" s="30"/>
      <c r="Q66" s="30"/>
      <c r="R66" s="30"/>
      <c r="S66" s="30"/>
      <c r="T66" s="30"/>
      <c r="U66" s="30"/>
      <c r="V66" s="30"/>
      <c r="W66" s="30"/>
    </row>
    <row r="67" spans="7:23" x14ac:dyDescent="0.3">
      <c r="G67" s="3"/>
      <c r="L67" s="274"/>
      <c r="M67" s="36"/>
      <c r="N67" s="30"/>
      <c r="O67" s="30"/>
      <c r="P67" s="30"/>
      <c r="Q67" s="30"/>
      <c r="R67" s="30"/>
      <c r="S67" s="30"/>
      <c r="T67" s="30"/>
      <c r="U67" s="30"/>
      <c r="V67" s="30"/>
      <c r="W67" s="30"/>
    </row>
    <row r="68" spans="7:23" x14ac:dyDescent="0.3">
      <c r="G68" s="3"/>
      <c r="L68" s="274"/>
      <c r="M68" s="36"/>
      <c r="N68" s="30"/>
      <c r="O68" s="30"/>
      <c r="P68" s="30"/>
      <c r="Q68" s="30"/>
      <c r="R68" s="30"/>
      <c r="S68" s="30"/>
      <c r="T68" s="30"/>
      <c r="U68" s="30"/>
      <c r="V68" s="30"/>
      <c r="W68" s="30"/>
    </row>
    <row r="69" spans="7:23" x14ac:dyDescent="0.3">
      <c r="G69" s="3"/>
      <c r="L69" s="274"/>
      <c r="M69" s="36"/>
      <c r="N69" s="30"/>
      <c r="O69" s="30"/>
      <c r="P69" s="30"/>
      <c r="Q69" s="30"/>
      <c r="R69" s="30"/>
      <c r="S69" s="30"/>
      <c r="T69" s="30"/>
      <c r="U69" s="30"/>
      <c r="V69" s="30"/>
      <c r="W69" s="30"/>
    </row>
    <row r="70" spans="7:23" x14ac:dyDescent="0.3">
      <c r="G70" s="3"/>
      <c r="L70" s="274"/>
      <c r="M70" s="36"/>
      <c r="N70" s="30"/>
      <c r="O70" s="30"/>
      <c r="P70" s="30"/>
      <c r="Q70" s="30"/>
      <c r="R70" s="30"/>
      <c r="S70" s="30"/>
      <c r="T70" s="30"/>
      <c r="U70" s="30"/>
      <c r="V70" s="30"/>
      <c r="W70" s="30"/>
    </row>
    <row r="71" spans="7:23" x14ac:dyDescent="0.3">
      <c r="G71" s="3"/>
      <c r="L71" s="274"/>
      <c r="M71" s="36"/>
      <c r="N71" s="30"/>
      <c r="O71" s="30"/>
      <c r="P71" s="30"/>
      <c r="Q71" s="30"/>
      <c r="R71" s="30"/>
      <c r="S71" s="30"/>
      <c r="T71" s="30"/>
      <c r="U71" s="30"/>
      <c r="V71" s="30"/>
      <c r="W71" s="30"/>
    </row>
    <row r="72" spans="7:23" x14ac:dyDescent="0.3">
      <c r="G72" s="3"/>
      <c r="L72" s="274"/>
      <c r="M72" s="275"/>
      <c r="N72" s="36"/>
      <c r="O72" s="30"/>
      <c r="P72" s="30"/>
      <c r="Q72" s="30"/>
      <c r="R72" s="30"/>
      <c r="S72" s="30"/>
      <c r="T72" s="30"/>
      <c r="U72" s="30"/>
      <c r="V72" s="30"/>
      <c r="W72" s="30"/>
    </row>
    <row r="73" spans="7:23" x14ac:dyDescent="0.3">
      <c r="G73" s="3"/>
      <c r="L73" s="274"/>
      <c r="M73" s="275"/>
      <c r="N73" s="36"/>
      <c r="O73" s="30"/>
      <c r="P73" s="30"/>
      <c r="Q73" s="30"/>
      <c r="R73" s="30"/>
      <c r="S73" s="30"/>
      <c r="T73" s="30"/>
      <c r="U73" s="30"/>
      <c r="V73" s="30"/>
      <c r="W73" s="30"/>
    </row>
    <row r="74" spans="7:23" x14ac:dyDescent="0.3">
      <c r="G74" s="3"/>
      <c r="L74" s="274"/>
      <c r="M74" s="275"/>
      <c r="N74" s="36"/>
      <c r="O74" s="30"/>
      <c r="P74" s="30"/>
      <c r="Q74" s="30"/>
      <c r="R74" s="30"/>
      <c r="S74" s="30"/>
      <c r="T74" s="30"/>
      <c r="U74" s="30"/>
      <c r="V74" s="30"/>
      <c r="W74" s="30"/>
    </row>
    <row r="75" spans="7:23" x14ac:dyDescent="0.3">
      <c r="G75" s="3"/>
      <c r="L75" s="274"/>
      <c r="M75" s="275"/>
      <c r="N75" s="36"/>
      <c r="O75" s="30"/>
      <c r="P75" s="30"/>
      <c r="Q75" s="30"/>
      <c r="R75" s="30"/>
      <c r="S75" s="30"/>
      <c r="T75" s="30"/>
      <c r="U75" s="30"/>
      <c r="V75" s="30"/>
      <c r="W75" s="30"/>
    </row>
    <row r="76" spans="7:23" x14ac:dyDescent="0.3">
      <c r="G76" s="3"/>
      <c r="L76" s="274"/>
      <c r="M76" s="275"/>
      <c r="N76" s="36"/>
      <c r="O76" s="30"/>
      <c r="P76" s="30"/>
      <c r="Q76" s="30"/>
      <c r="R76" s="30"/>
      <c r="S76" s="30"/>
      <c r="T76" s="30"/>
      <c r="U76" s="30"/>
      <c r="V76" s="30"/>
      <c r="W76" s="30"/>
    </row>
    <row r="77" spans="7:23" x14ac:dyDescent="0.3">
      <c r="G77" s="3"/>
      <c r="L77" s="274"/>
      <c r="M77" s="275"/>
      <c r="N77" s="36"/>
      <c r="O77" s="30"/>
      <c r="P77" s="30"/>
      <c r="Q77" s="30"/>
      <c r="R77" s="30"/>
      <c r="S77" s="30"/>
      <c r="T77" s="30"/>
      <c r="U77" s="30"/>
      <c r="V77" s="30"/>
      <c r="W77" s="30"/>
    </row>
    <row r="78" spans="7:23" x14ac:dyDescent="0.3">
      <c r="G78" s="3"/>
      <c r="L78" s="274"/>
      <c r="M78" s="275"/>
      <c r="N78" s="36"/>
      <c r="O78" s="30"/>
      <c r="P78" s="30"/>
      <c r="Q78" s="30"/>
      <c r="R78" s="30"/>
      <c r="S78" s="30"/>
      <c r="T78" s="30"/>
      <c r="U78" s="30"/>
      <c r="V78" s="30"/>
      <c r="W78" s="30"/>
    </row>
    <row r="79" spans="7:23" x14ac:dyDescent="0.3">
      <c r="G79" s="3"/>
      <c r="L79" s="274"/>
      <c r="M79" s="275"/>
      <c r="N79" s="36"/>
      <c r="O79" s="30"/>
      <c r="P79" s="30"/>
      <c r="Q79" s="30"/>
      <c r="R79" s="30"/>
      <c r="S79" s="30"/>
      <c r="T79" s="30"/>
      <c r="U79" s="30"/>
      <c r="V79" s="30"/>
      <c r="W79" s="30"/>
    </row>
    <row r="80" spans="7:23" x14ac:dyDescent="0.3">
      <c r="G80" s="3"/>
      <c r="L80" s="274"/>
      <c r="M80" s="275"/>
      <c r="N80" s="36"/>
      <c r="O80" s="30"/>
      <c r="P80" s="30"/>
      <c r="Q80" s="30"/>
      <c r="R80" s="30"/>
      <c r="S80" s="30"/>
      <c r="T80" s="30"/>
      <c r="U80" s="30"/>
      <c r="V80" s="30"/>
      <c r="W80" s="30"/>
    </row>
    <row r="81" spans="7:23" x14ac:dyDescent="0.3">
      <c r="G81" s="3"/>
      <c r="L81" s="274"/>
      <c r="M81" s="275"/>
      <c r="N81" s="36"/>
      <c r="O81" s="30"/>
      <c r="P81" s="30"/>
      <c r="Q81" s="30"/>
      <c r="R81" s="30"/>
      <c r="S81" s="30"/>
      <c r="T81" s="30"/>
      <c r="U81" s="30"/>
      <c r="V81" s="30"/>
      <c r="W81" s="30"/>
    </row>
    <row r="82" spans="7:23" x14ac:dyDescent="0.3">
      <c r="G82" s="3"/>
      <c r="L82" s="274"/>
      <c r="M82" s="275"/>
      <c r="N82" s="36"/>
      <c r="O82" s="30"/>
      <c r="P82" s="30"/>
      <c r="Q82" s="30"/>
      <c r="R82" s="30"/>
      <c r="S82" s="30"/>
      <c r="T82" s="30"/>
      <c r="U82" s="30"/>
      <c r="V82" s="30"/>
      <c r="W82" s="30"/>
    </row>
    <row r="83" spans="7:23" x14ac:dyDescent="0.3">
      <c r="G83" s="3"/>
      <c r="L83" s="36"/>
      <c r="M83" s="36"/>
      <c r="N83" s="30"/>
      <c r="O83" s="30"/>
      <c r="P83" s="30"/>
      <c r="Q83" s="30"/>
      <c r="R83" s="30"/>
      <c r="S83" s="30"/>
      <c r="T83" s="30"/>
      <c r="U83" s="30"/>
      <c r="V83" s="30"/>
      <c r="W83" s="30"/>
    </row>
    <row r="84" spans="7:23" x14ac:dyDescent="0.3">
      <c r="G84" s="3"/>
      <c r="L84" s="30"/>
      <c r="M84" s="36"/>
      <c r="N84" s="30"/>
      <c r="O84" s="30"/>
      <c r="P84" s="30"/>
      <c r="Q84" s="30"/>
      <c r="R84" s="30"/>
      <c r="S84" s="30"/>
      <c r="T84" s="30"/>
      <c r="U84" s="30"/>
      <c r="V84" s="30"/>
      <c r="W84" s="30"/>
    </row>
    <row r="85" spans="7:23" x14ac:dyDescent="0.3">
      <c r="G85" s="3"/>
      <c r="L85" s="36"/>
      <c r="M85" s="36"/>
      <c r="N85" s="30"/>
      <c r="O85" s="30"/>
      <c r="P85" s="30"/>
      <c r="Q85" s="30"/>
      <c r="R85" s="30"/>
      <c r="S85" s="30"/>
      <c r="T85" s="30"/>
      <c r="U85" s="30"/>
      <c r="V85" s="30"/>
      <c r="W85" s="30"/>
    </row>
    <row r="86" spans="7:23" x14ac:dyDescent="0.3">
      <c r="G86" s="3"/>
      <c r="L86" s="30"/>
      <c r="M86" s="30"/>
      <c r="N86" s="30"/>
      <c r="O86" s="30"/>
      <c r="P86" s="30"/>
      <c r="Q86" s="30"/>
      <c r="R86" s="30"/>
      <c r="S86" s="30"/>
      <c r="T86" s="30"/>
      <c r="U86" s="30"/>
      <c r="V86" s="30"/>
      <c r="W86" s="30"/>
    </row>
    <row r="87" spans="7:23" x14ac:dyDescent="0.3">
      <c r="G87" s="3"/>
      <c r="L87" s="30"/>
      <c r="M87" s="30"/>
      <c r="N87" s="30"/>
      <c r="O87" s="30"/>
      <c r="P87" s="30"/>
      <c r="Q87" s="30"/>
      <c r="R87" s="30"/>
      <c r="S87" s="30"/>
      <c r="T87" s="30"/>
      <c r="U87" s="30"/>
      <c r="V87" s="30"/>
      <c r="W87" s="30"/>
    </row>
    <row r="88" spans="7:23" x14ac:dyDescent="0.3">
      <c r="G88" s="3"/>
      <c r="L88" s="30"/>
      <c r="M88" s="30"/>
      <c r="N88" s="30"/>
      <c r="O88" s="30"/>
      <c r="P88" s="30"/>
      <c r="Q88" s="30"/>
      <c r="R88" s="30"/>
      <c r="S88" s="30"/>
      <c r="T88" s="30"/>
      <c r="U88" s="30"/>
      <c r="V88" s="30"/>
      <c r="W88" s="30"/>
    </row>
    <row r="89" spans="7:23" x14ac:dyDescent="0.3">
      <c r="G89" s="3"/>
      <c r="L89" s="30"/>
      <c r="M89" s="30"/>
      <c r="N89" s="30"/>
      <c r="O89" s="30"/>
      <c r="P89" s="30"/>
      <c r="Q89" s="30"/>
      <c r="R89" s="30"/>
      <c r="S89" s="30"/>
      <c r="T89" s="30"/>
      <c r="U89" s="30"/>
      <c r="V89" s="30"/>
      <c r="W89" s="30"/>
    </row>
    <row r="90" spans="7:23" x14ac:dyDescent="0.3">
      <c r="G90" s="3"/>
      <c r="L90" s="30"/>
      <c r="M90" s="30"/>
      <c r="N90" s="30"/>
      <c r="O90" s="30"/>
      <c r="P90" s="30"/>
      <c r="Q90" s="30"/>
      <c r="R90" s="30"/>
      <c r="S90" s="30"/>
      <c r="T90" s="30"/>
      <c r="U90" s="30"/>
      <c r="V90" s="30"/>
      <c r="W90" s="30"/>
    </row>
    <row r="91" spans="7:23" x14ac:dyDescent="0.3">
      <c r="G91" s="3"/>
    </row>
    <row r="92" spans="7:23" x14ac:dyDescent="0.3">
      <c r="G92" s="3"/>
    </row>
    <row r="93" spans="7:23" x14ac:dyDescent="0.3">
      <c r="G93" s="3"/>
    </row>
    <row r="94" spans="7:23" x14ac:dyDescent="0.3">
      <c r="G94" s="3"/>
    </row>
    <row r="95" spans="7:23" x14ac:dyDescent="0.3">
      <c r="G95" s="3"/>
    </row>
    <row r="96" spans="7:23" x14ac:dyDescent="0.3">
      <c r="G96" s="3"/>
    </row>
    <row r="97" spans="7:7" x14ac:dyDescent="0.3">
      <c r="G97" s="3"/>
    </row>
    <row r="98" spans="7:7" x14ac:dyDescent="0.3">
      <c r="G98" s="3"/>
    </row>
    <row r="99" spans="7:7" x14ac:dyDescent="0.3">
      <c r="G99" s="3"/>
    </row>
    <row r="100" spans="7:7" x14ac:dyDescent="0.3">
      <c r="G100" s="3"/>
    </row>
    <row r="101" spans="7:7" x14ac:dyDescent="0.3">
      <c r="G101" s="3"/>
    </row>
    <row r="102" spans="7:7" x14ac:dyDescent="0.3">
      <c r="G102" s="3"/>
    </row>
    <row r="103" spans="7:7" x14ac:dyDescent="0.3">
      <c r="G103" s="3"/>
    </row>
    <row r="104" spans="7:7" x14ac:dyDescent="0.3">
      <c r="G104" s="3"/>
    </row>
    <row r="105" spans="7:7" x14ac:dyDescent="0.3">
      <c r="G105" s="3"/>
    </row>
    <row r="106" spans="7:7" x14ac:dyDescent="0.3">
      <c r="G106" s="3"/>
    </row>
    <row r="107" spans="7:7" x14ac:dyDescent="0.3">
      <c r="G107" s="3"/>
    </row>
    <row r="108" spans="7:7" x14ac:dyDescent="0.3">
      <c r="G108" s="3"/>
    </row>
    <row r="109" spans="7:7" x14ac:dyDescent="0.3">
      <c r="G109" s="3"/>
    </row>
    <row r="110" spans="7:7" x14ac:dyDescent="0.3">
      <c r="G110" s="3"/>
    </row>
    <row r="111" spans="7:7" x14ac:dyDescent="0.3">
      <c r="G111" s="3"/>
    </row>
    <row r="112" spans="7:7" x14ac:dyDescent="0.3">
      <c r="G112" s="3"/>
    </row>
    <row r="113" spans="7:7" x14ac:dyDescent="0.3">
      <c r="G113" s="3"/>
    </row>
    <row r="114" spans="7:7" x14ac:dyDescent="0.3">
      <c r="G114" s="3"/>
    </row>
    <row r="115" spans="7:7" x14ac:dyDescent="0.3">
      <c r="G115" s="3"/>
    </row>
    <row r="116" spans="7:7" x14ac:dyDescent="0.3">
      <c r="G116" s="3"/>
    </row>
    <row r="117" spans="7:7" x14ac:dyDescent="0.3">
      <c r="G117" s="3"/>
    </row>
    <row r="118" spans="7:7" x14ac:dyDescent="0.3">
      <c r="G118" s="3"/>
    </row>
    <row r="119" spans="7:7" x14ac:dyDescent="0.3">
      <c r="G119" s="3"/>
    </row>
    <row r="120" spans="7:7" x14ac:dyDescent="0.3">
      <c r="G120" s="3"/>
    </row>
    <row r="121" spans="7:7" x14ac:dyDescent="0.3">
      <c r="G121" s="3"/>
    </row>
    <row r="122" spans="7:7" x14ac:dyDescent="0.3">
      <c r="G122" s="3"/>
    </row>
    <row r="123" spans="7:7" x14ac:dyDescent="0.3">
      <c r="G123" s="3"/>
    </row>
    <row r="124" spans="7:7" x14ac:dyDescent="0.3">
      <c r="G124" s="3"/>
    </row>
    <row r="125" spans="7:7" x14ac:dyDescent="0.3">
      <c r="G125" s="3"/>
    </row>
    <row r="126" spans="7:7" x14ac:dyDescent="0.3">
      <c r="G126" s="3"/>
    </row>
    <row r="127" spans="7:7" x14ac:dyDescent="0.3">
      <c r="G127" s="3"/>
    </row>
    <row r="128" spans="7:7" x14ac:dyDescent="0.3">
      <c r="G128" s="3"/>
    </row>
    <row r="129" spans="7:7" x14ac:dyDescent="0.3">
      <c r="G129" s="3"/>
    </row>
    <row r="130" spans="7:7" x14ac:dyDescent="0.3">
      <c r="G130" s="3"/>
    </row>
    <row r="131" spans="7:7" x14ac:dyDescent="0.3">
      <c r="G131" s="3"/>
    </row>
    <row r="132" spans="7:7" x14ac:dyDescent="0.3">
      <c r="G132" s="3"/>
    </row>
    <row r="133" spans="7:7" x14ac:dyDescent="0.3">
      <c r="G133" s="3"/>
    </row>
    <row r="134" spans="7:7" x14ac:dyDescent="0.3">
      <c r="G134" s="3"/>
    </row>
    <row r="135" spans="7:7" x14ac:dyDescent="0.3">
      <c r="G135" s="3"/>
    </row>
    <row r="136" spans="7:7" x14ac:dyDescent="0.3">
      <c r="G136" s="3"/>
    </row>
    <row r="137" spans="7:7" x14ac:dyDescent="0.3">
      <c r="G137" s="3"/>
    </row>
    <row r="138" spans="7:7" x14ac:dyDescent="0.3">
      <c r="G138" s="3"/>
    </row>
    <row r="139" spans="7:7" x14ac:dyDescent="0.3">
      <c r="G139" s="3"/>
    </row>
    <row r="140" spans="7:7" x14ac:dyDescent="0.3">
      <c r="G140" s="3"/>
    </row>
    <row r="141" spans="7:7" x14ac:dyDescent="0.3">
      <c r="G141" s="3"/>
    </row>
    <row r="142" spans="7:7" x14ac:dyDescent="0.3">
      <c r="G142" s="3"/>
    </row>
    <row r="143" spans="7:7" x14ac:dyDescent="0.3">
      <c r="G143" s="3"/>
    </row>
    <row r="144" spans="7:7" x14ac:dyDescent="0.3">
      <c r="G144" s="3"/>
    </row>
    <row r="145" spans="7:7" x14ac:dyDescent="0.3">
      <c r="G145" s="3"/>
    </row>
    <row r="146" spans="7:7" x14ac:dyDescent="0.3">
      <c r="G146" s="3"/>
    </row>
    <row r="147" spans="7:7" x14ac:dyDescent="0.3">
      <c r="G147" s="3"/>
    </row>
    <row r="148" spans="7:7" x14ac:dyDescent="0.3">
      <c r="G148" s="3"/>
    </row>
    <row r="149" spans="7:7" x14ac:dyDescent="0.3">
      <c r="G149" s="3"/>
    </row>
    <row r="150" spans="7:7" x14ac:dyDescent="0.3">
      <c r="G150" s="3"/>
    </row>
    <row r="151" spans="7:7" x14ac:dyDescent="0.3">
      <c r="G151" s="3"/>
    </row>
    <row r="152" spans="7:7" x14ac:dyDescent="0.3">
      <c r="G152" s="3"/>
    </row>
    <row r="153" spans="7:7" x14ac:dyDescent="0.3">
      <c r="G153" s="3"/>
    </row>
    <row r="154" spans="7:7" x14ac:dyDescent="0.3">
      <c r="G154" s="3"/>
    </row>
    <row r="155" spans="7:7" x14ac:dyDescent="0.3">
      <c r="G155" s="3"/>
    </row>
    <row r="156" spans="7:7" x14ac:dyDescent="0.3">
      <c r="G156" s="3"/>
    </row>
    <row r="157" spans="7:7" x14ac:dyDescent="0.3">
      <c r="G157" s="3"/>
    </row>
    <row r="158" spans="7:7" x14ac:dyDescent="0.3">
      <c r="G158" s="3"/>
    </row>
    <row r="159" spans="7:7" x14ac:dyDescent="0.3">
      <c r="G159" s="3"/>
    </row>
    <row r="160" spans="7:7" x14ac:dyDescent="0.3">
      <c r="G160" s="3"/>
    </row>
    <row r="161" spans="7:7" x14ac:dyDescent="0.3">
      <c r="G161" s="3"/>
    </row>
    <row r="162" spans="7:7" x14ac:dyDescent="0.3">
      <c r="G162" s="3"/>
    </row>
    <row r="163" spans="7:7" x14ac:dyDescent="0.3">
      <c r="G163" s="3"/>
    </row>
    <row r="164" spans="7:7" x14ac:dyDescent="0.3">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8" orientation="landscape" r:id="rId1"/>
  <headerFooter alignWithMargins="0">
    <oddFooter>&amp;R&amp;"Times New Roman,Bold"Exhibit D-1
Page 1 of 2</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heetViews>
  <sheetFormatPr defaultColWidth="8.90625" defaultRowHeight="22.8" x14ac:dyDescent="0.4"/>
  <cols>
    <col min="1" max="1" width="9.08984375" style="3" bestFit="1" customWidth="1"/>
    <col min="2" max="2" width="12" style="3" customWidth="1"/>
    <col min="3" max="3" width="12.453125" style="3" customWidth="1"/>
    <col min="4" max="4" width="14.36328125" style="3" customWidth="1"/>
    <col min="5" max="5" width="15.54296875" style="3" customWidth="1"/>
    <col min="6" max="6" width="14.453125" style="3" customWidth="1"/>
    <col min="7" max="7" width="16.54296875" style="3" customWidth="1"/>
    <col min="8" max="8" width="16.08984375" style="76" customWidth="1"/>
    <col min="9" max="70" width="8.90625" style="3"/>
    <col min="71" max="71" width="9.08984375" style="3" bestFit="1" customWidth="1"/>
    <col min="72" max="72" width="8.90625" style="3"/>
    <col min="73" max="73" width="9.08984375" style="3" bestFit="1" customWidth="1"/>
    <col min="74" max="74" width="8.90625" style="3"/>
    <col min="75" max="75" width="9.08984375" style="3" bestFit="1" customWidth="1"/>
    <col min="76" max="76" width="8.90625" style="3"/>
    <col min="77" max="77" width="11.1796875" style="3" bestFit="1" customWidth="1"/>
    <col min="78" max="16384" width="8.90625" style="3"/>
  </cols>
  <sheetData>
    <row r="1" spans="1:77" ht="15.75" customHeight="1" x14ac:dyDescent="0.4"/>
    <row r="2" spans="1:77" ht="17.399999999999999" x14ac:dyDescent="0.3">
      <c r="B2" s="786" t="s">
        <v>5</v>
      </c>
      <c r="C2" s="786"/>
      <c r="D2" s="786"/>
      <c r="E2" s="786"/>
      <c r="F2" s="786"/>
      <c r="G2" s="786"/>
      <c r="H2" s="786"/>
      <c r="I2" s="206"/>
      <c r="J2" s="206"/>
      <c r="K2" s="206"/>
      <c r="L2" s="206"/>
      <c r="M2" s="206"/>
      <c r="N2" s="206"/>
      <c r="O2" s="206"/>
      <c r="P2" s="206"/>
      <c r="Q2" s="206"/>
      <c r="R2" s="206"/>
      <c r="S2" s="206"/>
      <c r="T2" s="206"/>
      <c r="U2" s="206"/>
      <c r="V2" s="206"/>
    </row>
    <row r="3" spans="1:77" ht="18.75" customHeight="1" x14ac:dyDescent="0.35">
      <c r="B3" s="790" t="s">
        <v>380</v>
      </c>
      <c r="C3" s="790"/>
      <c r="D3" s="790"/>
      <c r="E3" s="790"/>
      <c r="F3" s="790"/>
      <c r="G3" s="790"/>
      <c r="H3" s="790"/>
    </row>
    <row r="4" spans="1:77" ht="15.75" customHeight="1" x14ac:dyDescent="0.35">
      <c r="B4" s="719" t="str">
        <f>CONCATENATE("For Service Rendered On and After ",'Input Data'!$D$4)</f>
        <v>For Service Rendered On and After May 1, 2021</v>
      </c>
      <c r="C4" s="719"/>
      <c r="D4" s="719"/>
      <c r="E4" s="719"/>
      <c r="F4" s="719"/>
      <c r="G4" s="719"/>
      <c r="H4" s="719"/>
    </row>
    <row r="5" spans="1:77" ht="15.75" customHeight="1" x14ac:dyDescent="0.4"/>
    <row r="6" spans="1:77" ht="15.75" customHeight="1" x14ac:dyDescent="0.4">
      <c r="I6" s="660"/>
    </row>
    <row r="7" spans="1:77" x14ac:dyDescent="0.4">
      <c r="A7" s="16" t="s">
        <v>116</v>
      </c>
      <c r="B7" s="649" t="str">
        <f>VLOOKUP(B15,'Case Database'!$A$2:$F$200,3,FALSE)</f>
        <v>2019-00436</v>
      </c>
    </row>
    <row r="8" spans="1:77" ht="15.75" customHeight="1" x14ac:dyDescent="0.4"/>
    <row r="9" spans="1:77" ht="15.75" customHeight="1" x14ac:dyDescent="0.4"/>
    <row r="10" spans="1:77" ht="31.2" x14ac:dyDescent="0.3">
      <c r="A10" s="647" t="s">
        <v>249</v>
      </c>
      <c r="B10" s="189" t="s">
        <v>350</v>
      </c>
      <c r="C10" s="189" t="s">
        <v>312</v>
      </c>
      <c r="D10" s="189" t="s">
        <v>328</v>
      </c>
      <c r="E10" s="189" t="s">
        <v>329</v>
      </c>
      <c r="F10" s="189" t="s">
        <v>279</v>
      </c>
      <c r="G10" s="189" t="s">
        <v>303</v>
      </c>
      <c r="H10" s="189" t="s">
        <v>304</v>
      </c>
      <c r="I10" s="79"/>
      <c r="J10" s="207"/>
      <c r="K10" s="79"/>
      <c r="N10" s="208"/>
      <c r="Q10" s="208"/>
      <c r="R10" s="208"/>
      <c r="S10" s="190"/>
      <c r="T10" s="190"/>
      <c r="W10" s="208"/>
      <c r="X10" s="208"/>
      <c r="Y10" s="208"/>
      <c r="Z10" s="208"/>
      <c r="AA10" s="190"/>
      <c r="AB10" s="190"/>
      <c r="AC10" s="190"/>
      <c r="AY10" s="208"/>
      <c r="AZ10" s="208"/>
      <c r="BA10" s="208"/>
      <c r="BB10" s="208"/>
      <c r="BC10" s="208"/>
      <c r="BD10" s="208"/>
      <c r="BE10" s="208"/>
      <c r="BF10" s="208"/>
      <c r="BG10" s="208"/>
      <c r="BH10" s="208"/>
      <c r="BI10" s="208"/>
      <c r="BJ10" s="208"/>
      <c r="BK10" s="208"/>
      <c r="BL10" s="208"/>
      <c r="BM10" s="208"/>
      <c r="BN10" s="208"/>
      <c r="BO10" s="208"/>
      <c r="BP10" s="208"/>
      <c r="BQ10" s="208"/>
      <c r="BR10" s="190"/>
      <c r="BS10" s="208"/>
      <c r="BT10" s="190"/>
      <c r="BU10" s="208"/>
      <c r="BV10" s="190"/>
      <c r="BW10" s="208"/>
      <c r="BX10" s="190"/>
      <c r="BY10" s="193" t="s">
        <v>273</v>
      </c>
    </row>
    <row r="11" spans="1:77" ht="15.6" x14ac:dyDescent="0.3">
      <c r="A11" s="645"/>
      <c r="B11" s="194" t="s">
        <v>60</v>
      </c>
      <c r="C11" s="194" t="s">
        <v>61</v>
      </c>
      <c r="D11" s="194" t="s">
        <v>62</v>
      </c>
      <c r="E11" s="194" t="s">
        <v>63</v>
      </c>
      <c r="F11" s="201" t="s">
        <v>64</v>
      </c>
      <c r="G11" s="194" t="s">
        <v>493</v>
      </c>
      <c r="H11" s="192" t="s">
        <v>330</v>
      </c>
      <c r="I11" s="79"/>
      <c r="J11" s="207"/>
      <c r="K11" s="79"/>
      <c r="N11" s="208"/>
      <c r="Q11" s="208"/>
      <c r="R11" s="208"/>
      <c r="S11" s="190"/>
      <c r="T11" s="190"/>
      <c r="W11" s="208"/>
      <c r="X11" s="208"/>
      <c r="Y11" s="208"/>
      <c r="Z11" s="208"/>
      <c r="AA11" s="190"/>
      <c r="AB11" s="190"/>
      <c r="AC11" s="190"/>
      <c r="AY11" s="208"/>
      <c r="AZ11" s="208"/>
      <c r="BA11" s="208"/>
      <c r="BB11" s="208"/>
      <c r="BC11" s="208"/>
      <c r="BD11" s="208"/>
      <c r="BE11" s="208"/>
      <c r="BF11" s="208"/>
      <c r="BG11" s="208"/>
      <c r="BH11" s="208"/>
      <c r="BI11" s="208"/>
      <c r="BJ11" s="208"/>
      <c r="BK11" s="208"/>
      <c r="BL11" s="208"/>
      <c r="BM11" s="208"/>
      <c r="BN11" s="208"/>
      <c r="BO11" s="208"/>
      <c r="BP11" s="208"/>
      <c r="BQ11" s="208"/>
      <c r="BR11" s="190"/>
      <c r="BS11" s="208"/>
      <c r="BT11" s="190"/>
      <c r="BU11" s="208"/>
      <c r="BV11" s="190"/>
      <c r="BW11" s="208"/>
      <c r="BX11" s="190"/>
      <c r="BY11" s="122" t="s">
        <v>276</v>
      </c>
    </row>
    <row r="12" spans="1:77" x14ac:dyDescent="0.4">
      <c r="A12" s="645"/>
      <c r="B12" s="122"/>
      <c r="C12" s="122"/>
      <c r="D12" s="202"/>
      <c r="E12" s="202"/>
      <c r="G12" s="193"/>
      <c r="H12" s="258"/>
      <c r="I12" s="79"/>
      <c r="J12" s="207"/>
      <c r="K12" s="79"/>
      <c r="N12" s="208"/>
      <c r="Q12" s="208"/>
      <c r="R12" s="208"/>
      <c r="S12" s="190"/>
      <c r="T12" s="190"/>
      <c r="W12" s="208"/>
      <c r="X12" s="208"/>
      <c r="Y12" s="208"/>
      <c r="Z12" s="208"/>
      <c r="AA12" s="190"/>
      <c r="AB12" s="190"/>
      <c r="AC12" s="190"/>
      <c r="AY12" s="208"/>
      <c r="AZ12" s="208"/>
      <c r="BA12" s="208"/>
      <c r="BB12" s="208"/>
      <c r="BC12" s="208"/>
      <c r="BD12" s="208"/>
      <c r="BE12" s="208"/>
      <c r="BF12" s="208"/>
      <c r="BG12" s="208"/>
      <c r="BH12" s="208"/>
      <c r="BI12" s="208"/>
      <c r="BJ12" s="208"/>
      <c r="BK12" s="208"/>
      <c r="BL12" s="208"/>
      <c r="BM12" s="208"/>
      <c r="BN12" s="208"/>
      <c r="BO12" s="208"/>
      <c r="BP12" s="208"/>
      <c r="BQ12" s="208"/>
      <c r="BR12" s="190"/>
      <c r="BS12" s="208"/>
      <c r="BT12" s="190"/>
      <c r="BU12" s="208"/>
      <c r="BV12" s="190"/>
      <c r="BW12" s="208"/>
      <c r="BX12" s="190"/>
      <c r="BY12" s="193"/>
    </row>
    <row r="13" spans="1:77" ht="15.6" x14ac:dyDescent="0.3">
      <c r="A13" s="645">
        <v>1</v>
      </c>
      <c r="D13" s="202"/>
      <c r="E13" s="202"/>
      <c r="G13" s="203" t="s">
        <v>272</v>
      </c>
      <c r="H13" s="200">
        <f>'Input Data'!D159</f>
        <v>0</v>
      </c>
      <c r="I13" s="79"/>
      <c r="J13" s="207"/>
      <c r="K13" s="79"/>
      <c r="N13" s="208"/>
      <c r="Q13" s="208"/>
      <c r="R13" s="208"/>
      <c r="S13" s="190"/>
      <c r="T13" s="190"/>
      <c r="W13" s="208"/>
      <c r="X13" s="208"/>
      <c r="Y13" s="208"/>
      <c r="Z13" s="208"/>
      <c r="AA13" s="190"/>
      <c r="AB13" s="190"/>
      <c r="AC13" s="190"/>
      <c r="AY13" s="208"/>
      <c r="AZ13" s="208"/>
      <c r="BA13" s="208"/>
      <c r="BB13" s="208"/>
      <c r="BC13" s="208"/>
      <c r="BD13" s="208"/>
      <c r="BE13" s="208"/>
      <c r="BF13" s="208"/>
      <c r="BG13" s="208"/>
      <c r="BH13" s="208"/>
      <c r="BI13" s="208"/>
      <c r="BJ13" s="208"/>
      <c r="BK13" s="208"/>
      <c r="BL13" s="208"/>
      <c r="BM13" s="208"/>
      <c r="BN13" s="208"/>
      <c r="BO13" s="208"/>
      <c r="BP13" s="208"/>
      <c r="BQ13" s="208"/>
      <c r="BR13" s="190"/>
      <c r="BS13" s="208"/>
      <c r="BT13" s="190"/>
      <c r="BU13" s="208"/>
      <c r="BV13" s="190"/>
      <c r="BW13" s="208"/>
      <c r="BX13" s="190"/>
      <c r="BY13" s="193">
        <v>-411623</v>
      </c>
    </row>
    <row r="14" spans="1:77" ht="15.6" x14ac:dyDescent="0.3">
      <c r="A14" s="645"/>
      <c r="D14" s="202"/>
      <c r="E14" s="202"/>
      <c r="G14" s="122"/>
      <c r="H14" s="193"/>
      <c r="I14" s="79"/>
      <c r="J14" s="207"/>
      <c r="K14" s="79"/>
      <c r="N14" s="208"/>
      <c r="Q14" s="208"/>
      <c r="R14" s="208"/>
      <c r="S14" s="190"/>
      <c r="T14" s="190"/>
      <c r="W14" s="208"/>
      <c r="X14" s="208"/>
      <c r="Y14" s="208"/>
      <c r="Z14" s="208"/>
      <c r="AA14" s="190"/>
      <c r="AB14" s="190"/>
      <c r="AC14" s="190"/>
      <c r="AY14" s="208"/>
      <c r="AZ14" s="208"/>
      <c r="BA14" s="208"/>
      <c r="BB14" s="208"/>
      <c r="BC14" s="208"/>
      <c r="BD14" s="208"/>
      <c r="BE14" s="208"/>
      <c r="BF14" s="208"/>
      <c r="BG14" s="208"/>
      <c r="BH14" s="208"/>
      <c r="BI14" s="208"/>
      <c r="BJ14" s="208"/>
      <c r="BK14" s="208"/>
      <c r="BL14" s="208"/>
      <c r="BM14" s="208"/>
      <c r="BN14" s="208"/>
      <c r="BO14" s="208"/>
      <c r="BP14" s="208"/>
      <c r="BQ14" s="208"/>
      <c r="BR14" s="190"/>
      <c r="BS14" s="208"/>
      <c r="BT14" s="190"/>
      <c r="BU14" s="208"/>
      <c r="BV14" s="190"/>
      <c r="BW14" s="208"/>
      <c r="BX14" s="190"/>
      <c r="BY14" s="193"/>
    </row>
    <row r="15" spans="1:77" ht="15.6" x14ac:dyDescent="0.3">
      <c r="A15" s="645">
        <v>2</v>
      </c>
      <c r="B15" s="194">
        <f>'Input Data'!C8</f>
        <v>43862</v>
      </c>
      <c r="C15" s="194" t="s">
        <v>366</v>
      </c>
      <c r="D15" s="48">
        <f>VLOOKUP($B15,'Sales Volumes'!$A$1:$H$100,4,FALSE)</f>
        <v>2360944.1</v>
      </c>
      <c r="E15" s="48">
        <f>VLOOKUP($B15,'Sales Volumes'!$A$1:$H$100,5,FALSE)</f>
        <v>24878.199999999997</v>
      </c>
      <c r="F15" s="163">
        <f>VLOOKUP($B$7,'Case Database'!$C$2:$P$200,14,FALSE)</f>
        <v>0</v>
      </c>
      <c r="G15" s="164">
        <f t="shared" ref="G15:G27" si="0">ROUND((D15+E15)*F15,2)</f>
        <v>0</v>
      </c>
      <c r="H15" s="164">
        <f>+H13-G15</f>
        <v>0</v>
      </c>
      <c r="I15" s="79"/>
      <c r="J15" s="207"/>
      <c r="K15" s="79"/>
      <c r="N15" s="208"/>
      <c r="Q15" s="208"/>
      <c r="R15" s="208"/>
      <c r="S15" s="190"/>
      <c r="T15" s="190"/>
      <c r="W15" s="208"/>
      <c r="X15" s="208"/>
      <c r="Y15" s="208"/>
      <c r="Z15" s="208"/>
      <c r="AA15" s="190"/>
      <c r="AB15" s="190"/>
      <c r="AC15" s="190"/>
      <c r="AY15" s="208"/>
      <c r="AZ15" s="208"/>
      <c r="BA15" s="208"/>
      <c r="BB15" s="208"/>
      <c r="BC15" s="208"/>
      <c r="BD15" s="208"/>
      <c r="BE15" s="208"/>
      <c r="BF15" s="208"/>
      <c r="BG15" s="208"/>
      <c r="BH15" s="208"/>
      <c r="BI15" s="208"/>
      <c r="BJ15" s="208"/>
      <c r="BK15" s="208"/>
      <c r="BL15" s="208"/>
      <c r="BM15" s="208"/>
      <c r="BN15" s="208"/>
      <c r="BO15" s="208"/>
      <c r="BP15" s="208"/>
      <c r="BQ15" s="208"/>
      <c r="BR15" s="190"/>
      <c r="BS15" s="208" t="e">
        <v>#REF!</v>
      </c>
      <c r="BT15" s="190" t="s">
        <v>61</v>
      </c>
      <c r="BU15" s="208" t="e">
        <v>#REF!</v>
      </c>
      <c r="BV15" s="190" t="s">
        <v>60</v>
      </c>
      <c r="BW15" s="208" t="e">
        <v>#REF!</v>
      </c>
      <c r="BX15" s="190" t="s">
        <v>60</v>
      </c>
      <c r="BY15" s="193">
        <v>-402587.94319999998</v>
      </c>
    </row>
    <row r="16" spans="1:77" ht="15.6" x14ac:dyDescent="0.3">
      <c r="A16" s="645">
        <v>3</v>
      </c>
      <c r="B16" s="194">
        <f>EDATE(B15,1)</f>
        <v>43891</v>
      </c>
      <c r="C16" s="194"/>
      <c r="D16" s="48">
        <f>VLOOKUP($B16,'Sales Volumes'!$A$1:$H$100,4,FALSE)</f>
        <v>4153803.3</v>
      </c>
      <c r="E16" s="48">
        <f>VLOOKUP($B16,'Sales Volumes'!$A$1:$H$100,5,FALSE)</f>
        <v>30252.1</v>
      </c>
      <c r="F16" s="163">
        <f>$F$15</f>
        <v>0</v>
      </c>
      <c r="G16" s="164">
        <f t="shared" si="0"/>
        <v>0</v>
      </c>
      <c r="H16" s="164">
        <f>H15-G16</f>
        <v>0</v>
      </c>
      <c r="I16" s="79"/>
      <c r="J16" s="207"/>
      <c r="K16" s="79"/>
      <c r="N16" s="208"/>
      <c r="Q16" s="208"/>
      <c r="R16" s="208"/>
      <c r="S16" s="190"/>
      <c r="T16" s="190"/>
      <c r="W16" s="208"/>
      <c r="X16" s="208"/>
      <c r="Y16" s="208"/>
      <c r="Z16" s="208"/>
      <c r="AA16" s="190"/>
      <c r="AB16" s="190"/>
      <c r="AC16" s="190"/>
      <c r="AY16" s="208"/>
      <c r="AZ16" s="208"/>
      <c r="BA16" s="208"/>
      <c r="BB16" s="208"/>
      <c r="BC16" s="208"/>
      <c r="BD16" s="208"/>
      <c r="BE16" s="208"/>
      <c r="BF16" s="208"/>
      <c r="BG16" s="208"/>
      <c r="BH16" s="208"/>
      <c r="BI16" s="208"/>
      <c r="BJ16" s="208"/>
      <c r="BK16" s="208"/>
      <c r="BL16" s="208"/>
      <c r="BM16" s="208"/>
      <c r="BN16" s="208"/>
      <c r="BO16" s="208"/>
      <c r="BP16" s="208"/>
      <c r="BQ16" s="208"/>
      <c r="BR16" s="190"/>
      <c r="BS16" s="208"/>
      <c r="BT16" s="208"/>
      <c r="BU16" s="208" t="e">
        <v>#REF!</v>
      </c>
      <c r="BV16" s="190" t="s">
        <v>60</v>
      </c>
      <c r="BW16" s="208" t="e">
        <v>#REF!</v>
      </c>
      <c r="BX16" s="190" t="s">
        <v>60</v>
      </c>
      <c r="BY16" s="193">
        <v>-389209.51574</v>
      </c>
    </row>
    <row r="17" spans="1:77" ht="15.6" x14ac:dyDescent="0.3">
      <c r="A17" s="645">
        <v>4</v>
      </c>
      <c r="B17" s="194">
        <f t="shared" ref="B17:B27" si="1">EDATE(B16,1)</f>
        <v>43922</v>
      </c>
      <c r="C17" s="194"/>
      <c r="D17" s="48">
        <f>VLOOKUP($B17,'Sales Volumes'!$A$1:$H$100,4,FALSE)</f>
        <v>2379949.7000000002</v>
      </c>
      <c r="E17" s="48">
        <f>VLOOKUP($B17,'Sales Volumes'!$A$1:$H$100,5,FALSE)</f>
        <v>55664.100000000006</v>
      </c>
      <c r="F17" s="163">
        <f t="shared" ref="F17:F27" si="2">$F$15</f>
        <v>0</v>
      </c>
      <c r="G17" s="164">
        <f t="shared" si="0"/>
        <v>0</v>
      </c>
      <c r="H17" s="164">
        <f t="shared" ref="H17:H27" si="3">H16-G17</f>
        <v>0</v>
      </c>
      <c r="I17" s="79"/>
      <c r="J17" s="207"/>
      <c r="K17" s="79"/>
      <c r="N17" s="208"/>
      <c r="Q17" s="208"/>
      <c r="R17" s="208"/>
      <c r="S17" s="190"/>
      <c r="T17" s="190"/>
      <c r="W17" s="208"/>
      <c r="X17" s="208"/>
      <c r="Y17" s="208"/>
      <c r="Z17" s="208"/>
      <c r="AA17" s="190"/>
      <c r="AB17" s="190"/>
      <c r="AC17" s="190"/>
      <c r="AY17" s="208"/>
      <c r="AZ17" s="208"/>
      <c r="BA17" s="208"/>
      <c r="BB17" s="208"/>
      <c r="BC17" s="208"/>
      <c r="BD17" s="208"/>
      <c r="BE17" s="208"/>
      <c r="BF17" s="208"/>
      <c r="BG17" s="208"/>
      <c r="BH17" s="208"/>
      <c r="BI17" s="208"/>
      <c r="BJ17" s="208"/>
      <c r="BK17" s="208"/>
      <c r="BL17" s="208"/>
      <c r="BM17" s="208"/>
      <c r="BN17" s="208"/>
      <c r="BO17" s="208"/>
      <c r="BP17" s="208"/>
      <c r="BQ17" s="208"/>
      <c r="BR17" s="190"/>
      <c r="BS17" s="208"/>
      <c r="BT17" s="208"/>
      <c r="BU17" s="208" t="e">
        <v>#REF!</v>
      </c>
      <c r="BV17" s="190" t="s">
        <v>60</v>
      </c>
      <c r="BW17" s="208" t="e">
        <v>#REF!</v>
      </c>
      <c r="BX17" s="190" t="s">
        <v>60</v>
      </c>
      <c r="BY17" s="193">
        <v>-379257.88942999998</v>
      </c>
    </row>
    <row r="18" spans="1:77" ht="15.6" x14ac:dyDescent="0.3">
      <c r="A18" s="645">
        <v>5</v>
      </c>
      <c r="B18" s="194">
        <f t="shared" si="1"/>
        <v>43952</v>
      </c>
      <c r="C18" s="194"/>
      <c r="D18" s="48">
        <f>VLOOKUP($B18,'Sales Volumes'!$A$1:$H$100,4,FALSE)</f>
        <v>710480.5</v>
      </c>
      <c r="E18" s="48">
        <f>VLOOKUP($B18,'Sales Volumes'!$A$1:$H$100,5,FALSE)</f>
        <v>39270.19999999999</v>
      </c>
      <c r="F18" s="163">
        <f t="shared" si="2"/>
        <v>0</v>
      </c>
      <c r="G18" s="164">
        <f t="shared" si="0"/>
        <v>0</v>
      </c>
      <c r="H18" s="164">
        <f t="shared" si="3"/>
        <v>0</v>
      </c>
      <c r="I18" s="79"/>
      <c r="J18" s="207"/>
      <c r="K18" s="79"/>
      <c r="N18" s="208"/>
      <c r="Q18" s="208"/>
      <c r="R18" s="208"/>
      <c r="S18" s="190"/>
      <c r="T18" s="190"/>
      <c r="W18" s="208"/>
      <c r="X18" s="208"/>
      <c r="Y18" s="208"/>
      <c r="Z18" s="208"/>
      <c r="AA18" s="190"/>
      <c r="AB18" s="190"/>
      <c r="AC18" s="190"/>
      <c r="AY18" s="208"/>
      <c r="AZ18" s="208"/>
      <c r="BA18" s="208"/>
      <c r="BB18" s="208"/>
      <c r="BC18" s="208"/>
      <c r="BD18" s="208"/>
      <c r="BE18" s="208"/>
      <c r="BF18" s="208"/>
      <c r="BG18" s="208"/>
      <c r="BH18" s="208"/>
      <c r="BI18" s="208"/>
      <c r="BJ18" s="208"/>
      <c r="BK18" s="208"/>
      <c r="BL18" s="208"/>
      <c r="BM18" s="208"/>
      <c r="BN18" s="208"/>
      <c r="BO18" s="208"/>
      <c r="BP18" s="208"/>
      <c r="BQ18" s="208"/>
      <c r="BR18" s="190"/>
      <c r="BS18" s="208"/>
      <c r="BT18" s="208"/>
      <c r="BU18" s="208" t="e">
        <v>#REF!</v>
      </c>
      <c r="BV18" s="190" t="s">
        <v>61</v>
      </c>
      <c r="BW18" s="208" t="e">
        <v>#REF!</v>
      </c>
      <c r="BX18" s="190" t="s">
        <v>60</v>
      </c>
      <c r="BY18" s="193">
        <v>-369315.90457999997</v>
      </c>
    </row>
    <row r="19" spans="1:77" ht="15.6" x14ac:dyDescent="0.3">
      <c r="A19" s="645">
        <v>6</v>
      </c>
      <c r="B19" s="194">
        <f t="shared" si="1"/>
        <v>43983</v>
      </c>
      <c r="C19" s="194"/>
      <c r="D19" s="48">
        <f>VLOOKUP($B19,'Sales Volumes'!$A$1:$H$100,4,FALSE)</f>
        <v>938511.5</v>
      </c>
      <c r="E19" s="48">
        <f>VLOOKUP($B19,'Sales Volumes'!$A$1:$H$100,5,FALSE)</f>
        <v>39270.199999999997</v>
      </c>
      <c r="F19" s="163">
        <f t="shared" si="2"/>
        <v>0</v>
      </c>
      <c r="G19" s="164">
        <f t="shared" si="0"/>
        <v>0</v>
      </c>
      <c r="H19" s="164">
        <f t="shared" si="3"/>
        <v>0</v>
      </c>
      <c r="I19" s="79"/>
      <c r="J19" s="207"/>
      <c r="K19" s="79"/>
      <c r="N19" s="208"/>
      <c r="Q19" s="208"/>
      <c r="R19" s="208"/>
      <c r="S19" s="190"/>
      <c r="T19" s="190"/>
      <c r="W19" s="208"/>
      <c r="X19" s="208"/>
      <c r="Y19" s="208"/>
      <c r="Z19" s="208"/>
      <c r="AA19" s="190"/>
      <c r="AB19" s="190"/>
      <c r="AC19" s="190"/>
      <c r="AY19" s="208"/>
      <c r="AZ19" s="208"/>
      <c r="BA19" s="208"/>
      <c r="BB19" s="208"/>
      <c r="BC19" s="208"/>
      <c r="BD19" s="208"/>
      <c r="BE19" s="208"/>
      <c r="BF19" s="208"/>
      <c r="BG19" s="208"/>
      <c r="BH19" s="208"/>
      <c r="BI19" s="208"/>
      <c r="BJ19" s="208"/>
      <c r="BK19" s="208"/>
      <c r="BL19" s="208"/>
      <c r="BM19" s="208"/>
      <c r="BN19" s="208"/>
      <c r="BO19" s="208"/>
      <c r="BP19" s="208"/>
      <c r="BQ19" s="208"/>
      <c r="BR19" s="190"/>
      <c r="BS19" s="208"/>
      <c r="BT19" s="208"/>
      <c r="BU19" s="208"/>
      <c r="BV19" s="208"/>
      <c r="BW19" s="208" t="e">
        <v>#REF!</v>
      </c>
      <c r="BX19" s="190" t="s">
        <v>60</v>
      </c>
      <c r="BY19" s="193">
        <v>-359018.76595999999</v>
      </c>
    </row>
    <row r="20" spans="1:77" ht="15.6" x14ac:dyDescent="0.3">
      <c r="A20" s="645">
        <v>7</v>
      </c>
      <c r="B20" s="194">
        <f t="shared" si="1"/>
        <v>44013</v>
      </c>
      <c r="C20" s="194"/>
      <c r="D20" s="48">
        <f>VLOOKUP($B20,'Sales Volumes'!$A$1:$H$100,4,FALSE)</f>
        <v>694438.8</v>
      </c>
      <c r="E20" s="48">
        <f>VLOOKUP($B20,'Sales Volumes'!$A$1:$H$100,5,FALSE)</f>
        <v>49416.5</v>
      </c>
      <c r="F20" s="163">
        <f t="shared" si="2"/>
        <v>0</v>
      </c>
      <c r="G20" s="164">
        <f t="shared" si="0"/>
        <v>0</v>
      </c>
      <c r="H20" s="164">
        <f t="shared" si="3"/>
        <v>0</v>
      </c>
      <c r="I20" s="79"/>
      <c r="J20" s="207"/>
      <c r="K20" s="79"/>
      <c r="N20" s="208"/>
      <c r="Q20" s="208"/>
      <c r="R20" s="208"/>
      <c r="S20" s="190"/>
      <c r="T20" s="190"/>
      <c r="W20" s="208"/>
      <c r="X20" s="208"/>
      <c r="Y20" s="208"/>
      <c r="Z20" s="208"/>
      <c r="AA20" s="190"/>
      <c r="AB20" s="190"/>
      <c r="AC20" s="190"/>
      <c r="AY20" s="208"/>
      <c r="AZ20" s="208"/>
      <c r="BA20" s="208"/>
      <c r="BB20" s="208"/>
      <c r="BC20" s="208"/>
      <c r="BD20" s="208"/>
      <c r="BE20" s="208"/>
      <c r="BF20" s="208"/>
      <c r="BG20" s="208"/>
      <c r="BH20" s="208"/>
      <c r="BI20" s="208"/>
      <c r="BJ20" s="208"/>
      <c r="BK20" s="208"/>
      <c r="BL20" s="208"/>
      <c r="BM20" s="208"/>
      <c r="BN20" s="208"/>
      <c r="BO20" s="208"/>
      <c r="BP20" s="208"/>
      <c r="BQ20" s="208"/>
      <c r="BR20" s="190"/>
      <c r="BS20" s="208"/>
      <c r="BT20" s="208"/>
      <c r="BU20" s="208"/>
      <c r="BV20" s="208"/>
      <c r="BW20" s="208" t="e">
        <v>#REF!</v>
      </c>
      <c r="BX20" s="190" t="s">
        <v>60</v>
      </c>
      <c r="BY20" s="193">
        <v>-345075.15596</v>
      </c>
    </row>
    <row r="21" spans="1:77" ht="15.6" x14ac:dyDescent="0.3">
      <c r="A21" s="645">
        <v>8</v>
      </c>
      <c r="B21" s="194">
        <f t="shared" si="1"/>
        <v>44044</v>
      </c>
      <c r="C21" s="194"/>
      <c r="D21" s="48">
        <f>VLOOKUP($B21,'Sales Volumes'!$A$1:$H$100,4,FALSE)</f>
        <v>313543.3</v>
      </c>
      <c r="E21" s="48">
        <f>VLOOKUP($B21,'Sales Volumes'!$A$1:$H$100,5,FALSE)</f>
        <v>30957.200000000001</v>
      </c>
      <c r="F21" s="163">
        <f t="shared" si="2"/>
        <v>0</v>
      </c>
      <c r="G21" s="164">
        <f t="shared" si="0"/>
        <v>0</v>
      </c>
      <c r="H21" s="164">
        <f t="shared" si="3"/>
        <v>0</v>
      </c>
      <c r="I21" s="79"/>
      <c r="J21" s="207"/>
      <c r="K21" s="79"/>
      <c r="N21" s="208"/>
      <c r="Q21" s="208"/>
      <c r="R21" s="208"/>
      <c r="S21" s="190"/>
      <c r="T21" s="190"/>
      <c r="W21" s="208"/>
      <c r="X21" s="208"/>
      <c r="Y21" s="208"/>
      <c r="Z21" s="208"/>
      <c r="AA21" s="190"/>
      <c r="AB21" s="190"/>
      <c r="AC21" s="190"/>
      <c r="AY21" s="208"/>
      <c r="AZ21" s="208"/>
      <c r="BA21" s="208"/>
      <c r="BB21" s="208"/>
      <c r="BC21" s="208"/>
      <c r="BD21" s="208"/>
      <c r="BE21" s="208"/>
      <c r="BF21" s="208"/>
      <c r="BG21" s="208"/>
      <c r="BH21" s="208"/>
      <c r="BI21" s="208"/>
      <c r="BJ21" s="208"/>
      <c r="BK21" s="208"/>
      <c r="BL21" s="208"/>
      <c r="BM21" s="208"/>
      <c r="BN21" s="208"/>
      <c r="BO21" s="208"/>
      <c r="BP21" s="208"/>
      <c r="BQ21" s="208"/>
      <c r="BR21" s="190"/>
      <c r="BS21" s="208"/>
      <c r="BT21" s="208"/>
      <c r="BU21" s="208"/>
      <c r="BV21" s="208"/>
      <c r="BW21" s="208" t="e">
        <v>#REF!</v>
      </c>
      <c r="BX21" s="190" t="s">
        <v>61</v>
      </c>
      <c r="BY21" s="193">
        <v>-318552.39218000002</v>
      </c>
    </row>
    <row r="22" spans="1:77" ht="15.6" x14ac:dyDescent="0.3">
      <c r="A22" s="645">
        <v>9</v>
      </c>
      <c r="B22" s="194">
        <f t="shared" si="1"/>
        <v>44075</v>
      </c>
      <c r="C22" s="194"/>
      <c r="D22" s="48">
        <f>VLOOKUP($B22,'Sales Volumes'!$A$1:$H$100,4,FALSE)</f>
        <v>678360.9</v>
      </c>
      <c r="E22" s="48">
        <f>VLOOKUP($B22,'Sales Volumes'!$A$1:$H$100,5,FALSE)</f>
        <v>54045.3</v>
      </c>
      <c r="F22" s="163">
        <f t="shared" si="2"/>
        <v>0</v>
      </c>
      <c r="G22" s="164">
        <f t="shared" si="0"/>
        <v>0</v>
      </c>
      <c r="H22" s="164">
        <f t="shared" si="3"/>
        <v>0</v>
      </c>
      <c r="I22" s="79"/>
      <c r="J22" s="207"/>
      <c r="K22" s="79"/>
      <c r="N22" s="208"/>
      <c r="Q22" s="208"/>
      <c r="R22" s="208"/>
      <c r="S22" s="190"/>
      <c r="T22" s="190"/>
      <c r="W22" s="208"/>
      <c r="X22" s="208"/>
      <c r="Y22" s="208"/>
      <c r="Z22" s="208"/>
      <c r="AA22" s="190"/>
      <c r="AB22" s="190"/>
      <c r="AC22" s="190"/>
      <c r="AY22" s="208"/>
      <c r="AZ22" s="208"/>
      <c r="BA22" s="208"/>
      <c r="BB22" s="208"/>
      <c r="BC22" s="208"/>
      <c r="BD22" s="208"/>
      <c r="BE22" s="208"/>
      <c r="BF22" s="208"/>
      <c r="BG22" s="208"/>
      <c r="BH22" s="208"/>
      <c r="BI22" s="208"/>
      <c r="BJ22" s="208"/>
      <c r="BK22" s="208"/>
      <c r="BL22" s="208"/>
      <c r="BM22" s="208"/>
      <c r="BN22" s="208"/>
      <c r="BO22" s="208"/>
      <c r="BP22" s="208"/>
      <c r="BQ22" s="208"/>
      <c r="BR22" s="190"/>
      <c r="BS22" s="208"/>
      <c r="BT22" s="208"/>
      <c r="BU22" s="208"/>
      <c r="BV22" s="208"/>
      <c r="BW22" s="208"/>
      <c r="BX22" s="190"/>
      <c r="BY22" s="193">
        <v>-272826.39557000005</v>
      </c>
    </row>
    <row r="23" spans="1:77" ht="15.6" x14ac:dyDescent="0.3">
      <c r="A23" s="645">
        <v>10</v>
      </c>
      <c r="B23" s="194">
        <f t="shared" si="1"/>
        <v>44105</v>
      </c>
      <c r="C23" s="194"/>
      <c r="D23" s="48">
        <f>VLOOKUP($B23,'Sales Volumes'!$A$1:$H$100,4,FALSE)</f>
        <v>954841.59999999998</v>
      </c>
      <c r="E23" s="48">
        <f>VLOOKUP($B23,'Sales Volumes'!$A$1:$H$100,5,FALSE)</f>
        <v>66050.899999999994</v>
      </c>
      <c r="F23" s="163">
        <f t="shared" si="2"/>
        <v>0</v>
      </c>
      <c r="G23" s="164">
        <f t="shared" si="0"/>
        <v>0</v>
      </c>
      <c r="H23" s="164">
        <f t="shared" si="3"/>
        <v>0</v>
      </c>
      <c r="I23" s="79"/>
      <c r="J23" s="207"/>
      <c r="K23" s="79"/>
      <c r="N23" s="208"/>
      <c r="Q23" s="208"/>
      <c r="R23" s="208"/>
      <c r="S23" s="190"/>
      <c r="T23" s="190"/>
      <c r="W23" s="208"/>
      <c r="X23" s="208"/>
      <c r="Y23" s="208"/>
      <c r="Z23" s="208"/>
      <c r="AA23" s="190"/>
      <c r="AB23" s="190"/>
      <c r="AC23" s="190"/>
      <c r="AY23" s="208"/>
      <c r="AZ23" s="208"/>
      <c r="BA23" s="208"/>
      <c r="BB23" s="208"/>
      <c r="BC23" s="208"/>
      <c r="BD23" s="208"/>
      <c r="BE23" s="208"/>
      <c r="BF23" s="208"/>
      <c r="BG23" s="208"/>
      <c r="BH23" s="208"/>
      <c r="BI23" s="208"/>
      <c r="BJ23" s="208"/>
      <c r="BK23" s="208"/>
      <c r="BL23" s="208"/>
      <c r="BM23" s="208"/>
      <c r="BN23" s="208"/>
      <c r="BO23" s="208"/>
      <c r="BP23" s="208"/>
      <c r="BQ23" s="208"/>
      <c r="BR23" s="190"/>
      <c r="BS23" s="208"/>
      <c r="BT23" s="208"/>
      <c r="BU23" s="208"/>
      <c r="BV23" s="208"/>
      <c r="BW23" s="208"/>
      <c r="BX23" s="190"/>
      <c r="BY23" s="193">
        <v>-205104.66959000006</v>
      </c>
    </row>
    <row r="24" spans="1:77" ht="15.6" x14ac:dyDescent="0.3">
      <c r="A24" s="645">
        <v>11</v>
      </c>
      <c r="B24" s="194">
        <f t="shared" si="1"/>
        <v>44136</v>
      </c>
      <c r="C24" s="194"/>
      <c r="D24" s="48">
        <f>VLOOKUP($B24,'Sales Volumes'!$A$1:$H$100,4,FALSE)</f>
        <v>862002.4</v>
      </c>
      <c r="E24" s="48">
        <f>VLOOKUP($B24,'Sales Volumes'!$A$1:$H$100,5,FALSE)</f>
        <v>74502</v>
      </c>
      <c r="F24" s="163">
        <f t="shared" si="2"/>
        <v>0</v>
      </c>
      <c r="G24" s="164">
        <f t="shared" si="0"/>
        <v>0</v>
      </c>
      <c r="H24" s="164">
        <f t="shared" si="3"/>
        <v>0</v>
      </c>
      <c r="I24" s="79"/>
      <c r="J24" s="207"/>
      <c r="K24" s="79"/>
      <c r="N24" s="208"/>
      <c r="Q24" s="208"/>
      <c r="R24" s="208"/>
      <c r="S24" s="190"/>
      <c r="T24" s="190"/>
      <c r="W24" s="208"/>
      <c r="X24" s="208"/>
      <c r="Y24" s="208"/>
      <c r="Z24" s="208"/>
      <c r="AA24" s="190"/>
      <c r="AB24" s="190"/>
      <c r="AC24" s="190"/>
      <c r="AY24" s="208"/>
      <c r="AZ24" s="208"/>
      <c r="BA24" s="208"/>
      <c r="BB24" s="208"/>
      <c r="BC24" s="208"/>
      <c r="BD24" s="208"/>
      <c r="BE24" s="208"/>
      <c r="BF24" s="208"/>
      <c r="BG24" s="208"/>
      <c r="BH24" s="208"/>
      <c r="BI24" s="208"/>
      <c r="BJ24" s="208"/>
      <c r="BK24" s="208"/>
      <c r="BL24" s="208"/>
      <c r="BM24" s="208"/>
      <c r="BN24" s="208"/>
      <c r="BO24" s="208"/>
      <c r="BP24" s="208"/>
      <c r="BQ24" s="208"/>
      <c r="BR24" s="190"/>
      <c r="BS24" s="208"/>
      <c r="BT24" s="208"/>
      <c r="BU24" s="208"/>
      <c r="BV24" s="208"/>
      <c r="BW24" s="208"/>
      <c r="BX24" s="190"/>
      <c r="BY24" s="193">
        <v>-140806.26692000008</v>
      </c>
    </row>
    <row r="25" spans="1:77" ht="15.6" x14ac:dyDescent="0.3">
      <c r="A25" s="645">
        <v>12</v>
      </c>
      <c r="B25" s="194">
        <f t="shared" si="1"/>
        <v>44166</v>
      </c>
      <c r="C25" s="194"/>
      <c r="D25" s="48">
        <f>VLOOKUP($B25,'Sales Volumes'!$A$1:$H$100,4,FALSE)</f>
        <v>3983947.6</v>
      </c>
      <c r="E25" s="48">
        <f>VLOOKUP($B25,'Sales Volumes'!$A$1:$H$100,5,FALSE)</f>
        <v>71473.600000000006</v>
      </c>
      <c r="F25" s="163">
        <f t="shared" si="2"/>
        <v>0</v>
      </c>
      <c r="G25" s="164">
        <f t="shared" si="0"/>
        <v>0</v>
      </c>
      <c r="H25" s="164">
        <f t="shared" si="3"/>
        <v>0</v>
      </c>
      <c r="I25" s="79"/>
      <c r="J25" s="207"/>
      <c r="K25" s="79"/>
      <c r="N25" s="208"/>
      <c r="Q25" s="208"/>
      <c r="R25" s="208"/>
      <c r="S25" s="190"/>
      <c r="T25" s="190"/>
      <c r="W25" s="208"/>
      <c r="X25" s="208"/>
      <c r="Y25" s="208"/>
      <c r="Z25" s="208"/>
      <c r="AA25" s="190"/>
      <c r="AB25" s="190"/>
      <c r="AC25" s="190"/>
      <c r="AY25" s="208"/>
      <c r="AZ25" s="208"/>
      <c r="BA25" s="208"/>
      <c r="BB25" s="208"/>
      <c r="BC25" s="208"/>
      <c r="BD25" s="208"/>
      <c r="BE25" s="208"/>
      <c r="BF25" s="208"/>
      <c r="BG25" s="208"/>
      <c r="BH25" s="208"/>
      <c r="BI25" s="208"/>
      <c r="BJ25" s="208"/>
      <c r="BK25" s="208"/>
      <c r="BL25" s="208"/>
      <c r="BM25" s="208"/>
      <c r="BN25" s="208"/>
      <c r="BO25" s="208"/>
      <c r="BP25" s="208"/>
      <c r="BQ25" s="208"/>
      <c r="BR25" s="190"/>
      <c r="BS25" s="208"/>
      <c r="BT25" s="208"/>
      <c r="BU25" s="208"/>
      <c r="BV25" s="208"/>
      <c r="BW25" s="208"/>
      <c r="BX25" s="190"/>
      <c r="BY25" s="193">
        <v>-95338.527020000081</v>
      </c>
    </row>
    <row r="26" spans="1:77" ht="15.6" x14ac:dyDescent="0.3">
      <c r="A26" s="645">
        <v>13</v>
      </c>
      <c r="B26" s="194">
        <f t="shared" si="1"/>
        <v>44197</v>
      </c>
      <c r="C26" s="194"/>
      <c r="D26" s="48">
        <f>VLOOKUP($B26,'Sales Volumes'!$A$1:$H$100,4,FALSE)</f>
        <v>5628858.5999999996</v>
      </c>
      <c r="E26" s="48">
        <f>VLOOKUP($B26,'Sales Volumes'!$A$1:$H$100,5,FALSE)</f>
        <v>44430.3</v>
      </c>
      <c r="F26" s="163">
        <f t="shared" si="2"/>
        <v>0</v>
      </c>
      <c r="G26" s="164">
        <f t="shared" si="0"/>
        <v>0</v>
      </c>
      <c r="H26" s="164">
        <f t="shared" si="3"/>
        <v>0</v>
      </c>
      <c r="I26" s="79"/>
      <c r="J26" s="207"/>
      <c r="K26" s="79"/>
      <c r="N26" s="208"/>
      <c r="Q26" s="208"/>
      <c r="R26" s="208"/>
      <c r="S26" s="190"/>
      <c r="T26" s="190"/>
      <c r="W26" s="208"/>
      <c r="X26" s="208"/>
      <c r="Y26" s="208"/>
      <c r="Z26" s="208"/>
      <c r="AA26" s="190"/>
      <c r="AB26" s="190"/>
      <c r="AC26" s="190"/>
      <c r="AY26" s="208"/>
      <c r="AZ26" s="208"/>
      <c r="BA26" s="208"/>
      <c r="BB26" s="208"/>
      <c r="BC26" s="208"/>
      <c r="BD26" s="208"/>
      <c r="BE26" s="208"/>
      <c r="BF26" s="208"/>
      <c r="BG26" s="208"/>
      <c r="BH26" s="208"/>
      <c r="BI26" s="208"/>
      <c r="BJ26" s="208"/>
      <c r="BK26" s="208"/>
      <c r="BL26" s="208"/>
      <c r="BM26" s="208"/>
      <c r="BN26" s="208"/>
      <c r="BO26" s="208"/>
      <c r="BP26" s="208"/>
      <c r="BQ26" s="208"/>
      <c r="BR26" s="190"/>
      <c r="BS26" s="208"/>
      <c r="BT26" s="208"/>
      <c r="BU26" s="208"/>
      <c r="BV26" s="208"/>
      <c r="BW26" s="208"/>
      <c r="BX26" s="190"/>
      <c r="BY26" s="193">
        <v>-76782.608450000087</v>
      </c>
    </row>
    <row r="27" spans="1:77" ht="16.2" customHeight="1" x14ac:dyDescent="0.3">
      <c r="A27" s="645">
        <v>14</v>
      </c>
      <c r="B27" s="194">
        <f t="shared" si="1"/>
        <v>44228</v>
      </c>
      <c r="C27" s="194" t="s">
        <v>366</v>
      </c>
      <c r="D27" s="48">
        <f>VLOOKUP($B27,'Sales Volumes'!$A$1:$H$100,4,FALSE)</f>
        <v>2867714.8</v>
      </c>
      <c r="E27" s="48">
        <f>VLOOKUP($B27,'Sales Volumes'!$A$1:$H$100,5,FALSE)</f>
        <v>22918.3</v>
      </c>
      <c r="F27" s="163">
        <f t="shared" si="2"/>
        <v>0</v>
      </c>
      <c r="G27" s="164">
        <f t="shared" si="0"/>
        <v>0</v>
      </c>
      <c r="H27" s="164">
        <f t="shared" si="3"/>
        <v>0</v>
      </c>
      <c r="I27" s="79"/>
      <c r="J27" s="207"/>
      <c r="K27" s="79"/>
      <c r="N27" s="208"/>
      <c r="Q27" s="208"/>
      <c r="R27" s="208"/>
      <c r="S27" s="190"/>
      <c r="T27" s="190"/>
      <c r="W27" s="208"/>
      <c r="X27" s="208"/>
      <c r="Y27" s="208"/>
      <c r="Z27" s="208"/>
      <c r="AA27" s="190"/>
      <c r="AB27" s="190"/>
      <c r="AC27" s="190"/>
      <c r="AY27" s="208"/>
      <c r="AZ27" s="208"/>
      <c r="BA27" s="208"/>
      <c r="BB27" s="208"/>
      <c r="BC27" s="208"/>
      <c r="BD27" s="208"/>
      <c r="BE27" s="208"/>
      <c r="BF27" s="208"/>
      <c r="BG27" s="208"/>
      <c r="BH27" s="208"/>
      <c r="BI27" s="208"/>
      <c r="BJ27" s="208"/>
      <c r="BK27" s="208"/>
      <c r="BL27" s="208"/>
      <c r="BM27" s="208"/>
      <c r="BN27" s="208"/>
      <c r="BO27" s="208"/>
      <c r="BP27" s="208"/>
      <c r="BQ27" s="208"/>
      <c r="BR27" s="190"/>
      <c r="BS27" s="208"/>
      <c r="BT27" s="208"/>
      <c r="BU27" s="208"/>
      <c r="BV27" s="208"/>
      <c r="BW27" s="208"/>
      <c r="BX27" s="190"/>
      <c r="BY27" s="193">
        <v>-68418.687050000095</v>
      </c>
    </row>
    <row r="28" spans="1:77" ht="15.6" x14ac:dyDescent="0.3">
      <c r="A28" s="645"/>
      <c r="D28" s="193"/>
      <c r="E28" s="193"/>
      <c r="F28" s="200"/>
      <c r="H28" s="200"/>
      <c r="I28" s="79"/>
      <c r="J28" s="207"/>
      <c r="K28" s="79"/>
      <c r="N28" s="208"/>
      <c r="Q28" s="208"/>
      <c r="R28" s="208"/>
      <c r="S28" s="190"/>
      <c r="T28" s="190"/>
      <c r="W28" s="208"/>
      <c r="X28" s="208"/>
      <c r="Y28" s="208"/>
      <c r="Z28" s="208"/>
      <c r="AA28" s="190"/>
      <c r="AB28" s="190"/>
      <c r="AC28" s="190"/>
      <c r="AY28" s="208"/>
      <c r="AZ28" s="208"/>
      <c r="BA28" s="208"/>
      <c r="BB28" s="208"/>
      <c r="BC28" s="208"/>
      <c r="BD28" s="208"/>
      <c r="BE28" s="208"/>
      <c r="BF28" s="208"/>
      <c r="BG28" s="208"/>
      <c r="BH28" s="208"/>
      <c r="BI28" s="208"/>
      <c r="BJ28" s="208"/>
      <c r="BK28" s="208"/>
      <c r="BL28" s="208"/>
      <c r="BM28" s="208"/>
      <c r="BN28" s="208"/>
      <c r="BO28" s="208"/>
      <c r="BP28" s="208"/>
      <c r="BQ28" s="208"/>
      <c r="BR28" s="190"/>
      <c r="BS28" s="208"/>
      <c r="BT28" s="208"/>
      <c r="BU28" s="208"/>
      <c r="BV28" s="208"/>
      <c r="BW28" s="208"/>
      <c r="BX28" s="190"/>
      <c r="BY28" s="193"/>
    </row>
    <row r="29" spans="1:77" ht="15.6" x14ac:dyDescent="0.3">
      <c r="A29" s="645"/>
      <c r="D29" s="193"/>
      <c r="E29" s="193"/>
      <c r="F29" s="200" t="s">
        <v>364</v>
      </c>
      <c r="G29" s="164">
        <f>SUM(G15:G28)</f>
        <v>0</v>
      </c>
      <c r="H29" s="200"/>
      <c r="I29" s="79"/>
      <c r="J29" s="207"/>
      <c r="K29" s="79"/>
      <c r="N29" s="208"/>
      <c r="Q29" s="208"/>
      <c r="R29" s="208"/>
      <c r="S29" s="190"/>
      <c r="T29" s="190"/>
      <c r="W29" s="208"/>
      <c r="X29" s="208"/>
      <c r="Y29" s="208"/>
      <c r="Z29" s="208"/>
      <c r="AA29" s="190"/>
      <c r="AB29" s="190"/>
      <c r="AC29" s="190"/>
      <c r="AY29" s="208"/>
      <c r="AZ29" s="208"/>
      <c r="BA29" s="208"/>
      <c r="BB29" s="208"/>
      <c r="BC29" s="208"/>
      <c r="BD29" s="208"/>
      <c r="BE29" s="208"/>
      <c r="BF29" s="208"/>
      <c r="BG29" s="208"/>
      <c r="BH29" s="208"/>
      <c r="BI29" s="208"/>
      <c r="BJ29" s="208"/>
      <c r="BK29" s="208"/>
      <c r="BL29" s="208"/>
      <c r="BM29" s="208"/>
      <c r="BN29" s="208"/>
      <c r="BO29" s="208"/>
      <c r="BP29" s="208"/>
      <c r="BQ29" s="208"/>
      <c r="BR29" s="190"/>
      <c r="BS29" s="208"/>
      <c r="BT29" s="208"/>
      <c r="BU29" s="208"/>
      <c r="BV29" s="208"/>
      <c r="BW29" s="208"/>
      <c r="BX29" s="190"/>
      <c r="BY29" s="193"/>
    </row>
    <row r="30" spans="1:77" ht="15.6" x14ac:dyDescent="0.3">
      <c r="A30" s="645"/>
      <c r="D30" s="193"/>
      <c r="E30" s="193"/>
      <c r="F30" s="200"/>
      <c r="G30" s="85"/>
      <c r="H30" s="200"/>
      <c r="I30" s="79"/>
      <c r="J30" s="207"/>
      <c r="K30" s="79"/>
      <c r="N30" s="208"/>
      <c r="Q30" s="208"/>
      <c r="R30" s="208"/>
      <c r="S30" s="190"/>
      <c r="T30" s="190"/>
      <c r="W30" s="208"/>
      <c r="X30" s="208"/>
      <c r="Y30" s="208"/>
      <c r="Z30" s="208"/>
      <c r="AA30" s="190"/>
      <c r="AB30" s="190"/>
      <c r="AC30" s="190"/>
      <c r="AY30" s="208"/>
      <c r="AZ30" s="208"/>
      <c r="BA30" s="208"/>
      <c r="BB30" s="208"/>
      <c r="BC30" s="208"/>
      <c r="BD30" s="208"/>
      <c r="BE30" s="208"/>
      <c r="BF30" s="208"/>
      <c r="BG30" s="208"/>
      <c r="BH30" s="208"/>
      <c r="BI30" s="208"/>
      <c r="BJ30" s="208"/>
      <c r="BK30" s="208"/>
      <c r="BL30" s="208"/>
      <c r="BM30" s="208"/>
      <c r="BN30" s="208"/>
      <c r="BO30" s="208"/>
      <c r="BP30" s="208"/>
      <c r="BQ30" s="208"/>
      <c r="BR30" s="190"/>
      <c r="BS30" s="208"/>
      <c r="BT30" s="208"/>
      <c r="BU30" s="208"/>
      <c r="BV30" s="208"/>
      <c r="BW30" s="208"/>
      <c r="BX30" s="190"/>
      <c r="BY30" s="193"/>
    </row>
    <row r="31" spans="1:77" ht="15.6" x14ac:dyDescent="0.3">
      <c r="A31" s="645">
        <v>15</v>
      </c>
      <c r="D31" s="193"/>
      <c r="E31" s="193"/>
      <c r="F31" s="55" t="s">
        <v>305</v>
      </c>
      <c r="G31" s="164">
        <f>ROUND(H27,0)</f>
        <v>0</v>
      </c>
      <c r="H31" s="200"/>
      <c r="I31" s="79"/>
      <c r="J31" s="207"/>
      <c r="K31" s="79"/>
      <c r="N31" s="208"/>
      <c r="Q31" s="208"/>
      <c r="R31" s="208"/>
      <c r="S31" s="190"/>
      <c r="T31" s="190"/>
      <c r="W31" s="208"/>
      <c r="X31" s="208"/>
      <c r="Y31" s="208"/>
      <c r="Z31" s="208"/>
      <c r="AA31" s="190"/>
      <c r="AB31" s="190"/>
      <c r="AC31" s="190"/>
      <c r="AY31" s="208"/>
      <c r="AZ31" s="208"/>
      <c r="BA31" s="208"/>
      <c r="BB31" s="208"/>
      <c r="BC31" s="208"/>
      <c r="BD31" s="208"/>
      <c r="BE31" s="208"/>
      <c r="BF31" s="208"/>
      <c r="BG31" s="208"/>
      <c r="BH31" s="208"/>
      <c r="BI31" s="208"/>
      <c r="BJ31" s="208"/>
      <c r="BK31" s="208"/>
      <c r="BL31" s="208"/>
      <c r="BM31" s="208"/>
      <c r="BN31" s="208"/>
      <c r="BO31" s="208"/>
      <c r="BP31" s="208"/>
      <c r="BQ31" s="208"/>
      <c r="BR31" s="190"/>
      <c r="BS31" s="208"/>
      <c r="BT31" s="208"/>
      <c r="BU31" s="208"/>
      <c r="BV31" s="208"/>
      <c r="BW31" s="208"/>
      <c r="BX31" s="190"/>
      <c r="BY31" s="193"/>
    </row>
    <row r="32" spans="1:77" ht="15.6" x14ac:dyDescent="0.3">
      <c r="A32" s="645"/>
      <c r="D32" s="193"/>
      <c r="E32" s="193"/>
      <c r="F32" s="200"/>
      <c r="H32" s="200"/>
      <c r="I32" s="79"/>
      <c r="J32" s="207"/>
      <c r="K32" s="79"/>
      <c r="N32" s="208"/>
      <c r="Q32" s="208"/>
      <c r="R32" s="208"/>
      <c r="S32" s="190"/>
      <c r="T32" s="190"/>
      <c r="W32" s="208"/>
      <c r="X32" s="208"/>
      <c r="Y32" s="208"/>
      <c r="Z32" s="208"/>
      <c r="AA32" s="190"/>
      <c r="AB32" s="190"/>
      <c r="AC32" s="190"/>
      <c r="AY32" s="208"/>
      <c r="AZ32" s="208"/>
      <c r="BA32" s="208"/>
      <c r="BB32" s="208"/>
      <c r="BC32" s="208"/>
      <c r="BD32" s="208"/>
      <c r="BE32" s="208"/>
      <c r="BF32" s="208"/>
      <c r="BG32" s="208"/>
      <c r="BH32" s="208"/>
      <c r="BI32" s="208"/>
      <c r="BJ32" s="208"/>
      <c r="BK32" s="208"/>
      <c r="BL32" s="208"/>
      <c r="BM32" s="208"/>
      <c r="BN32" s="208"/>
      <c r="BO32" s="208"/>
      <c r="BP32" s="208"/>
      <c r="BQ32" s="208"/>
      <c r="BR32" s="190"/>
      <c r="BS32" s="208"/>
      <c r="BT32" s="208"/>
      <c r="BU32" s="208"/>
      <c r="BV32" s="208"/>
      <c r="BW32" s="208"/>
      <c r="BX32" s="190"/>
      <c r="BY32" s="193"/>
    </row>
    <row r="33" spans="1:77" ht="15.6" x14ac:dyDescent="0.3">
      <c r="A33" s="645"/>
      <c r="D33" s="202"/>
      <c r="E33" s="202"/>
      <c r="F33" s="204"/>
      <c r="G33" s="200"/>
      <c r="H33" s="193"/>
      <c r="I33" s="79"/>
      <c r="J33" s="207"/>
      <c r="K33" s="79"/>
      <c r="N33" s="208"/>
      <c r="Q33" s="208"/>
      <c r="R33" s="208"/>
      <c r="S33" s="190"/>
      <c r="T33" s="190"/>
      <c r="W33" s="208"/>
      <c r="X33" s="208"/>
      <c r="Y33" s="208"/>
      <c r="Z33" s="208"/>
      <c r="AA33" s="190"/>
      <c r="AB33" s="190"/>
      <c r="AC33" s="190"/>
      <c r="AY33" s="208"/>
      <c r="AZ33" s="208"/>
      <c r="BA33" s="208"/>
      <c r="BB33" s="208"/>
      <c r="BC33" s="208"/>
      <c r="BD33" s="208"/>
      <c r="BE33" s="208"/>
      <c r="BF33" s="208"/>
      <c r="BG33" s="208"/>
      <c r="BH33" s="208"/>
      <c r="BI33" s="208"/>
      <c r="BJ33" s="208"/>
      <c r="BK33" s="208"/>
      <c r="BL33" s="208"/>
      <c r="BM33" s="208"/>
      <c r="BN33" s="208"/>
      <c r="BO33" s="208"/>
      <c r="BP33" s="208"/>
      <c r="BQ33" s="208"/>
      <c r="BR33" s="190"/>
      <c r="BS33" s="208"/>
      <c r="BT33" s="208"/>
      <c r="BU33" s="208"/>
      <c r="BV33" s="208"/>
      <c r="BW33" s="208"/>
      <c r="BX33" s="190"/>
      <c r="BY33" s="193"/>
    </row>
    <row r="34" spans="1:77" ht="15.6" x14ac:dyDescent="0.3">
      <c r="D34" s="202"/>
      <c r="E34" s="202"/>
      <c r="H34" s="3"/>
      <c r="I34" s="79"/>
      <c r="J34" s="79"/>
      <c r="K34" s="79"/>
      <c r="L34" s="79"/>
      <c r="M34" s="79"/>
      <c r="N34" s="79"/>
      <c r="O34" s="79"/>
      <c r="BR34" s="80"/>
    </row>
    <row r="35" spans="1:77" ht="17.25" customHeight="1" x14ac:dyDescent="0.4">
      <c r="I35" s="79"/>
      <c r="J35" s="207"/>
      <c r="K35" s="79"/>
      <c r="N35" s="208"/>
      <c r="Q35" s="208"/>
      <c r="R35" s="208"/>
      <c r="S35" s="190"/>
      <c r="T35" s="190"/>
      <c r="W35" s="208"/>
      <c r="X35" s="208"/>
      <c r="Y35" s="208"/>
      <c r="Z35" s="208"/>
      <c r="AA35" s="190"/>
      <c r="AB35" s="190"/>
      <c r="AC35" s="190"/>
      <c r="AY35" s="208"/>
      <c r="AZ35" s="208"/>
      <c r="BA35" s="208"/>
      <c r="BB35" s="208"/>
      <c r="BC35" s="208"/>
      <c r="BD35" s="208"/>
      <c r="BE35" s="208"/>
      <c r="BF35" s="208"/>
      <c r="BG35" s="208"/>
      <c r="BH35" s="208"/>
      <c r="BI35" s="208"/>
      <c r="BJ35" s="208"/>
      <c r="BK35" s="208"/>
      <c r="BL35" s="208"/>
      <c r="BM35" s="208"/>
      <c r="BN35" s="208"/>
      <c r="BO35" s="208"/>
      <c r="BP35" s="208"/>
      <c r="BQ35" s="208"/>
      <c r="BR35" s="190"/>
      <c r="BS35" s="208"/>
      <c r="BT35" s="208"/>
      <c r="BU35" s="208"/>
      <c r="BV35" s="208"/>
      <c r="BW35" s="208"/>
      <c r="BX35" s="190"/>
      <c r="BY35" s="193">
        <v>-68418.687050000095</v>
      </c>
    </row>
    <row r="43" spans="1:77" x14ac:dyDescent="0.4">
      <c r="H43" s="209"/>
    </row>
  </sheetData>
  <mergeCells count="3">
    <mergeCell ref="B2:H2"/>
    <mergeCell ref="B3:H3"/>
    <mergeCell ref="B4:H4"/>
  </mergeCells>
  <pageMargins left="0.7" right="0.7" top="0.75" bottom="1" header="0.3" footer="0.3"/>
  <pageSetup scale="69" orientation="portrait" r:id="rId1"/>
  <headerFooter>
    <oddFooter>&amp;R&amp;"Times New Roman,Bold"Exhibit D-1
Page 2 of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O213"/>
  <sheetViews>
    <sheetView topLeftCell="A181" zoomScale="85" zoomScaleNormal="85" workbookViewId="0">
      <selection activeCell="B13" sqref="B13"/>
    </sheetView>
  </sheetViews>
  <sheetFormatPr defaultColWidth="8.90625" defaultRowHeight="15.6" x14ac:dyDescent="0.3"/>
  <cols>
    <col min="1" max="1" width="5.453125" style="6" customWidth="1"/>
    <col min="2" max="2" width="63.81640625" style="6" customWidth="1"/>
    <col min="3" max="3" width="17.54296875" style="6" customWidth="1"/>
    <col min="4" max="6" width="17.6328125" style="6" customWidth="1"/>
    <col min="7" max="7" width="4.36328125" style="6" customWidth="1"/>
    <col min="8" max="8" width="12.08984375" style="325" customWidth="1"/>
    <col min="9" max="16384" width="8.90625" style="6"/>
  </cols>
  <sheetData>
    <row r="1" spans="2:15" x14ac:dyDescent="0.3">
      <c r="B1" s="681" t="s">
        <v>800</v>
      </c>
    </row>
    <row r="2" spans="2:15" x14ac:dyDescent="0.3">
      <c r="D2"/>
      <c r="E2"/>
      <c r="F2"/>
      <c r="G2"/>
    </row>
    <row r="3" spans="2:15" x14ac:dyDescent="0.3">
      <c r="B3" s="78" t="s">
        <v>325</v>
      </c>
      <c r="C3" s="78" t="s">
        <v>368</v>
      </c>
      <c r="D3" s="78" t="s">
        <v>369</v>
      </c>
      <c r="E3"/>
      <c r="F3"/>
      <c r="G3"/>
      <c r="I3"/>
    </row>
    <row r="4" spans="2:15" x14ac:dyDescent="0.3">
      <c r="B4" s="3" t="s">
        <v>347</v>
      </c>
      <c r="C4" s="90">
        <v>44317</v>
      </c>
      <c r="D4" s="682" t="s">
        <v>786</v>
      </c>
      <c r="E4"/>
      <c r="F4"/>
      <c r="G4"/>
      <c r="I4"/>
    </row>
    <row r="5" spans="2:15" x14ac:dyDescent="0.3">
      <c r="B5" s="3" t="s">
        <v>348</v>
      </c>
      <c r="C5" s="683">
        <f>EOMONTH(C4,2)</f>
        <v>44408</v>
      </c>
      <c r="D5" s="682" t="s">
        <v>804</v>
      </c>
      <c r="E5"/>
      <c r="F5"/>
      <c r="G5"/>
      <c r="I5"/>
      <c r="O5" s="7"/>
    </row>
    <row r="6" spans="2:15" x14ac:dyDescent="0.3">
      <c r="B6" s="13" t="s">
        <v>248</v>
      </c>
      <c r="C6" s="683">
        <f>EDATE(C4,-15)</f>
        <v>43862</v>
      </c>
      <c r="D6" s="3"/>
      <c r="E6"/>
      <c r="F6"/>
      <c r="G6"/>
    </row>
    <row r="7" spans="2:15" x14ac:dyDescent="0.3">
      <c r="B7" s="13" t="s">
        <v>271</v>
      </c>
      <c r="C7" s="683">
        <f>EDATE(C4,-6)</f>
        <v>44136</v>
      </c>
      <c r="D7" s="3"/>
      <c r="E7"/>
      <c r="F7"/>
      <c r="G7"/>
    </row>
    <row r="8" spans="2:15" x14ac:dyDescent="0.3">
      <c r="B8" s="3" t="s">
        <v>278</v>
      </c>
      <c r="C8" s="683">
        <f>C6</f>
        <v>43862</v>
      </c>
      <c r="D8" s="3"/>
      <c r="E8"/>
      <c r="F8"/>
      <c r="G8"/>
    </row>
    <row r="9" spans="2:15" x14ac:dyDescent="0.3">
      <c r="B9" s="3" t="s">
        <v>204</v>
      </c>
      <c r="C9" s="89">
        <v>24</v>
      </c>
      <c r="H9" s="341"/>
    </row>
    <row r="10" spans="2:15" x14ac:dyDescent="0.3">
      <c r="B10" s="3" t="s">
        <v>205</v>
      </c>
      <c r="C10" s="692">
        <v>44228</v>
      </c>
      <c r="D10" s="682" t="s">
        <v>780</v>
      </c>
      <c r="H10" s="341"/>
    </row>
    <row r="11" spans="2:15" x14ac:dyDescent="0.3">
      <c r="B11" s="3" t="s">
        <v>353</v>
      </c>
      <c r="C11" s="684">
        <f>EDATE(C10,-12)</f>
        <v>43862</v>
      </c>
      <c r="D11" s="682" t="s">
        <v>641</v>
      </c>
      <c r="H11" s="341"/>
    </row>
    <row r="12" spans="2:15" x14ac:dyDescent="0.3">
      <c r="B12" s="3" t="s">
        <v>127</v>
      </c>
      <c r="C12" s="691" t="s">
        <v>810</v>
      </c>
      <c r="H12" s="341"/>
    </row>
    <row r="13" spans="2:15" x14ac:dyDescent="0.3">
      <c r="B13" s="3" t="s">
        <v>683</v>
      </c>
      <c r="C13" s="691" t="s">
        <v>801</v>
      </c>
      <c r="H13" s="341"/>
    </row>
    <row r="14" spans="2:15" x14ac:dyDescent="0.3">
      <c r="B14" s="3" t="s">
        <v>554</v>
      </c>
      <c r="C14" s="691" t="s">
        <v>801</v>
      </c>
      <c r="H14" s="341"/>
    </row>
    <row r="15" spans="2:15" x14ac:dyDescent="0.3">
      <c r="B15" s="6" t="s">
        <v>349</v>
      </c>
      <c r="C15" s="116">
        <v>2.4676999999999998</v>
      </c>
      <c r="H15" s="341"/>
    </row>
    <row r="16" spans="2:15" x14ac:dyDescent="0.3">
      <c r="B16" s="3" t="s">
        <v>393</v>
      </c>
      <c r="C16" s="105">
        <v>3010000</v>
      </c>
      <c r="H16" s="341"/>
    </row>
    <row r="17" spans="1:12" x14ac:dyDescent="0.3">
      <c r="B17" s="3" t="s">
        <v>628</v>
      </c>
      <c r="C17" s="3">
        <v>1.0649999999999999</v>
      </c>
      <c r="D17" s="3"/>
      <c r="H17" s="254"/>
    </row>
    <row r="18" spans="1:12" x14ac:dyDescent="0.3">
      <c r="B18" s="376" t="s">
        <v>629</v>
      </c>
      <c r="C18" s="3">
        <f>1-0.0236</f>
        <v>0.97640000000000005</v>
      </c>
      <c r="D18" s="88"/>
      <c r="H18" s="254"/>
    </row>
    <row r="19" spans="1:12" x14ac:dyDescent="0.3">
      <c r="C19" s="495"/>
      <c r="D19" s="3"/>
      <c r="E19" s="3"/>
      <c r="F19" s="3"/>
      <c r="G19" s="3"/>
      <c r="H19" s="254"/>
    </row>
    <row r="20" spans="1:12" x14ac:dyDescent="0.3">
      <c r="A20" s="614"/>
      <c r="B20" s="614"/>
      <c r="C20" s="614"/>
      <c r="D20" s="614"/>
      <c r="E20" s="614"/>
      <c r="F20" s="614"/>
      <c r="G20" s="614"/>
      <c r="H20" s="615"/>
      <c r="I20" s="614"/>
      <c r="J20" s="614"/>
      <c r="K20" s="614"/>
      <c r="L20" s="614"/>
    </row>
    <row r="21" spans="1:12" x14ac:dyDescent="0.3">
      <c r="B21" s="3"/>
      <c r="C21" s="3"/>
      <c r="D21" s="3"/>
      <c r="E21" s="3"/>
      <c r="F21" s="3"/>
      <c r="G21" s="3"/>
      <c r="H21" s="254"/>
    </row>
    <row r="22" spans="1:12" ht="17.399999999999999" x14ac:dyDescent="0.3">
      <c r="A22" s="617" t="s">
        <v>698</v>
      </c>
    </row>
    <row r="23" spans="1:12" x14ac:dyDescent="0.3">
      <c r="B23" s="597" t="s">
        <v>78</v>
      </c>
      <c r="C23" s="687">
        <f>C4</f>
        <v>44317</v>
      </c>
      <c r="D23" s="687">
        <f>EDATE(C23,1)</f>
        <v>44348</v>
      </c>
      <c r="E23" s="687">
        <f>EDATE(D23,1)</f>
        <v>44378</v>
      </c>
      <c r="F23" s="129"/>
      <c r="G23" s="129"/>
    </row>
    <row r="24" spans="1:12" x14ac:dyDescent="0.3">
      <c r="B24" s="6" t="s">
        <v>550</v>
      </c>
      <c r="C24" s="105">
        <v>941398</v>
      </c>
      <c r="D24" s="105">
        <v>901986</v>
      </c>
      <c r="E24" s="105">
        <v>1107992</v>
      </c>
      <c r="F24" s="105"/>
    </row>
    <row r="25" spans="1:12" x14ac:dyDescent="0.3">
      <c r="B25" s="6" t="s">
        <v>552</v>
      </c>
      <c r="C25" s="105">
        <v>746400</v>
      </c>
      <c r="D25" s="105">
        <v>1799800</v>
      </c>
      <c r="E25" s="105">
        <v>1859800</v>
      </c>
      <c r="F25" s="105"/>
    </row>
    <row r="26" spans="1:12" x14ac:dyDescent="0.3">
      <c r="B26" s="6" t="s">
        <v>558</v>
      </c>
      <c r="C26" s="105">
        <v>0</v>
      </c>
      <c r="D26" s="105">
        <v>0</v>
      </c>
      <c r="E26" s="105">
        <v>620000</v>
      </c>
      <c r="F26" s="105"/>
    </row>
    <row r="27" spans="1:12" x14ac:dyDescent="0.3">
      <c r="C27" s="105"/>
      <c r="D27" s="105"/>
      <c r="E27" s="105"/>
      <c r="F27" s="105"/>
    </row>
    <row r="28" spans="1:12" x14ac:dyDescent="0.3">
      <c r="B28" s="607" t="s">
        <v>33</v>
      </c>
      <c r="C28" s="105">
        <v>0</v>
      </c>
      <c r="D28" s="105">
        <v>0</v>
      </c>
      <c r="E28" s="105">
        <v>0</v>
      </c>
      <c r="F28" s="105"/>
    </row>
    <row r="29" spans="1:12" x14ac:dyDescent="0.3">
      <c r="B29" s="607" t="s">
        <v>34</v>
      </c>
      <c r="C29" s="105">
        <v>732400</v>
      </c>
      <c r="D29" s="105">
        <v>347700</v>
      </c>
      <c r="E29" s="105">
        <v>0</v>
      </c>
      <c r="F29" s="105"/>
    </row>
    <row r="30" spans="1:12" x14ac:dyDescent="0.3">
      <c r="C30" s="105"/>
      <c r="D30" s="105"/>
      <c r="E30" s="105"/>
      <c r="F30" s="105"/>
    </row>
    <row r="31" spans="1:12" x14ac:dyDescent="0.3">
      <c r="B31" s="6" t="s">
        <v>551</v>
      </c>
      <c r="C31" s="573">
        <v>2.4780000000000002</v>
      </c>
      <c r="D31" s="573">
        <v>2.5365000000000002</v>
      </c>
      <c r="E31" s="573">
        <v>2.5950000000000002</v>
      </c>
      <c r="F31" s="573"/>
    </row>
    <row r="32" spans="1:12" x14ac:dyDescent="0.3">
      <c r="B32" s="6" t="s">
        <v>553</v>
      </c>
      <c r="C32" s="573">
        <v>2.4304999999999999</v>
      </c>
      <c r="D32" s="573">
        <v>2.4887000000000001</v>
      </c>
      <c r="E32" s="573">
        <v>2.5468999999999999</v>
      </c>
      <c r="F32" s="573"/>
    </row>
    <row r="33" spans="1:12" x14ac:dyDescent="0.3">
      <c r="B33" s="6" t="s">
        <v>586</v>
      </c>
      <c r="C33" s="573">
        <v>2.4899</v>
      </c>
      <c r="D33" s="573">
        <v>2.5478999999999998</v>
      </c>
      <c r="E33" s="573">
        <v>2.6059000000000001</v>
      </c>
      <c r="F33" s="573"/>
    </row>
    <row r="35" spans="1:12" x14ac:dyDescent="0.3">
      <c r="A35" s="614"/>
      <c r="B35" s="614"/>
      <c r="C35" s="614"/>
      <c r="D35" s="614"/>
      <c r="E35" s="614"/>
      <c r="F35" s="614"/>
      <c r="G35" s="614"/>
      <c r="H35" s="615"/>
      <c r="I35" s="614"/>
      <c r="J35" s="614"/>
      <c r="K35" s="614"/>
      <c r="L35" s="614"/>
    </row>
    <row r="37" spans="1:12" ht="17.399999999999999" x14ac:dyDescent="0.3">
      <c r="A37" s="618" t="s">
        <v>699</v>
      </c>
    </row>
    <row r="38" spans="1:12" ht="31.2" x14ac:dyDescent="0.3">
      <c r="C38" s="609" t="s">
        <v>253</v>
      </c>
    </row>
    <row r="39" spans="1:12" x14ac:dyDescent="0.3">
      <c r="B39" s="346" t="s">
        <v>255</v>
      </c>
      <c r="C39" s="3">
        <v>12.7104</v>
      </c>
    </row>
    <row r="40" spans="1:12" x14ac:dyDescent="0.3">
      <c r="B40" s="346" t="s">
        <v>570</v>
      </c>
      <c r="C40" s="3">
        <v>4.1792999999999996</v>
      </c>
    </row>
    <row r="41" spans="1:12" x14ac:dyDescent="0.3">
      <c r="B41" s="346" t="s">
        <v>381</v>
      </c>
      <c r="C41" s="3">
        <v>5.0601000000000003</v>
      </c>
    </row>
    <row r="42" spans="1:12" x14ac:dyDescent="0.3">
      <c r="B42" s="346"/>
    </row>
    <row r="43" spans="1:12" x14ac:dyDescent="0.3">
      <c r="B43" s="346"/>
      <c r="C43" s="610" t="s">
        <v>31</v>
      </c>
    </row>
    <row r="44" spans="1:12" x14ac:dyDescent="0.3">
      <c r="B44" s="346" t="s">
        <v>255</v>
      </c>
      <c r="C44" s="105">
        <v>119913</v>
      </c>
    </row>
    <row r="45" spans="1:12" x14ac:dyDescent="0.3">
      <c r="B45" s="346" t="s">
        <v>570</v>
      </c>
      <c r="C45" s="105">
        <v>60000</v>
      </c>
    </row>
    <row r="46" spans="1:12" x14ac:dyDescent="0.3">
      <c r="B46" s="346" t="s">
        <v>381</v>
      </c>
      <c r="C46" s="105">
        <v>20000</v>
      </c>
    </row>
    <row r="47" spans="1:12" x14ac:dyDescent="0.3">
      <c r="B47" s="346"/>
    </row>
    <row r="48" spans="1:12" x14ac:dyDescent="0.3">
      <c r="B48" s="346"/>
      <c r="C48" s="611" t="s">
        <v>251</v>
      </c>
    </row>
    <row r="49" spans="1:12" x14ac:dyDescent="0.3">
      <c r="B49" s="608" t="s">
        <v>58</v>
      </c>
      <c r="C49" s="105">
        <v>6366942</v>
      </c>
    </row>
    <row r="52" spans="1:12" x14ac:dyDescent="0.3">
      <c r="B52" s="616" t="s">
        <v>684</v>
      </c>
      <c r="C52" s="616"/>
      <c r="D52" s="616"/>
    </row>
    <row r="53" spans="1:12" x14ac:dyDescent="0.3">
      <c r="B53" s="372" t="s">
        <v>452</v>
      </c>
      <c r="C53" s="655">
        <v>306513</v>
      </c>
    </row>
    <row r="54" spans="1:12" x14ac:dyDescent="0.3">
      <c r="B54" s="372" t="s">
        <v>453</v>
      </c>
      <c r="C54" s="655">
        <v>148682</v>
      </c>
    </row>
    <row r="55" spans="1:12" x14ac:dyDescent="0.3">
      <c r="B55" s="372" t="s">
        <v>454</v>
      </c>
      <c r="C55" s="655">
        <v>18559</v>
      </c>
    </row>
    <row r="56" spans="1:12" x14ac:dyDescent="0.3">
      <c r="B56" s="372" t="s">
        <v>593</v>
      </c>
      <c r="C56" s="655">
        <v>898</v>
      </c>
    </row>
    <row r="58" spans="1:12" x14ac:dyDescent="0.3">
      <c r="A58" s="614"/>
      <c r="B58" s="614"/>
      <c r="C58" s="614"/>
      <c r="D58" s="614"/>
      <c r="E58" s="614"/>
      <c r="F58" s="614"/>
      <c r="G58" s="614"/>
      <c r="H58" s="615"/>
      <c r="I58" s="614"/>
      <c r="J58" s="614"/>
      <c r="K58" s="614"/>
      <c r="L58" s="614"/>
    </row>
    <row r="59" spans="1:12" s="3" customFormat="1" x14ac:dyDescent="0.3">
      <c r="H59" s="254"/>
    </row>
    <row r="60" spans="1:12" ht="17.399999999999999" x14ac:dyDescent="0.3">
      <c r="A60" s="618" t="s">
        <v>701</v>
      </c>
    </row>
    <row r="61" spans="1:12" x14ac:dyDescent="0.3">
      <c r="C61" s="129"/>
      <c r="D61" s="129"/>
      <c r="E61" s="129"/>
      <c r="F61" s="129"/>
      <c r="G61" s="129"/>
    </row>
    <row r="62" spans="1:12" x14ac:dyDescent="0.3">
      <c r="B62" s="333" t="s">
        <v>700</v>
      </c>
    </row>
    <row r="64" spans="1:12" customFormat="1" x14ac:dyDescent="0.3">
      <c r="A64" s="6" t="s">
        <v>739</v>
      </c>
    </row>
    <row r="65" spans="1:12" customFormat="1" x14ac:dyDescent="0.3">
      <c r="A65" s="6"/>
      <c r="B65" s="602" t="s">
        <v>805</v>
      </c>
      <c r="H65" s="325"/>
    </row>
    <row r="66" spans="1:12" customFormat="1" x14ac:dyDescent="0.3">
      <c r="A66" s="6"/>
      <c r="B66" s="602" t="s">
        <v>806</v>
      </c>
      <c r="H66" s="325"/>
    </row>
    <row r="67" spans="1:12" x14ac:dyDescent="0.3">
      <c r="B67" s="6" t="s">
        <v>640</v>
      </c>
    </row>
    <row r="68" spans="1:12" x14ac:dyDescent="0.3">
      <c r="B68" s="602" t="s">
        <v>807</v>
      </c>
    </row>
    <row r="69" spans="1:12" x14ac:dyDescent="0.3">
      <c r="B69" s="686" t="str">
        <f>IF('Exhibit B Write-Up'!D11&gt;0, "as a debit", "as a credit")</f>
        <v>as a credit</v>
      </c>
    </row>
    <row r="70" spans="1:12" x14ac:dyDescent="0.3">
      <c r="A70" s="614"/>
      <c r="B70" s="614"/>
      <c r="C70" s="614"/>
      <c r="D70" s="614"/>
      <c r="E70" s="614"/>
      <c r="F70" s="614"/>
      <c r="G70" s="614"/>
      <c r="H70" s="615"/>
      <c r="I70" s="614"/>
      <c r="J70" s="614"/>
      <c r="K70" s="614"/>
      <c r="L70" s="614"/>
    </row>
    <row r="72" spans="1:12" ht="17.399999999999999" x14ac:dyDescent="0.3">
      <c r="A72" s="618" t="s">
        <v>702</v>
      </c>
    </row>
    <row r="73" spans="1:12" x14ac:dyDescent="0.3">
      <c r="C73" s="687">
        <f>C79</f>
        <v>44136</v>
      </c>
      <c r="D73" s="687">
        <f t="shared" ref="D73:E73" si="0">D79</f>
        <v>44166</v>
      </c>
      <c r="E73" s="687">
        <f t="shared" si="0"/>
        <v>44197</v>
      </c>
      <c r="F73" s="129"/>
    </row>
    <row r="74" spans="1:12" x14ac:dyDescent="0.3">
      <c r="B74" s="6" t="s">
        <v>267</v>
      </c>
      <c r="C74" s="3">
        <v>0</v>
      </c>
      <c r="D74" s="3">
        <v>0</v>
      </c>
      <c r="E74" s="19">
        <v>1285886.7</v>
      </c>
      <c r="F74" s="3"/>
    </row>
    <row r="76" spans="1:12" x14ac:dyDescent="0.3">
      <c r="A76" s="614"/>
      <c r="B76" s="614"/>
      <c r="C76" s="614"/>
      <c r="D76" s="614"/>
      <c r="E76" s="614"/>
      <c r="F76" s="614"/>
      <c r="G76" s="614"/>
      <c r="H76" s="615"/>
      <c r="I76" s="614"/>
      <c r="J76" s="614"/>
      <c r="K76" s="614"/>
      <c r="L76" s="614"/>
    </row>
    <row r="78" spans="1:12" ht="17.399999999999999" x14ac:dyDescent="0.3">
      <c r="A78" s="618" t="s">
        <v>703</v>
      </c>
    </row>
    <row r="79" spans="1:12" x14ac:dyDescent="0.3">
      <c r="C79" s="687">
        <f>EDATE(C4,-6)</f>
        <v>44136</v>
      </c>
      <c r="D79" s="687">
        <f>EDATE(C79,1)</f>
        <v>44166</v>
      </c>
      <c r="E79" s="687">
        <f>EDATE(D79,1)</f>
        <v>44197</v>
      </c>
      <c r="F79" s="129"/>
      <c r="G79" s="129"/>
    </row>
    <row r="80" spans="1:12" x14ac:dyDescent="0.3">
      <c r="B80" s="6" t="s">
        <v>465</v>
      </c>
      <c r="C80" s="3">
        <v>0</v>
      </c>
      <c r="D80" s="3">
        <v>0</v>
      </c>
      <c r="E80" s="3">
        <v>0</v>
      </c>
      <c r="F80" s="3"/>
    </row>
    <row r="82" spans="1:12" x14ac:dyDescent="0.3">
      <c r="A82" s="614"/>
      <c r="B82" s="614"/>
      <c r="C82" s="614"/>
      <c r="D82" s="614"/>
      <c r="E82" s="614"/>
      <c r="F82" s="614"/>
      <c r="G82" s="614"/>
      <c r="H82" s="615"/>
      <c r="I82" s="614"/>
      <c r="J82" s="614"/>
      <c r="K82" s="614"/>
      <c r="L82" s="614"/>
    </row>
    <row r="84" spans="1:12" ht="17.399999999999999" x14ac:dyDescent="0.3">
      <c r="A84" s="618" t="s">
        <v>704</v>
      </c>
    </row>
    <row r="85" spans="1:12" x14ac:dyDescent="0.3">
      <c r="C85" s="129"/>
      <c r="D85" s="129"/>
      <c r="E85" s="129"/>
      <c r="F85" s="129"/>
      <c r="G85" s="129"/>
    </row>
    <row r="86" spans="1:12" x14ac:dyDescent="0.3">
      <c r="B86" s="333" t="s">
        <v>700</v>
      </c>
    </row>
    <row r="88" spans="1:12" x14ac:dyDescent="0.3">
      <c r="A88" s="614"/>
      <c r="B88" s="614"/>
      <c r="C88" s="614"/>
      <c r="D88" s="614"/>
      <c r="E88" s="614"/>
      <c r="F88" s="614"/>
      <c r="G88" s="614"/>
      <c r="H88" s="615"/>
      <c r="I88" s="614"/>
      <c r="J88" s="614"/>
      <c r="K88" s="614"/>
      <c r="L88" s="614"/>
    </row>
    <row r="90" spans="1:12" ht="17.399999999999999" x14ac:dyDescent="0.3">
      <c r="A90" s="618" t="s">
        <v>705</v>
      </c>
      <c r="C90"/>
      <c r="D90"/>
      <c r="E90"/>
      <c r="F90"/>
      <c r="G90"/>
      <c r="H90" s="6"/>
      <c r="I90"/>
    </row>
    <row r="91" spans="1:12" x14ac:dyDescent="0.3">
      <c r="B91" s="597" t="s">
        <v>11</v>
      </c>
      <c r="C91" s="685">
        <f>EDATE(C4,-6)</f>
        <v>44136</v>
      </c>
      <c r="D91" s="685">
        <f>EDATE(C91,1)</f>
        <v>44166</v>
      </c>
      <c r="E91" s="685">
        <f>EDATE(D91,1)</f>
        <v>44197</v>
      </c>
      <c r="F91" s="129"/>
      <c r="G91"/>
      <c r="H91" s="6"/>
      <c r="I91"/>
    </row>
    <row r="92" spans="1:12" x14ac:dyDescent="0.3">
      <c r="B92" s="667" t="s">
        <v>685</v>
      </c>
      <c r="C92" s="129"/>
      <c r="D92" s="129"/>
      <c r="E92" s="129"/>
      <c r="F92" s="129"/>
      <c r="G92"/>
      <c r="H92" s="6"/>
      <c r="I92"/>
    </row>
    <row r="93" spans="1:12" x14ac:dyDescent="0.3">
      <c r="B93" s="6" t="s">
        <v>789</v>
      </c>
      <c r="C93" s="613">
        <v>2571268</v>
      </c>
      <c r="D93" s="613">
        <v>3169549</v>
      </c>
      <c r="E93" s="613">
        <v>2695948</v>
      </c>
      <c r="F93" s="613"/>
      <c r="G93"/>
      <c r="I93"/>
    </row>
    <row r="94" spans="1:12" x14ac:dyDescent="0.3">
      <c r="B94" s="6" t="s">
        <v>788</v>
      </c>
      <c r="C94" s="613">
        <v>449844</v>
      </c>
      <c r="D94" s="613">
        <v>689142</v>
      </c>
      <c r="E94" s="613">
        <v>540720</v>
      </c>
      <c r="F94" s="613"/>
      <c r="G94"/>
      <c r="I94"/>
    </row>
    <row r="95" spans="1:12" x14ac:dyDescent="0.3">
      <c r="B95" s="6" t="s">
        <v>790</v>
      </c>
      <c r="C95" s="613">
        <v>158934</v>
      </c>
      <c r="D95" s="613">
        <v>126335</v>
      </c>
      <c r="E95" s="613">
        <v>80802</v>
      </c>
      <c r="F95" s="613"/>
      <c r="G95"/>
      <c r="I95"/>
    </row>
    <row r="96" spans="1:12" x14ac:dyDescent="0.3">
      <c r="B96" s="598" t="s">
        <v>796</v>
      </c>
      <c r="C96" s="673">
        <f>C93+C94-C95</f>
        <v>2862178</v>
      </c>
      <c r="D96" s="673">
        <f t="shared" ref="D96:E96" si="1">D93+D94-D95</f>
        <v>3732356</v>
      </c>
      <c r="E96" s="673">
        <f t="shared" si="1"/>
        <v>3155866</v>
      </c>
      <c r="F96" s="690"/>
      <c r="G96"/>
      <c r="I96"/>
    </row>
    <row r="97" spans="2:11" x14ac:dyDescent="0.3">
      <c r="B97" s="598" t="s">
        <v>686</v>
      </c>
      <c r="C97" s="105">
        <v>0</v>
      </c>
      <c r="D97" s="105">
        <v>0</v>
      </c>
      <c r="E97" s="105">
        <v>476047</v>
      </c>
      <c r="F97" s="105"/>
      <c r="G97"/>
      <c r="I97"/>
    </row>
    <row r="98" spans="2:11" x14ac:dyDescent="0.3">
      <c r="B98" s="667" t="s">
        <v>687</v>
      </c>
      <c r="C98" s="105"/>
      <c r="D98" s="105"/>
      <c r="E98" s="105"/>
      <c r="F98" s="105"/>
      <c r="G98"/>
      <c r="I98"/>
    </row>
    <row r="99" spans="2:11" x14ac:dyDescent="0.3">
      <c r="B99" s="6" t="s">
        <v>793</v>
      </c>
      <c r="C99" s="105">
        <v>1924</v>
      </c>
      <c r="D99" s="105">
        <v>1114</v>
      </c>
      <c r="E99" s="105">
        <v>594</v>
      </c>
      <c r="F99" s="105"/>
      <c r="G99"/>
      <c r="I99"/>
    </row>
    <row r="100" spans="2:11" x14ac:dyDescent="0.3">
      <c r="B100" s="6" t="s">
        <v>791</v>
      </c>
      <c r="C100" s="105">
        <v>0</v>
      </c>
      <c r="D100" s="105">
        <v>0</v>
      </c>
      <c r="E100" s="105">
        <v>0</v>
      </c>
      <c r="F100" s="105"/>
      <c r="G100"/>
      <c r="I100"/>
    </row>
    <row r="101" spans="2:11" x14ac:dyDescent="0.3">
      <c r="B101" s="6" t="s">
        <v>792</v>
      </c>
      <c r="C101" s="105">
        <v>0</v>
      </c>
      <c r="D101" s="105">
        <v>0</v>
      </c>
      <c r="E101" s="105">
        <v>0</v>
      </c>
      <c r="F101" s="105"/>
      <c r="G101"/>
      <c r="I101"/>
    </row>
    <row r="102" spans="2:11" x14ac:dyDescent="0.3">
      <c r="B102" s="6" t="s">
        <v>794</v>
      </c>
      <c r="C102" s="105">
        <v>1131</v>
      </c>
      <c r="D102" s="105">
        <v>2325</v>
      </c>
      <c r="E102" s="105">
        <v>4178</v>
      </c>
      <c r="F102" s="105"/>
      <c r="G102"/>
      <c r="I102"/>
    </row>
    <row r="103" spans="2:11" x14ac:dyDescent="0.3">
      <c r="B103" s="598" t="s">
        <v>795</v>
      </c>
      <c r="C103" s="673">
        <f>(C99+C100+C101+C102)*-1</f>
        <v>-3055</v>
      </c>
      <c r="D103" s="673">
        <f t="shared" ref="D103" si="2">(D99+D100+D101+D102)*-1</f>
        <v>-3439</v>
      </c>
      <c r="E103" s="673">
        <f>(E99+E100+E101+E102)*-1</f>
        <v>-4772</v>
      </c>
      <c r="F103" s="690"/>
      <c r="G103"/>
      <c r="I103"/>
    </row>
    <row r="104" spans="2:11" x14ac:dyDescent="0.3">
      <c r="B104" s="598" t="s">
        <v>688</v>
      </c>
      <c r="C104" s="105">
        <v>-250645</v>
      </c>
      <c r="D104" s="105">
        <v>-30004</v>
      </c>
      <c r="E104" s="105">
        <v>0</v>
      </c>
      <c r="F104" s="105"/>
      <c r="G104"/>
      <c r="I104"/>
    </row>
    <row r="105" spans="2:11" x14ac:dyDescent="0.3">
      <c r="B105" s="598" t="s">
        <v>689</v>
      </c>
      <c r="C105" s="105">
        <v>221237</v>
      </c>
      <c r="D105" s="105">
        <v>1990053</v>
      </c>
      <c r="E105" s="105">
        <v>3227239</v>
      </c>
      <c r="F105" s="105"/>
      <c r="G105"/>
      <c r="I105"/>
    </row>
    <row r="106" spans="2:11" x14ac:dyDescent="0.3">
      <c r="B106" s="598" t="s">
        <v>239</v>
      </c>
      <c r="C106" s="105">
        <v>51634</v>
      </c>
      <c r="D106" s="105">
        <v>48975</v>
      </c>
      <c r="E106" s="105">
        <v>40016</v>
      </c>
      <c r="F106" s="105"/>
      <c r="G106"/>
      <c r="I106"/>
    </row>
    <row r="107" spans="2:11" x14ac:dyDescent="0.3">
      <c r="C107" s="3"/>
      <c r="D107" s="3"/>
      <c r="E107" s="3"/>
      <c r="F107" s="3"/>
    </row>
    <row r="108" spans="2:11" x14ac:dyDescent="0.3">
      <c r="B108" s="597" t="s">
        <v>690</v>
      </c>
      <c r="C108" s="687">
        <f>C91</f>
        <v>44136</v>
      </c>
      <c r="D108" s="687">
        <f>D91</f>
        <v>44166</v>
      </c>
      <c r="E108" s="687">
        <f>E91</f>
        <v>44197</v>
      </c>
      <c r="F108" s="376"/>
    </row>
    <row r="109" spans="2:11" x14ac:dyDescent="0.3">
      <c r="B109" s="6" t="s">
        <v>691</v>
      </c>
      <c r="C109" s="105">
        <v>10637931.210000001</v>
      </c>
      <c r="D109" s="105">
        <v>13681517.470000001</v>
      </c>
      <c r="E109" s="105">
        <v>11758044.17</v>
      </c>
      <c r="F109" s="105"/>
    </row>
    <row r="110" spans="2:11" x14ac:dyDescent="0.3">
      <c r="B110" s="6" t="s">
        <v>692</v>
      </c>
      <c r="C110" s="105">
        <v>0</v>
      </c>
      <c r="D110" s="105">
        <v>0</v>
      </c>
      <c r="E110" s="105">
        <v>1178346.8999999999</v>
      </c>
      <c r="F110" s="105"/>
      <c r="G110"/>
      <c r="I110"/>
      <c r="J110"/>
      <c r="K110"/>
    </row>
    <row r="111" spans="2:11" x14ac:dyDescent="0.3">
      <c r="B111" s="6" t="s">
        <v>693</v>
      </c>
      <c r="C111" s="105">
        <v>-2756.4</v>
      </c>
      <c r="D111" s="105">
        <v>-5718.99</v>
      </c>
      <c r="E111" s="105">
        <v>-10291.15</v>
      </c>
      <c r="F111" s="105"/>
      <c r="G111"/>
      <c r="I111"/>
      <c r="J111"/>
      <c r="K111"/>
    </row>
    <row r="112" spans="2:11" x14ac:dyDescent="0.3">
      <c r="B112" s="6" t="s">
        <v>688</v>
      </c>
      <c r="C112" s="105">
        <v>-931572.27</v>
      </c>
      <c r="D112" s="105">
        <v>-109985.66</v>
      </c>
      <c r="E112" s="105">
        <v>0</v>
      </c>
      <c r="F112" s="105"/>
      <c r="G112"/>
      <c r="I112"/>
      <c r="J112"/>
      <c r="K112"/>
    </row>
    <row r="113" spans="1:12" x14ac:dyDescent="0.3">
      <c r="B113" s="6" t="s">
        <v>694</v>
      </c>
      <c r="C113" s="105">
        <v>544265.15</v>
      </c>
      <c r="D113" s="105">
        <v>4900704.5199999996</v>
      </c>
      <c r="E113" s="105">
        <v>7947398.7599999998</v>
      </c>
      <c r="F113" s="105"/>
      <c r="G113"/>
      <c r="I113"/>
      <c r="J113"/>
      <c r="K113"/>
    </row>
    <row r="114" spans="1:12" x14ac:dyDescent="0.3">
      <c r="B114" s="6" t="s">
        <v>239</v>
      </c>
      <c r="C114" s="105">
        <v>127024.81</v>
      </c>
      <c r="D114" s="105">
        <v>120605.84</v>
      </c>
      <c r="E114" s="105">
        <v>98543.41</v>
      </c>
      <c r="F114" s="105"/>
      <c r="G114"/>
      <c r="I114"/>
      <c r="J114"/>
      <c r="K114"/>
    </row>
    <row r="115" spans="1:12" x14ac:dyDescent="0.3">
      <c r="B115" s="6" t="s">
        <v>695</v>
      </c>
      <c r="C115" s="105">
        <v>5960.74</v>
      </c>
      <c r="D115" s="105">
        <v>6834.67</v>
      </c>
      <c r="E115" s="105">
        <v>14501.81</v>
      </c>
      <c r="F115" s="105"/>
      <c r="G115"/>
      <c r="I115"/>
      <c r="J115"/>
      <c r="K115"/>
    </row>
    <row r="116" spans="1:12" x14ac:dyDescent="0.3">
      <c r="C116"/>
      <c r="D116"/>
      <c r="E116"/>
      <c r="F116"/>
      <c r="G116"/>
      <c r="H116"/>
      <c r="I116"/>
      <c r="J116"/>
      <c r="K116"/>
    </row>
    <row r="117" spans="1:12" x14ac:dyDescent="0.3">
      <c r="A117" s="614"/>
      <c r="B117" s="614"/>
      <c r="C117" s="614"/>
      <c r="D117" s="614"/>
      <c r="E117" s="614"/>
      <c r="F117" s="614"/>
      <c r="G117" s="614"/>
      <c r="H117" s="615"/>
      <c r="I117" s="614"/>
      <c r="J117" s="614"/>
      <c r="K117" s="614"/>
      <c r="L117" s="614"/>
    </row>
    <row r="119" spans="1:12" ht="17.399999999999999" x14ac:dyDescent="0.3">
      <c r="A119" s="618" t="s">
        <v>706</v>
      </c>
      <c r="C119"/>
      <c r="D119"/>
      <c r="E119"/>
      <c r="F119"/>
      <c r="G119"/>
      <c r="H119" s="6"/>
      <c r="I119"/>
    </row>
    <row r="120" spans="1:12" ht="17.399999999999999" x14ac:dyDescent="0.3">
      <c r="A120" s="618"/>
      <c r="B120" s="6" t="s">
        <v>708</v>
      </c>
      <c r="C120" s="473"/>
      <c r="D120"/>
      <c r="E120"/>
      <c r="F120"/>
      <c r="G120"/>
      <c r="H120" s="6"/>
      <c r="I120"/>
    </row>
    <row r="122" spans="1:12" x14ac:dyDescent="0.3">
      <c r="A122" s="614"/>
      <c r="B122" s="614"/>
      <c r="C122" s="614"/>
      <c r="D122" s="614"/>
      <c r="E122" s="614"/>
      <c r="F122" s="614"/>
      <c r="G122" s="614"/>
      <c r="H122" s="615"/>
      <c r="I122" s="614"/>
      <c r="J122" s="614"/>
      <c r="K122" s="614"/>
      <c r="L122" s="614"/>
    </row>
    <row r="124" spans="1:12" ht="17.399999999999999" x14ac:dyDescent="0.3">
      <c r="A124" s="618" t="s">
        <v>707</v>
      </c>
    </row>
    <row r="125" spans="1:12" x14ac:dyDescent="0.3">
      <c r="B125" s="6" t="s">
        <v>708</v>
      </c>
      <c r="C125" s="473"/>
    </row>
    <row r="127" spans="1:12" x14ac:dyDescent="0.3">
      <c r="A127" s="614"/>
      <c r="B127" s="614"/>
      <c r="C127" s="614"/>
      <c r="D127" s="614"/>
      <c r="E127" s="614"/>
      <c r="F127" s="614"/>
      <c r="G127" s="614"/>
      <c r="H127" s="615"/>
      <c r="I127" s="614"/>
      <c r="J127" s="614"/>
      <c r="K127" s="614"/>
      <c r="L127" s="614"/>
    </row>
    <row r="129" spans="1:12" ht="18" x14ac:dyDescent="0.35">
      <c r="A129" s="618" t="s">
        <v>709</v>
      </c>
      <c r="C129" s="719"/>
      <c r="D129" s="719"/>
      <c r="E129" s="719"/>
      <c r="F129" s="668"/>
    </row>
    <row r="131" spans="1:12" x14ac:dyDescent="0.3">
      <c r="B131" s="3" t="s">
        <v>696</v>
      </c>
      <c r="C131" s="613"/>
      <c r="D131" s="613">
        <v>0</v>
      </c>
    </row>
    <row r="132" spans="1:12" x14ac:dyDescent="0.3">
      <c r="E132" s="325"/>
      <c r="F132" s="325"/>
    </row>
    <row r="133" spans="1:12" x14ac:dyDescent="0.3">
      <c r="A133" s="614"/>
      <c r="B133" s="614"/>
      <c r="C133" s="614"/>
      <c r="D133" s="614"/>
      <c r="E133" s="614"/>
      <c r="F133" s="614"/>
      <c r="G133" s="614"/>
      <c r="H133" s="615"/>
      <c r="I133" s="614"/>
      <c r="J133" s="614"/>
      <c r="K133" s="614"/>
      <c r="L133" s="614"/>
    </row>
    <row r="135" spans="1:12" s="3" customFormat="1" ht="17.399999999999999" x14ac:dyDescent="0.3">
      <c r="A135" s="619" t="s">
        <v>710</v>
      </c>
      <c r="D135" s="688" t="str">
        <f>VLOOKUP('Ex C-1 2 of 3'!B13,'Case Database'!A3:C2000,3)</f>
        <v>2019-00436</v>
      </c>
      <c r="H135" s="254"/>
    </row>
    <row r="137" spans="1:12" x14ac:dyDescent="0.3">
      <c r="B137" s="6" t="s">
        <v>272</v>
      </c>
      <c r="D137" s="105">
        <v>-1689571</v>
      </c>
    </row>
    <row r="139" spans="1:12" x14ac:dyDescent="0.3">
      <c r="A139" s="614"/>
      <c r="B139" s="614"/>
      <c r="C139" s="614"/>
      <c r="D139" s="614"/>
      <c r="E139" s="614"/>
      <c r="F139" s="614"/>
      <c r="G139" s="614"/>
      <c r="H139" s="615"/>
      <c r="I139" s="614"/>
      <c r="J139" s="614"/>
      <c r="K139" s="614"/>
      <c r="L139" s="614"/>
    </row>
    <row r="141" spans="1:12" ht="17.399999999999999" x14ac:dyDescent="0.3">
      <c r="A141" s="619" t="s">
        <v>711</v>
      </c>
      <c r="B141"/>
      <c r="C141"/>
      <c r="D141" s="688" t="str">
        <f>'Ex C-1 3 of 3'!B13</f>
        <v>2020-00309</v>
      </c>
      <c r="E141"/>
      <c r="F141"/>
      <c r="G141"/>
      <c r="H141"/>
      <c r="I141"/>
    </row>
    <row r="143" spans="1:12" x14ac:dyDescent="0.3">
      <c r="B143" s="6" t="s">
        <v>272</v>
      </c>
      <c r="D143" s="105">
        <v>-125869</v>
      </c>
    </row>
    <row r="145" spans="1:12" customFormat="1" x14ac:dyDescent="0.3">
      <c r="A145" s="6" t="s">
        <v>740</v>
      </c>
    </row>
    <row r="146" spans="1:12" customFormat="1" x14ac:dyDescent="0.3">
      <c r="A146" s="6"/>
      <c r="B146" s="602" t="s">
        <v>808</v>
      </c>
      <c r="H146" s="325"/>
    </row>
    <row r="147" spans="1:12" customFormat="1" x14ac:dyDescent="0.3">
      <c r="A147" s="6"/>
      <c r="B147" s="686" t="str">
        <f>IF('Exhibit C Write-Up'!E12&gt;0,"as a debit", "as a credit")</f>
        <v>as a credit</v>
      </c>
    </row>
    <row r="148" spans="1:12" x14ac:dyDescent="0.3">
      <c r="A148" s="614"/>
      <c r="B148" s="614"/>
      <c r="C148" s="614"/>
      <c r="D148" s="614"/>
      <c r="E148" s="614"/>
      <c r="F148" s="614"/>
      <c r="G148" s="614"/>
      <c r="H148" s="615"/>
      <c r="I148" s="614"/>
      <c r="J148" s="614"/>
      <c r="K148" s="614"/>
      <c r="L148" s="614"/>
    </row>
    <row r="150" spans="1:12" ht="17.399999999999999" x14ac:dyDescent="0.3">
      <c r="A150" s="619" t="s">
        <v>712</v>
      </c>
      <c r="B150"/>
      <c r="C150"/>
      <c r="D150" s="620"/>
      <c r="E150"/>
      <c r="F150"/>
      <c r="G150"/>
      <c r="H150"/>
      <c r="I150"/>
    </row>
    <row r="151" spans="1:12" x14ac:dyDescent="0.3">
      <c r="H151" s="6"/>
    </row>
    <row r="152" spans="1:12" x14ac:dyDescent="0.3">
      <c r="B152" s="6" t="s">
        <v>218</v>
      </c>
      <c r="D152" s="3">
        <v>0</v>
      </c>
    </row>
    <row r="153" spans="1:12" x14ac:dyDescent="0.3">
      <c r="B153" s="6" t="s">
        <v>219</v>
      </c>
      <c r="D153" s="3">
        <v>0</v>
      </c>
    </row>
    <row r="155" spans="1:12" x14ac:dyDescent="0.3">
      <c r="A155" s="614"/>
      <c r="B155" s="614"/>
      <c r="C155" s="614"/>
      <c r="D155" s="614"/>
      <c r="E155" s="614"/>
      <c r="F155" s="614"/>
      <c r="G155" s="614"/>
      <c r="H155" s="615"/>
      <c r="I155" s="614"/>
      <c r="J155" s="614"/>
      <c r="K155" s="614"/>
      <c r="L155" s="614"/>
    </row>
    <row r="157" spans="1:12" ht="17.399999999999999" x14ac:dyDescent="0.3">
      <c r="A157" s="619" t="s">
        <v>713</v>
      </c>
      <c r="D157" s="688" t="str">
        <f>'Ex D-1 2 of 2'!B7</f>
        <v>2019-00436</v>
      </c>
    </row>
    <row r="159" spans="1:12" x14ac:dyDescent="0.3">
      <c r="B159" s="6" t="s">
        <v>272</v>
      </c>
      <c r="D159" s="3">
        <v>0</v>
      </c>
    </row>
    <row r="161" spans="1:12" x14ac:dyDescent="0.3">
      <c r="A161" s="614"/>
      <c r="B161" s="614"/>
      <c r="C161" s="614"/>
      <c r="D161" s="614"/>
      <c r="E161" s="614"/>
      <c r="F161" s="614"/>
      <c r="G161" s="614"/>
      <c r="H161" s="615"/>
      <c r="I161" s="614"/>
      <c r="J161" s="614"/>
      <c r="K161" s="614"/>
      <c r="L161" s="614"/>
    </row>
    <row r="162" spans="1:12" ht="18" x14ac:dyDescent="0.35">
      <c r="D162" s="719"/>
      <c r="E162" s="719"/>
      <c r="F162" s="719"/>
      <c r="G162" s="719"/>
      <c r="H162" s="719"/>
    </row>
    <row r="163" spans="1:12" ht="18" x14ac:dyDescent="0.35">
      <c r="A163" s="619" t="s">
        <v>727</v>
      </c>
      <c r="D163" s="107"/>
      <c r="E163" s="107"/>
      <c r="F163" s="107"/>
      <c r="G163" s="107"/>
      <c r="H163" s="107"/>
    </row>
    <row r="164" spans="1:12" ht="18" x14ac:dyDescent="0.35">
      <c r="A164" s="619"/>
      <c r="D164" s="107"/>
      <c r="E164" s="107"/>
      <c r="F164" s="107"/>
      <c r="G164" s="107"/>
      <c r="H164" s="107"/>
    </row>
    <row r="165" spans="1:12" ht="18" x14ac:dyDescent="0.35">
      <c r="B165" s="6" t="s">
        <v>728</v>
      </c>
      <c r="D165" s="107"/>
      <c r="E165" s="107"/>
      <c r="F165" s="107"/>
      <c r="G165" s="107"/>
      <c r="H165" s="107"/>
    </row>
    <row r="166" spans="1:12" ht="18" x14ac:dyDescent="0.35">
      <c r="B166" s="612" t="s">
        <v>118</v>
      </c>
      <c r="D166" s="693">
        <v>1525729</v>
      </c>
      <c r="E166" s="107"/>
      <c r="F166" s="107"/>
      <c r="G166" s="107"/>
      <c r="H166" s="626"/>
    </row>
    <row r="167" spans="1:12" x14ac:dyDescent="0.3">
      <c r="B167" s="612" t="s">
        <v>73</v>
      </c>
      <c r="D167" s="105">
        <v>876616</v>
      </c>
      <c r="H167" s="626"/>
    </row>
    <row r="169" spans="1:12" customFormat="1" x14ac:dyDescent="0.3">
      <c r="A169" s="6" t="s">
        <v>741</v>
      </c>
    </row>
    <row r="170" spans="1:12" customFormat="1" x14ac:dyDescent="0.3">
      <c r="A170" s="6"/>
      <c r="B170" s="602" t="s">
        <v>780</v>
      </c>
      <c r="H170" s="325"/>
    </row>
    <row r="171" spans="1:12" x14ac:dyDescent="0.3">
      <c r="B171" s="602" t="s">
        <v>787</v>
      </c>
    </row>
    <row r="172" spans="1:12" x14ac:dyDescent="0.3">
      <c r="B172" s="602"/>
    </row>
    <row r="173" spans="1:12" x14ac:dyDescent="0.3">
      <c r="B173" s="602"/>
    </row>
    <row r="174" spans="1:12" s="670" customFormat="1" ht="62.4" x14ac:dyDescent="0.3">
      <c r="B174" s="675"/>
      <c r="C174" s="678" t="s">
        <v>798</v>
      </c>
      <c r="D174" s="678" t="s">
        <v>797</v>
      </c>
      <c r="E174" s="678" t="s">
        <v>234</v>
      </c>
      <c r="F174" s="678" t="s">
        <v>799</v>
      </c>
      <c r="H174" s="676"/>
    </row>
    <row r="175" spans="1:12" x14ac:dyDescent="0.3">
      <c r="B175" s="680">
        <f>C10</f>
        <v>44228</v>
      </c>
      <c r="C175" s="689">
        <f>VLOOKUP($B175,Forecast!$A$8:$J$500,9,FALSE)</f>
        <v>5047723</v>
      </c>
      <c r="D175" s="689">
        <f>VLOOKUP($B175,Forecast!$A$8:$J$500,10,FALSE)</f>
        <v>26249</v>
      </c>
      <c r="E175" s="673">
        <f>C175+D175</f>
        <v>5073972</v>
      </c>
      <c r="F175" s="689">
        <f>VLOOKUP($B175,Forecast!$A$8:$J$500,3,FALSE)</f>
        <v>22494</v>
      </c>
    </row>
    <row r="176" spans="1:12" x14ac:dyDescent="0.3">
      <c r="B176" s="680">
        <f>EDATE(B175,1)</f>
        <v>44256</v>
      </c>
      <c r="C176" s="689">
        <f>VLOOKUP($B176,Forecast!$A$8:$J$500,9,FALSE)</f>
        <v>3876884</v>
      </c>
      <c r="D176" s="689">
        <f>VLOOKUP($B176,Forecast!$A$8:$J$500,10,FALSE)</f>
        <v>23317</v>
      </c>
      <c r="E176" s="673">
        <f t="shared" ref="E176:E186" si="3">C176+D176</f>
        <v>3900201</v>
      </c>
      <c r="F176" s="689">
        <f>VLOOKUP($B176,Forecast!$A$8:$J$500,3,FALSE)</f>
        <v>39599</v>
      </c>
    </row>
    <row r="177" spans="1:12" x14ac:dyDescent="0.3">
      <c r="B177" s="680">
        <f t="shared" ref="B177:B186" si="4">EDATE(B176,1)</f>
        <v>44287</v>
      </c>
      <c r="C177" s="689">
        <f>VLOOKUP($B177,Forecast!$A$8:$J$500,9,FALSE)</f>
        <v>1807926</v>
      </c>
      <c r="D177" s="689">
        <f>VLOOKUP($B177,Forecast!$A$8:$J$500,10,FALSE)</f>
        <v>22331</v>
      </c>
      <c r="E177" s="673">
        <f t="shared" si="3"/>
        <v>1830257</v>
      </c>
      <c r="F177" s="689">
        <f>VLOOKUP($B177,Forecast!$A$8:$J$500,3,FALSE)</f>
        <v>41731</v>
      </c>
    </row>
    <row r="178" spans="1:12" x14ac:dyDescent="0.3">
      <c r="B178" s="680">
        <f t="shared" si="4"/>
        <v>44317</v>
      </c>
      <c r="C178" s="689">
        <f>VLOOKUP($B178,Forecast!$A$8:$J$500,9,FALSE)</f>
        <v>963877</v>
      </c>
      <c r="D178" s="689">
        <f>VLOOKUP($B178,Forecast!$A$8:$J$500,10,FALSE)</f>
        <v>22331</v>
      </c>
      <c r="E178" s="673">
        <f t="shared" si="3"/>
        <v>986208</v>
      </c>
      <c r="F178" s="689">
        <f>VLOOKUP($B178,Forecast!$A$8:$J$500,3,FALSE)</f>
        <v>41370</v>
      </c>
    </row>
    <row r="179" spans="1:12" x14ac:dyDescent="0.3">
      <c r="B179" s="680">
        <f t="shared" si="4"/>
        <v>44348</v>
      </c>
      <c r="C179" s="689">
        <f>VLOOKUP($B179,Forecast!$A$8:$J$500,9,FALSE)</f>
        <v>641098</v>
      </c>
      <c r="D179" s="689">
        <f>VLOOKUP($B179,Forecast!$A$8:$J$500,10,FALSE)</f>
        <v>22331</v>
      </c>
      <c r="E179" s="673">
        <f t="shared" si="3"/>
        <v>663429</v>
      </c>
      <c r="F179" s="689">
        <f>VLOOKUP($B179,Forecast!$A$8:$J$500,3,FALSE)</f>
        <v>42137</v>
      </c>
    </row>
    <row r="180" spans="1:12" x14ac:dyDescent="0.3">
      <c r="B180" s="680">
        <f t="shared" si="4"/>
        <v>44378</v>
      </c>
      <c r="C180" s="689">
        <f>VLOOKUP($B180,Forecast!$A$8:$J$500,9,FALSE)</f>
        <v>562469</v>
      </c>
      <c r="D180" s="689">
        <f>VLOOKUP($B180,Forecast!$A$8:$J$500,10,FALSE)</f>
        <v>22331</v>
      </c>
      <c r="E180" s="673">
        <f t="shared" si="3"/>
        <v>584800</v>
      </c>
      <c r="F180" s="689">
        <f>VLOOKUP($B180,Forecast!$A$8:$J$500,3,FALSE)</f>
        <v>34657</v>
      </c>
    </row>
    <row r="181" spans="1:12" x14ac:dyDescent="0.3">
      <c r="B181" s="680">
        <f t="shared" si="4"/>
        <v>44409</v>
      </c>
      <c r="C181" s="689">
        <f>VLOOKUP($B181,Forecast!$A$8:$J$500,9,FALSE)</f>
        <v>579871</v>
      </c>
      <c r="D181" s="689">
        <f>VLOOKUP($B181,Forecast!$A$8:$J$500,10,FALSE)</f>
        <v>22331</v>
      </c>
      <c r="E181" s="673">
        <f t="shared" si="3"/>
        <v>602202</v>
      </c>
      <c r="F181" s="689">
        <f>VLOOKUP($B181,Forecast!$A$8:$J$500,3,FALSE)</f>
        <v>44030</v>
      </c>
    </row>
    <row r="182" spans="1:12" x14ac:dyDescent="0.3">
      <c r="B182" s="680">
        <f t="shared" si="4"/>
        <v>44440</v>
      </c>
      <c r="C182" s="689">
        <f>VLOOKUP($B182,Forecast!$A$8:$J$500,9,FALSE)</f>
        <v>742399</v>
      </c>
      <c r="D182" s="689">
        <f>VLOOKUP($B182,Forecast!$A$8:$J$500,10,FALSE)</f>
        <v>19692</v>
      </c>
      <c r="E182" s="673">
        <f t="shared" si="3"/>
        <v>762091</v>
      </c>
      <c r="F182" s="689">
        <f>VLOOKUP($B182,Forecast!$A$8:$J$500,3,FALSE)</f>
        <v>56001</v>
      </c>
    </row>
    <row r="183" spans="1:12" x14ac:dyDescent="0.3">
      <c r="B183" s="680">
        <f t="shared" si="4"/>
        <v>44470</v>
      </c>
      <c r="C183" s="689">
        <f>VLOOKUP($B183,Forecast!$A$8:$J$500,9,FALSE)</f>
        <v>1492868</v>
      </c>
      <c r="D183" s="689">
        <f>VLOOKUP($B183,Forecast!$A$8:$J$500,10,FALSE)</f>
        <v>26739</v>
      </c>
      <c r="E183" s="673">
        <f t="shared" si="3"/>
        <v>1519607</v>
      </c>
      <c r="F183" s="689">
        <f>VLOOKUP($B183,Forecast!$A$8:$J$500,3,FALSE)</f>
        <v>60160</v>
      </c>
    </row>
    <row r="184" spans="1:12" x14ac:dyDescent="0.3">
      <c r="B184" s="680">
        <f t="shared" si="4"/>
        <v>44501</v>
      </c>
      <c r="C184" s="689">
        <f>VLOOKUP($B184,Forecast!$A$8:$J$500,9,FALSE)</f>
        <v>3570245</v>
      </c>
      <c r="D184" s="689">
        <f>VLOOKUP($B184,Forecast!$A$8:$J$500,10,FALSE)</f>
        <v>30390</v>
      </c>
      <c r="E184" s="673">
        <f t="shared" si="3"/>
        <v>3600635</v>
      </c>
      <c r="F184" s="689">
        <f>VLOOKUP($B184,Forecast!$A$8:$J$500,3,FALSE)</f>
        <v>58325</v>
      </c>
    </row>
    <row r="185" spans="1:12" x14ac:dyDescent="0.3">
      <c r="B185" s="680">
        <f t="shared" si="4"/>
        <v>44531</v>
      </c>
      <c r="C185" s="689">
        <f>VLOOKUP($B185,Forecast!$A$8:$J$500,9,FALSE)</f>
        <v>5094853</v>
      </c>
      <c r="D185" s="689">
        <f>VLOOKUP($B185,Forecast!$A$8:$J$500,10,FALSE)</f>
        <v>25816</v>
      </c>
      <c r="E185" s="673">
        <f t="shared" si="3"/>
        <v>5120669</v>
      </c>
      <c r="F185" s="689">
        <f>VLOOKUP($B185,Forecast!$A$8:$J$500,3,FALSE)</f>
        <v>33848</v>
      </c>
    </row>
    <row r="186" spans="1:12" ht="16.2" thickBot="1" x14ac:dyDescent="0.35">
      <c r="B186" s="680">
        <f t="shared" si="4"/>
        <v>44562</v>
      </c>
      <c r="C186" s="689">
        <f>VLOOKUP($B186,Forecast!$A$8:$J$500,9,FALSE)</f>
        <v>6487518</v>
      </c>
      <c r="D186" s="689">
        <f>VLOOKUP($B186,Forecast!$A$8:$J$500,10,FALSE)</f>
        <v>24349</v>
      </c>
      <c r="E186" s="673">
        <f t="shared" si="3"/>
        <v>6511867</v>
      </c>
      <c r="F186" s="689">
        <f>VLOOKUP($B186,Forecast!$A$8:$J$500,3,FALSE)</f>
        <v>19445</v>
      </c>
    </row>
    <row r="187" spans="1:12" ht="16.2" thickBot="1" x14ac:dyDescent="0.35">
      <c r="B187" s="677" t="s">
        <v>30</v>
      </c>
      <c r="E187" s="679">
        <f>SUM(E175:E186)</f>
        <v>31155938</v>
      </c>
      <c r="F187" s="679">
        <f>SUM(F175:F186)</f>
        <v>493797</v>
      </c>
    </row>
    <row r="188" spans="1:12" x14ac:dyDescent="0.3">
      <c r="B188" s="674"/>
    </row>
    <row r="189" spans="1:12" x14ac:dyDescent="0.3">
      <c r="B189" s="602"/>
    </row>
    <row r="190" spans="1:12" x14ac:dyDescent="0.3">
      <c r="B190" s="602"/>
    </row>
    <row r="191" spans="1:12" x14ac:dyDescent="0.3">
      <c r="A191" s="614"/>
      <c r="B191" s="614"/>
      <c r="C191" s="614"/>
      <c r="D191" s="614"/>
      <c r="E191" s="614"/>
      <c r="F191" s="614"/>
      <c r="G191" s="614"/>
      <c r="H191" s="615"/>
      <c r="I191" s="614"/>
      <c r="J191" s="614"/>
      <c r="K191" s="614"/>
      <c r="L191" s="614"/>
    </row>
    <row r="193" spans="1:12" ht="17.399999999999999" x14ac:dyDescent="0.3">
      <c r="A193" s="619" t="s">
        <v>714</v>
      </c>
      <c r="D193" s="688" t="str">
        <f>'Ex E-1 2 of 2'!B6</f>
        <v>2019-00436</v>
      </c>
    </row>
    <row r="195" spans="1:12" x14ac:dyDescent="0.3">
      <c r="B195" s="6" t="s">
        <v>272</v>
      </c>
      <c r="C195"/>
      <c r="D195" s="105">
        <v>1996732</v>
      </c>
      <c r="E195"/>
      <c r="F195"/>
      <c r="G195"/>
      <c r="I195"/>
      <c r="J195"/>
      <c r="K195"/>
      <c r="L195"/>
    </row>
    <row r="196" spans="1:12" x14ac:dyDescent="0.3">
      <c r="B196" s="6" t="s">
        <v>729</v>
      </c>
      <c r="C196"/>
      <c r="D196" s="3">
        <v>6.3500000000000001E-2</v>
      </c>
      <c r="E196"/>
      <c r="F196"/>
      <c r="G196"/>
      <c r="I196"/>
      <c r="J196"/>
      <c r="K196"/>
      <c r="L196"/>
    </row>
    <row r="197" spans="1:12" x14ac:dyDescent="0.3">
      <c r="B197" s="6" t="s">
        <v>730</v>
      </c>
      <c r="D197" s="3">
        <v>2.06E-2</v>
      </c>
    </row>
    <row r="199" spans="1:12" x14ac:dyDescent="0.3">
      <c r="A199" s="614"/>
      <c r="B199" s="614"/>
      <c r="C199" s="614"/>
      <c r="D199" s="614"/>
      <c r="E199" s="614"/>
      <c r="F199" s="614"/>
      <c r="G199" s="614"/>
      <c r="H199" s="615"/>
      <c r="I199" s="614"/>
      <c r="J199" s="614"/>
      <c r="K199" s="614"/>
      <c r="L199" s="614"/>
    </row>
    <row r="201" spans="1:12" ht="17.399999999999999" x14ac:dyDescent="0.3">
      <c r="A201" s="619" t="s">
        <v>731</v>
      </c>
    </row>
    <row r="202" spans="1:12" x14ac:dyDescent="0.3">
      <c r="C202" s="590" t="s">
        <v>736</v>
      </c>
      <c r="D202" s="590" t="s">
        <v>736</v>
      </c>
      <c r="E202" s="590" t="s">
        <v>736</v>
      </c>
      <c r="F202" s="669"/>
    </row>
    <row r="203" spans="1:12" x14ac:dyDescent="0.3">
      <c r="B203" s="6" t="s">
        <v>732</v>
      </c>
      <c r="C203" s="6" t="s">
        <v>733</v>
      </c>
      <c r="D203" s="6" t="s">
        <v>734</v>
      </c>
      <c r="E203" s="6" t="s">
        <v>735</v>
      </c>
      <c r="H203" s="6"/>
    </row>
    <row r="204" spans="1:12" x14ac:dyDescent="0.3">
      <c r="B204" s="627">
        <v>43770</v>
      </c>
      <c r="C204" s="116">
        <v>0</v>
      </c>
      <c r="D204" s="116">
        <v>0</v>
      </c>
      <c r="E204" s="116">
        <v>0</v>
      </c>
      <c r="F204" s="116"/>
    </row>
    <row r="205" spans="1:12" x14ac:dyDescent="0.3">
      <c r="B205" s="627">
        <v>44136</v>
      </c>
      <c r="C205" s="116">
        <f>'Summary Sheet'!J23+'Summary Sheet'!J24+'Summary Sheet'!J25</f>
        <v>3.15E-2</v>
      </c>
      <c r="D205" s="116">
        <f>'Summary Sheet'!J32</f>
        <v>-4.58E-2</v>
      </c>
      <c r="E205" s="116">
        <f>'Summary Sheet'!J48</f>
        <v>7.6700000000000004E-2</v>
      </c>
      <c r="F205" s="116"/>
    </row>
    <row r="207" spans="1:12" x14ac:dyDescent="0.3">
      <c r="A207" s="6" t="s">
        <v>742</v>
      </c>
    </row>
    <row r="208" spans="1:12" x14ac:dyDescent="0.3">
      <c r="B208" s="602" t="s">
        <v>779</v>
      </c>
    </row>
    <row r="210" spans="1:12" x14ac:dyDescent="0.3">
      <c r="A210" s="614"/>
      <c r="B210" s="614"/>
      <c r="C210" s="614"/>
      <c r="D210" s="614"/>
      <c r="E210" s="614"/>
      <c r="F210" s="614"/>
      <c r="G210" s="614"/>
      <c r="H210" s="615"/>
      <c r="I210" s="614"/>
      <c r="J210" s="614"/>
      <c r="K210" s="614"/>
      <c r="L210" s="614"/>
    </row>
    <row r="212" spans="1:12" customFormat="1" x14ac:dyDescent="0.3">
      <c r="A212" s="6" t="s">
        <v>738</v>
      </c>
    </row>
    <row r="213" spans="1:12" customFormat="1" x14ac:dyDescent="0.3">
      <c r="A213" s="6"/>
    </row>
  </sheetData>
  <mergeCells count="2">
    <mergeCell ref="C129:E129"/>
    <mergeCell ref="D162:H162"/>
  </mergeCells>
  <phoneticPr fontId="3" type="noConversion"/>
  <pageMargins left="0.75" right="0.75" top="1" bottom="1" header="0.5" footer="0.5"/>
  <pageSetup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tabColor rgb="FF00B050"/>
  </sheetPr>
  <dimension ref="B1:N17"/>
  <sheetViews>
    <sheetView topLeftCell="A4" zoomScaleNormal="100" workbookViewId="0">
      <selection activeCell="B17" sqref="B17:I17"/>
    </sheetView>
  </sheetViews>
  <sheetFormatPr defaultColWidth="8.81640625" defaultRowHeight="15.6" x14ac:dyDescent="0.3"/>
  <cols>
    <col min="1" max="1" width="1.08984375" style="6" customWidth="1"/>
    <col min="2" max="4" width="8.81640625" style="6"/>
    <col min="5" max="5" width="9.81640625" style="6" bestFit="1" customWidth="1"/>
    <col min="6" max="7" width="8.81640625" style="6"/>
    <col min="8" max="8" width="9.81640625" style="6" bestFit="1" customWidth="1"/>
    <col min="9" max="9" width="9.54296875" style="6" customWidth="1"/>
    <col min="10" max="10" width="1.08984375" style="6" customWidth="1"/>
    <col min="11" max="16384" width="8.81640625" style="6"/>
  </cols>
  <sheetData>
    <row r="1" spans="2:14" x14ac:dyDescent="0.3">
      <c r="B1" s="738" t="s">
        <v>5</v>
      </c>
      <c r="C1" s="738"/>
      <c r="D1" s="738"/>
      <c r="E1" s="738"/>
      <c r="F1" s="738"/>
      <c r="G1" s="738"/>
      <c r="H1" s="738"/>
      <c r="I1" s="738"/>
      <c r="K1" s="601"/>
      <c r="L1" s="601"/>
      <c r="M1" s="601"/>
      <c r="N1" s="601"/>
    </row>
    <row r="2" spans="2:14" x14ac:dyDescent="0.3">
      <c r="B2" s="597"/>
      <c r="C2" s="597"/>
      <c r="D2" s="597"/>
      <c r="E2" s="597"/>
      <c r="F2" s="597"/>
      <c r="G2" s="597"/>
      <c r="H2" s="597"/>
      <c r="I2" s="597"/>
    </row>
    <row r="3" spans="2:14" x14ac:dyDescent="0.3">
      <c r="B3" s="738" t="str">
        <f>'Exhibit F Write-Up'!B3:N3</f>
        <v>Gas Supply Clause: 2021-00130</v>
      </c>
      <c r="C3" s="738"/>
      <c r="D3" s="738"/>
      <c r="E3" s="738"/>
      <c r="F3" s="738"/>
      <c r="G3" s="738"/>
      <c r="H3" s="738"/>
      <c r="I3" s="738"/>
    </row>
    <row r="4" spans="2:14" x14ac:dyDescent="0.3">
      <c r="B4" s="738" t="s">
        <v>668</v>
      </c>
      <c r="C4" s="738"/>
      <c r="D4" s="738"/>
      <c r="E4" s="738"/>
      <c r="F4" s="738"/>
      <c r="G4" s="738"/>
      <c r="H4" s="738"/>
      <c r="I4" s="738"/>
    </row>
    <row r="6" spans="2:14" ht="46.2" customHeight="1" x14ac:dyDescent="0.3">
      <c r="B6" s="736" t="s">
        <v>743</v>
      </c>
      <c r="C6" s="736"/>
      <c r="D6" s="736"/>
      <c r="E6" s="736"/>
      <c r="F6" s="736"/>
      <c r="G6" s="736"/>
      <c r="H6" s="736"/>
      <c r="I6" s="736"/>
    </row>
    <row r="7" spans="2:14" ht="15.6" customHeight="1" x14ac:dyDescent="0.3">
      <c r="B7" s="697"/>
      <c r="C7" s="697"/>
      <c r="D7" s="697"/>
      <c r="E7" s="697"/>
      <c r="F7" s="697"/>
      <c r="G7" s="697"/>
      <c r="H7" s="697"/>
      <c r="I7" s="697"/>
    </row>
    <row r="8" spans="2:14" ht="46.95" customHeight="1" x14ac:dyDescent="0.3">
      <c r="B8" s="736" t="str">
        <f>"As shown in the following table, the PBRRC amount which becomes effective with gas service rendered on and after " &amp;'Input Data'!B170 &amp;" and will remain in effect until " &amp;'Input Data'!B171 &amp;" is $" &amp;E14 &amp;" and $" &amp;H14 &amp;" per 100 cubic feet for sales and Rider TS-2 volumes, respectively:"</f>
        <v>As shown in the following table, the PBRRC amount which becomes effective with gas service rendered on and after February 1, 2021 and will remain in effect until January 31, 2022 is $0.00767 and $0.00277 per 100 cubic feet for sales and Rider TS-2 volumes, respectively:</v>
      </c>
      <c r="C8" s="736"/>
      <c r="D8" s="736"/>
      <c r="E8" s="736"/>
      <c r="F8" s="736"/>
      <c r="G8" s="736"/>
      <c r="H8" s="736"/>
      <c r="I8" s="736"/>
    </row>
    <row r="10" spans="2:14" x14ac:dyDescent="0.3">
      <c r="E10" s="792" t="s">
        <v>670</v>
      </c>
      <c r="F10" s="792"/>
      <c r="H10" s="791" t="s">
        <v>669</v>
      </c>
      <c r="I10" s="791"/>
    </row>
    <row r="12" spans="2:14" x14ac:dyDescent="0.3">
      <c r="B12" s="793" t="s">
        <v>671</v>
      </c>
      <c r="C12" s="793"/>
      <c r="D12" s="793"/>
      <c r="E12" s="603">
        <f>'Ex E-1 1 of 1'!C23</f>
        <v>4.9000000000000007E-3</v>
      </c>
      <c r="F12" s="602" t="s">
        <v>674</v>
      </c>
      <c r="H12" s="604">
        <v>0</v>
      </c>
      <c r="I12" s="602" t="s">
        <v>674</v>
      </c>
    </row>
    <row r="13" spans="2:14" x14ac:dyDescent="0.3">
      <c r="B13" s="793" t="s">
        <v>672</v>
      </c>
      <c r="C13" s="793"/>
      <c r="D13" s="793"/>
      <c r="E13" s="603">
        <f>'Ex E-1 1 of 1'!D23</f>
        <v>2.7699999999999999E-3</v>
      </c>
      <c r="F13" s="602" t="s">
        <v>674</v>
      </c>
      <c r="H13" s="603">
        <f>'Ex E-1 1 of 1'!D23</f>
        <v>2.7699999999999999E-3</v>
      </c>
      <c r="I13" s="602" t="s">
        <v>674</v>
      </c>
    </row>
    <row r="14" spans="2:14" x14ac:dyDescent="0.3">
      <c r="B14" s="793" t="s">
        <v>673</v>
      </c>
      <c r="C14" s="793"/>
      <c r="D14" s="793"/>
      <c r="E14" s="603">
        <f>E12+E13</f>
        <v>7.6700000000000006E-3</v>
      </c>
      <c r="F14" s="602" t="s">
        <v>674</v>
      </c>
      <c r="H14" s="603">
        <f>H12+H13</f>
        <v>2.7699999999999999E-3</v>
      </c>
      <c r="I14" s="602" t="s">
        <v>674</v>
      </c>
    </row>
    <row r="17" spans="2:9" ht="46.95" customHeight="1" x14ac:dyDescent="0.3">
      <c r="B17" s="736" t="s">
        <v>675</v>
      </c>
      <c r="C17" s="736"/>
      <c r="D17" s="736"/>
      <c r="E17" s="736"/>
      <c r="F17" s="736"/>
      <c r="G17" s="736"/>
      <c r="H17" s="736"/>
      <c r="I17" s="736"/>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51"/>
  <sheetViews>
    <sheetView zoomScale="80" zoomScaleNormal="80" workbookViewId="0"/>
  </sheetViews>
  <sheetFormatPr defaultColWidth="7.08984375" defaultRowHeight="13.2" x14ac:dyDescent="0.25"/>
  <cols>
    <col min="1" max="1" width="7.08984375" style="35"/>
    <col min="2" max="2" width="26.36328125" style="35" customWidth="1"/>
    <col min="3" max="3" width="14.90625" style="35" customWidth="1"/>
    <col min="4" max="4" width="16" style="35" customWidth="1"/>
    <col min="5" max="5" width="14.08984375" style="35" customWidth="1"/>
    <col min="6" max="6" width="16.1796875" style="35" customWidth="1"/>
    <col min="7" max="7" width="12.453125" style="35" customWidth="1"/>
    <col min="8" max="8" width="17.6328125" style="35" customWidth="1"/>
    <col min="9" max="9" width="11.36328125" style="35" customWidth="1"/>
    <col min="10" max="10" width="13.08984375" style="35" customWidth="1"/>
    <col min="11" max="11" width="12.90625" style="35" customWidth="1"/>
    <col min="12" max="12" width="14.08984375" style="35" customWidth="1"/>
    <col min="13" max="13" width="14.6328125" style="35" customWidth="1"/>
    <col min="14" max="14" width="12.36328125" style="35" customWidth="1"/>
    <col min="15" max="15" width="21.1796875" style="35" customWidth="1"/>
    <col min="16" max="16" width="22.36328125" style="35" customWidth="1"/>
    <col min="17" max="17" width="13.36328125" style="35" customWidth="1"/>
    <col min="18" max="18" width="8.54296875" style="35" customWidth="1"/>
    <col min="19" max="19" width="13.81640625" style="35" customWidth="1"/>
    <col min="20" max="20" width="31.6328125" style="35" customWidth="1"/>
    <col min="21" max="21" width="7.08984375" style="35" customWidth="1"/>
    <col min="22" max="22" width="14.54296875" style="35" customWidth="1"/>
    <col min="23" max="23" width="9.90625" style="35" customWidth="1"/>
    <col min="24" max="16384" width="7.08984375" style="35"/>
  </cols>
  <sheetData>
    <row r="1" spans="1:12" ht="15.6" x14ac:dyDescent="0.3">
      <c r="B1" s="33"/>
      <c r="C1" s="33"/>
      <c r="D1" s="33"/>
      <c r="E1" s="33"/>
      <c r="F1" s="33"/>
      <c r="G1" s="34"/>
      <c r="H1" s="34"/>
      <c r="I1" s="34"/>
      <c r="J1" s="34"/>
    </row>
    <row r="2" spans="1:12" ht="17.399999999999999" x14ac:dyDescent="0.3">
      <c r="B2" s="794" t="s">
        <v>5</v>
      </c>
      <c r="C2" s="794"/>
      <c r="D2" s="794"/>
      <c r="E2" s="794"/>
      <c r="F2" s="3"/>
      <c r="G2" s="3"/>
      <c r="H2" s="3"/>
      <c r="I2" s="3"/>
      <c r="J2" s="3"/>
      <c r="K2" s="3"/>
      <c r="L2" s="3"/>
    </row>
    <row r="3" spans="1:12" ht="15.6" x14ac:dyDescent="0.3">
      <c r="B3" s="3"/>
      <c r="C3" s="3"/>
      <c r="D3" s="3"/>
      <c r="E3" s="3"/>
      <c r="F3" s="3"/>
      <c r="G3" s="3"/>
      <c r="H3" s="3"/>
      <c r="I3" s="3"/>
      <c r="J3" s="3"/>
      <c r="K3" s="3"/>
      <c r="L3" s="3"/>
    </row>
    <row r="4" spans="1:12" ht="18" x14ac:dyDescent="0.35">
      <c r="B4" s="719" t="str">
        <f>CONCATENATE("Effective"," ", 'Input Data'!$D$10," ", "with Gas Supply Clause Case No."," ", 'Input Data'!C14)</f>
        <v>Effective February 1, 2021 with Gas Supply Clause Case No. 2020-00401</v>
      </c>
      <c r="C4" s="719"/>
      <c r="D4" s="719"/>
      <c r="E4" s="719"/>
      <c r="F4" s="3"/>
      <c r="G4" s="3"/>
      <c r="H4" s="3"/>
      <c r="I4" s="3"/>
      <c r="J4" s="3"/>
      <c r="K4" s="3"/>
      <c r="L4" s="3"/>
    </row>
    <row r="5" spans="1:12" ht="18" x14ac:dyDescent="0.35">
      <c r="B5" s="719" t="s">
        <v>123</v>
      </c>
      <c r="C5" s="719"/>
      <c r="D5" s="719"/>
      <c r="E5" s="719"/>
      <c r="F5" s="3"/>
      <c r="G5" s="3"/>
      <c r="H5" s="3"/>
      <c r="I5" s="3"/>
      <c r="J5" s="3"/>
      <c r="K5" s="3"/>
      <c r="L5" s="3"/>
    </row>
    <row r="6" spans="1:12" ht="15.75" customHeight="1" x14ac:dyDescent="0.4">
      <c r="B6" s="719" t="str">
        <f>CONCATENATE("PBR Year"," ", 'Input Data'!$C$9-1)</f>
        <v>PBR Year 23</v>
      </c>
      <c r="C6" s="719"/>
      <c r="D6" s="719"/>
      <c r="E6" s="719"/>
      <c r="F6" s="3"/>
      <c r="G6" s="660"/>
      <c r="H6" s="3"/>
      <c r="I6" s="3"/>
      <c r="J6" s="3"/>
      <c r="K6" s="3"/>
      <c r="L6" s="3"/>
    </row>
    <row r="7" spans="1:12" ht="18" x14ac:dyDescent="0.35">
      <c r="B7" s="719" t="s">
        <v>124</v>
      </c>
      <c r="C7" s="719"/>
      <c r="D7" s="719"/>
      <c r="E7" s="719"/>
      <c r="F7" s="3"/>
      <c r="G7" s="3"/>
      <c r="H7" s="3"/>
      <c r="I7" s="3"/>
      <c r="J7" s="3"/>
      <c r="K7" s="3"/>
      <c r="L7" s="3"/>
    </row>
    <row r="8" spans="1:12" ht="18" x14ac:dyDescent="0.35">
      <c r="B8" s="719" t="s">
        <v>575</v>
      </c>
      <c r="C8" s="719"/>
      <c r="D8" s="719"/>
      <c r="E8" s="719"/>
      <c r="F8" s="3"/>
      <c r="G8" s="3"/>
      <c r="H8" s="3"/>
      <c r="I8" s="3"/>
      <c r="J8" s="3"/>
      <c r="K8" s="3"/>
      <c r="L8" s="3"/>
    </row>
    <row r="9" spans="1:12" ht="15.6" x14ac:dyDescent="0.3">
      <c r="B9" s="3"/>
      <c r="C9" s="3"/>
      <c r="D9" s="3"/>
      <c r="E9" s="3"/>
      <c r="F9" s="3"/>
      <c r="G9" s="3"/>
      <c r="H9" s="3"/>
      <c r="I9" s="3"/>
      <c r="J9" s="3"/>
      <c r="K9" s="3"/>
      <c r="L9" s="3"/>
    </row>
    <row r="10" spans="1:12" ht="15.6" x14ac:dyDescent="0.3">
      <c r="B10" s="3"/>
      <c r="C10" s="3"/>
      <c r="D10" s="3"/>
      <c r="E10" s="3"/>
      <c r="F10" s="3"/>
      <c r="G10" s="3"/>
      <c r="H10" s="3"/>
      <c r="I10" s="3"/>
      <c r="J10" s="3"/>
      <c r="K10" s="3"/>
      <c r="L10" s="3"/>
    </row>
    <row r="11" spans="1:12" ht="15.6" x14ac:dyDescent="0.3">
      <c r="A11" s="87" t="s">
        <v>249</v>
      </c>
      <c r="B11" s="3"/>
      <c r="C11" s="119" t="s">
        <v>118</v>
      </c>
      <c r="D11" s="119" t="s">
        <v>73</v>
      </c>
      <c r="E11" s="119" t="s">
        <v>30</v>
      </c>
      <c r="G11" s="3"/>
      <c r="H11" s="3"/>
      <c r="I11" s="3"/>
      <c r="J11" s="3"/>
      <c r="K11" s="3"/>
      <c r="L11" s="3"/>
    </row>
    <row r="12" spans="1:12" ht="15.6" x14ac:dyDescent="0.3">
      <c r="B12" s="3"/>
      <c r="C12" s="3"/>
      <c r="D12" s="3"/>
      <c r="E12" s="3"/>
      <c r="G12" s="3"/>
      <c r="H12" s="3"/>
      <c r="I12" s="3"/>
      <c r="J12" s="3"/>
      <c r="K12" s="3"/>
      <c r="L12" s="3"/>
    </row>
    <row r="13" spans="1:12" ht="15.6" x14ac:dyDescent="0.3">
      <c r="A13" s="340">
        <v>1</v>
      </c>
      <c r="B13" s="55" t="s">
        <v>125</v>
      </c>
      <c r="C13" s="344">
        <f>'Input Data'!D166</f>
        <v>1525729</v>
      </c>
      <c r="D13" s="344">
        <f>'Input Data'!D167</f>
        <v>876616</v>
      </c>
      <c r="E13" s="344">
        <f>C13+D13</f>
        <v>2402345</v>
      </c>
      <c r="G13" s="3"/>
      <c r="H13" s="3"/>
      <c r="I13" s="3"/>
      <c r="J13" s="3"/>
      <c r="K13" s="3"/>
      <c r="L13" s="3"/>
    </row>
    <row r="14" spans="1:12" ht="15.6" x14ac:dyDescent="0.3">
      <c r="A14" s="340"/>
      <c r="B14" s="55" t="s">
        <v>261</v>
      </c>
      <c r="D14" s="3"/>
      <c r="E14" s="3"/>
      <c r="F14" s="3"/>
      <c r="G14" s="3"/>
      <c r="H14" s="3"/>
      <c r="I14" s="3"/>
      <c r="J14" s="3"/>
      <c r="K14" s="3"/>
      <c r="L14" s="3"/>
    </row>
    <row r="15" spans="1:12" ht="15.6" x14ac:dyDescent="0.3">
      <c r="A15" s="340"/>
      <c r="B15" s="55" t="s">
        <v>126</v>
      </c>
      <c r="D15" s="3"/>
      <c r="E15" s="3"/>
      <c r="F15" s="3"/>
      <c r="G15" s="3"/>
      <c r="H15" s="3"/>
      <c r="I15" s="3"/>
      <c r="J15" s="3"/>
      <c r="K15" s="3"/>
      <c r="L15" s="3"/>
    </row>
    <row r="16" spans="1:12" ht="15.6" x14ac:dyDescent="0.3">
      <c r="A16" s="340"/>
      <c r="B16" s="3"/>
      <c r="C16" s="55"/>
      <c r="D16" s="3"/>
      <c r="E16" s="3"/>
      <c r="F16" s="3"/>
      <c r="G16" s="3"/>
      <c r="H16" s="3"/>
      <c r="I16" s="3"/>
      <c r="J16" s="3"/>
      <c r="K16" s="3"/>
      <c r="L16" s="3"/>
    </row>
    <row r="17" spans="1:26" ht="15.75" customHeight="1" x14ac:dyDescent="0.4">
      <c r="A17" s="340">
        <v>2</v>
      </c>
      <c r="B17" s="34" t="s">
        <v>119</v>
      </c>
      <c r="C17" s="469">
        <f>'Input Data'!E187</f>
        <v>31155938</v>
      </c>
      <c r="D17" s="469">
        <f>'Input Data'!E187+'Input Data'!F187</f>
        <v>31649735</v>
      </c>
      <c r="E17" s="3"/>
      <c r="F17" s="3"/>
      <c r="G17" s="660"/>
      <c r="H17" s="3"/>
      <c r="I17" s="3"/>
      <c r="J17" s="3"/>
      <c r="K17" s="3"/>
      <c r="L17" s="3"/>
    </row>
    <row r="18" spans="1:26" ht="15.6" x14ac:dyDescent="0.3">
      <c r="A18" s="340"/>
      <c r="B18" s="69" t="s">
        <v>120</v>
      </c>
      <c r="E18" s="3"/>
      <c r="F18" s="3"/>
      <c r="G18" s="3"/>
      <c r="H18" s="3"/>
      <c r="I18" s="3"/>
      <c r="J18" s="3"/>
      <c r="K18" s="3"/>
      <c r="L18" s="3"/>
    </row>
    <row r="19" spans="1:26" ht="15.6" x14ac:dyDescent="0.3">
      <c r="A19" s="340"/>
      <c r="B19" s="70">
        <f>'Input Data'!C10</f>
        <v>44228</v>
      </c>
      <c r="C19" s="340"/>
      <c r="D19" s="340"/>
      <c r="E19" s="3"/>
      <c r="F19" s="3"/>
      <c r="G19" s="33"/>
      <c r="H19" s="33"/>
      <c r="I19" s="33"/>
      <c r="J19" s="33"/>
    </row>
    <row r="20" spans="1:26" ht="15.6" x14ac:dyDescent="0.3">
      <c r="A20" s="340"/>
      <c r="B20" s="34"/>
      <c r="C20" s="340"/>
      <c r="D20" s="340"/>
      <c r="E20" s="3"/>
      <c r="F20" s="3"/>
      <c r="G20" s="33"/>
      <c r="H20" s="33"/>
      <c r="I20" s="33"/>
      <c r="J20" s="33"/>
    </row>
    <row r="21" spans="1:26" ht="15.6" x14ac:dyDescent="0.3">
      <c r="A21" s="340">
        <v>3</v>
      </c>
      <c r="B21" s="34" t="s">
        <v>121</v>
      </c>
      <c r="C21" s="342">
        <f>ROUND(C13/C17,4)</f>
        <v>4.9000000000000002E-2</v>
      </c>
      <c r="D21" s="342">
        <f>ROUND(D13/D17,4)</f>
        <v>2.7699999999999999E-2</v>
      </c>
      <c r="E21" s="342">
        <f>SUM(C21:D21)</f>
        <v>7.6700000000000004E-2</v>
      </c>
      <c r="F21" s="3"/>
      <c r="G21" s="33"/>
      <c r="H21" s="33"/>
      <c r="I21" s="33"/>
      <c r="J21" s="33"/>
    </row>
    <row r="22" spans="1:26" ht="15.6" x14ac:dyDescent="0.3">
      <c r="A22" s="340"/>
      <c r="B22" s="3"/>
      <c r="C22" s="3"/>
      <c r="D22" s="3"/>
      <c r="E22" s="342"/>
      <c r="F22" s="3"/>
      <c r="G22" s="33"/>
      <c r="H22" s="33"/>
      <c r="I22" s="33"/>
      <c r="J22" s="33"/>
    </row>
    <row r="23" spans="1:26" ht="15.6" x14ac:dyDescent="0.3">
      <c r="A23" s="340">
        <v>4</v>
      </c>
      <c r="B23" s="34" t="s">
        <v>122</v>
      </c>
      <c r="C23" s="343">
        <f>C21*0.1</f>
        <v>4.9000000000000007E-3</v>
      </c>
      <c r="D23" s="343">
        <f>D21*0.1</f>
        <v>2.7699999999999999E-3</v>
      </c>
      <c r="E23" s="343">
        <f>SUM(C23:D23)</f>
        <v>7.6700000000000006E-3</v>
      </c>
      <c r="F23" s="3"/>
      <c r="G23" s="33"/>
      <c r="H23" s="33"/>
      <c r="I23" s="33"/>
      <c r="J23" s="33"/>
    </row>
    <row r="24" spans="1:26" ht="15.6" x14ac:dyDescent="0.3">
      <c r="A24" s="340"/>
      <c r="E24" s="3"/>
      <c r="F24" s="3"/>
      <c r="G24" s="33"/>
      <c r="H24" s="33"/>
      <c r="I24" s="33"/>
      <c r="J24" s="33"/>
    </row>
    <row r="25" spans="1:26" ht="15.6" x14ac:dyDescent="0.3">
      <c r="E25" s="3"/>
      <c r="F25" s="3"/>
      <c r="G25" s="33"/>
      <c r="H25" s="33"/>
      <c r="I25" s="33"/>
      <c r="J25" s="33"/>
    </row>
    <row r="26" spans="1:26" ht="15.6" x14ac:dyDescent="0.3">
      <c r="E26" s="3"/>
      <c r="F26" s="3"/>
      <c r="G26" s="33"/>
      <c r="H26" s="33"/>
      <c r="I26" s="33"/>
      <c r="J26" s="33"/>
    </row>
    <row r="27" spans="1:26" ht="15.6" x14ac:dyDescent="0.3">
      <c r="G27" s="33"/>
      <c r="H27" s="33"/>
      <c r="I27" s="33"/>
      <c r="J27" s="33"/>
    </row>
    <row r="28" spans="1:26" ht="15.6" x14ac:dyDescent="0.3">
      <c r="G28" s="33"/>
      <c r="H28" s="33"/>
      <c r="I28" s="33"/>
      <c r="J28" s="33"/>
      <c r="W28" s="36"/>
      <c r="X28" s="273"/>
      <c r="Y28" s="273"/>
      <c r="Z28" s="36"/>
    </row>
    <row r="29" spans="1:26" ht="84" customHeight="1" x14ac:dyDescent="0.3">
      <c r="B29"/>
      <c r="C29"/>
      <c r="D29"/>
      <c r="E29"/>
      <c r="F29"/>
      <c r="G29"/>
      <c r="H29"/>
      <c r="J29" s="33"/>
      <c r="W29" s="36"/>
      <c r="X29" s="661"/>
      <c r="Y29" s="273"/>
      <c r="Z29" s="36"/>
    </row>
    <row r="30" spans="1:26" ht="15.6" x14ac:dyDescent="0.3">
      <c r="B30"/>
      <c r="C30"/>
      <c r="D30"/>
      <c r="E30"/>
      <c r="F30"/>
      <c r="G30"/>
      <c r="H30"/>
      <c r="I30" s="3"/>
      <c r="J30" s="33"/>
      <c r="V30" s="37"/>
      <c r="W30" s="36"/>
      <c r="X30" s="662"/>
      <c r="Y30" s="274"/>
      <c r="Z30" s="36"/>
    </row>
    <row r="31" spans="1:26" ht="15.6" x14ac:dyDescent="0.3">
      <c r="B31"/>
      <c r="C31"/>
      <c r="D31"/>
      <c r="E31"/>
      <c r="F31"/>
      <c r="G31"/>
      <c r="H31"/>
      <c r="I31" s="3"/>
      <c r="J31" s="33"/>
      <c r="K31" s="33"/>
      <c r="V31" s="37"/>
      <c r="W31" s="36"/>
      <c r="X31" s="662"/>
      <c r="Y31" s="274"/>
      <c r="Z31" s="36"/>
    </row>
    <row r="32" spans="1:26" ht="15.6" x14ac:dyDescent="0.3">
      <c r="B32"/>
      <c r="C32"/>
      <c r="D32"/>
      <c r="E32"/>
      <c r="F32"/>
      <c r="G32"/>
      <c r="H32"/>
      <c r="I32" s="3"/>
      <c r="J32" s="33"/>
      <c r="K32" s="33"/>
      <c r="V32" s="37"/>
      <c r="W32" s="36"/>
      <c r="X32" s="662"/>
      <c r="Y32" s="274"/>
      <c r="Z32" s="36"/>
    </row>
    <row r="33" spans="2:24" ht="15.6" x14ac:dyDescent="0.3">
      <c r="B33"/>
      <c r="C33"/>
      <c r="D33"/>
      <c r="E33"/>
      <c r="F33"/>
      <c r="G33"/>
      <c r="H33"/>
      <c r="I33" s="340"/>
      <c r="J33" s="340"/>
      <c r="K33" s="340"/>
      <c r="L33" s="340"/>
      <c r="M33" s="340"/>
      <c r="N33" s="340"/>
      <c r="T33" s="37"/>
      <c r="U33" s="36"/>
      <c r="V33" s="662"/>
      <c r="W33" s="274"/>
      <c r="X33" s="36"/>
    </row>
    <row r="34" spans="2:24" ht="15.6" x14ac:dyDescent="0.3">
      <c r="B34"/>
      <c r="C34"/>
      <c r="D34"/>
      <c r="E34"/>
      <c r="F34"/>
      <c r="G34"/>
      <c r="H34"/>
      <c r="I34" s="133"/>
      <c r="J34" s="133"/>
      <c r="K34" s="133"/>
      <c r="L34" s="37"/>
      <c r="M34" s="133"/>
      <c r="N34" s="37"/>
      <c r="T34" s="37"/>
      <c r="U34" s="36"/>
      <c r="V34" s="662"/>
      <c r="W34" s="274"/>
      <c r="X34" s="36"/>
    </row>
    <row r="35" spans="2:24" ht="15.6" x14ac:dyDescent="0.3">
      <c r="B35"/>
      <c r="C35"/>
      <c r="D35"/>
      <c r="E35"/>
      <c r="F35"/>
      <c r="G35"/>
      <c r="H35"/>
      <c r="I35" s="133"/>
      <c r="J35" s="133"/>
      <c r="K35" s="133"/>
      <c r="L35" s="37"/>
      <c r="M35" s="133"/>
      <c r="N35" s="37"/>
      <c r="T35" s="37"/>
      <c r="U35" s="36"/>
      <c r="V35" s="662"/>
      <c r="W35" s="274"/>
      <c r="X35" s="36"/>
    </row>
    <row r="36" spans="2:24" ht="15.6" x14ac:dyDescent="0.3">
      <c r="B36"/>
      <c r="C36"/>
      <c r="D36"/>
      <c r="E36"/>
      <c r="F36"/>
      <c r="G36"/>
      <c r="H36"/>
      <c r="I36" s="133"/>
      <c r="J36" s="133"/>
      <c r="K36" s="133"/>
      <c r="L36" s="37"/>
      <c r="M36" s="133"/>
      <c r="N36" s="37"/>
      <c r="T36" s="37"/>
      <c r="U36" s="36"/>
      <c r="V36" s="662"/>
      <c r="W36" s="274"/>
      <c r="X36" s="36"/>
    </row>
    <row r="37" spans="2:24" ht="15.6" x14ac:dyDescent="0.3">
      <c r="B37"/>
      <c r="C37"/>
      <c r="D37"/>
      <c r="E37"/>
      <c r="F37"/>
      <c r="G37"/>
      <c r="H37"/>
      <c r="I37" s="133"/>
      <c r="J37" s="133"/>
      <c r="K37" s="133"/>
      <c r="L37" s="37"/>
      <c r="M37" s="133"/>
      <c r="N37" s="37"/>
      <c r="T37" s="37"/>
      <c r="U37" s="36"/>
      <c r="V37" s="662"/>
      <c r="W37" s="274"/>
      <c r="X37" s="36"/>
    </row>
    <row r="38" spans="2:24" ht="15.6" x14ac:dyDescent="0.3">
      <c r="B38"/>
      <c r="C38"/>
      <c r="D38"/>
      <c r="E38"/>
      <c r="F38"/>
      <c r="G38"/>
      <c r="H38"/>
      <c r="I38" s="133"/>
      <c r="J38" s="133"/>
      <c r="K38" s="133"/>
      <c r="L38" s="37"/>
      <c r="M38" s="133"/>
      <c r="N38" s="37"/>
      <c r="T38" s="37"/>
      <c r="U38" s="36"/>
      <c r="V38" s="662"/>
      <c r="W38" s="274"/>
      <c r="X38" s="36"/>
    </row>
    <row r="39" spans="2:24" ht="15.6" x14ac:dyDescent="0.3">
      <c r="B39"/>
      <c r="C39"/>
      <c r="D39"/>
      <c r="E39"/>
      <c r="F39"/>
      <c r="G39"/>
      <c r="H39"/>
      <c r="I39" s="133"/>
      <c r="J39" s="133"/>
      <c r="K39" s="133"/>
      <c r="L39" s="37"/>
      <c r="M39" s="133"/>
      <c r="N39" s="37"/>
      <c r="T39" s="37"/>
      <c r="U39" s="36"/>
      <c r="V39" s="662"/>
      <c r="W39" s="274"/>
      <c r="X39" s="36"/>
    </row>
    <row r="40" spans="2:24" ht="15.6" x14ac:dyDescent="0.3">
      <c r="B40"/>
      <c r="C40"/>
      <c r="D40"/>
      <c r="E40"/>
      <c r="F40"/>
      <c r="G40"/>
      <c r="H40"/>
      <c r="I40" s="133"/>
      <c r="J40" s="133"/>
      <c r="K40" s="133"/>
      <c r="L40" s="37"/>
      <c r="M40" s="133"/>
      <c r="N40" s="37"/>
      <c r="T40" s="37"/>
      <c r="U40" s="36"/>
      <c r="V40" s="662"/>
      <c r="W40" s="274"/>
      <c r="X40" s="36"/>
    </row>
    <row r="41" spans="2:24" ht="15.6" x14ac:dyDescent="0.3">
      <c r="B41"/>
      <c r="C41"/>
      <c r="D41"/>
      <c r="E41"/>
      <c r="F41"/>
      <c r="G41"/>
      <c r="H41"/>
      <c r="I41" s="133"/>
      <c r="J41" s="133"/>
      <c r="K41" s="133"/>
      <c r="L41" s="37"/>
      <c r="M41" s="133"/>
      <c r="N41" s="37"/>
      <c r="T41" s="37"/>
      <c r="U41" s="36"/>
      <c r="V41" s="662"/>
      <c r="W41" s="274"/>
      <c r="X41" s="36"/>
    </row>
    <row r="42" spans="2:24" ht="15.6" x14ac:dyDescent="0.3">
      <c r="B42"/>
      <c r="C42"/>
      <c r="D42"/>
      <c r="E42"/>
      <c r="F42"/>
      <c r="G42"/>
      <c r="H42"/>
      <c r="I42" s="133"/>
      <c r="J42" s="133"/>
      <c r="K42" s="133"/>
      <c r="L42" s="37"/>
      <c r="M42" s="133"/>
      <c r="N42" s="37"/>
      <c r="T42" s="37"/>
      <c r="U42" s="36"/>
      <c r="V42" s="662"/>
      <c r="W42" s="274"/>
      <c r="X42" s="36"/>
    </row>
    <row r="43" spans="2:24" ht="15.6" x14ac:dyDescent="0.3">
      <c r="B43"/>
      <c r="C43"/>
      <c r="D43"/>
      <c r="E43"/>
      <c r="F43"/>
      <c r="G43"/>
      <c r="H43"/>
      <c r="I43" s="133"/>
      <c r="J43" s="133"/>
      <c r="K43" s="133"/>
      <c r="L43" s="37"/>
      <c r="M43" s="133"/>
      <c r="N43" s="37"/>
      <c r="U43" s="36"/>
      <c r="V43" s="36"/>
      <c r="W43" s="36"/>
      <c r="X43" s="36"/>
    </row>
    <row r="44" spans="2:24" ht="15.6" x14ac:dyDescent="0.3">
      <c r="B44"/>
      <c r="C44"/>
      <c r="D44"/>
      <c r="E44"/>
      <c r="F44"/>
      <c r="G44"/>
      <c r="H44"/>
      <c r="I44" s="133"/>
      <c r="J44" s="133"/>
      <c r="K44" s="133"/>
      <c r="L44" s="37"/>
      <c r="M44" s="133"/>
      <c r="N44" s="37"/>
      <c r="U44" s="36"/>
      <c r="V44" s="36"/>
      <c r="W44" s="275"/>
      <c r="X44" s="36"/>
    </row>
    <row r="45" spans="2:24" ht="15.6" x14ac:dyDescent="0.3">
      <c r="B45"/>
      <c r="C45"/>
      <c r="D45"/>
      <c r="E45"/>
      <c r="F45"/>
      <c r="G45"/>
      <c r="H45"/>
      <c r="I45" s="133"/>
      <c r="J45" s="133"/>
      <c r="K45" s="133"/>
      <c r="L45" s="37"/>
      <c r="M45" s="133"/>
      <c r="N45" s="37"/>
      <c r="U45" s="36"/>
      <c r="V45" s="36"/>
      <c r="W45" s="36"/>
      <c r="X45" s="36"/>
    </row>
    <row r="46" spans="2:24" ht="15.6" x14ac:dyDescent="0.3">
      <c r="B46"/>
      <c r="C46"/>
      <c r="D46"/>
      <c r="E46"/>
      <c r="F46"/>
      <c r="G46"/>
      <c r="H46"/>
      <c r="I46" s="133"/>
      <c r="J46" s="133"/>
      <c r="M46" s="36"/>
    </row>
    <row r="47" spans="2:24" ht="15.6" x14ac:dyDescent="0.3">
      <c r="B47"/>
      <c r="C47"/>
      <c r="D47"/>
      <c r="E47"/>
      <c r="F47"/>
      <c r="G47"/>
      <c r="H47"/>
      <c r="I47" s="133"/>
      <c r="J47" s="133"/>
      <c r="K47" s="133"/>
      <c r="M47" s="133"/>
    </row>
    <row r="48" spans="2:24" ht="15.6" x14ac:dyDescent="0.3">
      <c r="B48"/>
      <c r="C48"/>
      <c r="D48"/>
      <c r="E48"/>
      <c r="F48"/>
      <c r="G48"/>
      <c r="H48"/>
    </row>
    <row r="49" spans="2:8" ht="15.6" x14ac:dyDescent="0.3">
      <c r="B49"/>
      <c r="C49"/>
      <c r="D49"/>
      <c r="E49"/>
      <c r="F49"/>
      <c r="G49"/>
      <c r="H49"/>
    </row>
    <row r="50" spans="2:8" ht="15.6" x14ac:dyDescent="0.3">
      <c r="B50"/>
      <c r="C50"/>
      <c r="D50"/>
      <c r="E50"/>
      <c r="F50"/>
      <c r="G50"/>
      <c r="H50"/>
    </row>
    <row r="51" spans="2:8" ht="15.6" x14ac:dyDescent="0.3">
      <c r="B51"/>
      <c r="C51"/>
      <c r="D51"/>
      <c r="E51"/>
      <c r="F51"/>
      <c r="G51"/>
      <c r="H51"/>
    </row>
  </sheetData>
  <mergeCells count="6">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zoomScale="80" zoomScaleNormal="80" workbookViewId="0">
      <selection activeCell="K14" sqref="K14"/>
    </sheetView>
  </sheetViews>
  <sheetFormatPr defaultColWidth="8.90625" defaultRowHeight="15.6" x14ac:dyDescent="0.3"/>
  <cols>
    <col min="1" max="1" width="8.90625" style="3"/>
    <col min="2" max="2" width="10.6328125" style="3" customWidth="1"/>
    <col min="3" max="3" width="9.08984375" style="3" customWidth="1"/>
    <col min="4" max="4" width="17.453125" style="3" customWidth="1"/>
    <col min="5" max="5" width="13.1796875" style="3" customWidth="1"/>
    <col min="6" max="6" width="13.453125" style="3" bestFit="1" customWidth="1"/>
    <col min="7" max="8" width="11.1796875" style="3" customWidth="1"/>
    <col min="9" max="9" width="12.453125" style="3" customWidth="1"/>
    <col min="10" max="10" width="13.08984375" style="3" bestFit="1" customWidth="1"/>
    <col min="11" max="11" width="14.54296875" style="3" customWidth="1"/>
    <col min="12" max="12" width="12.90625" style="3" bestFit="1" customWidth="1"/>
    <col min="13" max="16384" width="8.90625" style="3"/>
  </cols>
  <sheetData>
    <row r="1" spans="1:14" ht="17.399999999999999" x14ac:dyDescent="0.3">
      <c r="B1" s="732" t="s">
        <v>5</v>
      </c>
      <c r="C1" s="732"/>
      <c r="D1" s="732"/>
      <c r="E1" s="732"/>
      <c r="F1" s="732"/>
      <c r="G1" s="732"/>
      <c r="H1" s="732"/>
      <c r="I1" s="732"/>
      <c r="J1" s="732"/>
      <c r="K1" s="732"/>
    </row>
    <row r="2" spans="1:14" ht="18" x14ac:dyDescent="0.35">
      <c r="B2" s="719" t="s">
        <v>315</v>
      </c>
      <c r="C2" s="719"/>
      <c r="D2" s="719"/>
      <c r="E2" s="719"/>
      <c r="F2" s="719"/>
      <c r="G2" s="719"/>
      <c r="H2" s="719"/>
      <c r="I2" s="719"/>
      <c r="J2" s="719"/>
      <c r="K2" s="719"/>
    </row>
    <row r="3" spans="1:14" ht="18" x14ac:dyDescent="0.35">
      <c r="B3" s="719" t="str">
        <f>CONCATENATE("For Service Rendered On and After ",'Input Data'!$D$4)</f>
        <v>For Service Rendered On and After May 1, 2021</v>
      </c>
      <c r="C3" s="719"/>
      <c r="D3" s="719"/>
      <c r="E3" s="719"/>
      <c r="F3" s="719"/>
      <c r="G3" s="719"/>
      <c r="H3" s="719"/>
      <c r="I3" s="719"/>
      <c r="J3" s="719"/>
      <c r="K3" s="719"/>
    </row>
    <row r="5" spans="1:14" x14ac:dyDescent="0.3">
      <c r="C5" s="265"/>
      <c r="D5" s="265"/>
      <c r="E5" s="265"/>
      <c r="F5" s="468"/>
      <c r="G5" s="468"/>
      <c r="H5" s="468"/>
      <c r="I5" s="468"/>
      <c r="J5" s="468"/>
      <c r="K5" s="468"/>
      <c r="L5" s="265"/>
      <c r="M5" s="265"/>
      <c r="N5" s="265"/>
    </row>
    <row r="6" spans="1:14" x14ac:dyDescent="0.3">
      <c r="A6" s="16" t="s">
        <v>116</v>
      </c>
      <c r="B6" s="649" t="str">
        <f>VLOOKUP(B16,'Case Database'!$A$2:$F$200,3,FALSE)</f>
        <v>2019-00436</v>
      </c>
    </row>
    <row r="7" spans="1:14" ht="15.75" customHeight="1" x14ac:dyDescent="0.4">
      <c r="G7" s="660"/>
      <c r="L7" s="660" t="s">
        <v>626</v>
      </c>
    </row>
    <row r="8" spans="1:14" x14ac:dyDescent="0.3">
      <c r="B8" s="210"/>
      <c r="C8" s="210"/>
      <c r="D8" s="210"/>
      <c r="E8" s="210"/>
      <c r="F8" s="208"/>
      <c r="G8" s="210"/>
      <c r="H8" s="210"/>
      <c r="I8" s="210"/>
      <c r="J8" s="210"/>
      <c r="K8" s="210"/>
    </row>
    <row r="9" spans="1:14" x14ac:dyDescent="0.3">
      <c r="B9" s="210"/>
      <c r="C9" s="210"/>
      <c r="D9" s="795" t="s">
        <v>290</v>
      </c>
      <c r="E9" s="795"/>
      <c r="F9" s="795"/>
      <c r="G9" s="795" t="s">
        <v>291</v>
      </c>
      <c r="H9" s="795"/>
      <c r="I9" s="795"/>
      <c r="J9" s="211" t="s">
        <v>30</v>
      </c>
      <c r="K9" s="211"/>
    </row>
    <row r="10" spans="1:14" ht="16.5" customHeight="1" x14ac:dyDescent="0.3">
      <c r="A10" s="645" t="s">
        <v>323</v>
      </c>
      <c r="B10" s="210"/>
      <c r="C10" s="210"/>
      <c r="D10" s="211" t="s">
        <v>375</v>
      </c>
      <c r="E10" s="212" t="s">
        <v>114</v>
      </c>
      <c r="F10" s="212" t="s">
        <v>289</v>
      </c>
      <c r="G10" s="211" t="s">
        <v>90</v>
      </c>
      <c r="H10" s="211" t="s">
        <v>280</v>
      </c>
      <c r="I10" s="212" t="s">
        <v>289</v>
      </c>
      <c r="J10" s="211" t="s">
        <v>345</v>
      </c>
      <c r="K10" s="211"/>
    </row>
    <row r="11" spans="1:14" x14ac:dyDescent="0.3">
      <c r="A11" s="647" t="s">
        <v>324</v>
      </c>
      <c r="B11" s="213"/>
      <c r="C11" s="213"/>
      <c r="D11" s="214" t="s">
        <v>376</v>
      </c>
      <c r="E11" s="215" t="s">
        <v>287</v>
      </c>
      <c r="F11" s="215" t="s">
        <v>288</v>
      </c>
      <c r="G11" s="214" t="s">
        <v>280</v>
      </c>
      <c r="H11" s="214" t="s">
        <v>287</v>
      </c>
      <c r="I11" s="215" t="s">
        <v>288</v>
      </c>
      <c r="J11" s="214" t="s">
        <v>281</v>
      </c>
      <c r="K11" s="214" t="s">
        <v>304</v>
      </c>
    </row>
    <row r="12" spans="1:14" x14ac:dyDescent="0.3">
      <c r="A12" s="645"/>
      <c r="B12" s="210"/>
      <c r="C12" s="210"/>
      <c r="D12" s="216" t="s">
        <v>60</v>
      </c>
      <c r="E12" s="216" t="s">
        <v>61</v>
      </c>
      <c r="F12" s="216" t="s">
        <v>494</v>
      </c>
      <c r="G12" s="216" t="s">
        <v>63</v>
      </c>
      <c r="H12" s="216" t="s">
        <v>64</v>
      </c>
      <c r="I12" s="216" t="s">
        <v>491</v>
      </c>
      <c r="J12" s="216" t="s">
        <v>317</v>
      </c>
      <c r="K12" s="216" t="s">
        <v>318</v>
      </c>
    </row>
    <row r="13" spans="1:14" x14ac:dyDescent="0.3">
      <c r="A13" s="645"/>
      <c r="B13" s="210"/>
      <c r="C13" s="210"/>
    </row>
    <row r="14" spans="1:14" x14ac:dyDescent="0.3">
      <c r="A14" s="645">
        <v>1</v>
      </c>
      <c r="D14" s="217"/>
      <c r="E14" s="217"/>
      <c r="F14" s="218"/>
      <c r="G14" s="217"/>
      <c r="H14" s="217"/>
      <c r="I14" s="217"/>
      <c r="J14" s="219" t="s">
        <v>272</v>
      </c>
      <c r="K14" s="262">
        <f>'Input Data'!D195</f>
        <v>1996732</v>
      </c>
      <c r="L14" s="96"/>
    </row>
    <row r="15" spans="1:14" x14ac:dyDescent="0.3">
      <c r="A15" s="645"/>
      <c r="C15" s="219"/>
      <c r="D15" s="217"/>
      <c r="E15" s="217"/>
      <c r="F15" s="218"/>
      <c r="G15" s="217"/>
      <c r="H15" s="217"/>
      <c r="I15" s="217"/>
      <c r="J15" s="217"/>
      <c r="K15" s="220"/>
    </row>
    <row r="16" spans="1:14" x14ac:dyDescent="0.3">
      <c r="A16" s="645">
        <v>2</v>
      </c>
      <c r="B16" s="221">
        <f>'Input Data'!C11</f>
        <v>43862</v>
      </c>
      <c r="C16" s="221" t="s">
        <v>366</v>
      </c>
      <c r="D16" s="56">
        <f>VLOOKUP($B16,'Sales Volumes'!$A$1:$H$500,4,FALSE)</f>
        <v>2360944.1</v>
      </c>
      <c r="E16" s="663">
        <f>'Input Data'!D196</f>
        <v>6.3500000000000001E-2</v>
      </c>
      <c r="F16" s="262">
        <f t="shared" ref="F16:F28" si="0">ROUND(D16*E16,2)</f>
        <v>149919.95000000001</v>
      </c>
      <c r="G16" s="222">
        <f>VLOOKUP($B16,'Sales Volumes'!$A$1:$H$500,5,FALSE)</f>
        <v>24878.199999999997</v>
      </c>
      <c r="H16" s="223">
        <f>'Input Data'!D197</f>
        <v>2.06E-2</v>
      </c>
      <c r="I16" s="220">
        <f t="shared" ref="I16:I28" si="1">ROUND(G16*H16,2)</f>
        <v>512.49</v>
      </c>
      <c r="J16" s="262">
        <f>+F16+I16</f>
        <v>150432.44</v>
      </c>
      <c r="K16" s="262">
        <f>+K14-J16</f>
        <v>1846299.56</v>
      </c>
      <c r="L16" s="220"/>
    </row>
    <row r="17" spans="1:11" x14ac:dyDescent="0.3">
      <c r="A17" s="645">
        <v>3</v>
      </c>
      <c r="B17" s="221">
        <f>EDATE(B16,1)</f>
        <v>43891</v>
      </c>
      <c r="C17" s="221"/>
      <c r="D17" s="56">
        <f>VLOOKUP($B17,'Sales Volumes'!$A$1:$H$500,2,FALSE)</f>
        <v>4167631.8</v>
      </c>
      <c r="E17" s="223">
        <f>$E$16</f>
        <v>6.3500000000000001E-2</v>
      </c>
      <c r="F17" s="262">
        <f t="shared" si="0"/>
        <v>264644.62</v>
      </c>
      <c r="G17" s="222">
        <f>VLOOKUP($B17,'Sales Volumes'!$A$1:$H$500,5,FALSE)</f>
        <v>30252.1</v>
      </c>
      <c r="H17" s="223">
        <f>$H$16</f>
        <v>2.06E-2</v>
      </c>
      <c r="I17" s="220">
        <f t="shared" si="1"/>
        <v>623.19000000000005</v>
      </c>
      <c r="J17" s="262">
        <f>+F17+I17</f>
        <v>265267.81</v>
      </c>
      <c r="K17" s="262">
        <f>+K16-J17</f>
        <v>1581031.75</v>
      </c>
    </row>
    <row r="18" spans="1:11" x14ac:dyDescent="0.3">
      <c r="A18" s="645">
        <v>4</v>
      </c>
      <c r="B18" s="221">
        <f t="shared" ref="B18:B28" si="2">EDATE(B17,1)</f>
        <v>43922</v>
      </c>
      <c r="C18" s="221"/>
      <c r="D18" s="56">
        <f>VLOOKUP($B18,'Sales Volumes'!$A$1:$H$500,2,FALSE)</f>
        <v>2380089.7000000002</v>
      </c>
      <c r="E18" s="223">
        <f t="shared" ref="E18:E28" si="3">$E$16</f>
        <v>6.3500000000000001E-2</v>
      </c>
      <c r="F18" s="262">
        <f t="shared" si="0"/>
        <v>151135.70000000001</v>
      </c>
      <c r="G18" s="222">
        <f>VLOOKUP($B18,'Sales Volumes'!$A$1:$H$500,5,FALSE)</f>
        <v>55664.100000000006</v>
      </c>
      <c r="H18" s="223">
        <f t="shared" ref="H18:H28" si="4">$H$16</f>
        <v>2.06E-2</v>
      </c>
      <c r="I18" s="220">
        <f t="shared" si="1"/>
        <v>1146.68</v>
      </c>
      <c r="J18" s="262">
        <f t="shared" ref="J18:J28" si="5">+F18+I18</f>
        <v>152282.38</v>
      </c>
      <c r="K18" s="262">
        <f>+K17-J18</f>
        <v>1428749.37</v>
      </c>
    </row>
    <row r="19" spans="1:11" x14ac:dyDescent="0.3">
      <c r="A19" s="645">
        <v>5</v>
      </c>
      <c r="B19" s="221">
        <f t="shared" si="2"/>
        <v>43952</v>
      </c>
      <c r="C19" s="221"/>
      <c r="D19" s="56">
        <f>VLOOKUP($B19,'Sales Volumes'!$A$1:$H$500,2,FALSE)</f>
        <v>1668456.8</v>
      </c>
      <c r="E19" s="223">
        <f t="shared" si="3"/>
        <v>6.3500000000000001E-2</v>
      </c>
      <c r="F19" s="262">
        <f t="shared" si="0"/>
        <v>105947.01</v>
      </c>
      <c r="G19" s="222">
        <f>VLOOKUP($B19,'Sales Volumes'!$A$1:$H$500,5,FALSE)</f>
        <v>39270.19999999999</v>
      </c>
      <c r="H19" s="223">
        <f t="shared" si="4"/>
        <v>2.06E-2</v>
      </c>
      <c r="I19" s="220">
        <f t="shared" si="1"/>
        <v>808.97</v>
      </c>
      <c r="J19" s="262">
        <f t="shared" si="5"/>
        <v>106755.98</v>
      </c>
      <c r="K19" s="262">
        <f t="shared" ref="K19:K27" si="6">+K18-J19</f>
        <v>1321993.3900000001</v>
      </c>
    </row>
    <row r="20" spans="1:11" x14ac:dyDescent="0.3">
      <c r="A20" s="645">
        <v>6</v>
      </c>
      <c r="B20" s="221">
        <f t="shared" si="2"/>
        <v>43983</v>
      </c>
      <c r="C20" s="221"/>
      <c r="D20" s="56">
        <f>VLOOKUP($B20,'Sales Volumes'!$A$1:$H$500,2,FALSE)</f>
        <v>937602.9</v>
      </c>
      <c r="E20" s="223">
        <f t="shared" si="3"/>
        <v>6.3500000000000001E-2</v>
      </c>
      <c r="F20" s="262">
        <f t="shared" si="0"/>
        <v>59537.78</v>
      </c>
      <c r="G20" s="222">
        <f>VLOOKUP($B20,'Sales Volumes'!$A$1:$H$500,5,FALSE)</f>
        <v>39270.199999999997</v>
      </c>
      <c r="H20" s="223">
        <f t="shared" si="4"/>
        <v>2.06E-2</v>
      </c>
      <c r="I20" s="220">
        <f t="shared" si="1"/>
        <v>808.97</v>
      </c>
      <c r="J20" s="262">
        <f t="shared" si="5"/>
        <v>60346.75</v>
      </c>
      <c r="K20" s="262">
        <f t="shared" si="6"/>
        <v>1261646.6400000001</v>
      </c>
    </row>
    <row r="21" spans="1:11" x14ac:dyDescent="0.3">
      <c r="A21" s="645">
        <v>7</v>
      </c>
      <c r="B21" s="221">
        <f t="shared" si="2"/>
        <v>44013</v>
      </c>
      <c r="C21" s="221"/>
      <c r="D21" s="56">
        <f>VLOOKUP($B21,'Sales Volumes'!$A$1:$H$500,2,FALSE)</f>
        <v>687225.60000000009</v>
      </c>
      <c r="E21" s="223">
        <f t="shared" si="3"/>
        <v>6.3500000000000001E-2</v>
      </c>
      <c r="F21" s="262">
        <f t="shared" si="0"/>
        <v>43638.83</v>
      </c>
      <c r="G21" s="222">
        <f>VLOOKUP($B21,'Sales Volumes'!$A$1:$H$500,5,FALSE)</f>
        <v>49416.5</v>
      </c>
      <c r="H21" s="223">
        <f t="shared" si="4"/>
        <v>2.06E-2</v>
      </c>
      <c r="I21" s="220">
        <f t="shared" si="1"/>
        <v>1017.98</v>
      </c>
      <c r="J21" s="262">
        <f t="shared" si="5"/>
        <v>44656.810000000005</v>
      </c>
      <c r="K21" s="262">
        <f t="shared" si="6"/>
        <v>1216989.83</v>
      </c>
    </row>
    <row r="22" spans="1:11" x14ac:dyDescent="0.3">
      <c r="A22" s="645">
        <v>8</v>
      </c>
      <c r="B22" s="221">
        <f t="shared" si="2"/>
        <v>44044</v>
      </c>
      <c r="C22" s="221"/>
      <c r="D22" s="56">
        <f>VLOOKUP($B22,'Sales Volumes'!$A$1:$H$500,2,FALSE)</f>
        <v>630697.30000000005</v>
      </c>
      <c r="E22" s="223">
        <f t="shared" si="3"/>
        <v>6.3500000000000001E-2</v>
      </c>
      <c r="F22" s="262">
        <f t="shared" si="0"/>
        <v>40049.279999999999</v>
      </c>
      <c r="G22" s="222">
        <f>VLOOKUP($B22,'Sales Volumes'!$A$1:$H$500,5,FALSE)</f>
        <v>30957.200000000001</v>
      </c>
      <c r="H22" s="223">
        <f t="shared" si="4"/>
        <v>2.06E-2</v>
      </c>
      <c r="I22" s="220">
        <f t="shared" si="1"/>
        <v>637.72</v>
      </c>
      <c r="J22" s="262">
        <f t="shared" si="5"/>
        <v>40687</v>
      </c>
      <c r="K22" s="262">
        <f t="shared" si="6"/>
        <v>1176302.83</v>
      </c>
    </row>
    <row r="23" spans="1:11" x14ac:dyDescent="0.3">
      <c r="A23" s="645">
        <v>9</v>
      </c>
      <c r="B23" s="221">
        <f t="shared" si="2"/>
        <v>44075</v>
      </c>
      <c r="C23" s="221"/>
      <c r="D23" s="56">
        <f>VLOOKUP($B23,'Sales Volumes'!$A$1:$H$500,2,FALSE)</f>
        <v>670179.9</v>
      </c>
      <c r="E23" s="223">
        <f t="shared" si="3"/>
        <v>6.3500000000000001E-2</v>
      </c>
      <c r="F23" s="262">
        <f t="shared" si="0"/>
        <v>42556.42</v>
      </c>
      <c r="G23" s="222">
        <f>VLOOKUP($B23,'Sales Volumes'!$A$1:$H$500,5,FALSE)</f>
        <v>54045.3</v>
      </c>
      <c r="H23" s="223">
        <f t="shared" si="4"/>
        <v>2.06E-2</v>
      </c>
      <c r="I23" s="220">
        <f t="shared" si="1"/>
        <v>1113.33</v>
      </c>
      <c r="J23" s="262">
        <f t="shared" si="5"/>
        <v>43669.75</v>
      </c>
      <c r="K23" s="262">
        <f t="shared" si="6"/>
        <v>1132633.08</v>
      </c>
    </row>
    <row r="24" spans="1:11" x14ac:dyDescent="0.3">
      <c r="A24" s="645">
        <v>10</v>
      </c>
      <c r="B24" s="221">
        <f t="shared" si="2"/>
        <v>44105</v>
      </c>
      <c r="C24" s="221"/>
      <c r="D24" s="56">
        <f>VLOOKUP($B24,'Sales Volumes'!$A$1:$H$500,2,FALSE)</f>
        <v>953506.2</v>
      </c>
      <c r="E24" s="223">
        <f t="shared" si="3"/>
        <v>6.3500000000000001E-2</v>
      </c>
      <c r="F24" s="262">
        <f t="shared" si="0"/>
        <v>60547.64</v>
      </c>
      <c r="G24" s="222">
        <f>VLOOKUP($B24,'Sales Volumes'!$A$1:$H$500,5,FALSE)</f>
        <v>66050.899999999994</v>
      </c>
      <c r="H24" s="223">
        <f t="shared" si="4"/>
        <v>2.06E-2</v>
      </c>
      <c r="I24" s="220">
        <f t="shared" si="1"/>
        <v>1360.65</v>
      </c>
      <c r="J24" s="262">
        <f t="shared" si="5"/>
        <v>61908.29</v>
      </c>
      <c r="K24" s="262">
        <f t="shared" si="6"/>
        <v>1070724.79</v>
      </c>
    </row>
    <row r="25" spans="1:11" x14ac:dyDescent="0.3">
      <c r="A25" s="645">
        <v>11</v>
      </c>
      <c r="B25" s="221">
        <f t="shared" si="2"/>
        <v>44136</v>
      </c>
      <c r="C25" s="221"/>
      <c r="D25" s="56">
        <f>VLOOKUP($B25,'Sales Volumes'!$A$1:$H$500,2,FALSE)</f>
        <v>1919239</v>
      </c>
      <c r="E25" s="223">
        <f t="shared" si="3"/>
        <v>6.3500000000000001E-2</v>
      </c>
      <c r="F25" s="262">
        <f t="shared" si="0"/>
        <v>121871.67999999999</v>
      </c>
      <c r="G25" s="222">
        <f>VLOOKUP($B25,'Sales Volumes'!$A$1:$H$500,5,FALSE)</f>
        <v>74502</v>
      </c>
      <c r="H25" s="223">
        <f t="shared" si="4"/>
        <v>2.06E-2</v>
      </c>
      <c r="I25" s="220">
        <f t="shared" si="1"/>
        <v>1534.74</v>
      </c>
      <c r="J25" s="262">
        <f t="shared" si="5"/>
        <v>123406.42</v>
      </c>
      <c r="K25" s="262">
        <f t="shared" si="6"/>
        <v>947318.37</v>
      </c>
    </row>
    <row r="26" spans="1:11" x14ac:dyDescent="0.3">
      <c r="A26" s="645">
        <v>12</v>
      </c>
      <c r="B26" s="221">
        <f t="shared" si="2"/>
        <v>44166</v>
      </c>
      <c r="C26" s="221"/>
      <c r="D26" s="56">
        <f>VLOOKUP($B26,'Sales Volumes'!$A$1:$H$500,2,FALSE)</f>
        <v>3979897.4</v>
      </c>
      <c r="E26" s="223">
        <f t="shared" si="3"/>
        <v>6.3500000000000001E-2</v>
      </c>
      <c r="F26" s="262">
        <f t="shared" si="0"/>
        <v>252723.48</v>
      </c>
      <c r="G26" s="222">
        <f>VLOOKUP($B26,'Sales Volumes'!$A$1:$H$500,5,FALSE)</f>
        <v>71473.600000000006</v>
      </c>
      <c r="H26" s="223">
        <f t="shared" si="4"/>
        <v>2.06E-2</v>
      </c>
      <c r="I26" s="220">
        <f t="shared" si="1"/>
        <v>1472.36</v>
      </c>
      <c r="J26" s="262">
        <f t="shared" si="5"/>
        <v>254195.84</v>
      </c>
      <c r="K26" s="262">
        <f t="shared" si="6"/>
        <v>693122.53</v>
      </c>
    </row>
    <row r="27" spans="1:11" x14ac:dyDescent="0.3">
      <c r="A27" s="645">
        <v>13</v>
      </c>
      <c r="B27" s="221">
        <f t="shared" si="2"/>
        <v>44197</v>
      </c>
      <c r="C27" s="221"/>
      <c r="D27" s="56">
        <f>VLOOKUP($B27,'Sales Volumes'!$A$1:$H$500,2,FALSE)</f>
        <v>5828853.2000000002</v>
      </c>
      <c r="E27" s="223">
        <f t="shared" si="3"/>
        <v>6.3500000000000001E-2</v>
      </c>
      <c r="F27" s="262">
        <f t="shared" si="0"/>
        <v>370132.18</v>
      </c>
      <c r="G27" s="222">
        <f>VLOOKUP($B27,'Sales Volumes'!$A$1:$H$500,5,FALSE)</f>
        <v>44430.3</v>
      </c>
      <c r="H27" s="223">
        <f t="shared" si="4"/>
        <v>2.06E-2</v>
      </c>
      <c r="I27" s="220">
        <f t="shared" si="1"/>
        <v>915.26</v>
      </c>
      <c r="J27" s="262">
        <f t="shared" si="5"/>
        <v>371047.44</v>
      </c>
      <c r="K27" s="161">
        <f t="shared" si="6"/>
        <v>322075.09000000003</v>
      </c>
    </row>
    <row r="28" spans="1:11" x14ac:dyDescent="0.3">
      <c r="A28" s="645">
        <v>14</v>
      </c>
      <c r="B28" s="221">
        <f t="shared" si="2"/>
        <v>44228</v>
      </c>
      <c r="C28" s="221" t="s">
        <v>366</v>
      </c>
      <c r="D28" s="222">
        <f>VLOOKUP($B28,'Sales Volumes'!$A$1:$H$500,3,FALSE)</f>
        <v>3239192.3</v>
      </c>
      <c r="E28" s="223">
        <f t="shared" si="3"/>
        <v>6.3500000000000001E-2</v>
      </c>
      <c r="F28" s="263">
        <f t="shared" si="0"/>
        <v>205688.71</v>
      </c>
      <c r="G28" s="222"/>
      <c r="H28" s="223">
        <f t="shared" si="4"/>
        <v>2.06E-2</v>
      </c>
      <c r="I28" s="224">
        <f t="shared" si="1"/>
        <v>0</v>
      </c>
      <c r="J28" s="263">
        <f t="shared" si="5"/>
        <v>205688.71</v>
      </c>
      <c r="K28" s="161">
        <f>K27-J28</f>
        <v>116386.38000000003</v>
      </c>
    </row>
    <row r="29" spans="1:11" ht="16.2" thickBot="1" x14ac:dyDescent="0.35">
      <c r="A29" s="645"/>
      <c r="B29" s="225"/>
      <c r="C29" s="225"/>
      <c r="D29" s="226">
        <f>SUM(D16:D28)</f>
        <v>29423516.200000003</v>
      </c>
      <c r="E29" s="227"/>
      <c r="F29" s="264">
        <f>SUM(F16:F28)</f>
        <v>1868393.28</v>
      </c>
      <c r="G29" s="226">
        <f>SUM(G16:G28)</f>
        <v>580210.6</v>
      </c>
      <c r="H29" s="228"/>
      <c r="I29" s="264">
        <f>SUM(I16:I28)</f>
        <v>11952.340000000002</v>
      </c>
      <c r="J29" s="264">
        <f>SUM(J16:J28)</f>
        <v>1880345.62</v>
      </c>
      <c r="K29" s="264"/>
    </row>
    <row r="30" spans="1:11" ht="16.2" thickTop="1" x14ac:dyDescent="0.3">
      <c r="A30" s="645"/>
      <c r="B30" s="225"/>
      <c r="C30" s="225"/>
      <c r="D30" s="225"/>
      <c r="E30" s="225"/>
      <c r="F30" s="225"/>
      <c r="G30" s="225"/>
      <c r="H30" s="225"/>
    </row>
    <row r="31" spans="1:11" x14ac:dyDescent="0.3">
      <c r="A31" s="645">
        <v>15</v>
      </c>
      <c r="B31" s="225"/>
      <c r="C31" s="225"/>
      <c r="D31" s="225"/>
      <c r="E31" s="225"/>
      <c r="F31" s="225"/>
      <c r="G31" s="225"/>
      <c r="H31" s="225"/>
      <c r="I31" s="219" t="s">
        <v>446</v>
      </c>
      <c r="J31" s="161">
        <f>K28</f>
        <v>116386.38000000003</v>
      </c>
    </row>
    <row r="32" spans="1:11" x14ac:dyDescent="0.3">
      <c r="B32" s="225"/>
      <c r="C32" s="225"/>
      <c r="D32" s="225"/>
      <c r="E32" s="225"/>
      <c r="F32" s="225"/>
      <c r="G32" s="225"/>
      <c r="H32" s="225"/>
      <c r="I32" s="225"/>
      <c r="J32" s="276"/>
      <c r="K32" s="225"/>
    </row>
    <row r="33" spans="2:11" x14ac:dyDescent="0.3">
      <c r="B33" s="225"/>
      <c r="C33" s="225"/>
    </row>
    <row r="34" spans="2:11" x14ac:dyDescent="0.3">
      <c r="B34" s="225"/>
      <c r="C34" s="225"/>
      <c r="I34" s="225"/>
      <c r="J34" s="225"/>
      <c r="K34" s="225"/>
    </row>
    <row r="35" spans="2:11" x14ac:dyDescent="0.3">
      <c r="B35" s="225"/>
      <c r="C35" s="225"/>
      <c r="I35" s="225"/>
      <c r="J35" s="225"/>
      <c r="K35" s="225"/>
    </row>
    <row r="36" spans="2:11" x14ac:dyDescent="0.3">
      <c r="B36" s="225"/>
      <c r="C36" s="225"/>
      <c r="I36" s="225"/>
      <c r="J36" s="225"/>
      <c r="K36" s="225"/>
    </row>
    <row r="37" spans="2:11" x14ac:dyDescent="0.3">
      <c r="B37" s="225"/>
      <c r="C37" s="225"/>
      <c r="D37" s="210" t="s">
        <v>282</v>
      </c>
      <c r="E37" s="210"/>
      <c r="F37" s="225"/>
      <c r="G37" s="225"/>
      <c r="H37" s="225"/>
      <c r="I37" s="225"/>
      <c r="J37" s="225"/>
      <c r="K37" s="225"/>
    </row>
    <row r="38" spans="2:11" x14ac:dyDescent="0.3">
      <c r="D38" s="225" t="s">
        <v>283</v>
      </c>
      <c r="E38" s="225"/>
      <c r="F38" s="225"/>
      <c r="G38" s="225"/>
      <c r="H38" s="225"/>
    </row>
    <row r="39" spans="2:11" x14ac:dyDescent="0.3">
      <c r="D39" s="225" t="s">
        <v>284</v>
      </c>
      <c r="E39" s="225"/>
      <c r="F39" s="225"/>
      <c r="G39" s="225"/>
      <c r="H39" s="225"/>
    </row>
    <row r="40" spans="2:11" x14ac:dyDescent="0.3">
      <c r="D40" s="225" t="s">
        <v>285</v>
      </c>
      <c r="E40" s="225"/>
      <c r="F40" s="225"/>
      <c r="G40" s="225"/>
      <c r="H40" s="225"/>
    </row>
    <row r="41" spans="2:11" x14ac:dyDescent="0.3">
      <c r="D41" s="225" t="s">
        <v>286</v>
      </c>
      <c r="E41" s="225"/>
      <c r="F41" s="225"/>
      <c r="G41" s="225"/>
      <c r="H41" s="225"/>
    </row>
  </sheetData>
  <mergeCells count="5">
    <mergeCell ref="B1:K1"/>
    <mergeCell ref="B2:K2"/>
    <mergeCell ref="D9:F9"/>
    <mergeCell ref="G9:I9"/>
    <mergeCell ref="B3:K3"/>
  </mergeCells>
  <printOptions horizontalCentered="1"/>
  <pageMargins left="0.63" right="0.63" top="1.49" bottom="0.75" header="0.3" footer="0.3"/>
  <pageSetup scale="77" orientation="landscape" r:id="rId1"/>
  <headerFooter>
    <oddFooter>&amp;R&amp;"Times New Roman,Bold"Exhibit E-1
Page 2 of 2</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tabColor rgb="FF00B050"/>
  </sheetPr>
  <dimension ref="B1:N17"/>
  <sheetViews>
    <sheetView topLeftCell="A7" zoomScaleNormal="100" workbookViewId="0">
      <selection activeCell="I17" sqref="I17"/>
    </sheetView>
  </sheetViews>
  <sheetFormatPr defaultColWidth="8.81640625" defaultRowHeight="15.6" x14ac:dyDescent="0.3"/>
  <cols>
    <col min="1" max="1" width="1.08984375" style="6" customWidth="1"/>
    <col min="2" max="2" width="16.81640625" style="6" customWidth="1"/>
    <col min="3" max="3" width="1.6328125" style="6" customWidth="1"/>
    <col min="4" max="4" width="12.1796875" style="6" customWidth="1"/>
    <col min="5" max="5" width="5.54296875" style="6" customWidth="1"/>
    <col min="6" max="6" width="1.6328125" style="6" customWidth="1"/>
    <col min="7" max="7" width="12.90625" style="6" customWidth="1"/>
    <col min="8" max="8" width="5.54296875" style="6" customWidth="1"/>
    <col min="9" max="9" width="1.6328125" style="6" customWidth="1"/>
    <col min="10" max="10" width="13.1796875" style="6" customWidth="1"/>
    <col min="11" max="11" width="5.54296875" style="6" customWidth="1"/>
    <col min="12" max="12" width="1.6328125" style="6" customWidth="1"/>
    <col min="13" max="13" width="13.90625" style="6" customWidth="1"/>
    <col min="14" max="14" width="5.54296875" style="6" customWidth="1"/>
    <col min="15" max="15" width="1.08984375" style="6" customWidth="1"/>
    <col min="16" max="16384" width="8.81640625" style="6"/>
  </cols>
  <sheetData>
    <row r="1" spans="2:14" x14ac:dyDescent="0.3">
      <c r="B1" s="738" t="s">
        <v>5</v>
      </c>
      <c r="C1" s="738"/>
      <c r="D1" s="738"/>
      <c r="E1" s="738"/>
      <c r="F1" s="738"/>
      <c r="G1" s="738"/>
      <c r="H1" s="738"/>
      <c r="I1" s="738"/>
      <c r="J1" s="738"/>
      <c r="K1" s="738"/>
      <c r="L1" s="738"/>
      <c r="M1" s="738"/>
      <c r="N1" s="738"/>
    </row>
    <row r="2" spans="2:14" x14ac:dyDescent="0.3">
      <c r="B2" s="597"/>
      <c r="C2" s="597"/>
      <c r="D2" s="597"/>
      <c r="E2" s="597"/>
      <c r="F2" s="597"/>
      <c r="G2" s="597"/>
      <c r="H2" s="597"/>
      <c r="I2" s="597"/>
      <c r="J2" s="597"/>
      <c r="K2" s="597"/>
      <c r="L2" s="597"/>
      <c r="M2" s="597"/>
      <c r="N2" s="597"/>
    </row>
    <row r="3" spans="2:14" x14ac:dyDescent="0.3">
      <c r="B3" s="738" t="str">
        <f>"Gas Supply Clause: " &amp;'Input Data'!C12</f>
        <v>Gas Supply Clause: 2021-00130</v>
      </c>
      <c r="C3" s="738"/>
      <c r="D3" s="738"/>
      <c r="E3" s="738"/>
      <c r="F3" s="738"/>
      <c r="G3" s="738"/>
      <c r="H3" s="738"/>
      <c r="I3" s="738"/>
      <c r="J3" s="738"/>
      <c r="K3" s="738"/>
      <c r="L3" s="738"/>
      <c r="M3" s="738"/>
      <c r="N3" s="738"/>
    </row>
    <row r="4" spans="2:14" x14ac:dyDescent="0.3">
      <c r="B4" s="738" t="s">
        <v>662</v>
      </c>
      <c r="C4" s="738"/>
      <c r="D4" s="738"/>
      <c r="E4" s="738"/>
      <c r="F4" s="738"/>
      <c r="G4" s="738"/>
      <c r="H4" s="738"/>
      <c r="I4" s="738"/>
      <c r="J4" s="738"/>
      <c r="K4" s="738"/>
      <c r="L4" s="738"/>
      <c r="M4" s="738"/>
      <c r="N4" s="738"/>
    </row>
    <row r="5" spans="2:14" x14ac:dyDescent="0.3">
      <c r="B5" s="738" t="s">
        <v>663</v>
      </c>
      <c r="C5" s="738"/>
      <c r="D5" s="738"/>
      <c r="E5" s="738"/>
      <c r="F5" s="738"/>
      <c r="G5" s="738"/>
      <c r="H5" s="738"/>
      <c r="I5" s="738"/>
      <c r="J5" s="738"/>
      <c r="K5" s="738"/>
      <c r="L5" s="738"/>
      <c r="M5" s="738"/>
      <c r="N5" s="738"/>
    </row>
    <row r="7" spans="2:14" s="700" customFormat="1" ht="77.400000000000006" customHeight="1" x14ac:dyDescent="0.3">
      <c r="B7" s="736" t="s">
        <v>737</v>
      </c>
      <c r="C7" s="736"/>
      <c r="D7" s="736"/>
      <c r="E7" s="736"/>
      <c r="F7" s="736"/>
      <c r="G7" s="736"/>
      <c r="H7" s="736"/>
      <c r="I7" s="736"/>
      <c r="J7" s="736"/>
      <c r="K7" s="736"/>
      <c r="L7" s="736"/>
      <c r="M7" s="736"/>
      <c r="N7" s="736"/>
    </row>
    <row r="9" spans="2:14" ht="31.2" customHeight="1" x14ac:dyDescent="0.3">
      <c r="B9" s="736" t="str">
        <f>"As shown in the following table, the charge (or credit) which will be effective for any customers transferring from an LG&amp;E sales rate to one of its transportation rates effective " &amp;'Input Data'!B208</f>
        <v>As shown in the following table, the charge (or credit) which will be effective for any customers transferring from an LG&amp;E sales rate to one of its transportation rates effective November 1, 2019 and November 1, 2020 is:</v>
      </c>
      <c r="C9" s="736"/>
      <c r="D9" s="736"/>
      <c r="E9" s="736"/>
      <c r="F9" s="736"/>
      <c r="G9" s="736"/>
      <c r="H9" s="736"/>
      <c r="I9" s="736"/>
      <c r="J9" s="736"/>
      <c r="K9" s="736"/>
      <c r="L9" s="736"/>
      <c r="M9" s="736"/>
      <c r="N9" s="736"/>
    </row>
    <row r="10" spans="2:14" ht="15.6" customHeight="1" x14ac:dyDescent="0.3">
      <c r="B10" s="697"/>
      <c r="C10" s="697"/>
      <c r="D10" s="697"/>
      <c r="E10" s="697"/>
      <c r="F10" s="697"/>
      <c r="G10" s="697"/>
      <c r="H10" s="697"/>
      <c r="I10" s="697"/>
      <c r="J10" s="697"/>
      <c r="K10" s="697"/>
      <c r="L10" s="697"/>
      <c r="M10" s="697"/>
      <c r="N10" s="697"/>
    </row>
    <row r="11" spans="2:14" ht="15.6" customHeight="1" x14ac:dyDescent="0.3">
      <c r="B11" s="697"/>
      <c r="C11" s="697"/>
      <c r="D11" s="697"/>
      <c r="E11" s="697"/>
      <c r="F11" s="697"/>
      <c r="G11" s="697"/>
      <c r="H11" s="697"/>
      <c r="I11" s="697"/>
      <c r="J11" s="697"/>
      <c r="K11" s="697"/>
      <c r="L11" s="697"/>
      <c r="M11" s="697"/>
      <c r="N11" s="697"/>
    </row>
    <row r="12" spans="2:14" ht="15.6" customHeight="1" x14ac:dyDescent="0.3">
      <c r="B12" s="697"/>
      <c r="C12" s="697"/>
      <c r="D12" s="697"/>
      <c r="E12" s="697"/>
      <c r="F12" s="697"/>
      <c r="G12" s="697"/>
      <c r="H12" s="697"/>
      <c r="I12" s="697"/>
      <c r="J12" s="697"/>
      <c r="K12" s="697"/>
      <c r="L12" s="697"/>
      <c r="M12" s="697"/>
      <c r="N12" s="697"/>
    </row>
    <row r="13" spans="2:14" ht="36" customHeight="1" x14ac:dyDescent="0.3">
      <c r="B13" s="599" t="s">
        <v>333</v>
      </c>
      <c r="C13" s="331"/>
      <c r="D13" s="796" t="s">
        <v>664</v>
      </c>
      <c r="E13" s="796"/>
      <c r="F13" s="600"/>
      <c r="G13" s="796" t="s">
        <v>666</v>
      </c>
      <c r="H13" s="796"/>
      <c r="I13" s="600"/>
      <c r="J13" s="796" t="s">
        <v>667</v>
      </c>
      <c r="K13" s="796"/>
      <c r="L13" s="600"/>
      <c r="M13" s="797" t="s">
        <v>30</v>
      </c>
      <c r="N13" s="797"/>
    </row>
    <row r="15" spans="2:14" x14ac:dyDescent="0.3">
      <c r="B15" s="627">
        <f>'Ex F-1 1 of 1'!B15</f>
        <v>43770</v>
      </c>
      <c r="D15" s="651">
        <f>'Ex F-1 1 of 1'!C15</f>
        <v>0</v>
      </c>
      <c r="E15" s="650" t="s">
        <v>665</v>
      </c>
      <c r="F15" s="650"/>
      <c r="G15" s="651">
        <f>'Ex F-1 1 of 1'!D15</f>
        <v>0</v>
      </c>
      <c r="H15" s="650" t="s">
        <v>665</v>
      </c>
      <c r="I15" s="650"/>
      <c r="J15" s="651">
        <f>'Ex F-1 1 of 1'!E15</f>
        <v>0</v>
      </c>
      <c r="K15" s="650" t="s">
        <v>665</v>
      </c>
      <c r="L15" s="650"/>
      <c r="M15" s="651">
        <f>'Ex F-1 1 of 1'!F15</f>
        <v>0</v>
      </c>
      <c r="N15" s="650" t="s">
        <v>665</v>
      </c>
    </row>
    <row r="16" spans="2:14" x14ac:dyDescent="0.3">
      <c r="B16" s="627"/>
    </row>
    <row r="17" spans="2:14" x14ac:dyDescent="0.3">
      <c r="B17" s="627">
        <f>'Ex F-1 1 of 1'!B17</f>
        <v>44136</v>
      </c>
      <c r="D17" s="651">
        <f>'Ex F-1 1 of 1'!C17</f>
        <v>3.15E-2</v>
      </c>
      <c r="E17" s="650" t="s">
        <v>665</v>
      </c>
      <c r="F17" s="650"/>
      <c r="G17" s="651">
        <f>'Ex F-1 1 of 1'!D17</f>
        <v>-4.58E-2</v>
      </c>
      <c r="H17" s="650" t="s">
        <v>665</v>
      </c>
      <c r="I17" s="650"/>
      <c r="J17" s="651">
        <f>'Ex F-1 1 of 1'!E17</f>
        <v>7.6700000000000004E-2</v>
      </c>
      <c r="K17" s="650" t="s">
        <v>665</v>
      </c>
      <c r="L17" s="650"/>
      <c r="M17" s="651">
        <f>'Ex F-1 1 of 1'!F17</f>
        <v>6.2400000000000004E-2</v>
      </c>
      <c r="N17" s="650" t="s">
        <v>665</v>
      </c>
    </row>
  </sheetData>
  <mergeCells count="10">
    <mergeCell ref="D13:E13"/>
    <mergeCell ref="G13:H13"/>
    <mergeCell ref="J13:K13"/>
    <mergeCell ref="M13:N13"/>
    <mergeCell ref="B7:N7"/>
    <mergeCell ref="B3:N3"/>
    <mergeCell ref="B4:N4"/>
    <mergeCell ref="B5:N5"/>
    <mergeCell ref="B1:N1"/>
    <mergeCell ref="B9:N9"/>
  </mergeCells>
  <pageMargins left="0.7" right="0.7" top="0.75" bottom="0.75" header="0.3" footer="0.3"/>
  <pageSetup scale="76" orientation="portrait" r:id="rId1"/>
  <headerFooter>
    <oddHeader xml:space="preserve">&amp;R&amp;"Times New Roman,Bold"Exhibit F&amp;"Helv,Bold"
</oddHead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heetViews>
  <sheetFormatPr defaultColWidth="8.90625" defaultRowHeight="15.6" x14ac:dyDescent="0.3"/>
  <cols>
    <col min="1" max="1" width="8.90625" style="3"/>
    <col min="2" max="2" width="26.08984375" style="3" customWidth="1"/>
    <col min="3" max="3" width="14.453125" style="3" customWidth="1"/>
    <col min="4" max="4" width="12.1796875" style="3" customWidth="1"/>
    <col min="5" max="5" width="13.453125" style="3" customWidth="1"/>
    <col min="6" max="6" width="12.54296875" style="3" customWidth="1"/>
    <col min="7" max="11" width="8.90625" style="3"/>
    <col min="12" max="12" width="10.36328125" style="3" customWidth="1"/>
    <col min="13" max="16384" width="8.90625" style="3"/>
  </cols>
  <sheetData>
    <row r="1" spans="1:16" ht="17.399999999999999" x14ac:dyDescent="0.3">
      <c r="B1" s="798" t="s">
        <v>5</v>
      </c>
      <c r="C1" s="798"/>
      <c r="D1" s="798"/>
      <c r="E1" s="798"/>
      <c r="F1" s="798"/>
    </row>
    <row r="2" spans="1:16" ht="18" x14ac:dyDescent="0.35">
      <c r="B2" s="181"/>
      <c r="C2" s="181"/>
      <c r="D2" s="181"/>
      <c r="E2" s="181"/>
      <c r="F2" s="181"/>
    </row>
    <row r="3" spans="1:16" ht="18" x14ac:dyDescent="0.35">
      <c r="B3" s="719" t="str">
        <f>CONCATENATE("Gas Supply Clause ", 'Input Data'!C12)</f>
        <v>Gas Supply Clause 2021-00130</v>
      </c>
      <c r="C3" s="719"/>
      <c r="D3" s="719"/>
      <c r="E3" s="719"/>
      <c r="F3" s="719"/>
    </row>
    <row r="4" spans="1:16" ht="18" x14ac:dyDescent="0.35">
      <c r="B4" s="719" t="s">
        <v>331</v>
      </c>
      <c r="C4" s="719"/>
      <c r="D4" s="719"/>
      <c r="E4" s="719"/>
      <c r="F4" s="719"/>
    </row>
    <row r="5" spans="1:16" ht="18" x14ac:dyDescent="0.35">
      <c r="B5" s="719" t="s">
        <v>332</v>
      </c>
      <c r="C5" s="719"/>
      <c r="D5" s="719"/>
      <c r="E5" s="719"/>
      <c r="F5" s="719"/>
    </row>
    <row r="6" spans="1:16" ht="18" x14ac:dyDescent="0.35">
      <c r="B6" s="719" t="str">
        <f>CONCATENATE("For Service Rendered On and After ",'Input Data'!$D$4)</f>
        <v>For Service Rendered On and After May 1, 2021</v>
      </c>
      <c r="C6" s="719"/>
      <c r="D6" s="719"/>
      <c r="E6" s="719"/>
      <c r="F6" s="719"/>
    </row>
    <row r="7" spans="1:16" x14ac:dyDescent="0.3">
      <c r="B7" s="645"/>
      <c r="C7" s="645"/>
      <c r="D7" s="645"/>
      <c r="E7" s="645"/>
      <c r="F7" s="645"/>
    </row>
    <row r="8" spans="1:16" x14ac:dyDescent="0.3">
      <c r="B8" s="645"/>
      <c r="C8" s="645"/>
      <c r="D8" s="645"/>
      <c r="E8" s="645"/>
      <c r="F8" s="645"/>
    </row>
    <row r="9" spans="1:16" x14ac:dyDescent="0.3">
      <c r="B9" s="645"/>
      <c r="C9" s="645"/>
      <c r="D9" s="645"/>
      <c r="E9" s="645"/>
      <c r="F9" s="645"/>
    </row>
    <row r="11" spans="1:16" ht="31.2" x14ac:dyDescent="0.3">
      <c r="A11" s="645"/>
      <c r="C11" s="111" t="s">
        <v>475</v>
      </c>
      <c r="D11" s="111" t="s">
        <v>475</v>
      </c>
      <c r="E11" s="111" t="s">
        <v>475</v>
      </c>
      <c r="I11" s="468"/>
      <c r="J11" s="468"/>
      <c r="K11" s="468"/>
      <c r="L11" s="468"/>
      <c r="M11" s="468"/>
      <c r="N11" s="468"/>
      <c r="O11" s="468"/>
      <c r="P11" s="468"/>
    </row>
    <row r="12" spans="1:16" x14ac:dyDescent="0.3">
      <c r="A12" s="647" t="s">
        <v>249</v>
      </c>
      <c r="B12" s="647" t="s">
        <v>333</v>
      </c>
      <c r="C12" s="647" t="s">
        <v>473</v>
      </c>
      <c r="D12" s="647" t="s">
        <v>474</v>
      </c>
      <c r="E12" s="647" t="s">
        <v>334</v>
      </c>
      <c r="F12" s="647" t="s">
        <v>335</v>
      </c>
      <c r="H12" s="468"/>
      <c r="I12" s="468"/>
      <c r="J12" s="468"/>
      <c r="K12" s="468"/>
      <c r="L12" s="468"/>
      <c r="M12" s="468"/>
      <c r="N12" s="468"/>
      <c r="O12" s="468"/>
      <c r="P12" s="468"/>
    </row>
    <row r="13" spans="1:16" x14ac:dyDescent="0.3">
      <c r="A13" s="645"/>
      <c r="B13" s="645" t="s">
        <v>60</v>
      </c>
      <c r="C13" s="645" t="s">
        <v>61</v>
      </c>
      <c r="D13" s="645" t="s">
        <v>62</v>
      </c>
      <c r="E13" s="645" t="s">
        <v>63</v>
      </c>
      <c r="F13" s="645" t="s">
        <v>495</v>
      </c>
      <c r="H13" s="468"/>
      <c r="I13" s="468"/>
      <c r="J13" s="468"/>
      <c r="K13" s="468"/>
      <c r="L13" s="468"/>
      <c r="M13" s="468"/>
      <c r="N13" s="468"/>
      <c r="O13" s="468"/>
      <c r="P13" s="468"/>
    </row>
    <row r="14" spans="1:16" x14ac:dyDescent="0.3">
      <c r="A14" s="645"/>
      <c r="I14" s="468"/>
      <c r="J14" s="468"/>
      <c r="K14" s="468"/>
      <c r="L14" s="468"/>
      <c r="M14" s="468"/>
      <c r="N14" s="468"/>
      <c r="O14" s="468"/>
      <c r="P14" s="468"/>
    </row>
    <row r="15" spans="1:16" x14ac:dyDescent="0.3">
      <c r="A15" s="645">
        <v>1</v>
      </c>
      <c r="B15" s="664">
        <f>'Input Data'!B204</f>
        <v>43770</v>
      </c>
      <c r="C15" s="163">
        <f>'Input Data'!C204</f>
        <v>0</v>
      </c>
      <c r="D15" s="163">
        <f>'Input Data'!D204</f>
        <v>0</v>
      </c>
      <c r="E15" s="163">
        <f>'Input Data'!E204</f>
        <v>0</v>
      </c>
      <c r="F15" s="163">
        <f>SUM(C15:E15)</f>
        <v>0</v>
      </c>
      <c r="I15" s="468"/>
      <c r="J15" s="468"/>
      <c r="K15" s="468"/>
      <c r="L15" s="468"/>
      <c r="M15" s="468"/>
      <c r="N15" s="468"/>
      <c r="O15" s="468"/>
      <c r="P15" s="468"/>
    </row>
    <row r="16" spans="1:16" x14ac:dyDescent="0.3">
      <c r="A16" s="645"/>
      <c r="B16" s="645"/>
      <c r="C16" s="163"/>
      <c r="D16" s="163"/>
      <c r="E16" s="163"/>
      <c r="F16" s="163"/>
      <c r="I16" s="468"/>
      <c r="J16" s="468"/>
      <c r="K16" s="468"/>
      <c r="L16" s="468"/>
      <c r="M16" s="468"/>
      <c r="N16" s="468"/>
      <c r="O16" s="468"/>
      <c r="P16" s="468"/>
    </row>
    <row r="17" spans="1:16" x14ac:dyDescent="0.3">
      <c r="A17" s="645">
        <v>2</v>
      </c>
      <c r="B17" s="664">
        <f>'Input Data'!B205</f>
        <v>44136</v>
      </c>
      <c r="C17" s="163">
        <f>'Input Data'!C205</f>
        <v>3.15E-2</v>
      </c>
      <c r="D17" s="163">
        <f>'Input Data'!D205</f>
        <v>-4.58E-2</v>
      </c>
      <c r="E17" s="163">
        <f>'Input Data'!E205</f>
        <v>7.6700000000000004E-2</v>
      </c>
      <c r="F17" s="163">
        <f>SUM(C17:E17)</f>
        <v>6.2400000000000004E-2</v>
      </c>
      <c r="I17" s="468"/>
      <c r="J17" s="468"/>
      <c r="K17" s="468"/>
      <c r="L17" s="468"/>
      <c r="M17" s="468"/>
      <c r="N17" s="468"/>
      <c r="O17" s="468"/>
      <c r="P17" s="468"/>
    </row>
    <row r="18" spans="1:16" x14ac:dyDescent="0.3">
      <c r="A18" s="645"/>
      <c r="C18" s="195"/>
      <c r="D18" s="195"/>
      <c r="E18" s="195"/>
      <c r="F18" s="195"/>
      <c r="I18" s="468"/>
      <c r="J18" s="468"/>
      <c r="K18" s="468"/>
      <c r="L18" s="468"/>
      <c r="M18" s="468"/>
      <c r="N18" s="468"/>
      <c r="O18" s="468"/>
      <c r="P18" s="468"/>
    </row>
    <row r="19" spans="1:16" x14ac:dyDescent="0.3">
      <c r="A19" s="645"/>
      <c r="I19" s="468"/>
      <c r="J19" s="468"/>
      <c r="K19" s="468"/>
      <c r="L19" s="468"/>
      <c r="M19" s="468"/>
      <c r="N19" s="468"/>
      <c r="O19" s="468"/>
      <c r="P19" s="468"/>
    </row>
    <row r="20" spans="1:16" x14ac:dyDescent="0.3">
      <c r="A20" s="645"/>
      <c r="I20" s="468"/>
      <c r="J20" s="468"/>
      <c r="K20" s="468"/>
      <c r="L20" s="468"/>
      <c r="M20" s="468"/>
      <c r="N20" s="468"/>
      <c r="O20" s="468"/>
      <c r="P20" s="468"/>
    </row>
    <row r="21" spans="1:16" x14ac:dyDescent="0.3">
      <c r="A21" s="645"/>
      <c r="B21" s="310"/>
      <c r="I21" s="468"/>
      <c r="J21" s="468"/>
      <c r="K21" s="468"/>
      <c r="L21" s="468"/>
      <c r="M21" s="468"/>
      <c r="N21" s="468"/>
      <c r="O21" s="468"/>
      <c r="P21" s="468"/>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S167"/>
  <sheetViews>
    <sheetView zoomScale="80" zoomScaleNormal="80" workbookViewId="0"/>
  </sheetViews>
  <sheetFormatPr defaultColWidth="9.81640625" defaultRowHeight="15.6" x14ac:dyDescent="0.3"/>
  <cols>
    <col min="1" max="1" width="6.81640625" style="3" customWidth="1"/>
    <col min="2" max="2" width="9.81640625" style="3"/>
    <col min="3" max="3" width="4.36328125" style="3" customWidth="1"/>
    <col min="4" max="4" width="25.6328125" style="3" customWidth="1"/>
    <col min="5" max="5" width="10.90625" style="3" customWidth="1"/>
    <col min="6" max="6" width="3.81640625" style="3" customWidth="1"/>
    <col min="7" max="7" width="13.36328125" style="3" customWidth="1"/>
    <col min="8" max="8" width="3.54296875" style="3" customWidth="1"/>
    <col min="9" max="9" width="12.1796875" style="3" customWidth="1"/>
    <col min="10" max="10" width="3.54296875" style="3" customWidth="1"/>
    <col min="11" max="11" width="12.1796875" style="3" customWidth="1"/>
    <col min="12" max="12" width="3.453125" style="3" customWidth="1"/>
    <col min="13" max="13" width="14.81640625" style="3" customWidth="1"/>
    <col min="14" max="14" width="3.36328125" style="3" customWidth="1"/>
    <col min="15" max="15" width="11.81640625" style="3" customWidth="1"/>
    <col min="16" max="16" width="4" style="3" customWidth="1"/>
    <col min="17" max="17" width="13.36328125" style="3" customWidth="1"/>
    <col min="18" max="18" width="4" style="3" customWidth="1"/>
    <col min="19" max="19" width="9.81640625" style="3"/>
    <col min="20" max="20" width="3.81640625" style="3" customWidth="1"/>
    <col min="21" max="16384" width="9.81640625" style="3"/>
  </cols>
  <sheetData>
    <row r="1" spans="1:19" x14ac:dyDescent="0.3">
      <c r="A1" s="229" t="s">
        <v>5</v>
      </c>
      <c r="B1" s="230"/>
      <c r="C1" s="230"/>
      <c r="D1" s="230"/>
      <c r="E1" s="230"/>
      <c r="F1" s="230"/>
      <c r="G1" s="230"/>
      <c r="H1" s="230"/>
      <c r="I1" s="230"/>
      <c r="J1" s="230"/>
      <c r="K1" s="230"/>
      <c r="L1" s="230"/>
      <c r="M1" s="230"/>
      <c r="N1" s="230"/>
      <c r="O1" s="230"/>
      <c r="P1" s="230"/>
      <c r="Q1" s="230"/>
      <c r="R1" s="230"/>
      <c r="S1" s="230"/>
    </row>
    <row r="2" spans="1:19" x14ac:dyDescent="0.3">
      <c r="A2" s="52"/>
      <c r="B2" s="230"/>
      <c r="C2" s="230"/>
      <c r="D2" s="230"/>
      <c r="E2" s="230"/>
      <c r="F2" s="230"/>
      <c r="G2" s="230"/>
      <c r="H2" s="230"/>
      <c r="I2" s="230"/>
      <c r="J2" s="230"/>
      <c r="K2" s="230"/>
      <c r="L2" s="230"/>
      <c r="M2" s="230"/>
      <c r="N2" s="230"/>
      <c r="O2" s="230"/>
      <c r="P2" s="230"/>
      <c r="Q2" s="230"/>
      <c r="R2" s="230"/>
      <c r="S2" s="230"/>
    </row>
    <row r="3" spans="1:19" x14ac:dyDescent="0.3">
      <c r="A3" s="52" t="s">
        <v>778</v>
      </c>
      <c r="B3" s="52"/>
      <c r="C3" s="52"/>
      <c r="D3" s="52"/>
      <c r="E3" s="52"/>
      <c r="F3" s="52"/>
      <c r="G3" s="52"/>
      <c r="H3" s="52"/>
      <c r="I3" s="52"/>
      <c r="J3" s="52"/>
      <c r="K3" s="52"/>
      <c r="L3" s="52"/>
      <c r="M3" s="52"/>
      <c r="N3" s="52"/>
      <c r="O3" s="52"/>
      <c r="P3" s="52"/>
      <c r="Q3" s="52"/>
      <c r="R3" s="52"/>
      <c r="S3" s="52"/>
    </row>
    <row r="4" spans="1:19" x14ac:dyDescent="0.3">
      <c r="A4" s="52" t="s">
        <v>203</v>
      </c>
      <c r="B4" s="52"/>
      <c r="C4" s="52"/>
      <c r="D4" s="52"/>
      <c r="E4" s="52"/>
      <c r="F4" s="52"/>
      <c r="G4" s="52"/>
      <c r="H4" s="52"/>
      <c r="I4" s="52"/>
      <c r="J4" s="52"/>
      <c r="K4" s="52"/>
      <c r="L4" s="52"/>
      <c r="M4" s="52"/>
      <c r="N4" s="52"/>
      <c r="O4" s="52"/>
      <c r="P4" s="52"/>
      <c r="Q4" s="52"/>
      <c r="R4" s="52"/>
      <c r="S4" s="52"/>
    </row>
    <row r="5" spans="1:19" x14ac:dyDescent="0.3">
      <c r="A5" s="799" t="str">
        <f>CONCATENATE('Input Data'!D4," through ",'Input Data'!D5)</f>
        <v>May 1, 2021 through July 31, 2021</v>
      </c>
      <c r="B5" s="799"/>
      <c r="C5" s="799"/>
      <c r="D5" s="799"/>
      <c r="E5" s="799"/>
      <c r="F5" s="799"/>
      <c r="G5" s="799"/>
      <c r="H5" s="799"/>
      <c r="I5" s="799"/>
      <c r="J5" s="799"/>
      <c r="K5" s="799"/>
      <c r="L5" s="799"/>
      <c r="M5" s="799"/>
      <c r="N5" s="799"/>
      <c r="O5" s="799"/>
      <c r="P5" s="799"/>
      <c r="Q5" s="799"/>
      <c r="R5" s="799"/>
      <c r="S5" s="799"/>
    </row>
    <row r="6" spans="1:19" x14ac:dyDescent="0.3">
      <c r="A6" s="16"/>
    </row>
    <row r="7" spans="1:19" x14ac:dyDescent="0.3">
      <c r="A7" s="16"/>
    </row>
    <row r="8" spans="1:19" x14ac:dyDescent="0.3">
      <c r="A8" s="2"/>
      <c r="B8" s="2"/>
      <c r="C8" s="2"/>
      <c r="D8" s="2"/>
      <c r="E8" s="2"/>
      <c r="F8" s="2"/>
      <c r="G8" s="2"/>
      <c r="H8" s="2"/>
      <c r="I8" s="499" t="s">
        <v>128</v>
      </c>
      <c r="J8" s="499"/>
      <c r="K8" s="499"/>
      <c r="L8" s="499"/>
      <c r="M8" s="499"/>
      <c r="N8" s="499"/>
      <c r="O8" s="499"/>
      <c r="P8" s="499"/>
      <c r="Q8" s="499"/>
      <c r="R8" s="231"/>
      <c r="S8" s="2"/>
    </row>
    <row r="9" spans="1:19" x14ac:dyDescent="0.3">
      <c r="A9" s="2"/>
      <c r="B9" s="2"/>
      <c r="C9" s="2"/>
      <c r="D9" s="2"/>
      <c r="E9" s="2"/>
      <c r="F9" s="2"/>
      <c r="G9" s="2"/>
      <c r="H9" s="2"/>
      <c r="I9" s="2"/>
      <c r="J9" s="2"/>
      <c r="K9" s="2"/>
      <c r="L9" s="2"/>
      <c r="M9" s="2"/>
      <c r="N9" s="2"/>
      <c r="O9" s="2"/>
      <c r="P9" s="2"/>
      <c r="Q9" s="2"/>
      <c r="R9" s="2"/>
      <c r="S9" s="2"/>
    </row>
    <row r="10" spans="1:19" x14ac:dyDescent="0.3">
      <c r="A10" s="2"/>
      <c r="B10" s="2"/>
      <c r="C10" s="2"/>
      <c r="D10" s="2"/>
      <c r="E10" s="2"/>
      <c r="F10" s="2"/>
      <c r="G10" s="2"/>
      <c r="H10" s="2"/>
      <c r="I10" s="2"/>
      <c r="J10" s="2"/>
      <c r="K10" s="2"/>
      <c r="L10" s="2"/>
      <c r="M10" s="2"/>
      <c r="N10" s="2"/>
      <c r="O10" s="2"/>
      <c r="P10" s="2"/>
      <c r="Q10" s="339" t="s">
        <v>455</v>
      </c>
      <c r="R10" s="2"/>
      <c r="S10" s="2"/>
    </row>
    <row r="11" spans="1:19" x14ac:dyDescent="0.3">
      <c r="A11" s="2"/>
      <c r="B11" s="2"/>
      <c r="C11" s="2"/>
      <c r="D11" s="2"/>
      <c r="E11" s="339" t="s">
        <v>229</v>
      </c>
      <c r="F11" s="2"/>
      <c r="G11" s="339" t="s">
        <v>455</v>
      </c>
      <c r="H11" s="339"/>
      <c r="I11" s="339" t="s">
        <v>157</v>
      </c>
      <c r="J11" s="339"/>
      <c r="K11" s="140" t="s">
        <v>129</v>
      </c>
      <c r="L11" s="2"/>
      <c r="M11" s="339" t="s">
        <v>130</v>
      </c>
      <c r="N11" s="2"/>
      <c r="O11" s="339" t="s">
        <v>131</v>
      </c>
      <c r="P11" s="339"/>
      <c r="Q11" s="339" t="s">
        <v>595</v>
      </c>
      <c r="R11" s="339"/>
      <c r="S11" s="2"/>
    </row>
    <row r="12" spans="1:19" x14ac:dyDescent="0.3">
      <c r="A12" s="2"/>
      <c r="B12" s="2"/>
      <c r="C12" s="2"/>
      <c r="D12" s="2"/>
      <c r="E12" s="339" t="s">
        <v>132</v>
      </c>
      <c r="F12" s="2"/>
      <c r="G12" s="339" t="s">
        <v>132</v>
      </c>
      <c r="H12" s="339"/>
      <c r="I12" s="339" t="s">
        <v>132</v>
      </c>
      <c r="J12" s="339"/>
      <c r="K12" s="339" t="s">
        <v>133</v>
      </c>
      <c r="L12" s="2"/>
      <c r="M12" s="339" t="s">
        <v>134</v>
      </c>
      <c r="N12" s="2"/>
      <c r="O12" s="339" t="s">
        <v>135</v>
      </c>
      <c r="P12" s="339"/>
      <c r="Q12" s="339" t="s">
        <v>594</v>
      </c>
      <c r="R12" s="339"/>
      <c r="S12" s="2"/>
    </row>
    <row r="13" spans="1:19" x14ac:dyDescent="0.3">
      <c r="A13" s="2"/>
      <c r="B13" s="2"/>
      <c r="C13" s="2"/>
      <c r="D13" s="2"/>
      <c r="E13" s="139" t="s">
        <v>633</v>
      </c>
      <c r="F13" s="2"/>
      <c r="G13" s="141" t="s">
        <v>136</v>
      </c>
      <c r="H13" s="144"/>
      <c r="I13" s="141" t="s">
        <v>139</v>
      </c>
      <c r="J13" s="144"/>
      <c r="K13" s="139" t="s">
        <v>137</v>
      </c>
      <c r="L13" s="2"/>
      <c r="M13" s="139" t="s">
        <v>138</v>
      </c>
      <c r="N13" s="2"/>
      <c r="O13" s="141" t="s">
        <v>139</v>
      </c>
      <c r="P13" s="144"/>
      <c r="Q13" s="141" t="s">
        <v>139</v>
      </c>
      <c r="R13" s="144"/>
      <c r="S13" s="139" t="s">
        <v>140</v>
      </c>
    </row>
    <row r="14" spans="1:19" x14ac:dyDescent="0.3">
      <c r="A14" s="2"/>
      <c r="B14" s="2"/>
      <c r="C14" s="2"/>
      <c r="D14" s="2"/>
      <c r="E14" s="2"/>
      <c r="F14" s="2"/>
      <c r="G14" s="2"/>
      <c r="H14" s="2"/>
      <c r="I14" s="2"/>
      <c r="J14" s="2"/>
      <c r="K14" s="2"/>
      <c r="L14" s="2"/>
      <c r="M14" s="2"/>
      <c r="N14" s="2"/>
      <c r="O14" s="2"/>
      <c r="P14" s="2"/>
      <c r="Q14" s="2"/>
      <c r="R14" s="2"/>
      <c r="S14" s="2"/>
    </row>
    <row r="15" spans="1:19" x14ac:dyDescent="0.3">
      <c r="A15" s="140" t="s">
        <v>803</v>
      </c>
      <c r="B15" s="2"/>
      <c r="C15" s="2"/>
      <c r="D15" s="2"/>
      <c r="E15" s="2"/>
      <c r="F15" s="2"/>
      <c r="G15" s="2"/>
      <c r="H15" s="2"/>
      <c r="I15" s="2"/>
      <c r="J15" s="2"/>
      <c r="K15" s="232"/>
      <c r="L15" s="2"/>
      <c r="M15" s="2"/>
      <c r="N15" s="2"/>
      <c r="O15" s="2"/>
      <c r="P15" s="2"/>
      <c r="Q15" s="2"/>
      <c r="R15" s="2"/>
      <c r="S15" s="2"/>
    </row>
    <row r="16" spans="1:19" x14ac:dyDescent="0.3">
      <c r="A16" s="2"/>
      <c r="B16" s="140" t="s">
        <v>228</v>
      </c>
      <c r="C16" s="2"/>
      <c r="D16" s="2"/>
      <c r="E16" s="233">
        <v>0.65</v>
      </c>
      <c r="F16" s="2"/>
      <c r="G16" s="233">
        <v>1.87</v>
      </c>
      <c r="H16" s="2"/>
      <c r="I16" s="2"/>
      <c r="J16" s="2"/>
      <c r="K16" s="232"/>
      <c r="L16" s="2"/>
      <c r="M16" s="2"/>
      <c r="N16" s="2"/>
      <c r="O16" s="232"/>
      <c r="P16" s="232"/>
      <c r="Q16" s="232"/>
      <c r="R16" s="232"/>
      <c r="S16" s="2"/>
    </row>
    <row r="17" spans="1:19" x14ac:dyDescent="0.3">
      <c r="A17" s="2"/>
      <c r="B17" s="140" t="s">
        <v>141</v>
      </c>
      <c r="C17" s="2"/>
      <c r="D17" s="2"/>
      <c r="E17" s="233"/>
      <c r="F17" s="2"/>
      <c r="G17" s="2"/>
      <c r="H17" s="2"/>
      <c r="I17" s="232"/>
      <c r="J17" s="2"/>
      <c r="K17" s="232">
        <v>0.36781999999999998</v>
      </c>
      <c r="L17" s="2"/>
      <c r="M17" s="232">
        <f>'Summary Sheet'!K59</f>
        <v>0.35021000000000002</v>
      </c>
      <c r="N17" s="2"/>
      <c r="O17" s="232">
        <v>-1.5E-3</v>
      </c>
      <c r="P17" s="232"/>
      <c r="Q17" s="232">
        <v>2.3779999999999999E-2</v>
      </c>
      <c r="R17" s="234"/>
      <c r="S17" s="232">
        <f>SUM(K17:Q17)</f>
        <v>0.74031000000000002</v>
      </c>
    </row>
    <row r="18" spans="1:19" x14ac:dyDescent="0.3">
      <c r="A18" s="2"/>
      <c r="B18" s="2"/>
      <c r="C18" s="2"/>
      <c r="D18" s="2"/>
      <c r="E18" s="233"/>
      <c r="F18" s="2"/>
      <c r="G18" s="2"/>
      <c r="H18" s="2"/>
      <c r="I18" s="2"/>
      <c r="J18" s="2"/>
      <c r="K18" s="232"/>
      <c r="L18" s="2"/>
      <c r="M18" s="232"/>
      <c r="N18" s="2"/>
      <c r="O18" s="234"/>
      <c r="P18" s="234"/>
      <c r="Q18" s="234"/>
      <c r="R18" s="234"/>
      <c r="S18" s="232"/>
    </row>
    <row r="19" spans="1:19" x14ac:dyDescent="0.3">
      <c r="A19" s="2"/>
      <c r="B19" s="2"/>
      <c r="C19" s="2"/>
      <c r="D19" s="2"/>
      <c r="E19" s="233"/>
      <c r="F19" s="2"/>
      <c r="G19" s="2"/>
      <c r="H19" s="2"/>
      <c r="I19" s="2"/>
      <c r="J19" s="2"/>
      <c r="K19" s="232"/>
      <c r="L19" s="2"/>
      <c r="M19" s="232"/>
      <c r="N19" s="2"/>
      <c r="O19" s="234"/>
      <c r="P19" s="234"/>
      <c r="Q19" s="234"/>
      <c r="R19" s="234"/>
      <c r="S19" s="232"/>
    </row>
    <row r="20" spans="1:19" x14ac:dyDescent="0.3">
      <c r="A20" s="140" t="s">
        <v>142</v>
      </c>
      <c r="B20" s="2"/>
      <c r="C20" s="2"/>
      <c r="D20" s="2" t="s">
        <v>143</v>
      </c>
      <c r="E20" s="233"/>
      <c r="F20" s="2"/>
      <c r="G20" s="2"/>
      <c r="H20" s="2"/>
      <c r="I20" s="2"/>
      <c r="J20" s="2"/>
      <c r="K20" s="232"/>
      <c r="L20" s="2"/>
      <c r="M20" s="232"/>
      <c r="N20" s="2"/>
      <c r="O20" s="234"/>
      <c r="P20" s="234"/>
      <c r="Q20" s="234"/>
      <c r="R20" s="234"/>
      <c r="S20" s="232"/>
    </row>
    <row r="21" spans="1:19" x14ac:dyDescent="0.3">
      <c r="A21" s="2"/>
      <c r="B21" s="140" t="s">
        <v>228</v>
      </c>
      <c r="C21" s="2"/>
      <c r="D21" s="2"/>
      <c r="E21" s="233">
        <v>1.97</v>
      </c>
      <c r="F21" s="2"/>
      <c r="G21" s="233">
        <v>9.27</v>
      </c>
      <c r="H21" s="2"/>
      <c r="I21" s="2"/>
      <c r="J21" s="2"/>
      <c r="K21" s="232"/>
      <c r="L21" s="2"/>
      <c r="M21" s="232"/>
      <c r="N21" s="2"/>
      <c r="O21" s="234"/>
      <c r="P21" s="234"/>
      <c r="Q21" s="234"/>
      <c r="R21" s="234"/>
      <c r="S21" s="232"/>
    </row>
    <row r="22" spans="1:19" x14ac:dyDescent="0.3">
      <c r="A22" s="140" t="s">
        <v>144</v>
      </c>
      <c r="B22" s="2"/>
      <c r="C22" s="2"/>
      <c r="D22" s="2"/>
      <c r="E22" s="233"/>
      <c r="F22" s="2"/>
      <c r="G22" s="2"/>
      <c r="H22" s="2"/>
      <c r="I22" s="2"/>
      <c r="J22" s="2"/>
      <c r="K22" s="232"/>
      <c r="L22" s="2"/>
      <c r="M22" s="232"/>
      <c r="N22" s="2"/>
      <c r="O22" s="234"/>
      <c r="P22" s="234"/>
      <c r="Q22" s="234"/>
      <c r="R22" s="234"/>
      <c r="S22" s="232"/>
    </row>
    <row r="23" spans="1:19" x14ac:dyDescent="0.3">
      <c r="A23" s="2"/>
      <c r="B23" s="140" t="s">
        <v>145</v>
      </c>
      <c r="C23" s="2"/>
      <c r="D23" s="2"/>
      <c r="E23" s="233"/>
      <c r="F23" s="2"/>
      <c r="G23" s="2"/>
      <c r="H23" s="2"/>
      <c r="I23" s="232"/>
      <c r="J23" s="2"/>
      <c r="K23" s="232">
        <v>0.30669999999999997</v>
      </c>
      <c r="L23" s="2"/>
      <c r="M23" s="232">
        <f>$M$17</f>
        <v>0.35021000000000002</v>
      </c>
      <c r="N23" s="2"/>
      <c r="O23" s="232">
        <v>4.6000000000000001E-4</v>
      </c>
      <c r="P23" s="232"/>
      <c r="Q23" s="232">
        <v>1.9199999999999998E-2</v>
      </c>
      <c r="R23" s="234"/>
      <c r="S23" s="232">
        <f>SUM(K23:Q23)</f>
        <v>0.67657</v>
      </c>
    </row>
    <row r="24" spans="1:19" x14ac:dyDescent="0.3">
      <c r="A24" s="2"/>
      <c r="B24" s="140" t="s">
        <v>146</v>
      </c>
      <c r="C24" s="2"/>
      <c r="D24" s="2"/>
      <c r="E24" s="233"/>
      <c r="F24" s="2"/>
      <c r="G24" s="2"/>
      <c r="H24" s="2"/>
      <c r="I24" s="232"/>
      <c r="J24" s="2"/>
      <c r="K24" s="232">
        <f>K23-0.05</f>
        <v>0.25669999999999998</v>
      </c>
      <c r="L24" s="2"/>
      <c r="M24" s="232">
        <f>$M$17</f>
        <v>0.35021000000000002</v>
      </c>
      <c r="N24" s="2"/>
      <c r="O24" s="232">
        <f>+O23</f>
        <v>4.6000000000000001E-4</v>
      </c>
      <c r="P24" s="232"/>
      <c r="Q24" s="232">
        <f>+Q23</f>
        <v>1.9199999999999998E-2</v>
      </c>
      <c r="R24" s="234"/>
      <c r="S24" s="232">
        <f>SUM(K24:Q24)</f>
        <v>0.62657000000000007</v>
      </c>
    </row>
    <row r="25" spans="1:19" x14ac:dyDescent="0.3">
      <c r="A25" s="140" t="s">
        <v>147</v>
      </c>
      <c r="B25" s="2"/>
      <c r="C25" s="2"/>
      <c r="D25" s="2"/>
      <c r="E25" s="233"/>
      <c r="F25" s="2"/>
      <c r="G25" s="2"/>
      <c r="H25" s="2"/>
      <c r="I25" s="2"/>
      <c r="J25" s="2"/>
      <c r="K25" s="232"/>
      <c r="L25" s="2"/>
      <c r="M25" s="232"/>
      <c r="N25" s="2"/>
      <c r="O25" s="232"/>
      <c r="P25" s="232"/>
      <c r="Q25" s="232"/>
      <c r="R25" s="234"/>
      <c r="S25" s="232"/>
    </row>
    <row r="26" spans="1:19" x14ac:dyDescent="0.3">
      <c r="A26" s="2"/>
      <c r="B26" s="140" t="s">
        <v>141</v>
      </c>
      <c r="C26" s="2"/>
      <c r="D26" s="2"/>
      <c r="E26" s="233"/>
      <c r="F26" s="2"/>
      <c r="G26" s="2"/>
      <c r="H26" s="2"/>
      <c r="I26" s="232"/>
      <c r="J26" s="2"/>
      <c r="K26" s="232">
        <f>K23</f>
        <v>0.30669999999999997</v>
      </c>
      <c r="L26" s="2"/>
      <c r="M26" s="232">
        <f>$M$17</f>
        <v>0.35021000000000002</v>
      </c>
      <c r="N26" s="2"/>
      <c r="O26" s="232">
        <f>+O23</f>
        <v>4.6000000000000001E-4</v>
      </c>
      <c r="P26" s="232"/>
      <c r="Q26" s="232">
        <f>+Q23</f>
        <v>1.9199999999999998E-2</v>
      </c>
      <c r="R26" s="234"/>
      <c r="S26" s="232">
        <f>SUM(K26:Q26)</f>
        <v>0.67657</v>
      </c>
    </row>
    <row r="27" spans="1:19" x14ac:dyDescent="0.3">
      <c r="A27" s="2"/>
      <c r="B27" s="2"/>
      <c r="C27" s="2"/>
      <c r="D27" s="2"/>
      <c r="E27" s="233"/>
      <c r="F27" s="2"/>
      <c r="G27" s="2"/>
      <c r="H27" s="2"/>
      <c r="I27" s="2"/>
      <c r="J27" s="2"/>
      <c r="K27" s="232"/>
      <c r="L27" s="2"/>
      <c r="M27" s="232"/>
      <c r="N27" s="2"/>
      <c r="O27" s="234"/>
      <c r="P27" s="234"/>
      <c r="Q27" s="234"/>
      <c r="R27" s="234"/>
      <c r="S27" s="232"/>
    </row>
    <row r="28" spans="1:19" x14ac:dyDescent="0.3">
      <c r="A28" s="2"/>
      <c r="B28" s="2"/>
      <c r="C28" s="2"/>
      <c r="D28" s="2"/>
      <c r="E28" s="233"/>
      <c r="F28" s="2"/>
      <c r="G28" s="2"/>
      <c r="H28" s="2"/>
      <c r="I28" s="2"/>
      <c r="J28" s="2"/>
      <c r="K28" s="232"/>
      <c r="L28" s="2"/>
      <c r="M28" s="232"/>
      <c r="N28" s="2"/>
      <c r="O28" s="234"/>
      <c r="P28" s="234"/>
      <c r="Q28" s="234"/>
      <c r="R28" s="234"/>
      <c r="S28" s="232"/>
    </row>
    <row r="29" spans="1:19" x14ac:dyDescent="0.3">
      <c r="A29" s="140" t="s">
        <v>142</v>
      </c>
      <c r="B29" s="2"/>
      <c r="C29" s="2"/>
      <c r="D29" s="2" t="s">
        <v>148</v>
      </c>
      <c r="E29" s="233"/>
      <c r="F29" s="2"/>
      <c r="G29" s="2"/>
      <c r="H29" s="2"/>
      <c r="I29" s="2"/>
      <c r="J29" s="2"/>
      <c r="K29" s="232"/>
      <c r="L29" s="2"/>
      <c r="M29" s="232"/>
      <c r="N29" s="2"/>
      <c r="O29" s="234"/>
      <c r="P29" s="234"/>
      <c r="Q29" s="234"/>
      <c r="R29" s="234"/>
      <c r="S29" s="232"/>
    </row>
    <row r="30" spans="1:19" x14ac:dyDescent="0.3">
      <c r="A30" s="2"/>
      <c r="B30" s="140" t="s">
        <v>228</v>
      </c>
      <c r="C30" s="2"/>
      <c r="D30" s="2"/>
      <c r="E30" s="233">
        <v>9.3699999999999992</v>
      </c>
      <c r="F30" s="2"/>
      <c r="G30" s="233">
        <f>G21</f>
        <v>9.27</v>
      </c>
      <c r="H30" s="2"/>
      <c r="I30" s="2"/>
      <c r="J30" s="2"/>
      <c r="K30" s="232"/>
      <c r="L30" s="2"/>
      <c r="M30" s="232"/>
      <c r="N30" s="2"/>
      <c r="O30" s="234"/>
      <c r="P30" s="234"/>
      <c r="Q30" s="234"/>
      <c r="R30" s="234"/>
      <c r="S30" s="232"/>
    </row>
    <row r="31" spans="1:19" x14ac:dyDescent="0.3">
      <c r="A31" s="140" t="s">
        <v>144</v>
      </c>
      <c r="B31" s="2"/>
      <c r="C31" s="2"/>
      <c r="D31" s="2"/>
      <c r="E31" s="233"/>
      <c r="F31" s="2"/>
      <c r="G31" s="2"/>
      <c r="H31" s="2"/>
      <c r="I31" s="2"/>
      <c r="J31" s="2"/>
      <c r="K31" s="232"/>
      <c r="L31" s="2"/>
      <c r="M31" s="232"/>
      <c r="N31" s="2"/>
      <c r="O31" s="234"/>
      <c r="P31" s="234"/>
      <c r="Q31" s="234"/>
      <c r="R31" s="234"/>
      <c r="S31" s="232"/>
    </row>
    <row r="32" spans="1:19" x14ac:dyDescent="0.3">
      <c r="A32" s="2"/>
      <c r="B32" s="140" t="s">
        <v>145</v>
      </c>
      <c r="C32" s="2"/>
      <c r="D32" s="2"/>
      <c r="E32" s="233"/>
      <c r="F32" s="2"/>
      <c r="G32" s="2"/>
      <c r="H32" s="2"/>
      <c r="I32" s="232"/>
      <c r="J32" s="2"/>
      <c r="K32" s="232">
        <f>+K23</f>
        <v>0.30669999999999997</v>
      </c>
      <c r="L32" s="2"/>
      <c r="M32" s="232">
        <f>$M$17</f>
        <v>0.35021000000000002</v>
      </c>
      <c r="N32" s="2"/>
      <c r="O32" s="232">
        <f>+O23</f>
        <v>4.6000000000000001E-4</v>
      </c>
      <c r="P32" s="232"/>
      <c r="Q32" s="232">
        <f>+Q23</f>
        <v>1.9199999999999998E-2</v>
      </c>
      <c r="R32" s="234"/>
      <c r="S32" s="232">
        <f>SUM(K32:Q32)</f>
        <v>0.67657</v>
      </c>
    </row>
    <row r="33" spans="1:19" x14ac:dyDescent="0.3">
      <c r="A33" s="2"/>
      <c r="B33" s="140" t="s">
        <v>146</v>
      </c>
      <c r="C33" s="2"/>
      <c r="D33" s="2"/>
      <c r="E33" s="233"/>
      <c r="F33" s="2"/>
      <c r="G33" s="2"/>
      <c r="H33" s="2"/>
      <c r="I33" s="232"/>
      <c r="J33" s="2"/>
      <c r="K33" s="232">
        <f>+K24</f>
        <v>0.25669999999999998</v>
      </c>
      <c r="L33" s="2"/>
      <c r="M33" s="232">
        <f>$M$17</f>
        <v>0.35021000000000002</v>
      </c>
      <c r="N33" s="2"/>
      <c r="O33" s="232">
        <f>+O23</f>
        <v>4.6000000000000001E-4</v>
      </c>
      <c r="P33" s="232"/>
      <c r="Q33" s="232">
        <f>+Q23</f>
        <v>1.9199999999999998E-2</v>
      </c>
      <c r="R33" s="234"/>
      <c r="S33" s="232">
        <f>SUM(K33:Q33)</f>
        <v>0.62657000000000007</v>
      </c>
    </row>
    <row r="34" spans="1:19" x14ac:dyDescent="0.3">
      <c r="A34" s="140" t="s">
        <v>147</v>
      </c>
      <c r="B34" s="2"/>
      <c r="C34" s="2"/>
      <c r="D34" s="2"/>
      <c r="E34" s="233"/>
      <c r="F34" s="2"/>
      <c r="G34" s="2"/>
      <c r="H34" s="2"/>
      <c r="I34" s="2"/>
      <c r="J34" s="2"/>
      <c r="K34" s="232"/>
      <c r="L34" s="2"/>
      <c r="M34" s="232"/>
      <c r="N34" s="2"/>
      <c r="O34" s="232"/>
      <c r="P34" s="232"/>
      <c r="Q34" s="232"/>
      <c r="R34" s="234"/>
      <c r="S34" s="232"/>
    </row>
    <row r="35" spans="1:19" x14ac:dyDescent="0.3">
      <c r="A35" s="2"/>
      <c r="B35" s="140" t="s">
        <v>141</v>
      </c>
      <c r="C35" s="2"/>
      <c r="D35" s="2"/>
      <c r="E35" s="233"/>
      <c r="F35" s="2"/>
      <c r="G35" s="2"/>
      <c r="H35" s="2"/>
      <c r="I35" s="232"/>
      <c r="J35" s="2"/>
      <c r="K35" s="232">
        <f>+K26</f>
        <v>0.30669999999999997</v>
      </c>
      <c r="L35" s="2"/>
      <c r="M35" s="232">
        <f>$M$17</f>
        <v>0.35021000000000002</v>
      </c>
      <c r="N35" s="2"/>
      <c r="O35" s="232">
        <f>+O23</f>
        <v>4.6000000000000001E-4</v>
      </c>
      <c r="P35" s="232"/>
      <c r="Q35" s="232">
        <f>+Q23</f>
        <v>1.9199999999999998E-2</v>
      </c>
      <c r="R35" s="234"/>
      <c r="S35" s="232">
        <f>SUM(K35:Q35)</f>
        <v>0.67657</v>
      </c>
    </row>
    <row r="36" spans="1:19" x14ac:dyDescent="0.3">
      <c r="A36" s="2"/>
      <c r="B36" s="2"/>
      <c r="C36" s="2"/>
      <c r="D36" s="2"/>
      <c r="E36" s="233"/>
      <c r="F36" s="2"/>
      <c r="G36" s="2"/>
      <c r="H36" s="2"/>
      <c r="I36" s="2"/>
      <c r="J36" s="2"/>
      <c r="K36" s="232"/>
      <c r="L36" s="2"/>
      <c r="M36" s="232"/>
      <c r="N36" s="2"/>
      <c r="O36" s="232"/>
      <c r="P36" s="232"/>
      <c r="Q36" s="232"/>
      <c r="R36" s="234"/>
      <c r="S36" s="232"/>
    </row>
    <row r="37" spans="1:19" x14ac:dyDescent="0.3">
      <c r="A37" s="2"/>
      <c r="B37" s="2"/>
      <c r="C37" s="2"/>
      <c r="D37" s="2"/>
      <c r="E37" s="233"/>
      <c r="F37" s="2"/>
      <c r="G37" s="2"/>
      <c r="H37" s="2"/>
      <c r="I37" s="2"/>
      <c r="J37" s="2"/>
      <c r="K37" s="232"/>
      <c r="L37" s="2"/>
      <c r="M37" s="232"/>
      <c r="N37" s="2"/>
      <c r="O37" s="234"/>
      <c r="P37" s="234"/>
      <c r="Q37" s="234"/>
      <c r="R37" s="234"/>
      <c r="S37" s="232"/>
    </row>
    <row r="38" spans="1:19" x14ac:dyDescent="0.3">
      <c r="A38" s="140" t="s">
        <v>149</v>
      </c>
      <c r="B38" s="2"/>
      <c r="C38" s="2"/>
      <c r="D38" s="2" t="s">
        <v>150</v>
      </c>
      <c r="E38" s="233"/>
      <c r="F38" s="2"/>
      <c r="G38" s="2"/>
      <c r="H38" s="2"/>
      <c r="I38" s="2"/>
      <c r="J38" s="2"/>
      <c r="K38" s="232"/>
      <c r="L38" s="2"/>
      <c r="M38" s="232"/>
      <c r="N38" s="2"/>
      <c r="O38" s="234"/>
      <c r="P38" s="234"/>
      <c r="Q38" s="234"/>
      <c r="R38" s="234"/>
      <c r="S38" s="232"/>
    </row>
    <row r="39" spans="1:19" x14ac:dyDescent="0.3">
      <c r="A39" s="2"/>
      <c r="B39" s="140" t="s">
        <v>228</v>
      </c>
      <c r="C39" s="2"/>
      <c r="D39" s="2"/>
      <c r="E39" s="233">
        <v>5.42</v>
      </c>
      <c r="F39" s="2"/>
      <c r="G39" s="233">
        <v>111.02</v>
      </c>
      <c r="H39" s="2"/>
      <c r="I39" s="2"/>
      <c r="J39" s="2"/>
      <c r="K39" s="232"/>
      <c r="L39" s="2"/>
      <c r="M39" s="232"/>
      <c r="N39" s="2"/>
      <c r="O39" s="234"/>
      <c r="P39" s="234"/>
      <c r="Q39" s="234"/>
      <c r="R39" s="234"/>
      <c r="S39" s="232"/>
    </row>
    <row r="40" spans="1:19" x14ac:dyDescent="0.3">
      <c r="A40" s="140" t="s">
        <v>144</v>
      </c>
      <c r="B40" s="2"/>
      <c r="C40" s="2"/>
      <c r="D40" s="2"/>
      <c r="E40" s="233"/>
      <c r="F40" s="2"/>
      <c r="G40" s="2"/>
      <c r="H40" s="2"/>
      <c r="I40" s="2"/>
      <c r="J40" s="2"/>
      <c r="K40" s="232"/>
      <c r="L40" s="2"/>
      <c r="M40" s="232"/>
      <c r="N40" s="2"/>
      <c r="O40" s="234"/>
      <c r="P40" s="234"/>
      <c r="Q40" s="234"/>
      <c r="R40" s="234"/>
      <c r="S40" s="232"/>
    </row>
    <row r="41" spans="1:19" x14ac:dyDescent="0.3">
      <c r="A41" s="2"/>
      <c r="B41" s="140" t="s">
        <v>145</v>
      </c>
      <c r="C41" s="2"/>
      <c r="D41" s="2"/>
      <c r="E41" s="233"/>
      <c r="F41" s="2"/>
      <c r="G41" s="2"/>
      <c r="H41" s="2"/>
      <c r="I41" s="232"/>
      <c r="J41" s="2"/>
      <c r="K41" s="232">
        <v>0.21929000000000001</v>
      </c>
      <c r="L41" s="2"/>
      <c r="M41" s="232">
        <f>$M$17</f>
        <v>0.35021000000000002</v>
      </c>
      <c r="N41" s="2"/>
      <c r="O41" s="232">
        <v>4.6000000000000001E-4</v>
      </c>
      <c r="P41" s="232"/>
      <c r="Q41" s="232">
        <v>1.17E-2</v>
      </c>
      <c r="R41" s="234"/>
      <c r="S41" s="232">
        <f>SUM(K41:Q41)</f>
        <v>0.58166000000000007</v>
      </c>
    </row>
    <row r="42" spans="1:19" x14ac:dyDescent="0.3">
      <c r="A42" s="2"/>
      <c r="B42" s="140" t="s">
        <v>146</v>
      </c>
      <c r="C42" s="2"/>
      <c r="D42" s="2"/>
      <c r="E42" s="233"/>
      <c r="F42" s="2"/>
      <c r="G42" s="2"/>
      <c r="H42" s="2"/>
      <c r="I42" s="232"/>
      <c r="J42" s="2"/>
      <c r="K42" s="232">
        <f>+K41-0.05</f>
        <v>0.16929</v>
      </c>
      <c r="L42" s="2"/>
      <c r="M42" s="232">
        <f>$M$17</f>
        <v>0.35021000000000002</v>
      </c>
      <c r="N42" s="2"/>
      <c r="O42" s="232">
        <f>O41</f>
        <v>4.6000000000000001E-4</v>
      </c>
      <c r="P42" s="232"/>
      <c r="Q42" s="232">
        <f>Q41</f>
        <v>1.17E-2</v>
      </c>
      <c r="R42" s="234"/>
      <c r="S42" s="232">
        <f>SUM(K42:Q42)</f>
        <v>0.53166000000000013</v>
      </c>
    </row>
    <row r="43" spans="1:19" x14ac:dyDescent="0.3">
      <c r="A43" s="140" t="s">
        <v>147</v>
      </c>
      <c r="B43" s="2"/>
      <c r="C43" s="2"/>
      <c r="D43" s="2"/>
      <c r="E43" s="233"/>
      <c r="F43" s="2"/>
      <c r="G43" s="2"/>
      <c r="H43" s="2"/>
      <c r="I43" s="2"/>
      <c r="J43" s="2"/>
      <c r="K43" s="232"/>
      <c r="L43" s="2"/>
      <c r="M43" s="232"/>
      <c r="N43" s="2"/>
      <c r="O43" s="232"/>
      <c r="P43" s="232"/>
      <c r="Q43" s="232"/>
      <c r="R43" s="234"/>
      <c r="S43" s="232"/>
    </row>
    <row r="44" spans="1:19" x14ac:dyDescent="0.3">
      <c r="A44" s="2"/>
      <c r="B44" s="140" t="s">
        <v>141</v>
      </c>
      <c r="C44" s="2"/>
      <c r="D44" s="2"/>
      <c r="E44" s="233"/>
      <c r="F44" s="2"/>
      <c r="G44" s="2"/>
      <c r="H44" s="2"/>
      <c r="I44" s="232"/>
      <c r="J44" s="2"/>
      <c r="K44" s="232">
        <f>+K41</f>
        <v>0.21929000000000001</v>
      </c>
      <c r="L44" s="2"/>
      <c r="M44" s="232">
        <f>$M$17</f>
        <v>0.35021000000000002</v>
      </c>
      <c r="N44" s="2"/>
      <c r="O44" s="232">
        <f>O41</f>
        <v>4.6000000000000001E-4</v>
      </c>
      <c r="P44" s="232"/>
      <c r="Q44" s="232">
        <f>Q41</f>
        <v>1.17E-2</v>
      </c>
      <c r="R44" s="234"/>
      <c r="S44" s="232">
        <f>SUM(K44:Q44)</f>
        <v>0.58166000000000007</v>
      </c>
    </row>
    <row r="45" spans="1:19" x14ac:dyDescent="0.3">
      <c r="A45" s="2"/>
      <c r="B45" s="2"/>
      <c r="C45" s="2"/>
      <c r="D45" s="2"/>
      <c r="E45" s="233"/>
      <c r="F45" s="2"/>
      <c r="G45" s="2"/>
      <c r="H45" s="2"/>
      <c r="I45" s="2"/>
      <c r="J45" s="2"/>
      <c r="K45" s="232"/>
      <c r="L45" s="2"/>
      <c r="M45" s="232"/>
      <c r="N45" s="2"/>
      <c r="O45" s="234"/>
      <c r="P45" s="234"/>
      <c r="Q45" s="234"/>
      <c r="R45" s="234"/>
      <c r="S45" s="232"/>
    </row>
    <row r="46" spans="1:19" x14ac:dyDescent="0.3">
      <c r="A46" s="2"/>
      <c r="B46" s="2"/>
      <c r="C46" s="2"/>
      <c r="D46" s="2"/>
      <c r="E46" s="233"/>
      <c r="F46" s="2"/>
      <c r="G46" s="2"/>
      <c r="H46" s="2"/>
      <c r="I46" s="2"/>
      <c r="J46" s="2"/>
      <c r="K46" s="232"/>
      <c r="L46" s="2"/>
      <c r="M46" s="232"/>
      <c r="N46" s="2"/>
      <c r="O46" s="234"/>
      <c r="P46" s="234"/>
      <c r="Q46" s="234"/>
      <c r="R46" s="234"/>
      <c r="S46" s="232"/>
    </row>
    <row r="47" spans="1:19" x14ac:dyDescent="0.3">
      <c r="A47" s="140" t="s">
        <v>149</v>
      </c>
      <c r="B47" s="2"/>
      <c r="C47" s="2"/>
      <c r="D47" s="2" t="s">
        <v>151</v>
      </c>
      <c r="E47" s="233"/>
      <c r="F47" s="2"/>
      <c r="G47" s="2"/>
      <c r="H47" s="2"/>
      <c r="I47" s="2"/>
      <c r="J47" s="2"/>
      <c r="K47" s="232"/>
      <c r="L47" s="2"/>
      <c r="M47" s="232"/>
      <c r="N47" s="2"/>
      <c r="O47" s="234"/>
      <c r="P47" s="234"/>
      <c r="Q47" s="234"/>
      <c r="R47" s="234"/>
      <c r="S47" s="232"/>
    </row>
    <row r="48" spans="1:19" x14ac:dyDescent="0.3">
      <c r="A48" s="2"/>
      <c r="B48" s="140" t="s">
        <v>228</v>
      </c>
      <c r="C48" s="2"/>
      <c r="D48" s="2"/>
      <c r="E48" s="233">
        <v>24.64</v>
      </c>
      <c r="F48" s="2"/>
      <c r="G48" s="233">
        <f>G39</f>
        <v>111.02</v>
      </c>
      <c r="H48" s="2"/>
      <c r="I48" s="2"/>
      <c r="J48" s="2"/>
      <c r="K48" s="232"/>
      <c r="L48" s="2"/>
      <c r="M48" s="232"/>
      <c r="N48" s="2"/>
      <c r="O48" s="234"/>
      <c r="P48" s="234"/>
      <c r="Q48" s="234"/>
      <c r="R48" s="234"/>
      <c r="S48" s="232"/>
    </row>
    <row r="49" spans="1:19" x14ac:dyDescent="0.3">
      <c r="A49" s="140" t="s">
        <v>144</v>
      </c>
      <c r="B49" s="2"/>
      <c r="C49" s="2"/>
      <c r="D49" s="2"/>
      <c r="E49" s="233"/>
      <c r="F49" s="2"/>
      <c r="G49" s="2"/>
      <c r="H49" s="2"/>
      <c r="I49" s="2"/>
      <c r="J49" s="2"/>
      <c r="K49" s="232"/>
      <c r="L49" s="2"/>
      <c r="M49" s="232"/>
      <c r="N49" s="2"/>
      <c r="O49" s="234"/>
      <c r="P49" s="234"/>
      <c r="Q49" s="234"/>
      <c r="R49" s="234"/>
      <c r="S49" s="232"/>
    </row>
    <row r="50" spans="1:19" x14ac:dyDescent="0.3">
      <c r="A50" s="2"/>
      <c r="B50" s="140" t="s">
        <v>145</v>
      </c>
      <c r="C50" s="2"/>
      <c r="D50" s="2"/>
      <c r="E50" s="233"/>
      <c r="F50" s="2"/>
      <c r="G50" s="2"/>
      <c r="H50" s="2"/>
      <c r="I50" s="232"/>
      <c r="J50" s="2"/>
      <c r="K50" s="232">
        <f>+K41</f>
        <v>0.21929000000000001</v>
      </c>
      <c r="L50" s="2"/>
      <c r="M50" s="232">
        <f>$M$17</f>
        <v>0.35021000000000002</v>
      </c>
      <c r="N50" s="2"/>
      <c r="O50" s="232">
        <f>O41</f>
        <v>4.6000000000000001E-4</v>
      </c>
      <c r="P50" s="232"/>
      <c r="Q50" s="232">
        <f>Q41</f>
        <v>1.17E-2</v>
      </c>
      <c r="R50" s="234"/>
      <c r="S50" s="232">
        <f>SUM(K50:Q50)</f>
        <v>0.58166000000000007</v>
      </c>
    </row>
    <row r="51" spans="1:19" x14ac:dyDescent="0.3">
      <c r="A51" s="2"/>
      <c r="B51" s="140" t="s">
        <v>146</v>
      </c>
      <c r="C51" s="2"/>
      <c r="D51" s="2"/>
      <c r="E51" s="233"/>
      <c r="F51" s="2"/>
      <c r="G51" s="2"/>
      <c r="H51" s="2"/>
      <c r="I51" s="232"/>
      <c r="J51" s="2"/>
      <c r="K51" s="232">
        <f>+K42</f>
        <v>0.16929</v>
      </c>
      <c r="L51" s="2"/>
      <c r="M51" s="232">
        <f>$M$17</f>
        <v>0.35021000000000002</v>
      </c>
      <c r="N51" s="2"/>
      <c r="O51" s="232">
        <f>O42</f>
        <v>4.6000000000000001E-4</v>
      </c>
      <c r="P51" s="232"/>
      <c r="Q51" s="232">
        <f>Q41</f>
        <v>1.17E-2</v>
      </c>
      <c r="R51" s="234"/>
      <c r="S51" s="232">
        <f>SUM(K51:Q51)</f>
        <v>0.53166000000000013</v>
      </c>
    </row>
    <row r="52" spans="1:19" x14ac:dyDescent="0.3">
      <c r="A52" s="140" t="s">
        <v>147</v>
      </c>
      <c r="B52" s="2"/>
      <c r="C52" s="2"/>
      <c r="D52" s="2"/>
      <c r="E52" s="233"/>
      <c r="F52" s="2"/>
      <c r="G52" s="2"/>
      <c r="H52" s="2"/>
      <c r="I52" s="2"/>
      <c r="J52" s="2"/>
      <c r="K52" s="232"/>
      <c r="L52" s="2"/>
      <c r="M52" s="232"/>
      <c r="N52" s="2"/>
      <c r="O52" s="232"/>
      <c r="P52" s="232"/>
      <c r="Q52" s="232"/>
      <c r="R52" s="234"/>
      <c r="S52" s="232"/>
    </row>
    <row r="53" spans="1:19" x14ac:dyDescent="0.3">
      <c r="A53" s="2"/>
      <c r="B53" s="140" t="s">
        <v>141</v>
      </c>
      <c r="C53" s="2"/>
      <c r="D53" s="2"/>
      <c r="E53" s="233"/>
      <c r="F53" s="2"/>
      <c r="G53" s="2"/>
      <c r="H53" s="2"/>
      <c r="I53" s="232"/>
      <c r="J53" s="2"/>
      <c r="K53" s="232">
        <f>+K44</f>
        <v>0.21929000000000001</v>
      </c>
      <c r="L53" s="2"/>
      <c r="M53" s="232">
        <f>$M$17</f>
        <v>0.35021000000000002</v>
      </c>
      <c r="N53" s="2"/>
      <c r="O53" s="232">
        <f>O44</f>
        <v>4.6000000000000001E-4</v>
      </c>
      <c r="P53" s="232"/>
      <c r="Q53" s="232">
        <f>Q41</f>
        <v>1.17E-2</v>
      </c>
      <c r="R53" s="234"/>
      <c r="S53" s="232">
        <f>SUM(K53:Q53)</f>
        <v>0.58166000000000007</v>
      </c>
    </row>
    <row r="54" spans="1:19" x14ac:dyDescent="0.3">
      <c r="A54" s="2"/>
      <c r="B54" s="2"/>
      <c r="C54" s="2"/>
      <c r="D54" s="2"/>
      <c r="E54" s="233"/>
      <c r="F54" s="2"/>
      <c r="G54" s="2"/>
      <c r="H54" s="2"/>
      <c r="I54" s="2"/>
      <c r="J54" s="2"/>
      <c r="K54" s="232"/>
      <c r="L54" s="2"/>
      <c r="M54" s="232"/>
      <c r="N54" s="2"/>
      <c r="O54" s="234"/>
      <c r="P54" s="234"/>
      <c r="Q54" s="234"/>
      <c r="R54" s="234"/>
      <c r="S54" s="232"/>
    </row>
    <row r="55" spans="1:19" x14ac:dyDescent="0.3">
      <c r="A55" s="2"/>
      <c r="B55" s="2"/>
      <c r="C55" s="2"/>
      <c r="D55" s="2"/>
      <c r="E55" s="233"/>
      <c r="F55" s="2"/>
      <c r="G55" s="2"/>
      <c r="H55" s="2"/>
      <c r="I55" s="2"/>
      <c r="J55" s="2"/>
    </row>
    <row r="56" spans="1:19" x14ac:dyDescent="0.3">
      <c r="A56" s="2"/>
      <c r="B56" s="2"/>
      <c r="C56" s="2"/>
      <c r="D56" s="2"/>
      <c r="E56" s="588" t="s">
        <v>136</v>
      </c>
      <c r="F56" s="2"/>
      <c r="G56" s="2"/>
      <c r="H56" s="2"/>
      <c r="I56" s="499" t="s">
        <v>504</v>
      </c>
      <c r="J56" s="499"/>
      <c r="K56" s="499"/>
      <c r="L56" s="499"/>
      <c r="M56" s="499"/>
      <c r="N56" s="499"/>
      <c r="O56" s="499"/>
      <c r="P56" s="499"/>
      <c r="Q56" s="499"/>
      <c r="R56" s="324"/>
      <c r="S56" s="265"/>
    </row>
    <row r="57" spans="1:19" x14ac:dyDescent="0.3">
      <c r="A57" s="140" t="s">
        <v>152</v>
      </c>
      <c r="B57" s="2"/>
      <c r="C57" s="2"/>
      <c r="D57" s="2"/>
      <c r="F57" s="2"/>
      <c r="H57" s="2"/>
      <c r="I57" s="2"/>
      <c r="J57" s="2"/>
    </row>
    <row r="58" spans="1:19" x14ac:dyDescent="0.3">
      <c r="A58" s="140"/>
      <c r="B58" s="140" t="s">
        <v>228</v>
      </c>
      <c r="C58" s="2"/>
      <c r="D58" s="2"/>
      <c r="E58" s="233">
        <v>500</v>
      </c>
      <c r="F58" s="2"/>
      <c r="G58" s="233">
        <f>G39</f>
        <v>111.02</v>
      </c>
      <c r="H58" s="2"/>
      <c r="J58" s="2"/>
      <c r="K58" s="232"/>
      <c r="L58" s="2"/>
      <c r="M58" s="232"/>
      <c r="N58" s="2"/>
      <c r="O58" s="234"/>
      <c r="P58" s="234"/>
      <c r="Q58" s="234"/>
      <c r="R58" s="234"/>
      <c r="S58" s="232"/>
    </row>
    <row r="59" spans="1:19" x14ac:dyDescent="0.3">
      <c r="A59" s="140"/>
      <c r="B59" s="140" t="s">
        <v>503</v>
      </c>
      <c r="C59" s="2"/>
      <c r="D59" s="2"/>
      <c r="E59" s="233"/>
      <c r="F59" s="2"/>
      <c r="G59" s="2"/>
      <c r="H59" s="2"/>
      <c r="J59" s="2"/>
      <c r="K59" s="232">
        <v>1.0644</v>
      </c>
      <c r="L59" s="2"/>
      <c r="M59" s="243">
        <f>M53*10</f>
        <v>3.5021000000000004</v>
      </c>
      <c r="N59" s="2"/>
      <c r="O59" s="232">
        <f>($O$32)*10</f>
        <v>4.5999999999999999E-3</v>
      </c>
      <c r="P59" s="243"/>
      <c r="Q59" s="232">
        <f>Q41*10</f>
        <v>0.11700000000000001</v>
      </c>
      <c r="R59" s="234"/>
      <c r="S59" s="232">
        <f>SUM(K59:Q59)</f>
        <v>4.6881000000000004</v>
      </c>
    </row>
    <row r="60" spans="1:19" x14ac:dyDescent="0.3">
      <c r="A60" s="2"/>
      <c r="B60" s="2"/>
      <c r="C60" s="2"/>
      <c r="D60" s="2"/>
      <c r="E60" s="233"/>
      <c r="F60" s="2"/>
      <c r="G60" s="2"/>
      <c r="H60" s="2"/>
      <c r="I60" s="2"/>
      <c r="J60" s="2"/>
      <c r="K60" s="2"/>
      <c r="L60" s="2"/>
      <c r="M60" s="232"/>
      <c r="N60" s="2"/>
      <c r="O60" s="235"/>
      <c r="P60" s="235"/>
      <c r="Q60" s="235"/>
      <c r="R60" s="235"/>
      <c r="S60" s="2"/>
    </row>
    <row r="61" spans="1:19" x14ac:dyDescent="0.3">
      <c r="A61" s="2"/>
      <c r="B61" s="2"/>
      <c r="C61" s="2"/>
      <c r="D61" s="2"/>
      <c r="E61" s="233"/>
      <c r="F61" s="2"/>
      <c r="G61" s="2"/>
      <c r="H61" s="2"/>
      <c r="I61" s="2"/>
      <c r="J61" s="2"/>
      <c r="K61" s="2"/>
      <c r="L61" s="2"/>
      <c r="M61" s="232"/>
      <c r="N61" s="2"/>
      <c r="O61" s="235"/>
      <c r="P61" s="235"/>
      <c r="Q61" s="235"/>
      <c r="R61" s="235"/>
      <c r="S61" s="2"/>
    </row>
    <row r="62" spans="1:19" x14ac:dyDescent="0.3">
      <c r="A62" s="2" t="s">
        <v>603</v>
      </c>
      <c r="B62" s="140"/>
      <c r="C62" s="2"/>
      <c r="D62" s="2"/>
      <c r="E62" s="2"/>
      <c r="F62" s="2"/>
      <c r="G62" s="2"/>
      <c r="H62" s="2"/>
      <c r="I62" s="2"/>
      <c r="J62" s="2"/>
      <c r="K62" s="2"/>
      <c r="L62" s="2"/>
      <c r="M62" s="232"/>
      <c r="N62" s="2"/>
      <c r="R62" s="235"/>
      <c r="S62" s="2"/>
    </row>
    <row r="63" spans="1:19" x14ac:dyDescent="0.3">
      <c r="A63" s="2"/>
      <c r="B63" s="140"/>
      <c r="C63" s="2"/>
      <c r="D63" s="2"/>
      <c r="E63" s="2"/>
      <c r="F63" s="2"/>
      <c r="G63" s="2"/>
      <c r="H63" s="2"/>
      <c r="I63" s="2"/>
      <c r="J63" s="2"/>
      <c r="K63" s="2"/>
      <c r="L63" s="2"/>
      <c r="M63" s="232"/>
      <c r="N63" s="2"/>
      <c r="R63" s="235"/>
      <c r="S63" s="2"/>
    </row>
    <row r="64" spans="1:19" x14ac:dyDescent="0.3">
      <c r="A64" s="2"/>
      <c r="B64" s="140" t="s">
        <v>228</v>
      </c>
      <c r="C64" s="2"/>
      <c r="D64" s="2"/>
      <c r="E64" s="233">
        <v>285</v>
      </c>
      <c r="F64" s="2"/>
      <c r="G64" s="233">
        <f>G21</f>
        <v>9.27</v>
      </c>
      <c r="H64" s="2"/>
      <c r="J64" s="2"/>
      <c r="K64" s="2"/>
      <c r="L64" s="2"/>
      <c r="M64" s="232"/>
      <c r="N64" s="2"/>
      <c r="O64" s="235"/>
      <c r="P64" s="235"/>
      <c r="Q64" s="235"/>
      <c r="R64" s="235"/>
      <c r="S64" s="2"/>
    </row>
    <row r="65" spans="1:19" x14ac:dyDescent="0.3">
      <c r="A65" s="2"/>
      <c r="B65" s="140" t="s">
        <v>602</v>
      </c>
      <c r="C65" s="2"/>
      <c r="D65" s="2"/>
      <c r="E65" s="233"/>
      <c r="F65" s="2"/>
      <c r="G65" s="233"/>
      <c r="H65" s="2"/>
      <c r="I65" s="233">
        <v>6.56</v>
      </c>
      <c r="J65" s="2"/>
      <c r="K65" s="2"/>
      <c r="L65" s="2"/>
      <c r="M65" s="232"/>
      <c r="N65" s="2"/>
      <c r="O65" s="235"/>
      <c r="P65" s="235"/>
      <c r="Q65" s="235"/>
      <c r="R65" s="235"/>
      <c r="S65" s="2"/>
    </row>
    <row r="66" spans="1:19" x14ac:dyDescent="0.3">
      <c r="A66" s="2"/>
      <c r="B66" s="140" t="s">
        <v>503</v>
      </c>
      <c r="C66" s="2"/>
      <c r="D66" s="2"/>
      <c r="E66" s="233"/>
      <c r="F66" s="2"/>
      <c r="G66" s="233"/>
      <c r="H66" s="2"/>
      <c r="J66" s="2"/>
      <c r="K66" s="232">
        <v>0.36030000000000001</v>
      </c>
      <c r="L66" s="2"/>
      <c r="M66" s="243">
        <f>M59</f>
        <v>3.5021000000000004</v>
      </c>
      <c r="N66" s="2"/>
      <c r="O66" s="232">
        <f>O59</f>
        <v>4.5999999999999999E-3</v>
      </c>
      <c r="P66" s="236"/>
      <c r="Q66" s="232">
        <f>Q23*10</f>
        <v>0.19199999999999998</v>
      </c>
      <c r="R66" s="234"/>
      <c r="S66" s="232">
        <f>SUM(K66:Q66)</f>
        <v>4.0590000000000002</v>
      </c>
    </row>
    <row r="67" spans="1:19" x14ac:dyDescent="0.3">
      <c r="A67" s="2"/>
      <c r="B67" s="2"/>
      <c r="C67" s="2"/>
      <c r="D67" s="2"/>
      <c r="E67" s="233"/>
      <c r="F67" s="2"/>
      <c r="G67" s="2"/>
      <c r="H67" s="2"/>
      <c r="I67" s="2"/>
      <c r="J67" s="2"/>
      <c r="K67" s="2"/>
      <c r="L67" s="2"/>
      <c r="M67" s="232"/>
      <c r="N67" s="2"/>
      <c r="O67" s="235"/>
      <c r="P67" s="235"/>
      <c r="Q67" s="235"/>
      <c r="R67" s="235"/>
      <c r="S67" s="2"/>
    </row>
    <row r="68" spans="1:19" x14ac:dyDescent="0.3">
      <c r="A68" s="2"/>
      <c r="B68" s="2"/>
      <c r="C68" s="2"/>
      <c r="D68" s="2"/>
      <c r="E68" s="233"/>
      <c r="F68" s="2"/>
      <c r="G68" s="2"/>
      <c r="H68" s="2"/>
      <c r="I68" s="2"/>
      <c r="J68" s="2"/>
      <c r="K68" s="2"/>
      <c r="L68" s="2"/>
      <c r="M68" s="232"/>
      <c r="N68" s="2"/>
      <c r="O68" s="235"/>
      <c r="P68" s="235"/>
      <c r="Q68" s="235"/>
      <c r="R68" s="235"/>
      <c r="S68" s="2"/>
    </row>
    <row r="69" spans="1:19" x14ac:dyDescent="0.3">
      <c r="A69" s="2" t="s">
        <v>604</v>
      </c>
      <c r="B69" s="140"/>
      <c r="C69" s="2"/>
      <c r="D69" s="2"/>
      <c r="E69" s="2"/>
      <c r="F69" s="2"/>
      <c r="G69" s="2"/>
      <c r="H69" s="2"/>
      <c r="I69" s="2"/>
      <c r="J69" s="2"/>
      <c r="K69" s="2"/>
      <c r="L69" s="2"/>
      <c r="M69" s="232"/>
      <c r="N69" s="2"/>
      <c r="R69" s="235"/>
      <c r="S69" s="2"/>
    </row>
    <row r="70" spans="1:19" x14ac:dyDescent="0.3">
      <c r="A70" s="2"/>
      <c r="B70" s="140"/>
      <c r="C70" s="2"/>
      <c r="D70" s="2"/>
      <c r="E70" s="2"/>
      <c r="F70" s="2"/>
      <c r="G70" s="2"/>
      <c r="H70" s="2"/>
      <c r="I70" s="2"/>
      <c r="J70" s="2"/>
      <c r="K70" s="2"/>
      <c r="L70" s="2"/>
      <c r="M70" s="232"/>
      <c r="N70" s="2"/>
      <c r="R70" s="235"/>
      <c r="S70" s="2"/>
    </row>
    <row r="71" spans="1:19" x14ac:dyDescent="0.3">
      <c r="A71" s="2"/>
      <c r="B71" s="140" t="s">
        <v>228</v>
      </c>
      <c r="C71" s="2"/>
      <c r="D71" s="2"/>
      <c r="E71" s="233">
        <v>750</v>
      </c>
      <c r="F71" s="2"/>
      <c r="G71" s="233">
        <f>G21</f>
        <v>9.27</v>
      </c>
      <c r="H71" s="2"/>
      <c r="I71" s="2"/>
      <c r="J71" s="2"/>
      <c r="K71" s="2"/>
      <c r="L71" s="2"/>
      <c r="M71" s="232"/>
      <c r="N71" s="2"/>
      <c r="O71" s="235"/>
      <c r="P71" s="235"/>
      <c r="Q71" s="235"/>
      <c r="R71" s="235"/>
      <c r="S71" s="2"/>
    </row>
    <row r="72" spans="1:19" x14ac:dyDescent="0.3">
      <c r="A72" s="2"/>
      <c r="B72" s="140" t="s">
        <v>602</v>
      </c>
      <c r="C72" s="2"/>
      <c r="D72" s="2"/>
      <c r="E72" s="233"/>
      <c r="F72" s="2"/>
      <c r="G72" s="233"/>
      <c r="H72" s="2"/>
      <c r="I72" s="233">
        <v>10.9</v>
      </c>
      <c r="J72" s="2"/>
      <c r="K72" s="2"/>
      <c r="L72" s="2"/>
      <c r="M72" s="232"/>
      <c r="N72" s="2"/>
      <c r="O72" s="235"/>
      <c r="P72" s="235"/>
      <c r="Q72" s="235"/>
      <c r="R72" s="235"/>
      <c r="S72" s="2"/>
    </row>
    <row r="73" spans="1:19" x14ac:dyDescent="0.3">
      <c r="A73" s="2"/>
      <c r="B73" s="140" t="s">
        <v>503</v>
      </c>
      <c r="C73" s="2"/>
      <c r="D73" s="2"/>
      <c r="E73" s="233"/>
      <c r="F73" s="2"/>
      <c r="G73" s="233"/>
      <c r="H73" s="2"/>
      <c r="J73" s="2"/>
      <c r="K73" s="232">
        <v>0.29920000000000002</v>
      </c>
      <c r="L73" s="2"/>
      <c r="M73" s="243">
        <f>M59</f>
        <v>3.5021000000000004</v>
      </c>
      <c r="N73" s="2"/>
      <c r="O73" s="232">
        <f>O59</f>
        <v>4.5999999999999999E-3</v>
      </c>
      <c r="P73" s="236"/>
      <c r="Q73" s="232">
        <f>Q66</f>
        <v>0.19199999999999998</v>
      </c>
      <c r="R73" s="234"/>
      <c r="S73" s="232">
        <f>SUM(K73:Q73)</f>
        <v>3.9979000000000005</v>
      </c>
    </row>
    <row r="74" spans="1:19" x14ac:dyDescent="0.3">
      <c r="A74" s="2"/>
      <c r="B74" s="2"/>
      <c r="C74" s="2"/>
      <c r="D74" s="2"/>
      <c r="E74" s="233"/>
      <c r="F74" s="2"/>
      <c r="G74" s="2"/>
      <c r="H74" s="2"/>
      <c r="I74" s="2"/>
      <c r="J74" s="2"/>
      <c r="K74" s="2"/>
      <c r="L74" s="2"/>
      <c r="M74" s="232"/>
      <c r="N74" s="2"/>
      <c r="O74" s="235"/>
      <c r="P74" s="235"/>
      <c r="Q74" s="235"/>
      <c r="R74" s="235"/>
      <c r="S74" s="2"/>
    </row>
    <row r="75" spans="1:19" x14ac:dyDescent="0.3">
      <c r="A75" s="2"/>
      <c r="B75" s="2"/>
      <c r="C75" s="2"/>
      <c r="D75" s="2"/>
      <c r="E75" s="233"/>
      <c r="F75" s="2"/>
      <c r="G75" s="2"/>
      <c r="H75" s="2"/>
      <c r="I75" s="2"/>
      <c r="J75" s="2"/>
      <c r="K75" s="2"/>
      <c r="L75" s="2"/>
      <c r="M75" s="232"/>
      <c r="N75" s="2"/>
      <c r="O75" s="235"/>
      <c r="P75" s="235"/>
      <c r="Q75" s="235"/>
      <c r="R75" s="235"/>
      <c r="S75" s="2"/>
    </row>
    <row r="76" spans="1:19" x14ac:dyDescent="0.3">
      <c r="A76" s="2"/>
      <c r="B76" s="2"/>
      <c r="C76" s="2"/>
      <c r="D76" s="2"/>
      <c r="E76" s="233"/>
      <c r="F76" s="2"/>
      <c r="G76" s="2"/>
      <c r="H76" s="2"/>
      <c r="I76" s="499" t="s">
        <v>128</v>
      </c>
      <c r="J76" s="499"/>
      <c r="K76" s="499"/>
      <c r="L76" s="499"/>
      <c r="M76" s="499"/>
      <c r="N76" s="499"/>
      <c r="O76" s="499"/>
      <c r="P76" s="499"/>
      <c r="Q76" s="499"/>
      <c r="R76" s="235"/>
      <c r="S76" s="2"/>
    </row>
    <row r="77" spans="1:19" x14ac:dyDescent="0.3">
      <c r="A77" s="2"/>
      <c r="B77" s="2"/>
      <c r="C77" s="2"/>
      <c r="D77" s="2"/>
      <c r="E77" s="233"/>
      <c r="F77" s="2"/>
      <c r="G77" s="2"/>
      <c r="H77" s="2"/>
      <c r="I77" s="2"/>
      <c r="J77" s="2"/>
      <c r="K77" s="2"/>
      <c r="L77" s="2"/>
      <c r="M77" s="232"/>
      <c r="N77" s="2"/>
      <c r="O77" s="2"/>
      <c r="P77" s="2"/>
      <c r="Q77" s="339" t="s">
        <v>455</v>
      </c>
      <c r="R77" s="235"/>
      <c r="S77" s="2"/>
    </row>
    <row r="78" spans="1:19" x14ac:dyDescent="0.3">
      <c r="A78" s="2"/>
      <c r="B78" s="2"/>
      <c r="C78" s="2"/>
      <c r="D78" s="2"/>
      <c r="E78" s="339" t="s">
        <v>229</v>
      </c>
      <c r="F78" s="2"/>
      <c r="G78" s="339" t="s">
        <v>455</v>
      </c>
      <c r="H78" s="2"/>
      <c r="I78" s="339" t="s">
        <v>157</v>
      </c>
      <c r="J78" s="2"/>
      <c r="K78" s="140" t="s">
        <v>129</v>
      </c>
      <c r="L78" s="2"/>
      <c r="M78" s="339" t="s">
        <v>130</v>
      </c>
      <c r="N78" s="2"/>
      <c r="O78" s="339" t="s">
        <v>131</v>
      </c>
      <c r="P78" s="339"/>
      <c r="Q78" s="339" t="s">
        <v>595</v>
      </c>
      <c r="R78" s="339"/>
      <c r="S78" s="2"/>
    </row>
    <row r="79" spans="1:19" x14ac:dyDescent="0.3">
      <c r="A79" s="2"/>
      <c r="B79" s="2"/>
      <c r="C79" s="2"/>
      <c r="D79" s="2"/>
      <c r="E79" s="339" t="s">
        <v>132</v>
      </c>
      <c r="F79" s="2"/>
      <c r="G79" s="339" t="s">
        <v>132</v>
      </c>
      <c r="H79" s="2"/>
      <c r="I79" s="339" t="s">
        <v>132</v>
      </c>
      <c r="J79" s="2"/>
      <c r="K79" s="339" t="s">
        <v>133</v>
      </c>
      <c r="L79" s="2"/>
      <c r="M79" s="339" t="s">
        <v>134</v>
      </c>
      <c r="N79" s="2"/>
      <c r="O79" s="339" t="s">
        <v>135</v>
      </c>
      <c r="P79" s="339"/>
      <c r="Q79" s="339" t="s">
        <v>594</v>
      </c>
      <c r="R79" s="339"/>
      <c r="S79" s="2"/>
    </row>
    <row r="80" spans="1:19" x14ac:dyDescent="0.3">
      <c r="A80" s="2"/>
      <c r="B80" s="2"/>
      <c r="C80" s="2"/>
      <c r="D80" s="2"/>
      <c r="E80" s="138" t="s">
        <v>136</v>
      </c>
      <c r="F80" s="2"/>
      <c r="G80" s="141" t="s">
        <v>136</v>
      </c>
      <c r="H80" s="2"/>
      <c r="I80" s="141" t="s">
        <v>139</v>
      </c>
      <c r="J80" s="2"/>
      <c r="K80" s="139" t="s">
        <v>137</v>
      </c>
      <c r="L80" s="2"/>
      <c r="M80" s="139" t="s">
        <v>138</v>
      </c>
      <c r="N80" s="2"/>
      <c r="O80" s="141" t="s">
        <v>139</v>
      </c>
      <c r="P80" s="144"/>
      <c r="Q80" s="141" t="s">
        <v>139</v>
      </c>
      <c r="R80" s="144"/>
      <c r="S80" s="139" t="s">
        <v>140</v>
      </c>
    </row>
    <row r="81" spans="1:19" x14ac:dyDescent="0.3">
      <c r="A81" s="2" t="s">
        <v>226</v>
      </c>
      <c r="B81" s="2"/>
      <c r="C81" s="2"/>
      <c r="D81" s="2"/>
      <c r="E81" s="233"/>
      <c r="F81" s="2"/>
      <c r="G81" s="2"/>
      <c r="H81" s="2"/>
      <c r="I81" s="2"/>
      <c r="J81" s="2"/>
      <c r="K81" s="2"/>
      <c r="L81" s="2"/>
      <c r="M81" s="232"/>
      <c r="N81" s="2"/>
      <c r="O81" s="235"/>
      <c r="P81" s="235"/>
      <c r="Q81" s="235"/>
      <c r="R81" s="235"/>
      <c r="S81" s="2"/>
    </row>
    <row r="82" spans="1:19" x14ac:dyDescent="0.3">
      <c r="A82" s="2"/>
      <c r="B82" s="2"/>
      <c r="C82" s="2"/>
      <c r="D82" s="2" t="s">
        <v>227</v>
      </c>
      <c r="E82" s="233"/>
      <c r="F82" s="2"/>
      <c r="G82" s="2"/>
      <c r="H82" s="2"/>
      <c r="I82" s="2"/>
      <c r="J82" s="2"/>
      <c r="K82" s="2"/>
      <c r="L82" s="2"/>
      <c r="M82" s="232"/>
      <c r="N82" s="2"/>
      <c r="O82" s="235"/>
      <c r="P82" s="235"/>
      <c r="Q82" s="235"/>
      <c r="R82" s="235"/>
      <c r="S82" s="2"/>
    </row>
    <row r="83" spans="1:19" x14ac:dyDescent="0.3">
      <c r="A83" s="2"/>
      <c r="B83" s="140" t="s">
        <v>228</v>
      </c>
      <c r="C83" s="2"/>
      <c r="D83" s="2"/>
      <c r="E83" s="233">
        <v>165</v>
      </c>
      <c r="F83" s="2"/>
      <c r="G83" s="233">
        <f>G39</f>
        <v>111.02</v>
      </c>
      <c r="H83" s="2"/>
      <c r="I83" s="2"/>
      <c r="J83" s="2"/>
      <c r="K83" s="2"/>
      <c r="L83" s="2"/>
      <c r="M83" s="232"/>
      <c r="N83" s="2"/>
      <c r="O83" s="235"/>
      <c r="P83" s="235"/>
      <c r="Q83" s="235"/>
      <c r="R83" s="235"/>
      <c r="S83" s="2"/>
    </row>
    <row r="84" spans="1:19" x14ac:dyDescent="0.3">
      <c r="A84" s="2"/>
      <c r="B84" s="140" t="s">
        <v>602</v>
      </c>
      <c r="C84" s="2"/>
      <c r="D84" s="2"/>
      <c r="E84" s="233"/>
      <c r="F84" s="2"/>
      <c r="G84" s="233"/>
      <c r="H84" s="2"/>
      <c r="I84" s="232">
        <v>1.08978</v>
      </c>
      <c r="J84" s="2"/>
      <c r="K84" s="2"/>
      <c r="L84" s="2"/>
      <c r="M84" s="232"/>
      <c r="N84" s="2"/>
      <c r="O84" s="235"/>
      <c r="P84" s="235"/>
      <c r="Q84" s="235"/>
      <c r="R84" s="235"/>
      <c r="S84" s="2"/>
    </row>
    <row r="85" spans="1:19" x14ac:dyDescent="0.3">
      <c r="A85" s="2"/>
      <c r="B85" s="140" t="s">
        <v>4</v>
      </c>
      <c r="C85" s="2"/>
      <c r="D85" s="2"/>
      <c r="E85" s="233"/>
      <c r="F85" s="2"/>
      <c r="G85" s="233"/>
      <c r="H85" s="2"/>
      <c r="J85" s="2"/>
      <c r="K85" s="232">
        <v>2.9919999999999999E-2</v>
      </c>
      <c r="L85" s="2"/>
      <c r="M85" s="232">
        <f>$M$17</f>
        <v>0.35021000000000002</v>
      </c>
      <c r="N85" s="2"/>
      <c r="O85" s="232">
        <f>O41</f>
        <v>4.6000000000000001E-4</v>
      </c>
      <c r="P85" s="236"/>
      <c r="Q85" s="232">
        <f>Q41</f>
        <v>1.17E-2</v>
      </c>
      <c r="R85" s="234"/>
      <c r="S85" s="232">
        <f>SUM(K85:Q85)</f>
        <v>0.39229000000000003</v>
      </c>
    </row>
    <row r="86" spans="1:19" x14ac:dyDescent="0.3">
      <c r="A86" s="2"/>
      <c r="B86" s="140"/>
      <c r="C86" s="2"/>
      <c r="D86" s="2"/>
      <c r="E86" s="233"/>
      <c r="F86" s="2"/>
      <c r="G86" s="2"/>
      <c r="H86" s="2"/>
      <c r="I86" s="2"/>
      <c r="J86" s="2"/>
      <c r="K86" s="232"/>
      <c r="L86" s="2"/>
      <c r="M86" s="232"/>
      <c r="N86" s="2"/>
      <c r="O86" s="236"/>
      <c r="P86" s="236"/>
      <c r="Q86" s="236"/>
      <c r="R86" s="234"/>
      <c r="S86" s="232"/>
    </row>
    <row r="87" spans="1:19" x14ac:dyDescent="0.3">
      <c r="A87" s="2"/>
      <c r="B87" s="140"/>
      <c r="C87" s="2"/>
      <c r="D87" s="2"/>
      <c r="E87" s="233"/>
      <c r="F87" s="2"/>
      <c r="G87" s="2"/>
      <c r="H87" s="2"/>
      <c r="I87" s="2"/>
      <c r="J87" s="2"/>
      <c r="K87" s="232"/>
      <c r="L87" s="2"/>
      <c r="M87" s="232"/>
      <c r="N87" s="2"/>
      <c r="O87" s="236"/>
      <c r="P87" s="236"/>
      <c r="Q87" s="236"/>
      <c r="R87" s="234"/>
      <c r="S87" s="232"/>
    </row>
    <row r="88" spans="1:19" x14ac:dyDescent="0.3">
      <c r="A88" s="2" t="s">
        <v>226</v>
      </c>
      <c r="B88" s="2"/>
      <c r="C88" s="2"/>
      <c r="D88" s="2"/>
      <c r="E88" s="233"/>
      <c r="F88" s="2"/>
      <c r="G88" s="2"/>
      <c r="H88" s="2"/>
      <c r="I88" s="2"/>
      <c r="J88" s="2"/>
      <c r="K88" s="2"/>
      <c r="L88" s="2"/>
      <c r="M88" s="232"/>
      <c r="N88" s="2"/>
      <c r="O88" s="235"/>
      <c r="P88" s="235"/>
      <c r="Q88" s="235"/>
      <c r="R88" s="235"/>
      <c r="S88" s="2"/>
    </row>
    <row r="89" spans="1:19" x14ac:dyDescent="0.3">
      <c r="A89" s="2"/>
      <c r="B89" s="2"/>
      <c r="C89" s="2"/>
      <c r="D89" s="2" t="s">
        <v>151</v>
      </c>
      <c r="E89" s="233"/>
      <c r="F89" s="2"/>
      <c r="G89" s="2"/>
      <c r="H89" s="2"/>
      <c r="I89" s="2"/>
      <c r="J89" s="2"/>
      <c r="K89" s="2"/>
      <c r="L89" s="2"/>
      <c r="M89" s="232"/>
      <c r="N89" s="2"/>
      <c r="O89" s="235"/>
      <c r="P89" s="235"/>
      <c r="Q89" s="235"/>
      <c r="R89" s="235"/>
      <c r="S89" s="2"/>
    </row>
    <row r="90" spans="1:19" x14ac:dyDescent="0.3">
      <c r="A90" s="2"/>
      <c r="B90" s="140" t="s">
        <v>228</v>
      </c>
      <c r="C90" s="2"/>
      <c r="D90" s="2"/>
      <c r="E90" s="233">
        <v>750</v>
      </c>
      <c r="F90" s="2"/>
      <c r="G90" s="233">
        <f>G83</f>
        <v>111.02</v>
      </c>
      <c r="H90" s="2"/>
      <c r="I90" s="2"/>
      <c r="J90" s="2"/>
      <c r="K90" s="2"/>
      <c r="L90" s="2"/>
      <c r="M90" s="232"/>
      <c r="N90" s="2"/>
      <c r="O90" s="235"/>
      <c r="P90" s="235"/>
      <c r="Q90" s="235"/>
      <c r="R90" s="235"/>
      <c r="S90" s="2"/>
    </row>
    <row r="91" spans="1:19" x14ac:dyDescent="0.3">
      <c r="A91" s="2"/>
      <c r="B91" s="140" t="s">
        <v>602</v>
      </c>
      <c r="C91" s="2"/>
      <c r="D91" s="2"/>
      <c r="E91" s="233"/>
      <c r="F91" s="2"/>
      <c r="G91" s="233"/>
      <c r="H91" s="2"/>
      <c r="I91" s="232">
        <f>I84</f>
        <v>1.08978</v>
      </c>
      <c r="J91" s="2"/>
      <c r="K91" s="2"/>
      <c r="L91" s="2"/>
      <c r="M91" s="232"/>
      <c r="N91" s="2"/>
      <c r="O91" s="235"/>
      <c r="P91" s="235"/>
      <c r="Q91" s="235"/>
      <c r="R91" s="235"/>
      <c r="S91" s="2"/>
    </row>
    <row r="92" spans="1:19" x14ac:dyDescent="0.3">
      <c r="A92" s="2"/>
      <c r="B92" s="140" t="s">
        <v>4</v>
      </c>
      <c r="C92" s="2"/>
      <c r="D92" s="2"/>
      <c r="E92" s="233"/>
      <c r="F92" s="2"/>
      <c r="G92" s="2"/>
      <c r="H92" s="2"/>
      <c r="J92" s="2"/>
      <c r="K92" s="232">
        <f>+K85</f>
        <v>2.9919999999999999E-2</v>
      </c>
      <c r="L92" s="2"/>
      <c r="M92" s="232">
        <f>$M$17</f>
        <v>0.35021000000000002</v>
      </c>
      <c r="N92" s="2"/>
      <c r="O92" s="232">
        <f>+O85</f>
        <v>4.6000000000000001E-4</v>
      </c>
      <c r="P92" s="236"/>
      <c r="Q92" s="232">
        <f>Q85</f>
        <v>1.17E-2</v>
      </c>
      <c r="R92" s="234"/>
      <c r="S92" s="232">
        <f>SUM(K92:Q92)</f>
        <v>0.39229000000000003</v>
      </c>
    </row>
    <row r="93" spans="1:19" x14ac:dyDescent="0.3">
      <c r="A93" s="2"/>
      <c r="B93" s="2"/>
      <c r="C93" s="2"/>
      <c r="D93" s="2"/>
      <c r="E93" s="2"/>
      <c r="F93" s="2"/>
      <c r="G93" s="2"/>
      <c r="H93" s="2"/>
      <c r="I93" s="2"/>
      <c r="J93" s="2"/>
      <c r="K93" s="2"/>
      <c r="L93" s="2"/>
      <c r="M93" s="232"/>
      <c r="N93" s="2"/>
      <c r="O93" s="235"/>
      <c r="P93" s="235"/>
      <c r="Q93" s="235"/>
      <c r="R93" s="235"/>
      <c r="S93" s="2"/>
    </row>
    <row r="94" spans="1:19" x14ac:dyDescent="0.3">
      <c r="A94" s="2"/>
      <c r="B94" s="2"/>
      <c r="C94" s="2"/>
      <c r="D94" s="2"/>
      <c r="E94" s="2"/>
      <c r="F94" s="2"/>
      <c r="G94" s="2"/>
      <c r="H94" s="2"/>
      <c r="I94" s="2"/>
      <c r="J94" s="2"/>
      <c r="K94" s="2"/>
      <c r="L94" s="2"/>
      <c r="M94" s="2"/>
      <c r="N94" s="2"/>
      <c r="O94" s="235"/>
      <c r="P94" s="235"/>
      <c r="Q94" s="235"/>
      <c r="R94" s="235"/>
      <c r="S94" s="2"/>
    </row>
    <row r="95" spans="1:19" x14ac:dyDescent="0.3">
      <c r="A95" s="135" t="s">
        <v>502</v>
      </c>
      <c r="B95" s="136"/>
      <c r="C95" s="136"/>
      <c r="D95" s="136"/>
      <c r="E95" s="136"/>
      <c r="F95" s="136"/>
      <c r="G95" s="136"/>
      <c r="H95" s="136"/>
      <c r="I95" s="136"/>
      <c r="J95" s="136"/>
      <c r="K95" s="136"/>
      <c r="L95" s="136"/>
      <c r="M95" s="136"/>
      <c r="N95" s="136"/>
      <c r="O95" s="237"/>
      <c r="P95" s="237"/>
      <c r="Q95" s="237"/>
      <c r="R95" s="237"/>
      <c r="S95" s="136"/>
    </row>
    <row r="96" spans="1:19" x14ac:dyDescent="0.3">
      <c r="A96" s="238"/>
      <c r="B96" s="2"/>
      <c r="C96" s="2"/>
      <c r="D96" s="2"/>
      <c r="E96" s="2"/>
      <c r="F96" s="2"/>
      <c r="G96" s="2"/>
      <c r="H96" s="2"/>
      <c r="I96" s="2"/>
      <c r="J96" s="2"/>
      <c r="K96" s="2"/>
      <c r="L96" s="2"/>
      <c r="M96" s="2"/>
      <c r="N96" s="2"/>
      <c r="O96" s="235"/>
      <c r="P96" s="235"/>
      <c r="Q96" s="235"/>
      <c r="R96" s="235"/>
      <c r="S96" s="2"/>
    </row>
    <row r="97" spans="1:19" x14ac:dyDescent="0.3">
      <c r="A97" s="52" t="s">
        <v>778</v>
      </c>
      <c r="B97" s="136"/>
      <c r="C97" s="136"/>
      <c r="D97" s="136"/>
      <c r="E97" s="136"/>
      <c r="F97" s="136"/>
      <c r="G97" s="136"/>
      <c r="H97" s="136"/>
      <c r="I97" s="136"/>
      <c r="J97" s="136"/>
      <c r="K97" s="136"/>
      <c r="L97" s="136"/>
      <c r="M97" s="136"/>
      <c r="N97" s="136"/>
      <c r="O97" s="237"/>
      <c r="P97" s="237"/>
      <c r="Q97" s="237"/>
      <c r="R97" s="237"/>
      <c r="S97" s="136"/>
    </row>
    <row r="98" spans="1:19" x14ac:dyDescent="0.3">
      <c r="A98" s="52" t="str">
        <f>A4</f>
        <v>RENDERED FROM</v>
      </c>
      <c r="B98" s="136"/>
      <c r="C98" s="136"/>
      <c r="D98" s="136"/>
      <c r="E98" s="136"/>
      <c r="F98" s="136"/>
      <c r="G98" s="136"/>
      <c r="H98" s="136"/>
      <c r="I98" s="136"/>
      <c r="J98" s="136"/>
      <c r="K98" s="136"/>
      <c r="L98" s="136"/>
      <c r="M98" s="136"/>
      <c r="N98" s="136"/>
      <c r="O98" s="237"/>
      <c r="P98" s="237"/>
      <c r="Q98" s="237"/>
      <c r="R98" s="237"/>
      <c r="S98" s="136"/>
    </row>
    <row r="99" spans="1:19" x14ac:dyDescent="0.3">
      <c r="A99" s="52" t="str">
        <f>A5</f>
        <v>May 1, 2021 through July 31, 2021</v>
      </c>
      <c r="B99" s="136"/>
      <c r="C99" s="136"/>
      <c r="D99" s="136"/>
      <c r="E99" s="136"/>
      <c r="F99" s="136"/>
      <c r="G99" s="136"/>
      <c r="H99" s="136"/>
      <c r="I99" s="136"/>
      <c r="J99" s="136"/>
      <c r="K99" s="136"/>
      <c r="L99" s="136"/>
      <c r="M99" s="136"/>
      <c r="N99" s="136"/>
      <c r="O99" s="237"/>
      <c r="P99" s="237"/>
      <c r="Q99" s="237"/>
      <c r="R99" s="237"/>
      <c r="S99" s="136"/>
    </row>
    <row r="100" spans="1:19" x14ac:dyDescent="0.3">
      <c r="A100" s="2"/>
      <c r="B100" s="2"/>
      <c r="C100" s="2"/>
      <c r="D100" s="2"/>
      <c r="E100" s="2"/>
      <c r="F100" s="2"/>
      <c r="G100" s="2"/>
      <c r="H100" s="2"/>
      <c r="I100" s="2"/>
      <c r="J100" s="2"/>
      <c r="K100" s="2"/>
      <c r="L100" s="2"/>
      <c r="M100" s="2"/>
      <c r="N100" s="2"/>
      <c r="O100" s="235"/>
      <c r="P100" s="235"/>
      <c r="Q100" s="235"/>
      <c r="R100" s="235"/>
      <c r="S100" s="2"/>
    </row>
    <row r="101" spans="1:19" x14ac:dyDescent="0.3">
      <c r="A101" s="2"/>
      <c r="B101" s="2"/>
      <c r="C101" s="2"/>
      <c r="D101" s="2"/>
      <c r="E101" s="2"/>
      <c r="F101" s="2"/>
      <c r="G101" s="2"/>
      <c r="H101" s="2"/>
      <c r="I101" s="2"/>
      <c r="J101" s="2"/>
      <c r="K101" s="2"/>
      <c r="L101" s="2"/>
      <c r="M101" s="2"/>
      <c r="N101" s="2"/>
      <c r="O101" s="235"/>
      <c r="P101" s="235"/>
      <c r="Q101" s="235"/>
      <c r="R101" s="235"/>
      <c r="S101" s="2"/>
    </row>
    <row r="102" spans="1:19" x14ac:dyDescent="0.3">
      <c r="A102" s="2"/>
      <c r="B102" s="2"/>
      <c r="C102" s="2"/>
      <c r="D102" s="2"/>
      <c r="E102" s="2"/>
      <c r="F102" s="2"/>
      <c r="G102" s="2"/>
      <c r="H102" s="2"/>
      <c r="I102" s="2"/>
      <c r="J102" s="2"/>
      <c r="L102" s="501"/>
      <c r="M102" s="501" t="s">
        <v>153</v>
      </c>
      <c r="N102" s="501"/>
      <c r="O102" s="502"/>
      <c r="P102" s="502"/>
      <c r="Q102" s="502"/>
      <c r="R102" s="239"/>
      <c r="S102" s="2"/>
    </row>
    <row r="103" spans="1:19" x14ac:dyDescent="0.3">
      <c r="A103" s="2"/>
      <c r="B103" s="2"/>
      <c r="C103" s="2"/>
      <c r="D103" s="2"/>
      <c r="E103" s="2"/>
      <c r="F103" s="2"/>
      <c r="G103" s="2"/>
      <c r="H103" s="2"/>
      <c r="I103" s="2"/>
      <c r="J103" s="2"/>
      <c r="K103" s="2"/>
      <c r="L103" s="2"/>
      <c r="M103" s="2"/>
      <c r="N103" s="2"/>
      <c r="O103" s="235"/>
      <c r="P103" s="235"/>
      <c r="Q103" s="235"/>
      <c r="R103" s="235"/>
      <c r="S103" s="2"/>
    </row>
    <row r="104" spans="1:19" x14ac:dyDescent="0.3">
      <c r="A104" s="2"/>
      <c r="B104" s="2"/>
      <c r="C104" s="2"/>
      <c r="D104" s="2"/>
      <c r="E104" s="2"/>
      <c r="F104" s="2"/>
      <c r="G104" s="265"/>
      <c r="H104" s="2"/>
      <c r="I104" s="2"/>
      <c r="J104" s="2"/>
      <c r="K104" s="2"/>
      <c r="L104" s="2"/>
      <c r="M104" s="2"/>
      <c r="N104" s="2"/>
      <c r="O104" s="265"/>
      <c r="P104" s="265"/>
      <c r="Q104" s="265"/>
      <c r="R104" s="235"/>
      <c r="S104" s="2"/>
    </row>
    <row r="105" spans="1:19" x14ac:dyDescent="0.3">
      <c r="A105" s="2"/>
      <c r="B105" s="2"/>
      <c r="C105" s="2"/>
      <c r="D105" s="2"/>
      <c r="E105" s="2"/>
      <c r="F105" s="2"/>
      <c r="G105" s="265"/>
      <c r="H105" s="265"/>
      <c r="I105" s="265"/>
      <c r="J105" s="265"/>
      <c r="K105" s="265"/>
      <c r="L105" s="2"/>
      <c r="M105" s="339" t="s">
        <v>154</v>
      </c>
      <c r="N105" s="2"/>
      <c r="O105" s="265"/>
      <c r="P105" s="265"/>
      <c r="Q105" s="265"/>
      <c r="R105" s="235"/>
      <c r="S105" s="265"/>
    </row>
    <row r="106" spans="1:19" x14ac:dyDescent="0.3">
      <c r="A106" s="2"/>
      <c r="B106" s="2"/>
      <c r="C106" s="2"/>
      <c r="D106" s="2"/>
      <c r="F106" s="2"/>
      <c r="G106" s="339" t="s">
        <v>155</v>
      </c>
      <c r="H106" s="265"/>
      <c r="I106" s="265"/>
      <c r="J106" s="265"/>
      <c r="K106" s="265"/>
      <c r="L106" s="2"/>
      <c r="M106" s="339" t="s">
        <v>156</v>
      </c>
      <c r="N106" s="2"/>
      <c r="O106" s="265"/>
      <c r="P106" s="265"/>
      <c r="Q106" s="265"/>
      <c r="R106" s="240"/>
      <c r="S106" s="265"/>
    </row>
    <row r="107" spans="1:19" x14ac:dyDescent="0.3">
      <c r="A107" s="2"/>
      <c r="B107" s="2"/>
      <c r="C107" s="2"/>
      <c r="D107" s="2"/>
      <c r="F107" s="2"/>
      <c r="G107" s="339" t="s">
        <v>132</v>
      </c>
      <c r="H107" s="265"/>
      <c r="I107" s="265"/>
      <c r="J107" s="265"/>
      <c r="K107" s="265"/>
      <c r="L107" s="2"/>
      <c r="M107" s="339" t="s">
        <v>157</v>
      </c>
      <c r="N107" s="2"/>
      <c r="O107" s="265"/>
      <c r="P107" s="265"/>
      <c r="Q107" s="265"/>
      <c r="R107" s="240"/>
      <c r="S107" s="265"/>
    </row>
    <row r="108" spans="1:19" x14ac:dyDescent="0.3">
      <c r="A108" s="2" t="s">
        <v>506</v>
      </c>
      <c r="B108" s="2"/>
      <c r="C108" s="2"/>
      <c r="D108" s="2"/>
      <c r="F108" s="2"/>
      <c r="G108" s="241" t="s">
        <v>136</v>
      </c>
      <c r="H108" s="265"/>
      <c r="I108" s="265"/>
      <c r="J108" s="265"/>
      <c r="K108" s="265"/>
      <c r="L108" s="2"/>
      <c r="M108" s="241" t="s">
        <v>139</v>
      </c>
      <c r="N108" s="2"/>
      <c r="O108" s="265"/>
      <c r="P108" s="265"/>
      <c r="Q108" s="265"/>
      <c r="R108" s="242"/>
      <c r="S108" s="265"/>
    </row>
    <row r="109" spans="1:19" x14ac:dyDescent="0.3">
      <c r="A109" s="2"/>
      <c r="B109" s="2"/>
      <c r="C109" s="2"/>
      <c r="D109" s="2"/>
      <c r="F109" s="2"/>
      <c r="G109" s="2"/>
      <c r="H109" s="265"/>
      <c r="I109" s="265"/>
      <c r="J109" s="265"/>
      <c r="K109" s="265"/>
      <c r="L109" s="2"/>
      <c r="M109" s="2"/>
      <c r="N109" s="2"/>
      <c r="O109" s="265"/>
      <c r="P109" s="265"/>
      <c r="Q109" s="265"/>
      <c r="R109" s="235"/>
      <c r="S109" s="265"/>
    </row>
    <row r="110" spans="1:19" x14ac:dyDescent="0.3">
      <c r="A110" s="2"/>
      <c r="B110" s="2"/>
      <c r="C110" s="2"/>
      <c r="D110" s="2"/>
      <c r="F110" s="2"/>
      <c r="G110" s="2"/>
      <c r="H110" s="265"/>
      <c r="I110" s="265"/>
      <c r="J110" s="265"/>
      <c r="K110" s="265"/>
      <c r="L110" s="2"/>
      <c r="M110" s="2"/>
      <c r="N110" s="2"/>
      <c r="O110" s="265"/>
      <c r="P110" s="265"/>
      <c r="Q110" s="265"/>
      <c r="R110" s="235"/>
      <c r="S110" s="265"/>
    </row>
    <row r="111" spans="1:19" x14ac:dyDescent="0.3">
      <c r="A111" s="2"/>
      <c r="B111" s="370" t="s">
        <v>505</v>
      </c>
      <c r="C111" s="2"/>
      <c r="D111" s="2"/>
      <c r="F111" s="2"/>
      <c r="G111" s="2"/>
      <c r="H111" s="265"/>
      <c r="I111" s="265"/>
      <c r="J111" s="265"/>
      <c r="K111" s="265"/>
      <c r="L111" s="2"/>
      <c r="M111" s="243"/>
      <c r="N111" s="2"/>
      <c r="O111" s="265"/>
      <c r="P111" s="265"/>
      <c r="Q111" s="265"/>
      <c r="R111" s="235"/>
      <c r="S111" s="265"/>
    </row>
    <row r="112" spans="1:19" x14ac:dyDescent="0.3">
      <c r="A112" s="2"/>
      <c r="B112" s="2"/>
      <c r="C112" s="2"/>
      <c r="D112" s="2"/>
      <c r="F112" s="2"/>
      <c r="G112" s="233"/>
      <c r="H112" s="265"/>
      <c r="I112" s="265"/>
      <c r="J112" s="265"/>
      <c r="K112" s="265"/>
      <c r="L112" s="2"/>
      <c r="M112" s="243"/>
      <c r="N112" s="2"/>
      <c r="O112" s="265"/>
      <c r="P112" s="265"/>
      <c r="Q112" s="265"/>
      <c r="R112" s="234"/>
      <c r="S112" s="265"/>
    </row>
    <row r="113" spans="1:19" x14ac:dyDescent="0.3">
      <c r="A113" s="140" t="s">
        <v>142</v>
      </c>
      <c r="B113" s="2"/>
      <c r="C113" s="2"/>
      <c r="D113" s="2"/>
      <c r="F113" s="2"/>
      <c r="G113" s="233">
        <v>550</v>
      </c>
      <c r="H113" s="265"/>
      <c r="I113" s="265"/>
      <c r="J113" s="265"/>
      <c r="K113" s="265"/>
      <c r="L113" s="2"/>
      <c r="M113" s="243"/>
      <c r="N113" s="2"/>
      <c r="O113" s="265"/>
      <c r="P113" s="265"/>
      <c r="Q113" s="265"/>
      <c r="R113" s="234"/>
      <c r="S113" s="265"/>
    </row>
    <row r="114" spans="1:19" x14ac:dyDescent="0.3">
      <c r="A114" s="140" t="s">
        <v>144</v>
      </c>
      <c r="B114" s="2"/>
      <c r="C114" s="2"/>
      <c r="D114" s="2"/>
      <c r="F114" s="2"/>
      <c r="G114" s="233"/>
      <c r="H114" s="265"/>
      <c r="I114" s="265"/>
      <c r="J114" s="265"/>
      <c r="K114" s="265"/>
      <c r="L114" s="2"/>
      <c r="M114" s="243"/>
      <c r="N114" s="2"/>
      <c r="O114" s="265"/>
      <c r="P114" s="265"/>
      <c r="Q114" s="265"/>
      <c r="R114" s="234"/>
      <c r="S114" s="265"/>
    </row>
    <row r="115" spans="1:19" x14ac:dyDescent="0.3">
      <c r="A115" s="2"/>
      <c r="B115" s="140" t="s">
        <v>158</v>
      </c>
      <c r="C115" s="2"/>
      <c r="D115" s="2"/>
      <c r="F115" s="2"/>
      <c r="G115" s="233"/>
      <c r="H115" s="265"/>
      <c r="I115" s="265"/>
      <c r="J115" s="265"/>
      <c r="K115" s="265"/>
      <c r="L115" s="2"/>
      <c r="M115" s="243">
        <f>'Ex A 2 of 2'!F41</f>
        <v>0.8758999999999999</v>
      </c>
      <c r="N115" s="2"/>
      <c r="O115" s="265"/>
      <c r="P115" s="265"/>
      <c r="Q115" s="265"/>
      <c r="R115" s="234"/>
      <c r="S115" s="265"/>
    </row>
    <row r="116" spans="1:19" x14ac:dyDescent="0.3">
      <c r="A116" s="2"/>
      <c r="B116" s="140" t="s">
        <v>159</v>
      </c>
      <c r="C116" s="2"/>
      <c r="D116" s="2"/>
      <c r="F116" s="2"/>
      <c r="G116" s="233"/>
      <c r="H116" s="265"/>
      <c r="I116" s="265"/>
      <c r="J116" s="265"/>
      <c r="K116" s="265"/>
      <c r="L116" s="2"/>
      <c r="M116" s="243">
        <f>($M$115)</f>
        <v>0.8758999999999999</v>
      </c>
      <c r="N116" s="2"/>
      <c r="O116" s="265"/>
      <c r="P116" s="265"/>
      <c r="Q116" s="265"/>
      <c r="R116" s="234"/>
      <c r="S116" s="265"/>
    </row>
    <row r="117" spans="1:19" x14ac:dyDescent="0.3">
      <c r="A117" s="140" t="s">
        <v>147</v>
      </c>
      <c r="B117" s="2"/>
      <c r="C117" s="2"/>
      <c r="D117" s="2"/>
      <c r="F117" s="2"/>
      <c r="G117" s="233"/>
      <c r="H117" s="265"/>
      <c r="I117" s="265"/>
      <c r="J117" s="265"/>
      <c r="K117" s="265"/>
      <c r="L117" s="2"/>
      <c r="M117" s="243"/>
      <c r="N117" s="2"/>
      <c r="O117" s="265"/>
      <c r="P117" s="265"/>
      <c r="Q117" s="265"/>
      <c r="R117" s="234"/>
      <c r="S117" s="265"/>
    </row>
    <row r="118" spans="1:19" x14ac:dyDescent="0.3">
      <c r="A118" s="2"/>
      <c r="B118" s="140" t="s">
        <v>160</v>
      </c>
      <c r="C118" s="2"/>
      <c r="D118" s="2"/>
      <c r="F118" s="2"/>
      <c r="G118" s="233"/>
      <c r="H118" s="265"/>
      <c r="I118" s="265"/>
      <c r="J118" s="265"/>
      <c r="K118" s="265"/>
      <c r="L118" s="2"/>
      <c r="M118" s="243">
        <f>($M$115)</f>
        <v>0.8758999999999999</v>
      </c>
      <c r="N118" s="2"/>
      <c r="O118" s="265"/>
      <c r="P118" s="265"/>
      <c r="Q118" s="265"/>
      <c r="R118" s="234"/>
      <c r="S118" s="265"/>
    </row>
    <row r="119" spans="1:19" x14ac:dyDescent="0.3">
      <c r="A119" s="2"/>
      <c r="B119" s="2"/>
      <c r="C119" s="2"/>
      <c r="D119" s="2"/>
      <c r="F119" s="2"/>
      <c r="G119" s="233"/>
      <c r="H119" s="265"/>
      <c r="I119" s="265"/>
      <c r="J119" s="265"/>
      <c r="K119" s="265"/>
      <c r="L119" s="2"/>
      <c r="M119" s="243"/>
      <c r="N119" s="2"/>
      <c r="O119" s="265"/>
      <c r="P119" s="265"/>
      <c r="Q119" s="265"/>
      <c r="R119" s="234"/>
      <c r="S119" s="265"/>
    </row>
    <row r="120" spans="1:19" x14ac:dyDescent="0.3">
      <c r="A120" s="2"/>
      <c r="B120" s="2"/>
      <c r="C120" s="2"/>
      <c r="D120" s="2"/>
      <c r="F120" s="2"/>
      <c r="G120" s="233"/>
      <c r="H120" s="265"/>
      <c r="I120" s="265"/>
      <c r="J120" s="265"/>
      <c r="K120" s="265"/>
      <c r="L120" s="2"/>
      <c r="M120" s="243"/>
      <c r="N120" s="2"/>
      <c r="O120" s="265"/>
      <c r="P120" s="265"/>
      <c r="Q120" s="265"/>
      <c r="R120" s="234"/>
      <c r="S120" s="265"/>
    </row>
    <row r="121" spans="1:19" x14ac:dyDescent="0.3">
      <c r="A121" s="140" t="s">
        <v>149</v>
      </c>
      <c r="B121" s="2"/>
      <c r="C121" s="2"/>
      <c r="D121" s="2"/>
      <c r="F121" s="2"/>
      <c r="G121" s="233">
        <v>550</v>
      </c>
      <c r="H121" s="265"/>
      <c r="I121" s="265"/>
      <c r="J121" s="265"/>
      <c r="K121" s="265"/>
      <c r="L121" s="2"/>
      <c r="M121" s="243"/>
      <c r="N121" s="2"/>
      <c r="O121" s="265"/>
      <c r="P121" s="265"/>
      <c r="Q121" s="265"/>
      <c r="R121" s="234"/>
      <c r="S121" s="265"/>
    </row>
    <row r="122" spans="1:19" x14ac:dyDescent="0.3">
      <c r="A122" s="140" t="s">
        <v>144</v>
      </c>
      <c r="B122" s="2"/>
      <c r="C122" s="2"/>
      <c r="D122" s="2"/>
      <c r="F122" s="2"/>
      <c r="G122" s="233"/>
      <c r="H122" s="265"/>
      <c r="I122" s="265"/>
      <c r="J122" s="265"/>
      <c r="K122" s="265"/>
      <c r="L122" s="2"/>
      <c r="M122" s="243"/>
      <c r="N122" s="2"/>
      <c r="O122" s="265"/>
      <c r="P122" s="265"/>
      <c r="Q122" s="265"/>
      <c r="R122" s="234"/>
      <c r="S122" s="265"/>
    </row>
    <row r="123" spans="1:19" x14ac:dyDescent="0.3">
      <c r="A123" s="2"/>
      <c r="B123" s="140" t="s">
        <v>158</v>
      </c>
      <c r="C123" s="2"/>
      <c r="D123" s="2"/>
      <c r="F123" s="2"/>
      <c r="G123" s="233"/>
      <c r="H123" s="265"/>
      <c r="I123" s="265"/>
      <c r="J123" s="265"/>
      <c r="K123" s="265"/>
      <c r="L123" s="2"/>
      <c r="M123" s="243">
        <f>($M$115)</f>
        <v>0.8758999999999999</v>
      </c>
      <c r="N123" s="2"/>
      <c r="O123" s="265"/>
      <c r="P123" s="265"/>
      <c r="Q123" s="265"/>
      <c r="R123" s="234"/>
      <c r="S123" s="265"/>
    </row>
    <row r="124" spans="1:19" x14ac:dyDescent="0.3">
      <c r="A124" s="2"/>
      <c r="B124" s="140" t="s">
        <v>159</v>
      </c>
      <c r="C124" s="2"/>
      <c r="D124" s="2"/>
      <c r="F124" s="2"/>
      <c r="G124" s="233"/>
      <c r="H124" s="265"/>
      <c r="I124" s="265"/>
      <c r="J124" s="265"/>
      <c r="K124" s="265"/>
      <c r="L124" s="2"/>
      <c r="M124" s="243">
        <f>($M$115)</f>
        <v>0.8758999999999999</v>
      </c>
      <c r="N124" s="2"/>
      <c r="O124" s="265"/>
      <c r="P124" s="265"/>
      <c r="Q124" s="265"/>
      <c r="R124" s="234"/>
      <c r="S124" s="265"/>
    </row>
    <row r="125" spans="1:19" x14ac:dyDescent="0.3">
      <c r="A125" s="140" t="s">
        <v>147</v>
      </c>
      <c r="B125" s="2"/>
      <c r="C125" s="2"/>
      <c r="D125" s="2"/>
      <c r="F125" s="2"/>
      <c r="G125" s="233"/>
      <c r="H125" s="265"/>
      <c r="I125" s="265"/>
      <c r="J125" s="265"/>
      <c r="K125" s="265"/>
      <c r="L125" s="2"/>
      <c r="M125" s="243"/>
      <c r="N125" s="2"/>
      <c r="O125" s="265"/>
      <c r="P125" s="265"/>
      <c r="Q125" s="265"/>
      <c r="R125" s="234"/>
      <c r="S125" s="265"/>
    </row>
    <row r="126" spans="1:19" x14ac:dyDescent="0.3">
      <c r="A126" s="2"/>
      <c r="B126" s="140" t="s">
        <v>160</v>
      </c>
      <c r="C126" s="2"/>
      <c r="D126" s="2"/>
      <c r="F126" s="2"/>
      <c r="G126" s="233"/>
      <c r="H126" s="265"/>
      <c r="I126" s="265"/>
      <c r="J126" s="265"/>
      <c r="K126" s="265"/>
      <c r="L126" s="2"/>
      <c r="M126" s="243">
        <f>($M$115)</f>
        <v>0.8758999999999999</v>
      </c>
      <c r="N126" s="2"/>
      <c r="O126" s="265"/>
      <c r="P126" s="265"/>
      <c r="Q126" s="265"/>
      <c r="R126" s="234"/>
      <c r="S126" s="265"/>
    </row>
    <row r="127" spans="1:19" x14ac:dyDescent="0.3">
      <c r="A127" s="2"/>
      <c r="B127" s="2"/>
      <c r="C127" s="2"/>
      <c r="D127" s="2"/>
      <c r="F127" s="2"/>
      <c r="G127" s="233"/>
      <c r="H127" s="265"/>
      <c r="I127" s="265"/>
      <c r="J127" s="265"/>
      <c r="K127" s="265"/>
      <c r="L127" s="2"/>
      <c r="M127" s="243"/>
      <c r="N127" s="2"/>
      <c r="O127" s="265"/>
      <c r="P127" s="265"/>
      <c r="Q127" s="265"/>
      <c r="R127" s="234"/>
      <c r="S127" s="265"/>
    </row>
    <row r="128" spans="1:19" x14ac:dyDescent="0.3">
      <c r="A128" s="2"/>
      <c r="B128" s="2"/>
      <c r="C128" s="2"/>
      <c r="D128" s="2"/>
      <c r="F128" s="2"/>
      <c r="G128" s="233"/>
      <c r="H128" s="265"/>
      <c r="I128" s="265"/>
      <c r="J128" s="265"/>
      <c r="K128" s="265"/>
      <c r="L128" s="2"/>
      <c r="M128" s="243"/>
      <c r="N128" s="2"/>
      <c r="O128" s="265"/>
      <c r="P128" s="265"/>
      <c r="Q128" s="265"/>
      <c r="R128" s="234"/>
      <c r="S128" s="265"/>
    </row>
    <row r="129" spans="1:19" x14ac:dyDescent="0.3">
      <c r="A129" s="140" t="s">
        <v>152</v>
      </c>
      <c r="B129" s="2"/>
      <c r="C129" s="2"/>
      <c r="D129" s="2"/>
      <c r="F129" s="2"/>
      <c r="G129" s="233">
        <v>550</v>
      </c>
      <c r="H129" s="265"/>
      <c r="I129" s="265"/>
      <c r="J129" s="265"/>
      <c r="K129" s="265"/>
      <c r="L129" s="2"/>
      <c r="M129" s="243">
        <f>($M$115)</f>
        <v>0.8758999999999999</v>
      </c>
      <c r="N129" s="2"/>
      <c r="O129" s="265"/>
      <c r="P129" s="265"/>
      <c r="Q129" s="265"/>
      <c r="R129" s="234"/>
      <c r="S129" s="265"/>
    </row>
    <row r="130" spans="1:19" x14ac:dyDescent="0.3">
      <c r="A130" s="2"/>
      <c r="B130" s="2"/>
      <c r="C130" s="2"/>
      <c r="D130" s="2"/>
      <c r="E130" s="233"/>
      <c r="F130" s="2"/>
      <c r="G130" s="265"/>
      <c r="H130" s="265"/>
      <c r="I130" s="265"/>
      <c r="J130" s="265"/>
      <c r="K130" s="265"/>
      <c r="L130" s="2"/>
      <c r="M130" s="243"/>
      <c r="N130" s="2"/>
      <c r="O130" s="265"/>
      <c r="P130" s="265"/>
      <c r="Q130" s="265"/>
      <c r="R130" s="234"/>
      <c r="S130" s="265"/>
    </row>
    <row r="131" spans="1:19" x14ac:dyDescent="0.3">
      <c r="A131" s="143"/>
      <c r="B131" s="143"/>
      <c r="C131" s="143"/>
      <c r="D131" s="143"/>
      <c r="E131" s="143"/>
      <c r="F131" s="143"/>
      <c r="G131" s="143"/>
      <c r="H131" s="143"/>
      <c r="I131" s="143"/>
      <c r="J131" s="143"/>
      <c r="K131" s="143"/>
      <c r="L131" s="143"/>
      <c r="M131" s="143"/>
      <c r="N131" s="143"/>
      <c r="O131" s="265"/>
      <c r="P131" s="265"/>
      <c r="Q131" s="265"/>
      <c r="R131" s="244"/>
      <c r="S131" s="265"/>
    </row>
    <row r="132" spans="1:19" x14ac:dyDescent="0.3">
      <c r="A132" s="143" t="s">
        <v>597</v>
      </c>
      <c r="B132" s="143"/>
      <c r="C132" s="143"/>
      <c r="D132" s="143"/>
      <c r="E132" s="143"/>
      <c r="F132" s="143"/>
      <c r="G132" s="233">
        <v>550</v>
      </c>
      <c r="H132" s="265"/>
      <c r="I132" s="265"/>
      <c r="J132" s="265"/>
      <c r="K132" s="265"/>
      <c r="L132" s="2"/>
      <c r="M132" s="243">
        <f>($M$115)</f>
        <v>0.8758999999999999</v>
      </c>
      <c r="N132" s="143"/>
      <c r="O132" s="265"/>
      <c r="P132" s="265"/>
      <c r="Q132" s="265"/>
      <c r="R132" s="244"/>
      <c r="S132" s="265"/>
    </row>
    <row r="133" spans="1:19" x14ac:dyDescent="0.3">
      <c r="A133" s="2"/>
      <c r="O133" s="265"/>
      <c r="P133" s="265"/>
      <c r="Q133" s="265"/>
      <c r="R133" s="15"/>
      <c r="S133" s="265"/>
    </row>
    <row r="134" spans="1:19" x14ac:dyDescent="0.3">
      <c r="A134" s="2"/>
      <c r="K134" s="102"/>
      <c r="M134" s="159"/>
      <c r="O134" s="265"/>
      <c r="P134" s="265"/>
      <c r="Q134" s="265"/>
      <c r="R134" s="15"/>
      <c r="S134" s="265"/>
    </row>
    <row r="135" spans="1:19" x14ac:dyDescent="0.3">
      <c r="K135" s="102"/>
      <c r="M135" s="159"/>
      <c r="O135" s="265"/>
      <c r="P135" s="265"/>
      <c r="Q135" s="265"/>
      <c r="R135" s="15"/>
      <c r="S135" s="265"/>
    </row>
    <row r="136" spans="1:19" x14ac:dyDescent="0.3">
      <c r="K136" s="102"/>
      <c r="O136" s="265"/>
      <c r="P136" s="265"/>
      <c r="Q136" s="265"/>
      <c r="R136" s="15"/>
      <c r="S136" s="265"/>
    </row>
    <row r="137" spans="1:19" x14ac:dyDescent="0.3">
      <c r="K137" s="102"/>
      <c r="O137" s="265"/>
      <c r="P137" s="265"/>
      <c r="Q137" s="265"/>
      <c r="R137" s="15"/>
      <c r="S137" s="265"/>
    </row>
    <row r="138" spans="1:19" x14ac:dyDescent="0.3">
      <c r="K138" s="102"/>
      <c r="O138" s="265"/>
      <c r="P138" s="265"/>
      <c r="Q138" s="265"/>
      <c r="R138" s="15"/>
      <c r="S138" s="265"/>
    </row>
    <row r="139" spans="1:19" x14ac:dyDescent="0.3">
      <c r="K139" s="102"/>
      <c r="O139" s="15"/>
      <c r="P139" s="15"/>
      <c r="Q139" s="15"/>
      <c r="R139" s="15"/>
      <c r="S139" s="265"/>
    </row>
    <row r="140" spans="1:19" x14ac:dyDescent="0.3">
      <c r="K140" s="102"/>
      <c r="O140" s="15"/>
      <c r="P140" s="15"/>
      <c r="Q140" s="15"/>
      <c r="R140" s="15"/>
    </row>
    <row r="141" spans="1:19" x14ac:dyDescent="0.3">
      <c r="K141" s="102"/>
      <c r="O141" s="15"/>
      <c r="P141" s="15"/>
      <c r="Q141" s="15"/>
      <c r="R141" s="15"/>
    </row>
    <row r="142" spans="1:19" x14ac:dyDescent="0.3">
      <c r="K142" s="102"/>
      <c r="O142" s="15"/>
      <c r="P142" s="15"/>
      <c r="Q142" s="15"/>
      <c r="R142" s="15"/>
    </row>
    <row r="143" spans="1:19" x14ac:dyDescent="0.3">
      <c r="K143" s="102"/>
      <c r="O143" s="15"/>
      <c r="P143" s="15"/>
      <c r="Q143" s="15"/>
      <c r="R143" s="15"/>
    </row>
    <row r="144" spans="1:19" x14ac:dyDescent="0.3">
      <c r="K144" s="102"/>
      <c r="O144" s="15"/>
      <c r="P144" s="15"/>
      <c r="Q144" s="15"/>
      <c r="R144" s="15"/>
    </row>
    <row r="145" spans="15:18" x14ac:dyDescent="0.3">
      <c r="O145" s="15"/>
      <c r="P145" s="15"/>
      <c r="Q145" s="15"/>
      <c r="R145" s="15"/>
    </row>
    <row r="146" spans="15:18" x14ac:dyDescent="0.3">
      <c r="O146" s="15"/>
      <c r="P146" s="15"/>
      <c r="Q146" s="15"/>
      <c r="R146" s="15"/>
    </row>
    <row r="147" spans="15:18" x14ac:dyDescent="0.3">
      <c r="O147" s="15"/>
      <c r="P147" s="15"/>
      <c r="Q147" s="15"/>
      <c r="R147" s="15"/>
    </row>
    <row r="148" spans="15:18" x14ac:dyDescent="0.3">
      <c r="O148" s="15"/>
      <c r="P148" s="15"/>
      <c r="Q148" s="15"/>
      <c r="R148" s="15"/>
    </row>
    <row r="149" spans="15:18" x14ac:dyDescent="0.3">
      <c r="O149" s="15"/>
      <c r="P149" s="15"/>
      <c r="Q149" s="15"/>
      <c r="R149" s="15"/>
    </row>
    <row r="150" spans="15:18" x14ac:dyDescent="0.3">
      <c r="O150" s="15"/>
      <c r="P150" s="15"/>
      <c r="Q150" s="15"/>
      <c r="R150" s="15"/>
    </row>
    <row r="151" spans="15:18" x14ac:dyDescent="0.3">
      <c r="O151" s="15"/>
      <c r="P151" s="15"/>
      <c r="Q151" s="15"/>
      <c r="R151" s="15"/>
    </row>
    <row r="152" spans="15:18" x14ac:dyDescent="0.3">
      <c r="O152" s="15"/>
      <c r="P152" s="15"/>
      <c r="Q152" s="15"/>
      <c r="R152" s="15"/>
    </row>
    <row r="153" spans="15:18" x14ac:dyDescent="0.3">
      <c r="O153" s="15"/>
      <c r="P153" s="15"/>
      <c r="Q153" s="15"/>
      <c r="R153" s="15"/>
    </row>
    <row r="154" spans="15:18" x14ac:dyDescent="0.3">
      <c r="O154" s="15"/>
      <c r="P154" s="15"/>
      <c r="Q154" s="15"/>
      <c r="R154" s="15"/>
    </row>
    <row r="155" spans="15:18" x14ac:dyDescent="0.3">
      <c r="O155" s="15"/>
      <c r="P155" s="15"/>
      <c r="Q155" s="15"/>
      <c r="R155" s="15"/>
    </row>
    <row r="156" spans="15:18" x14ac:dyDescent="0.3">
      <c r="O156" s="15"/>
      <c r="P156" s="15"/>
      <c r="Q156" s="15"/>
      <c r="R156" s="15"/>
    </row>
    <row r="157" spans="15:18" x14ac:dyDescent="0.3">
      <c r="O157" s="15"/>
      <c r="P157" s="15"/>
      <c r="Q157" s="15"/>
      <c r="R157" s="15"/>
    </row>
    <row r="158" spans="15:18" x14ac:dyDescent="0.3">
      <c r="O158" s="15"/>
      <c r="P158" s="15"/>
      <c r="Q158" s="15"/>
      <c r="R158" s="15"/>
    </row>
    <row r="159" spans="15:18" x14ac:dyDescent="0.3">
      <c r="O159" s="15"/>
      <c r="P159" s="15"/>
      <c r="Q159" s="15"/>
      <c r="R159" s="15"/>
    </row>
    <row r="160" spans="15:18" x14ac:dyDescent="0.3">
      <c r="O160" s="15"/>
      <c r="P160" s="15"/>
      <c r="Q160" s="15"/>
      <c r="R160" s="15"/>
    </row>
    <row r="161" spans="15:18" x14ac:dyDescent="0.3">
      <c r="O161" s="15"/>
      <c r="P161" s="15"/>
      <c r="Q161" s="15"/>
      <c r="R161" s="15"/>
    </row>
    <row r="162" spans="15:18" x14ac:dyDescent="0.3">
      <c r="O162" s="15"/>
      <c r="P162" s="15"/>
      <c r="Q162" s="15"/>
      <c r="R162" s="15"/>
    </row>
    <row r="163" spans="15:18" x14ac:dyDescent="0.3">
      <c r="O163" s="15"/>
      <c r="P163" s="15"/>
      <c r="Q163" s="15"/>
      <c r="R163" s="15"/>
    </row>
    <row r="164" spans="15:18" x14ac:dyDescent="0.3">
      <c r="O164" s="15"/>
      <c r="P164" s="15"/>
      <c r="Q164" s="15"/>
      <c r="R164" s="15"/>
    </row>
    <row r="165" spans="15:18" x14ac:dyDescent="0.3">
      <c r="O165" s="15"/>
      <c r="P165" s="15"/>
      <c r="Q165" s="15"/>
      <c r="R165" s="15"/>
    </row>
    <row r="166" spans="15:18" x14ac:dyDescent="0.3">
      <c r="O166" s="15"/>
      <c r="P166" s="15"/>
      <c r="Q166" s="15"/>
      <c r="R166" s="15"/>
    </row>
    <row r="167" spans="15:18" x14ac:dyDescent="0.3">
      <c r="O167" s="15"/>
      <c r="P167" s="15"/>
      <c r="Q167" s="15"/>
      <c r="R167" s="15"/>
    </row>
  </sheetData>
  <mergeCells count="1">
    <mergeCell ref="A5:S5"/>
  </mergeCells>
  <phoneticPr fontId="3" type="noConversion"/>
  <pageMargins left="0.75" right="0.75" top="1" bottom="0.75" header="0.5" footer="0.5"/>
  <pageSetup scale="42" fitToHeight="2" orientation="portrait" blackAndWhite="1" r:id="rId1"/>
  <headerFooter alignWithMargins="0"/>
  <rowBreaks count="1" manualBreakCount="1">
    <brk id="94" max="1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1"/>
  <sheetViews>
    <sheetView zoomScale="80" zoomScaleNormal="80" workbookViewId="0"/>
  </sheetViews>
  <sheetFormatPr defaultColWidth="9.81640625" defaultRowHeight="15.6" x14ac:dyDescent="0.3"/>
  <cols>
    <col min="1" max="1" width="2.81640625" style="3" customWidth="1"/>
    <col min="2" max="4" width="9.81640625" style="3"/>
    <col min="5" max="5" width="21.81640625" style="3" customWidth="1"/>
    <col min="6" max="6" width="13.81640625" style="3" customWidth="1"/>
    <col min="7" max="7" width="9.90625" style="3" customWidth="1"/>
    <col min="8" max="8" width="7.81640625" style="3" customWidth="1"/>
    <col min="9" max="16384" width="9.81640625" style="3"/>
  </cols>
  <sheetData>
    <row r="1" spans="1:8" x14ac:dyDescent="0.3">
      <c r="A1" s="52" t="s">
        <v>161</v>
      </c>
      <c r="B1" s="230"/>
      <c r="C1" s="230"/>
      <c r="D1" s="230"/>
      <c r="E1" s="230"/>
      <c r="F1" s="230"/>
      <c r="G1" s="230"/>
      <c r="H1" s="230"/>
    </row>
    <row r="4" spans="1:8" x14ac:dyDescent="0.3">
      <c r="A4" s="52" t="s">
        <v>624</v>
      </c>
      <c r="B4" s="230"/>
      <c r="C4" s="230"/>
      <c r="D4" s="230"/>
      <c r="E4" s="230"/>
      <c r="F4" s="230"/>
      <c r="G4" s="230"/>
      <c r="H4" s="230"/>
    </row>
    <row r="6" spans="1:8" x14ac:dyDescent="0.3">
      <c r="A6" s="230" t="str">
        <f>CONCATENATE('Input Data'!D4," through ",'Input Data'!D5)</f>
        <v>May 1, 2021 through July 31, 2021</v>
      </c>
      <c r="B6" s="230"/>
      <c r="C6" s="230"/>
      <c r="D6" s="230"/>
      <c r="E6" s="230"/>
      <c r="F6" s="230"/>
      <c r="G6" s="230"/>
      <c r="H6" s="230"/>
    </row>
    <row r="7" spans="1:8" x14ac:dyDescent="0.3">
      <c r="A7" s="245"/>
      <c r="B7" s="245"/>
      <c r="C7" s="245"/>
      <c r="D7" s="245"/>
      <c r="E7" s="245"/>
      <c r="F7" s="245"/>
      <c r="G7" s="245"/>
      <c r="H7" s="245"/>
    </row>
    <row r="9" spans="1:8" x14ac:dyDescent="0.3">
      <c r="B9" s="246"/>
      <c r="G9" s="247"/>
    </row>
    <row r="11" spans="1:8" x14ac:dyDescent="0.3">
      <c r="C11" s="248" t="s">
        <v>162</v>
      </c>
    </row>
    <row r="13" spans="1:8" x14ac:dyDescent="0.3">
      <c r="B13" s="13" t="s">
        <v>163</v>
      </c>
      <c r="G13" s="665">
        <v>550</v>
      </c>
    </row>
    <row r="15" spans="1:8" x14ac:dyDescent="0.3">
      <c r="B15" s="13" t="s">
        <v>599</v>
      </c>
      <c r="G15" s="665">
        <v>750</v>
      </c>
    </row>
    <row r="17" spans="1:8" x14ac:dyDescent="0.3">
      <c r="B17" s="13" t="s">
        <v>601</v>
      </c>
      <c r="G17" s="102">
        <v>4.8899999999999997</v>
      </c>
    </row>
    <row r="19" spans="1:8" x14ac:dyDescent="0.3">
      <c r="B19" s="13" t="s">
        <v>164</v>
      </c>
      <c r="G19" s="102">
        <v>3.7999999999999999E-2</v>
      </c>
    </row>
    <row r="21" spans="1:8" x14ac:dyDescent="0.3">
      <c r="B21" s="3" t="s">
        <v>596</v>
      </c>
      <c r="G21" s="102">
        <v>9.7999999999999997E-3</v>
      </c>
    </row>
    <row r="22" spans="1:8" x14ac:dyDescent="0.3">
      <c r="A22" s="245"/>
      <c r="B22" s="245"/>
      <c r="C22" s="245"/>
      <c r="D22" s="245"/>
      <c r="E22" s="245"/>
      <c r="F22" s="245"/>
      <c r="G22" s="245"/>
      <c r="H22" s="245"/>
    </row>
    <row r="26" spans="1:8" x14ac:dyDescent="0.3">
      <c r="C26" s="248" t="s">
        <v>165</v>
      </c>
    </row>
    <row r="28" spans="1:8" x14ac:dyDescent="0.3">
      <c r="B28" s="13" t="s">
        <v>166</v>
      </c>
      <c r="G28" s="102">
        <f>'Ex A 2 of 2'!F54</f>
        <v>0.16669999999999999</v>
      </c>
    </row>
    <row r="29" spans="1:8" x14ac:dyDescent="0.3">
      <c r="B29" s="13" t="s">
        <v>167</v>
      </c>
      <c r="G29" s="666">
        <v>0.37969999999999998</v>
      </c>
    </row>
    <row r="30" spans="1:8" x14ac:dyDescent="0.3">
      <c r="B30" s="13" t="s">
        <v>168</v>
      </c>
      <c r="G30" s="102">
        <f>(G28+G29)</f>
        <v>0.5464</v>
      </c>
    </row>
    <row r="32" spans="1:8" x14ac:dyDescent="0.3">
      <c r="B32" s="3" t="s">
        <v>611</v>
      </c>
    </row>
    <row r="33" spans="2:8" x14ac:dyDescent="0.3">
      <c r="C33" s="3" t="s">
        <v>169</v>
      </c>
      <c r="F33" s="3" t="s">
        <v>170</v>
      </c>
    </row>
    <row r="34" spans="2:8" x14ac:dyDescent="0.3">
      <c r="F34" s="3" t="s">
        <v>171</v>
      </c>
    </row>
    <row r="35" spans="2:8" x14ac:dyDescent="0.3">
      <c r="F35" s="3" t="s">
        <v>571</v>
      </c>
    </row>
    <row r="36" spans="2:8" x14ac:dyDescent="0.3">
      <c r="B36" s="3" t="s">
        <v>611</v>
      </c>
    </row>
    <row r="37" spans="2:8" x14ac:dyDescent="0.3">
      <c r="B37" s="249" t="s">
        <v>172</v>
      </c>
    </row>
    <row r="39" spans="2:8" x14ac:dyDescent="0.3">
      <c r="B39" s="248" t="s">
        <v>173</v>
      </c>
    </row>
    <row r="40" spans="2:8" x14ac:dyDescent="0.3">
      <c r="C40" s="13" t="s">
        <v>174</v>
      </c>
      <c r="F40" s="250"/>
      <c r="G40" s="251">
        <v>1</v>
      </c>
      <c r="H40" s="13"/>
    </row>
    <row r="41" spans="2:8" x14ac:dyDescent="0.3">
      <c r="C41" s="13" t="s">
        <v>175</v>
      </c>
      <c r="G41" s="251">
        <f>(G$40*1.1)</f>
        <v>1.1000000000000001</v>
      </c>
    </row>
    <row r="42" spans="2:8" x14ac:dyDescent="0.3">
      <c r="C42" s="13" t="s">
        <v>175</v>
      </c>
      <c r="G42" s="251">
        <f>(G$40*1.2)</f>
        <v>1.2</v>
      </c>
    </row>
    <row r="43" spans="2:8" x14ac:dyDescent="0.3">
      <c r="C43" s="13" t="s">
        <v>175</v>
      </c>
      <c r="G43" s="251">
        <f>(G$40*1.3)</f>
        <v>1.3</v>
      </c>
    </row>
    <row r="44" spans="2:8" x14ac:dyDescent="0.3">
      <c r="C44" s="13" t="s">
        <v>176</v>
      </c>
      <c r="G44" s="251">
        <f>(G$40*1.4)</f>
        <v>1.4</v>
      </c>
    </row>
    <row r="46" spans="2:8" x14ac:dyDescent="0.3">
      <c r="B46" s="248" t="s">
        <v>177</v>
      </c>
    </row>
    <row r="47" spans="2:8" x14ac:dyDescent="0.3">
      <c r="C47" s="13" t="s">
        <v>174</v>
      </c>
      <c r="G47" s="251">
        <f>(G40)</f>
        <v>1</v>
      </c>
      <c r="H47" s="13"/>
    </row>
    <row r="48" spans="2:8" x14ac:dyDescent="0.3">
      <c r="C48" s="13" t="s">
        <v>175</v>
      </c>
      <c r="G48" s="251">
        <f>(G$40*0.9)</f>
        <v>0.9</v>
      </c>
    </row>
    <row r="49" spans="1:12" x14ac:dyDescent="0.3">
      <c r="C49" s="13" t="s">
        <v>175</v>
      </c>
      <c r="G49" s="251">
        <f>(G$40*0.8)</f>
        <v>0.8</v>
      </c>
    </row>
    <row r="50" spans="1:12" x14ac:dyDescent="0.3">
      <c r="C50" s="13" t="s">
        <v>175</v>
      </c>
      <c r="G50" s="251">
        <f>(G$40*0.7)</f>
        <v>0.7</v>
      </c>
    </row>
    <row r="51" spans="1:12" x14ac:dyDescent="0.3">
      <c r="C51" s="13" t="s">
        <v>176</v>
      </c>
      <c r="G51" s="251">
        <f>(G$40*0.6)</f>
        <v>0.6</v>
      </c>
    </row>
    <row r="52" spans="1:12" x14ac:dyDescent="0.3">
      <c r="C52" s="13"/>
      <c r="G52" s="251"/>
    </row>
    <row r="53" spans="1:12" x14ac:dyDescent="0.3">
      <c r="A53" s="30"/>
      <c r="C53" s="13"/>
      <c r="G53" s="251"/>
    </row>
    <row r="54" spans="1:12" x14ac:dyDescent="0.3">
      <c r="A54" s="252"/>
      <c r="C54" s="13"/>
      <c r="G54" s="251"/>
    </row>
    <row r="55" spans="1:12" x14ac:dyDescent="0.3">
      <c r="A55" s="253"/>
      <c r="B55" s="245"/>
      <c r="C55" s="245"/>
      <c r="D55" s="245"/>
      <c r="E55" s="245"/>
      <c r="F55" s="245"/>
      <c r="G55" s="245"/>
      <c r="H55" s="245"/>
    </row>
    <row r="57" spans="1:12" x14ac:dyDescent="0.3">
      <c r="A57" s="2"/>
      <c r="B57" s="468"/>
      <c r="C57" s="468"/>
      <c r="D57" s="468"/>
      <c r="E57" s="468"/>
      <c r="F57" s="468"/>
      <c r="G57" s="468"/>
      <c r="H57" s="468"/>
      <c r="I57" s="468"/>
      <c r="J57" s="468"/>
      <c r="K57" s="468"/>
      <c r="L57" s="468"/>
    </row>
    <row r="58" spans="1:12" x14ac:dyDescent="0.3">
      <c r="A58" s="468"/>
      <c r="B58" s="468"/>
      <c r="C58" s="468"/>
      <c r="D58" s="468"/>
      <c r="E58" s="468"/>
      <c r="F58" s="468"/>
      <c r="G58" s="468"/>
      <c r="H58" s="468"/>
      <c r="I58" s="468"/>
      <c r="J58" s="468"/>
      <c r="K58" s="468"/>
      <c r="L58" s="468"/>
    </row>
    <row r="59" spans="1:12" x14ac:dyDescent="0.3">
      <c r="A59" s="468"/>
      <c r="B59" s="468"/>
      <c r="C59" s="468"/>
      <c r="D59" s="468"/>
      <c r="E59" s="468"/>
      <c r="F59" s="468"/>
      <c r="G59" s="468"/>
      <c r="H59" s="468"/>
      <c r="I59" s="468"/>
      <c r="J59" s="468"/>
      <c r="K59" s="468"/>
      <c r="L59" s="468"/>
    </row>
    <row r="60" spans="1:12" x14ac:dyDescent="0.3">
      <c r="A60" s="468"/>
      <c r="B60" s="468"/>
      <c r="C60" s="468"/>
      <c r="D60" s="468"/>
      <c r="E60" s="468"/>
      <c r="F60" s="468"/>
      <c r="G60" s="468"/>
      <c r="H60" s="468"/>
      <c r="I60" s="468"/>
      <c r="J60" s="468"/>
      <c r="K60" s="468"/>
      <c r="L60" s="468"/>
    </row>
    <row r="61" spans="1:12" x14ac:dyDescent="0.3">
      <c r="A61" s="468"/>
      <c r="B61" s="468"/>
      <c r="C61" s="468"/>
      <c r="D61" s="468"/>
      <c r="E61" s="468"/>
      <c r="F61" s="468"/>
      <c r="G61" s="468"/>
      <c r="H61" s="468"/>
      <c r="I61" s="468"/>
      <c r="J61" s="468"/>
      <c r="K61" s="468"/>
      <c r="L61" s="468"/>
    </row>
    <row r="62" spans="1:12" x14ac:dyDescent="0.3">
      <c r="A62" s="468"/>
      <c r="B62" s="468"/>
      <c r="C62" s="468"/>
      <c r="D62" s="468"/>
      <c r="E62" s="468"/>
      <c r="F62" s="468"/>
      <c r="G62" s="468"/>
      <c r="H62" s="468"/>
      <c r="I62" s="468"/>
      <c r="J62" s="468"/>
      <c r="K62" s="468"/>
      <c r="L62" s="468"/>
    </row>
    <row r="63" spans="1:12" x14ac:dyDescent="0.3">
      <c r="A63" s="468"/>
      <c r="B63" s="468"/>
      <c r="C63" s="468"/>
      <c r="D63" s="468"/>
      <c r="E63" s="468"/>
      <c r="F63" s="468"/>
      <c r="G63" s="468"/>
      <c r="H63" s="468"/>
      <c r="I63" s="468"/>
      <c r="J63" s="468"/>
      <c r="K63" s="468"/>
      <c r="L63" s="468"/>
    </row>
    <row r="64" spans="1:12" x14ac:dyDescent="0.3">
      <c r="A64" s="468"/>
      <c r="B64" s="468"/>
      <c r="C64" s="468"/>
      <c r="D64" s="468"/>
      <c r="E64" s="468"/>
      <c r="F64" s="468"/>
      <c r="G64" s="468"/>
      <c r="H64" s="468"/>
      <c r="I64" s="468"/>
      <c r="J64" s="468"/>
      <c r="K64" s="468"/>
      <c r="L64" s="468"/>
    </row>
    <row r="65" spans="1:12" x14ac:dyDescent="0.3">
      <c r="A65" s="468"/>
      <c r="B65" s="468"/>
      <c r="C65" s="468"/>
      <c r="D65" s="468"/>
      <c r="E65" s="468"/>
      <c r="F65" s="468"/>
      <c r="G65" s="468"/>
      <c r="H65" s="468"/>
      <c r="I65" s="468"/>
      <c r="J65" s="468"/>
      <c r="K65" s="468"/>
      <c r="L65" s="468"/>
    </row>
    <row r="66" spans="1:12" x14ac:dyDescent="0.3">
      <c r="A66" s="468"/>
      <c r="B66" s="468"/>
      <c r="C66" s="468"/>
      <c r="D66" s="468"/>
      <c r="E66" s="468"/>
      <c r="F66" s="468"/>
      <c r="G66" s="468"/>
      <c r="H66" s="468"/>
      <c r="I66" s="468"/>
      <c r="J66" s="468"/>
      <c r="K66" s="468"/>
      <c r="L66" s="468"/>
    </row>
    <row r="67" spans="1:12" x14ac:dyDescent="0.3">
      <c r="A67" s="468"/>
      <c r="B67" s="468"/>
      <c r="C67" s="468"/>
      <c r="D67" s="468"/>
      <c r="E67" s="468"/>
      <c r="F67" s="468"/>
      <c r="G67" s="468"/>
      <c r="H67" s="468"/>
      <c r="I67" s="468"/>
      <c r="J67" s="468"/>
      <c r="K67" s="468"/>
      <c r="L67" s="468"/>
    </row>
    <row r="68" spans="1:12" x14ac:dyDescent="0.3">
      <c r="A68" s="468"/>
      <c r="B68" s="468"/>
      <c r="C68" s="468"/>
      <c r="D68" s="468"/>
      <c r="E68" s="468"/>
      <c r="F68" s="468"/>
      <c r="G68" s="468"/>
      <c r="H68" s="468"/>
      <c r="I68" s="468"/>
      <c r="J68" s="468"/>
      <c r="K68" s="468"/>
      <c r="L68" s="468"/>
    </row>
    <row r="69" spans="1:12" x14ac:dyDescent="0.3">
      <c r="A69" s="468"/>
      <c r="B69" s="468"/>
      <c r="C69" s="468"/>
      <c r="D69" s="468"/>
      <c r="E69" s="468"/>
      <c r="F69" s="468"/>
      <c r="G69" s="468"/>
      <c r="H69" s="468"/>
      <c r="I69" s="468"/>
      <c r="J69" s="468"/>
      <c r="K69" s="468"/>
      <c r="L69" s="468"/>
    </row>
    <row r="70" spans="1:12" x14ac:dyDescent="0.3">
      <c r="A70" s="468"/>
      <c r="B70" s="468"/>
      <c r="C70" s="468"/>
      <c r="D70" s="468"/>
      <c r="E70" s="468"/>
      <c r="F70" s="468"/>
      <c r="G70" s="468"/>
      <c r="H70" s="468"/>
      <c r="I70" s="468"/>
      <c r="J70" s="468"/>
      <c r="K70" s="468"/>
      <c r="L70" s="468"/>
    </row>
    <row r="71" spans="1:12" x14ac:dyDescent="0.3">
      <c r="A71" s="468"/>
      <c r="B71" s="468"/>
      <c r="C71" s="468"/>
      <c r="D71" s="468"/>
      <c r="E71" s="468"/>
      <c r="F71" s="468"/>
      <c r="G71" s="468"/>
      <c r="H71" s="468"/>
      <c r="I71" s="468"/>
      <c r="J71" s="468"/>
      <c r="K71" s="468"/>
      <c r="L71" s="468"/>
    </row>
    <row r="72" spans="1:12" x14ac:dyDescent="0.3">
      <c r="A72" s="468"/>
      <c r="B72" s="468"/>
      <c r="C72" s="468"/>
      <c r="D72" s="468"/>
      <c r="E72" s="468"/>
      <c r="F72" s="468"/>
      <c r="G72" s="468"/>
      <c r="H72" s="468"/>
      <c r="I72" s="468"/>
      <c r="J72" s="468"/>
      <c r="K72" s="468"/>
      <c r="L72" s="468"/>
    </row>
    <row r="73" spans="1:12" x14ac:dyDescent="0.3">
      <c r="A73" s="468"/>
      <c r="B73" s="468"/>
      <c r="C73" s="468"/>
      <c r="D73" s="468"/>
      <c r="E73" s="468"/>
      <c r="F73" s="468"/>
      <c r="G73" s="468"/>
      <c r="H73" s="468"/>
      <c r="I73" s="468"/>
      <c r="J73" s="468"/>
      <c r="K73" s="468"/>
      <c r="L73" s="468"/>
    </row>
    <row r="74" spans="1:12" x14ac:dyDescent="0.3">
      <c r="A74" s="468"/>
      <c r="B74" s="468"/>
      <c r="C74" s="468"/>
      <c r="D74" s="468"/>
      <c r="E74" s="468"/>
      <c r="F74" s="468"/>
      <c r="G74" s="468"/>
      <c r="H74" s="468"/>
      <c r="I74" s="468"/>
      <c r="J74" s="468"/>
      <c r="K74" s="468"/>
      <c r="L74" s="468"/>
    </row>
    <row r="75" spans="1:12" x14ac:dyDescent="0.3">
      <c r="A75" s="468"/>
      <c r="B75" s="468"/>
      <c r="C75" s="468"/>
      <c r="D75" s="468"/>
      <c r="E75" s="468"/>
      <c r="F75" s="468"/>
      <c r="G75" s="468"/>
      <c r="H75" s="468"/>
      <c r="I75" s="468"/>
      <c r="J75" s="468"/>
      <c r="K75" s="468"/>
      <c r="L75" s="468"/>
    </row>
    <row r="76" spans="1:12" x14ac:dyDescent="0.3">
      <c r="A76" s="468"/>
      <c r="B76" s="468"/>
      <c r="C76" s="468"/>
      <c r="D76" s="468"/>
      <c r="E76" s="468"/>
      <c r="F76" s="468"/>
      <c r="G76" s="468"/>
      <c r="H76" s="468"/>
      <c r="I76" s="468"/>
      <c r="J76" s="468"/>
      <c r="K76" s="468"/>
      <c r="L76" s="468"/>
    </row>
    <row r="77" spans="1:12" x14ac:dyDescent="0.3">
      <c r="A77" s="468"/>
      <c r="B77" s="468"/>
      <c r="C77" s="468"/>
      <c r="D77" s="468"/>
      <c r="E77" s="468"/>
      <c r="F77" s="468"/>
      <c r="G77" s="468"/>
      <c r="H77" s="468"/>
      <c r="I77" s="468"/>
      <c r="J77" s="468"/>
      <c r="K77" s="468"/>
      <c r="L77" s="468"/>
    </row>
    <row r="78" spans="1:12" x14ac:dyDescent="0.3">
      <c r="A78" s="468"/>
      <c r="B78" s="468"/>
      <c r="C78" s="468"/>
      <c r="D78" s="468"/>
      <c r="E78" s="468"/>
      <c r="F78" s="468"/>
      <c r="G78" s="468"/>
      <c r="H78" s="468"/>
      <c r="I78" s="468"/>
      <c r="J78" s="468"/>
      <c r="K78" s="468"/>
      <c r="L78" s="468"/>
    </row>
    <row r="79" spans="1:12" x14ac:dyDescent="0.3">
      <c r="A79" s="468"/>
      <c r="B79" s="468"/>
      <c r="C79" s="468"/>
      <c r="D79" s="468"/>
      <c r="E79" s="468"/>
      <c r="F79" s="468"/>
      <c r="G79" s="468"/>
      <c r="H79" s="468"/>
      <c r="I79" s="468"/>
      <c r="J79" s="468"/>
      <c r="K79" s="468"/>
      <c r="L79" s="468"/>
    </row>
    <row r="80" spans="1:12" x14ac:dyDescent="0.3">
      <c r="A80" s="468"/>
      <c r="B80" s="468"/>
      <c r="C80" s="468"/>
      <c r="D80" s="468"/>
      <c r="E80" s="468"/>
      <c r="F80" s="468"/>
      <c r="G80" s="468"/>
      <c r="H80" s="468"/>
      <c r="I80" s="468"/>
      <c r="J80" s="468"/>
      <c r="K80" s="468"/>
      <c r="L80" s="468"/>
    </row>
    <row r="81" spans="1:12" x14ac:dyDescent="0.3">
      <c r="A81" s="468"/>
      <c r="B81" s="468"/>
      <c r="C81" s="468"/>
      <c r="D81" s="468"/>
      <c r="E81" s="468"/>
      <c r="F81" s="468"/>
      <c r="G81" s="468"/>
      <c r="H81" s="468"/>
      <c r="I81" s="468"/>
      <c r="J81" s="468"/>
      <c r="K81" s="468"/>
      <c r="L81" s="468"/>
    </row>
    <row r="82" spans="1:12" x14ac:dyDescent="0.3">
      <c r="A82" s="468"/>
      <c r="B82" s="468"/>
      <c r="C82" s="468"/>
      <c r="D82" s="468"/>
      <c r="E82" s="468"/>
      <c r="F82" s="468"/>
      <c r="G82" s="468"/>
      <c r="H82" s="468"/>
      <c r="I82" s="468"/>
      <c r="J82" s="468"/>
      <c r="K82" s="468"/>
      <c r="L82" s="468"/>
    </row>
    <row r="83" spans="1:12" x14ac:dyDescent="0.3">
      <c r="A83" s="468"/>
      <c r="B83" s="468"/>
      <c r="C83" s="468"/>
      <c r="D83" s="468"/>
      <c r="E83" s="468"/>
      <c r="F83" s="468"/>
      <c r="G83" s="468"/>
      <c r="H83" s="468"/>
      <c r="I83" s="468"/>
      <c r="J83" s="468"/>
      <c r="K83" s="468"/>
      <c r="L83" s="468"/>
    </row>
    <row r="84" spans="1:12" x14ac:dyDescent="0.3">
      <c r="A84" s="468"/>
      <c r="B84" s="468"/>
      <c r="C84" s="468"/>
      <c r="D84" s="468"/>
      <c r="E84" s="468"/>
      <c r="F84" s="468"/>
      <c r="G84" s="468"/>
      <c r="H84" s="468"/>
      <c r="I84" s="468"/>
      <c r="J84" s="468"/>
      <c r="K84" s="468"/>
      <c r="L84" s="468"/>
    </row>
    <row r="85" spans="1:12" x14ac:dyDescent="0.3">
      <c r="A85" s="468"/>
      <c r="B85" s="468"/>
      <c r="C85" s="468"/>
      <c r="D85" s="468"/>
      <c r="E85" s="468"/>
      <c r="F85" s="468"/>
      <c r="G85" s="468"/>
      <c r="H85" s="468"/>
      <c r="I85" s="468"/>
      <c r="J85" s="468"/>
      <c r="K85" s="468"/>
      <c r="L85" s="468"/>
    </row>
    <row r="86" spans="1:12" x14ac:dyDescent="0.3">
      <c r="A86" s="468"/>
      <c r="B86" s="468"/>
      <c r="C86" s="468"/>
      <c r="D86" s="468"/>
      <c r="E86" s="468"/>
      <c r="F86" s="468"/>
      <c r="G86" s="468"/>
      <c r="H86" s="468"/>
      <c r="I86" s="468"/>
      <c r="J86" s="468"/>
      <c r="K86" s="468"/>
      <c r="L86" s="468"/>
    </row>
    <row r="87" spans="1:12" x14ac:dyDescent="0.3">
      <c r="A87" s="468"/>
      <c r="B87" s="468"/>
      <c r="C87" s="468"/>
      <c r="D87" s="468"/>
      <c r="E87" s="468"/>
      <c r="F87" s="468"/>
      <c r="G87" s="468"/>
      <c r="H87" s="468"/>
      <c r="I87" s="468"/>
      <c r="J87" s="468"/>
      <c r="K87" s="468"/>
      <c r="L87" s="468"/>
    </row>
    <row r="88" spans="1:12" x14ac:dyDescent="0.3">
      <c r="A88" s="468"/>
      <c r="B88" s="468"/>
      <c r="C88" s="468"/>
      <c r="D88" s="468"/>
      <c r="E88" s="468"/>
      <c r="F88" s="468"/>
      <c r="G88" s="468"/>
      <c r="H88" s="468"/>
      <c r="I88" s="468"/>
      <c r="J88" s="468"/>
      <c r="K88" s="468"/>
      <c r="L88" s="468"/>
    </row>
    <row r="89" spans="1:12" x14ac:dyDescent="0.3">
      <c r="A89" s="468"/>
      <c r="B89" s="468"/>
      <c r="C89" s="468"/>
      <c r="D89" s="468"/>
      <c r="E89" s="468"/>
      <c r="F89" s="468"/>
      <c r="G89" s="468"/>
      <c r="H89" s="468"/>
      <c r="I89" s="468"/>
      <c r="J89" s="468"/>
      <c r="K89" s="468"/>
      <c r="L89" s="468"/>
    </row>
    <row r="90" spans="1:12" x14ac:dyDescent="0.3">
      <c r="A90" s="468"/>
      <c r="B90" s="468"/>
      <c r="C90" s="468"/>
      <c r="D90" s="468"/>
      <c r="E90" s="468"/>
      <c r="F90" s="468"/>
      <c r="G90" s="468"/>
      <c r="H90" s="468"/>
      <c r="I90" s="468"/>
      <c r="J90" s="468"/>
      <c r="K90" s="468"/>
      <c r="L90" s="468"/>
    </row>
    <row r="91" spans="1:12" x14ac:dyDescent="0.3">
      <c r="A91" s="468"/>
      <c r="B91" s="468"/>
      <c r="C91" s="468"/>
      <c r="D91" s="468"/>
      <c r="E91" s="468"/>
      <c r="F91" s="468"/>
      <c r="G91" s="468"/>
      <c r="H91" s="468"/>
      <c r="I91" s="468"/>
      <c r="J91" s="468"/>
      <c r="K91" s="468"/>
      <c r="L91" s="468"/>
    </row>
    <row r="92" spans="1:12" x14ac:dyDescent="0.3">
      <c r="A92" s="468"/>
      <c r="B92" s="468"/>
      <c r="C92" s="468"/>
      <c r="D92" s="468"/>
      <c r="E92" s="468"/>
      <c r="F92" s="468"/>
      <c r="G92" s="468"/>
      <c r="H92" s="468"/>
      <c r="I92" s="468"/>
      <c r="J92" s="468"/>
      <c r="K92" s="468"/>
      <c r="L92" s="468"/>
    </row>
    <row r="93" spans="1:12" x14ac:dyDescent="0.3">
      <c r="A93" s="468"/>
      <c r="B93" s="468"/>
      <c r="C93" s="468"/>
      <c r="D93" s="468"/>
      <c r="E93" s="468"/>
      <c r="F93" s="468"/>
      <c r="G93" s="468"/>
      <c r="H93" s="468"/>
      <c r="I93" s="468"/>
      <c r="J93" s="468"/>
      <c r="K93" s="468"/>
      <c r="L93" s="468"/>
    </row>
    <row r="94" spans="1:12" x14ac:dyDescent="0.3">
      <c r="A94" s="468"/>
      <c r="B94" s="468"/>
      <c r="C94" s="468"/>
      <c r="D94" s="468"/>
      <c r="E94" s="468"/>
      <c r="F94" s="468"/>
      <c r="G94" s="468"/>
      <c r="H94" s="468"/>
      <c r="I94" s="468"/>
      <c r="J94" s="468"/>
      <c r="K94" s="468"/>
      <c r="L94" s="468"/>
    </row>
    <row r="95" spans="1:12" x14ac:dyDescent="0.3">
      <c r="A95" s="468"/>
      <c r="B95" s="468"/>
      <c r="C95" s="468"/>
      <c r="D95" s="468"/>
      <c r="E95" s="468"/>
      <c r="F95" s="468"/>
      <c r="G95" s="468"/>
      <c r="H95" s="468"/>
      <c r="I95" s="468"/>
      <c r="J95" s="468"/>
      <c r="K95" s="468"/>
      <c r="L95" s="468"/>
    </row>
    <row r="96" spans="1:12" x14ac:dyDescent="0.3">
      <c r="A96" s="468"/>
      <c r="B96" s="468"/>
      <c r="C96" s="468"/>
      <c r="D96" s="468"/>
      <c r="E96" s="468"/>
      <c r="F96" s="468"/>
      <c r="G96" s="468"/>
      <c r="H96" s="468"/>
      <c r="I96" s="468"/>
      <c r="J96" s="468"/>
      <c r="K96" s="468"/>
      <c r="L96" s="468"/>
    </row>
    <row r="97" spans="1:12" x14ac:dyDescent="0.3">
      <c r="A97" s="468"/>
      <c r="B97" s="468"/>
      <c r="C97" s="468"/>
      <c r="D97" s="468"/>
      <c r="E97" s="468"/>
      <c r="F97" s="468"/>
      <c r="G97" s="468"/>
      <c r="H97" s="468"/>
      <c r="I97" s="468"/>
      <c r="J97" s="468"/>
      <c r="K97" s="468"/>
      <c r="L97" s="468"/>
    </row>
    <row r="98" spans="1:12" x14ac:dyDescent="0.3">
      <c r="A98" s="468"/>
      <c r="B98" s="468"/>
      <c r="C98" s="468"/>
      <c r="D98" s="468"/>
      <c r="E98" s="468"/>
      <c r="F98" s="468"/>
      <c r="G98" s="468"/>
      <c r="H98" s="468"/>
      <c r="I98" s="468"/>
      <c r="J98" s="468"/>
      <c r="K98" s="468"/>
      <c r="L98" s="468"/>
    </row>
    <row r="99" spans="1:12" x14ac:dyDescent="0.3">
      <c r="A99" s="468"/>
      <c r="B99" s="468"/>
      <c r="C99" s="468"/>
      <c r="D99" s="468"/>
      <c r="E99" s="468"/>
      <c r="F99" s="468"/>
      <c r="G99" s="468"/>
      <c r="H99" s="468"/>
      <c r="I99" s="468"/>
      <c r="J99" s="468"/>
      <c r="K99" s="468"/>
      <c r="L99" s="468"/>
    </row>
    <row r="100" spans="1:12" x14ac:dyDescent="0.3">
      <c r="A100" s="468"/>
      <c r="B100" s="468"/>
      <c r="C100" s="468"/>
      <c r="D100" s="468"/>
      <c r="E100" s="468"/>
      <c r="F100" s="468"/>
      <c r="G100" s="468"/>
      <c r="H100" s="468"/>
      <c r="I100" s="468"/>
      <c r="J100" s="468"/>
      <c r="K100" s="468"/>
      <c r="L100" s="468"/>
    </row>
    <row r="101" spans="1:12" x14ac:dyDescent="0.3">
      <c r="A101" s="468"/>
      <c r="B101" s="468"/>
      <c r="C101" s="468"/>
      <c r="D101" s="468"/>
      <c r="E101" s="468"/>
      <c r="F101" s="468"/>
      <c r="G101" s="468"/>
      <c r="H101" s="468"/>
      <c r="I101" s="468"/>
      <c r="J101" s="468"/>
      <c r="K101" s="468"/>
      <c r="L101" s="468"/>
    </row>
    <row r="102" spans="1:12" x14ac:dyDescent="0.3">
      <c r="A102" s="468"/>
      <c r="B102" s="468"/>
      <c r="C102" s="468"/>
      <c r="D102" s="468"/>
      <c r="E102" s="468"/>
      <c r="F102" s="468"/>
      <c r="G102" s="468"/>
      <c r="H102" s="468"/>
      <c r="I102" s="468"/>
      <c r="J102" s="468"/>
      <c r="K102" s="468"/>
      <c r="L102" s="468"/>
    </row>
    <row r="103" spans="1:12" x14ac:dyDescent="0.3">
      <c r="A103" s="468"/>
      <c r="B103" s="468"/>
      <c r="C103" s="468"/>
      <c r="D103" s="468"/>
      <c r="E103" s="468"/>
      <c r="F103" s="468"/>
      <c r="G103" s="468"/>
      <c r="H103" s="468"/>
      <c r="I103" s="468"/>
      <c r="J103" s="468"/>
      <c r="K103" s="468"/>
      <c r="L103" s="468"/>
    </row>
    <row r="104" spans="1:12" x14ac:dyDescent="0.3">
      <c r="A104" s="468"/>
      <c r="B104" s="468"/>
      <c r="C104" s="468"/>
      <c r="D104" s="468"/>
      <c r="E104" s="468"/>
      <c r="F104" s="468"/>
      <c r="G104" s="468"/>
      <c r="H104" s="468"/>
      <c r="I104" s="468"/>
      <c r="J104" s="468"/>
      <c r="K104" s="468"/>
      <c r="L104" s="468"/>
    </row>
    <row r="105" spans="1:12" x14ac:dyDescent="0.3">
      <c r="A105" s="468"/>
      <c r="B105" s="468"/>
      <c r="C105" s="468"/>
      <c r="D105" s="468"/>
      <c r="E105" s="468"/>
      <c r="F105" s="468"/>
      <c r="G105" s="468"/>
      <c r="H105" s="468"/>
      <c r="I105" s="468"/>
      <c r="J105" s="468"/>
      <c r="K105" s="468"/>
      <c r="L105" s="468"/>
    </row>
    <row r="106" spans="1:12" x14ac:dyDescent="0.3">
      <c r="A106" s="468"/>
      <c r="B106" s="468"/>
      <c r="C106" s="468"/>
      <c r="D106" s="468"/>
      <c r="E106" s="468"/>
      <c r="F106" s="468"/>
      <c r="G106" s="468"/>
      <c r="H106" s="468"/>
      <c r="I106" s="468"/>
      <c r="J106" s="468"/>
      <c r="K106" s="468"/>
      <c r="L106" s="468"/>
    </row>
    <row r="107" spans="1:12" x14ac:dyDescent="0.3">
      <c r="A107" s="468"/>
      <c r="B107" s="468"/>
      <c r="C107" s="468"/>
      <c r="D107" s="468"/>
      <c r="E107" s="468"/>
      <c r="F107" s="468"/>
      <c r="G107" s="468"/>
      <c r="H107" s="468"/>
      <c r="I107" s="468"/>
      <c r="J107" s="468"/>
      <c r="K107" s="468"/>
      <c r="L107" s="468"/>
    </row>
    <row r="108" spans="1:12" x14ac:dyDescent="0.3">
      <c r="A108" s="468"/>
      <c r="B108" s="468"/>
      <c r="C108" s="468"/>
      <c r="D108" s="468"/>
      <c r="E108" s="468"/>
      <c r="F108" s="468"/>
      <c r="G108" s="468"/>
      <c r="H108" s="468"/>
      <c r="I108" s="468"/>
      <c r="J108" s="468"/>
      <c r="K108" s="468"/>
      <c r="L108" s="468"/>
    </row>
    <row r="109" spans="1:12" x14ac:dyDescent="0.3">
      <c r="A109" s="468"/>
      <c r="B109" s="468"/>
      <c r="C109" s="468"/>
      <c r="D109" s="468"/>
      <c r="E109" s="468"/>
      <c r="F109" s="468"/>
      <c r="G109" s="468"/>
      <c r="H109" s="468"/>
      <c r="I109" s="468"/>
      <c r="J109" s="468"/>
      <c r="K109" s="468"/>
      <c r="L109" s="468"/>
    </row>
    <row r="110" spans="1:12" x14ac:dyDescent="0.3">
      <c r="A110" s="468"/>
      <c r="B110" s="468"/>
      <c r="C110" s="468"/>
      <c r="D110" s="468"/>
      <c r="E110" s="468"/>
      <c r="F110" s="468"/>
      <c r="G110" s="468"/>
      <c r="H110" s="468"/>
      <c r="I110" s="468"/>
      <c r="J110" s="468"/>
      <c r="K110" s="468"/>
      <c r="L110" s="468"/>
    </row>
    <row r="111" spans="1:12" x14ac:dyDescent="0.3">
      <c r="A111" s="468"/>
      <c r="B111" s="468"/>
      <c r="C111" s="468"/>
      <c r="D111" s="468"/>
      <c r="E111" s="468"/>
      <c r="F111" s="468"/>
      <c r="G111" s="468"/>
      <c r="H111" s="468"/>
      <c r="I111" s="468"/>
      <c r="J111" s="468"/>
      <c r="K111" s="468"/>
      <c r="L111" s="468"/>
    </row>
  </sheetData>
  <phoneticPr fontId="0" type="noConversion"/>
  <pageMargins left="0.75" right="0.75" top="1" bottom="1" header="0.5" footer="0.5"/>
  <pageSetup scale="7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abColor theme="3" tint="0.59999389629810485"/>
  </sheetPr>
  <dimension ref="A1:L111"/>
  <sheetViews>
    <sheetView zoomScale="80" zoomScaleNormal="80" workbookViewId="0"/>
  </sheetViews>
  <sheetFormatPr defaultColWidth="9.81640625" defaultRowHeight="15.6" x14ac:dyDescent="0.3"/>
  <cols>
    <col min="1" max="1" width="2.81640625" style="3" customWidth="1"/>
    <col min="2" max="4" width="9.81640625" style="3"/>
    <col min="5" max="5" width="21.81640625" style="3" customWidth="1"/>
    <col min="6" max="6" width="13.81640625" style="3" customWidth="1"/>
    <col min="7" max="7" width="9.90625" style="3" customWidth="1"/>
    <col min="8" max="8" width="7.81640625" style="3" customWidth="1"/>
    <col min="9" max="16384" width="9.81640625" style="3"/>
  </cols>
  <sheetData>
    <row r="1" spans="1:8" x14ac:dyDescent="0.3">
      <c r="A1" s="52" t="s">
        <v>161</v>
      </c>
      <c r="B1" s="230"/>
      <c r="C1" s="230"/>
      <c r="D1" s="230"/>
      <c r="E1" s="230"/>
      <c r="F1" s="230"/>
      <c r="G1" s="230"/>
      <c r="H1" s="230"/>
    </row>
    <row r="4" spans="1:8" x14ac:dyDescent="0.3">
      <c r="A4" s="52" t="s">
        <v>623</v>
      </c>
      <c r="B4" s="230"/>
      <c r="C4" s="230"/>
      <c r="D4" s="230"/>
      <c r="E4" s="230"/>
      <c r="F4" s="230"/>
      <c r="G4" s="230"/>
      <c r="H4" s="230"/>
    </row>
    <row r="6" spans="1:8" x14ac:dyDescent="0.3">
      <c r="A6" s="230" t="str">
        <f>CONCATENATE('Input Data'!D4," through ",'Input Data'!D5)</f>
        <v>May 1, 2021 through July 31, 2021</v>
      </c>
      <c r="B6" s="230"/>
      <c r="C6" s="230"/>
      <c r="D6" s="230"/>
      <c r="E6" s="230"/>
      <c r="F6" s="230"/>
      <c r="G6" s="230"/>
      <c r="H6" s="230"/>
    </row>
    <row r="7" spans="1:8" x14ac:dyDescent="0.3">
      <c r="A7" s="245"/>
      <c r="B7" s="245"/>
      <c r="C7" s="245"/>
      <c r="D7" s="245"/>
      <c r="E7" s="245"/>
      <c r="F7" s="245"/>
      <c r="G7" s="245"/>
      <c r="H7" s="245"/>
    </row>
    <row r="9" spans="1:8" x14ac:dyDescent="0.3">
      <c r="B9" s="246"/>
      <c r="G9" s="247"/>
    </row>
    <row r="11" spans="1:8" x14ac:dyDescent="0.3">
      <c r="C11" s="248" t="s">
        <v>598</v>
      </c>
    </row>
    <row r="13" spans="1:8" x14ac:dyDescent="0.3">
      <c r="B13" s="13" t="s">
        <v>163</v>
      </c>
      <c r="G13" s="665">
        <v>550</v>
      </c>
    </row>
    <row r="15" spans="1:8" x14ac:dyDescent="0.3">
      <c r="B15" s="13" t="s">
        <v>599</v>
      </c>
      <c r="G15" s="665">
        <v>750</v>
      </c>
    </row>
    <row r="17" spans="1:8" x14ac:dyDescent="0.3">
      <c r="B17" s="13" t="s">
        <v>601</v>
      </c>
      <c r="G17" s="665">
        <v>4.8899999999999997</v>
      </c>
    </row>
    <row r="19" spans="1:8" x14ac:dyDescent="0.3">
      <c r="B19" s="13" t="s">
        <v>164</v>
      </c>
      <c r="G19" s="102">
        <v>3.7999999999999999E-2</v>
      </c>
    </row>
    <row r="20" spans="1:8" x14ac:dyDescent="0.3">
      <c r="B20" s="13"/>
      <c r="G20" s="102"/>
    </row>
    <row r="21" spans="1:8" x14ac:dyDescent="0.3">
      <c r="B21" s="3" t="s">
        <v>596</v>
      </c>
      <c r="G21" s="102">
        <v>9.7999999999999997E-3</v>
      </c>
    </row>
    <row r="22" spans="1:8" x14ac:dyDescent="0.3">
      <c r="A22" s="245"/>
      <c r="B22" s="245"/>
      <c r="C22" s="245"/>
      <c r="D22" s="245"/>
      <c r="E22" s="245"/>
      <c r="F22" s="245"/>
      <c r="G22" s="245"/>
      <c r="H22" s="245"/>
    </row>
    <row r="26" spans="1:8" x14ac:dyDescent="0.3">
      <c r="C26" s="248" t="s">
        <v>165</v>
      </c>
    </row>
    <row r="28" spans="1:8" x14ac:dyDescent="0.3">
      <c r="B28" s="13" t="s">
        <v>166</v>
      </c>
      <c r="G28" s="102">
        <f>'Ex A 2 of 2'!F54</f>
        <v>0.16669999999999999</v>
      </c>
    </row>
    <row r="29" spans="1:8" x14ac:dyDescent="0.3">
      <c r="B29" s="13" t="s">
        <v>167</v>
      </c>
      <c r="G29" s="666">
        <v>0.37969999999999998</v>
      </c>
    </row>
    <row r="30" spans="1:8" x14ac:dyDescent="0.3">
      <c r="B30" s="13" t="s">
        <v>168</v>
      </c>
      <c r="G30" s="102">
        <f>(G28+G29)</f>
        <v>0.5464</v>
      </c>
    </row>
    <row r="32" spans="1:8" x14ac:dyDescent="0.3">
      <c r="B32" s="3" t="s">
        <v>611</v>
      </c>
    </row>
    <row r="33" spans="2:8" x14ac:dyDescent="0.3">
      <c r="C33" s="3" t="s">
        <v>169</v>
      </c>
      <c r="F33" s="3" t="s">
        <v>170</v>
      </c>
    </row>
    <row r="34" spans="2:8" x14ac:dyDescent="0.3">
      <c r="F34" s="3" t="s">
        <v>171</v>
      </c>
    </row>
    <row r="35" spans="2:8" x14ac:dyDescent="0.3">
      <c r="F35" s="3" t="s">
        <v>600</v>
      </c>
    </row>
    <row r="36" spans="2:8" x14ac:dyDescent="0.3">
      <c r="B36" s="3" t="s">
        <v>611</v>
      </c>
    </row>
    <row r="37" spans="2:8" x14ac:dyDescent="0.3">
      <c r="B37" s="249" t="s">
        <v>172</v>
      </c>
    </row>
    <row r="39" spans="2:8" x14ac:dyDescent="0.3">
      <c r="B39" s="248" t="s">
        <v>605</v>
      </c>
    </row>
    <row r="40" spans="2:8" x14ac:dyDescent="0.3">
      <c r="C40" s="13" t="s">
        <v>174</v>
      </c>
      <c r="F40" s="250"/>
      <c r="G40" s="251">
        <v>1</v>
      </c>
      <c r="H40" s="13"/>
    </row>
    <row r="41" spans="2:8" x14ac:dyDescent="0.3">
      <c r="C41" s="13" t="s">
        <v>175</v>
      </c>
      <c r="G41" s="251">
        <f>(G$40*1.1)</f>
        <v>1.1000000000000001</v>
      </c>
    </row>
    <row r="42" spans="2:8" x14ac:dyDescent="0.3">
      <c r="C42" s="13" t="s">
        <v>175</v>
      </c>
      <c r="G42" s="251">
        <f>(G$40*1.2)</f>
        <v>1.2</v>
      </c>
    </row>
    <row r="43" spans="2:8" x14ac:dyDescent="0.3">
      <c r="C43" s="13" t="s">
        <v>175</v>
      </c>
      <c r="G43" s="251">
        <f>(G$40*1.3)</f>
        <v>1.3</v>
      </c>
    </row>
    <row r="44" spans="2:8" x14ac:dyDescent="0.3">
      <c r="C44" s="13" t="s">
        <v>176</v>
      </c>
      <c r="G44" s="251">
        <f>(G$40*1.4)</f>
        <v>1.4</v>
      </c>
    </row>
    <row r="46" spans="2:8" x14ac:dyDescent="0.3">
      <c r="B46" s="248" t="s">
        <v>606</v>
      </c>
    </row>
    <row r="47" spans="2:8" x14ac:dyDescent="0.3">
      <c r="C47" s="13" t="s">
        <v>174</v>
      </c>
      <c r="G47" s="251">
        <f>(G40)</f>
        <v>1</v>
      </c>
      <c r="H47" s="13"/>
    </row>
    <row r="48" spans="2:8" x14ac:dyDescent="0.3">
      <c r="C48" s="13" t="s">
        <v>175</v>
      </c>
      <c r="G48" s="251">
        <f>(G$40*0.9)</f>
        <v>0.9</v>
      </c>
    </row>
    <row r="49" spans="1:12" x14ac:dyDescent="0.3">
      <c r="C49" s="13" t="s">
        <v>175</v>
      </c>
      <c r="G49" s="251">
        <f>(G$40*0.8)</f>
        <v>0.8</v>
      </c>
    </row>
    <row r="50" spans="1:12" x14ac:dyDescent="0.3">
      <c r="C50" s="13" t="s">
        <v>175</v>
      </c>
      <c r="G50" s="251">
        <f>(G$40*0.7)</f>
        <v>0.7</v>
      </c>
    </row>
    <row r="51" spans="1:12" x14ac:dyDescent="0.3">
      <c r="C51" s="13" t="s">
        <v>176</v>
      </c>
      <c r="G51" s="251">
        <f>(G$40*0.6)</f>
        <v>0.6</v>
      </c>
    </row>
    <row r="52" spans="1:12" x14ac:dyDescent="0.3">
      <c r="C52" s="13"/>
      <c r="G52" s="251"/>
    </row>
    <row r="53" spans="1:12" x14ac:dyDescent="0.3">
      <c r="A53" s="30"/>
      <c r="C53" s="13"/>
      <c r="G53" s="251"/>
    </row>
    <row r="54" spans="1:12" x14ac:dyDescent="0.3">
      <c r="A54" s="252"/>
      <c r="C54" s="13"/>
      <c r="G54" s="251"/>
    </row>
    <row r="55" spans="1:12" x14ac:dyDescent="0.3">
      <c r="A55" s="253"/>
      <c r="B55" s="245"/>
      <c r="C55" s="245"/>
      <c r="D55" s="245"/>
      <c r="E55" s="245"/>
      <c r="F55" s="245"/>
      <c r="G55" s="245"/>
      <c r="H55" s="245"/>
    </row>
    <row r="57" spans="1:12" x14ac:dyDescent="0.3">
      <c r="A57" s="2"/>
      <c r="B57" s="468"/>
      <c r="C57" s="468"/>
      <c r="D57" s="468"/>
      <c r="E57" s="468"/>
      <c r="F57" s="468"/>
      <c r="G57" s="468"/>
      <c r="H57" s="468"/>
      <c r="I57" s="468"/>
      <c r="J57" s="468"/>
      <c r="K57" s="468"/>
      <c r="L57" s="468"/>
    </row>
    <row r="58" spans="1:12" x14ac:dyDescent="0.3">
      <c r="A58" s="468"/>
      <c r="B58" s="468"/>
      <c r="C58" s="468"/>
      <c r="D58" s="468"/>
      <c r="E58" s="468"/>
      <c r="F58" s="468"/>
      <c r="G58" s="468"/>
      <c r="H58" s="468"/>
      <c r="I58" s="468"/>
      <c r="J58" s="468"/>
      <c r="K58" s="468"/>
      <c r="L58" s="468"/>
    </row>
    <row r="59" spans="1:12" x14ac:dyDescent="0.3">
      <c r="A59" s="468"/>
      <c r="B59" s="468"/>
      <c r="C59" s="468"/>
      <c r="D59" s="468"/>
      <c r="E59" s="468"/>
      <c r="F59" s="468"/>
      <c r="G59" s="468"/>
      <c r="H59" s="468"/>
      <c r="I59" s="468"/>
      <c r="J59" s="468"/>
      <c r="K59" s="468"/>
      <c r="L59" s="468"/>
    </row>
    <row r="60" spans="1:12" x14ac:dyDescent="0.3">
      <c r="A60" s="468"/>
      <c r="B60" s="468"/>
      <c r="C60" s="468"/>
      <c r="D60" s="468"/>
      <c r="E60" s="468"/>
      <c r="F60" s="468"/>
      <c r="G60" s="468"/>
      <c r="H60" s="468"/>
      <c r="I60" s="468"/>
      <c r="J60" s="468"/>
      <c r="K60" s="468"/>
      <c r="L60" s="468"/>
    </row>
    <row r="61" spans="1:12" x14ac:dyDescent="0.3">
      <c r="A61" s="468"/>
      <c r="B61" s="468"/>
      <c r="C61" s="468"/>
      <c r="D61" s="468"/>
      <c r="E61" s="468"/>
      <c r="F61" s="468"/>
      <c r="G61" s="468"/>
      <c r="H61" s="468"/>
      <c r="I61" s="468"/>
      <c r="J61" s="468"/>
      <c r="K61" s="468"/>
      <c r="L61" s="468"/>
    </row>
    <row r="62" spans="1:12" x14ac:dyDescent="0.3">
      <c r="A62" s="468"/>
      <c r="B62" s="468"/>
      <c r="C62" s="468"/>
      <c r="D62" s="468"/>
      <c r="E62" s="468"/>
      <c r="F62" s="468"/>
      <c r="G62" s="468"/>
      <c r="H62" s="468"/>
      <c r="I62" s="468"/>
      <c r="J62" s="468"/>
      <c r="K62" s="468"/>
      <c r="L62" s="468"/>
    </row>
    <row r="63" spans="1:12" x14ac:dyDescent="0.3">
      <c r="A63" s="468"/>
      <c r="B63" s="468"/>
      <c r="C63" s="468"/>
      <c r="D63" s="468"/>
      <c r="E63" s="468"/>
      <c r="F63" s="468"/>
      <c r="G63" s="468"/>
      <c r="H63" s="468"/>
      <c r="I63" s="468"/>
      <c r="J63" s="468"/>
      <c r="K63" s="468"/>
      <c r="L63" s="468"/>
    </row>
    <row r="64" spans="1:12" x14ac:dyDescent="0.3">
      <c r="A64" s="468"/>
      <c r="B64" s="468"/>
      <c r="C64" s="468"/>
      <c r="D64" s="468"/>
      <c r="E64" s="468"/>
      <c r="F64" s="468"/>
      <c r="G64" s="468"/>
      <c r="H64" s="468"/>
      <c r="I64" s="468"/>
      <c r="J64" s="468"/>
      <c r="K64" s="468"/>
      <c r="L64" s="468"/>
    </row>
    <row r="65" spans="1:12" x14ac:dyDescent="0.3">
      <c r="A65" s="468"/>
      <c r="B65" s="468"/>
      <c r="C65" s="468"/>
      <c r="D65" s="468"/>
      <c r="E65" s="468"/>
      <c r="F65" s="468"/>
      <c r="G65" s="468"/>
      <c r="H65" s="468"/>
      <c r="I65" s="468"/>
      <c r="J65" s="468"/>
      <c r="K65" s="468"/>
      <c r="L65" s="468"/>
    </row>
    <row r="66" spans="1:12" x14ac:dyDescent="0.3">
      <c r="A66" s="468"/>
      <c r="B66" s="468"/>
      <c r="C66" s="468"/>
      <c r="D66" s="468"/>
      <c r="E66" s="468"/>
      <c r="F66" s="468"/>
      <c r="G66" s="468"/>
      <c r="H66" s="468"/>
      <c r="I66" s="468"/>
      <c r="J66" s="468"/>
      <c r="K66" s="468"/>
      <c r="L66" s="468"/>
    </row>
    <row r="67" spans="1:12" x14ac:dyDescent="0.3">
      <c r="A67" s="468"/>
      <c r="B67" s="468"/>
      <c r="C67" s="468"/>
      <c r="D67" s="468"/>
      <c r="E67" s="468"/>
      <c r="F67" s="468"/>
      <c r="G67" s="468"/>
      <c r="H67" s="468"/>
      <c r="I67" s="468"/>
      <c r="J67" s="468"/>
      <c r="K67" s="468"/>
      <c r="L67" s="468"/>
    </row>
    <row r="68" spans="1:12" x14ac:dyDescent="0.3">
      <c r="A68" s="468"/>
      <c r="B68" s="468"/>
      <c r="C68" s="468"/>
      <c r="D68" s="468"/>
      <c r="E68" s="468"/>
      <c r="F68" s="468"/>
      <c r="G68" s="468"/>
      <c r="H68" s="468"/>
      <c r="I68" s="468"/>
      <c r="J68" s="468"/>
      <c r="K68" s="468"/>
      <c r="L68" s="468"/>
    </row>
    <row r="69" spans="1:12" x14ac:dyDescent="0.3">
      <c r="A69" s="468"/>
      <c r="B69" s="468"/>
      <c r="C69" s="468"/>
      <c r="D69" s="468"/>
      <c r="E69" s="468"/>
      <c r="F69" s="468"/>
      <c r="G69" s="468"/>
      <c r="H69" s="468"/>
      <c r="I69" s="468"/>
      <c r="J69" s="468"/>
      <c r="K69" s="468"/>
      <c r="L69" s="468"/>
    </row>
    <row r="70" spans="1:12" x14ac:dyDescent="0.3">
      <c r="A70" s="468"/>
      <c r="B70" s="468"/>
      <c r="C70" s="468"/>
      <c r="D70" s="468"/>
      <c r="E70" s="468"/>
      <c r="F70" s="468"/>
      <c r="G70" s="468"/>
      <c r="H70" s="468"/>
      <c r="I70" s="468"/>
      <c r="J70" s="468"/>
      <c r="K70" s="468"/>
      <c r="L70" s="468"/>
    </row>
    <row r="71" spans="1:12" x14ac:dyDescent="0.3">
      <c r="A71" s="468"/>
      <c r="B71" s="468"/>
      <c r="C71" s="468"/>
      <c r="D71" s="468"/>
      <c r="E71" s="468"/>
      <c r="F71" s="468"/>
      <c r="G71" s="468"/>
      <c r="H71" s="468"/>
      <c r="I71" s="468"/>
      <c r="J71" s="468"/>
      <c r="K71" s="468"/>
      <c r="L71" s="468"/>
    </row>
    <row r="72" spans="1:12" x14ac:dyDescent="0.3">
      <c r="A72" s="468"/>
      <c r="B72" s="468"/>
      <c r="C72" s="468"/>
      <c r="D72" s="468"/>
      <c r="E72" s="468"/>
      <c r="F72" s="468"/>
      <c r="G72" s="468"/>
      <c r="H72" s="468"/>
      <c r="I72" s="468"/>
      <c r="J72" s="468"/>
      <c r="K72" s="468"/>
      <c r="L72" s="468"/>
    </row>
    <row r="73" spans="1:12" x14ac:dyDescent="0.3">
      <c r="A73" s="468"/>
      <c r="B73" s="468"/>
      <c r="C73" s="468"/>
      <c r="D73" s="468"/>
      <c r="E73" s="468"/>
      <c r="F73" s="468"/>
      <c r="G73" s="468"/>
      <c r="H73" s="468"/>
      <c r="I73" s="468"/>
      <c r="J73" s="468"/>
      <c r="K73" s="468"/>
      <c r="L73" s="468"/>
    </row>
    <row r="74" spans="1:12" x14ac:dyDescent="0.3">
      <c r="A74" s="468"/>
      <c r="B74" s="468"/>
      <c r="C74" s="468"/>
      <c r="D74" s="468"/>
      <c r="E74" s="468"/>
      <c r="F74" s="468"/>
      <c r="G74" s="468"/>
      <c r="H74" s="468"/>
      <c r="I74" s="468"/>
      <c r="J74" s="468"/>
      <c r="K74" s="468"/>
      <c r="L74" s="468"/>
    </row>
    <row r="75" spans="1:12" x14ac:dyDescent="0.3">
      <c r="A75" s="468"/>
      <c r="B75" s="468"/>
      <c r="C75" s="468"/>
      <c r="D75" s="468"/>
      <c r="E75" s="468"/>
      <c r="F75" s="468"/>
      <c r="G75" s="468"/>
      <c r="H75" s="468"/>
      <c r="I75" s="468"/>
      <c r="J75" s="468"/>
      <c r="K75" s="468"/>
      <c r="L75" s="468"/>
    </row>
    <row r="76" spans="1:12" x14ac:dyDescent="0.3">
      <c r="A76" s="468"/>
      <c r="B76" s="468"/>
      <c r="C76" s="468"/>
      <c r="D76" s="468"/>
      <c r="E76" s="468"/>
      <c r="F76" s="468"/>
      <c r="G76" s="468"/>
      <c r="H76" s="468"/>
      <c r="I76" s="468"/>
      <c r="J76" s="468"/>
      <c r="K76" s="468"/>
      <c r="L76" s="468"/>
    </row>
    <row r="77" spans="1:12" x14ac:dyDescent="0.3">
      <c r="A77" s="468"/>
      <c r="B77" s="468"/>
      <c r="C77" s="468"/>
      <c r="D77" s="468"/>
      <c r="E77" s="468"/>
      <c r="F77" s="468"/>
      <c r="G77" s="468"/>
      <c r="H77" s="468"/>
      <c r="I77" s="468"/>
      <c r="J77" s="468"/>
      <c r="K77" s="468"/>
      <c r="L77" s="468"/>
    </row>
    <row r="78" spans="1:12" x14ac:dyDescent="0.3">
      <c r="A78" s="468"/>
      <c r="B78" s="468"/>
      <c r="C78" s="468"/>
      <c r="D78" s="468"/>
      <c r="E78" s="468"/>
      <c r="F78" s="468"/>
      <c r="G78" s="468"/>
      <c r="H78" s="468"/>
      <c r="I78" s="468"/>
      <c r="J78" s="468"/>
      <c r="K78" s="468"/>
      <c r="L78" s="468"/>
    </row>
    <row r="79" spans="1:12" x14ac:dyDescent="0.3">
      <c r="A79" s="468"/>
      <c r="B79" s="468"/>
      <c r="C79" s="468"/>
      <c r="D79" s="468"/>
      <c r="E79" s="468"/>
      <c r="F79" s="468"/>
      <c r="G79" s="468"/>
      <c r="H79" s="468"/>
      <c r="I79" s="468"/>
      <c r="J79" s="468"/>
      <c r="K79" s="468"/>
      <c r="L79" s="468"/>
    </row>
    <row r="80" spans="1:12" x14ac:dyDescent="0.3">
      <c r="A80" s="468"/>
      <c r="B80" s="468"/>
      <c r="C80" s="468"/>
      <c r="D80" s="468"/>
      <c r="E80" s="468"/>
      <c r="F80" s="468"/>
      <c r="G80" s="468"/>
      <c r="H80" s="468"/>
      <c r="I80" s="468"/>
      <c r="J80" s="468"/>
      <c r="K80" s="468"/>
      <c r="L80" s="468"/>
    </row>
    <row r="81" spans="1:12" x14ac:dyDescent="0.3">
      <c r="A81" s="468"/>
      <c r="B81" s="468"/>
      <c r="C81" s="468"/>
      <c r="D81" s="468"/>
      <c r="E81" s="468"/>
      <c r="F81" s="468"/>
      <c r="G81" s="468"/>
      <c r="H81" s="468"/>
      <c r="I81" s="468"/>
      <c r="J81" s="468"/>
      <c r="K81" s="468"/>
      <c r="L81" s="468"/>
    </row>
    <row r="82" spans="1:12" x14ac:dyDescent="0.3">
      <c r="A82" s="468"/>
      <c r="B82" s="468"/>
      <c r="C82" s="468"/>
      <c r="D82" s="468"/>
      <c r="E82" s="468"/>
      <c r="F82" s="468"/>
      <c r="G82" s="468"/>
      <c r="H82" s="468"/>
      <c r="I82" s="468"/>
      <c r="J82" s="468"/>
      <c r="K82" s="468"/>
      <c r="L82" s="468"/>
    </row>
    <row r="83" spans="1:12" x14ac:dyDescent="0.3">
      <c r="A83" s="468"/>
      <c r="B83" s="468"/>
      <c r="C83" s="468"/>
      <c r="D83" s="468"/>
      <c r="E83" s="468"/>
      <c r="F83" s="468"/>
      <c r="G83" s="468"/>
      <c r="H83" s="468"/>
      <c r="I83" s="468"/>
      <c r="J83" s="468"/>
      <c r="K83" s="468"/>
      <c r="L83" s="468"/>
    </row>
    <row r="84" spans="1:12" x14ac:dyDescent="0.3">
      <c r="A84" s="468"/>
      <c r="B84" s="468"/>
      <c r="C84" s="468"/>
      <c r="D84" s="468"/>
      <c r="E84" s="468"/>
      <c r="F84" s="468"/>
      <c r="G84" s="468"/>
      <c r="H84" s="468"/>
      <c r="I84" s="468"/>
      <c r="J84" s="468"/>
      <c r="K84" s="468"/>
      <c r="L84" s="468"/>
    </row>
    <row r="85" spans="1:12" x14ac:dyDescent="0.3">
      <c r="A85" s="468"/>
      <c r="B85" s="468"/>
      <c r="C85" s="468"/>
      <c r="D85" s="468"/>
      <c r="E85" s="468"/>
      <c r="F85" s="468"/>
      <c r="G85" s="468"/>
      <c r="H85" s="468"/>
      <c r="I85" s="468"/>
      <c r="J85" s="468"/>
      <c r="K85" s="468"/>
      <c r="L85" s="468"/>
    </row>
    <row r="86" spans="1:12" x14ac:dyDescent="0.3">
      <c r="A86" s="468"/>
      <c r="B86" s="468"/>
      <c r="C86" s="468"/>
      <c r="D86" s="468"/>
      <c r="E86" s="468"/>
      <c r="F86" s="468"/>
      <c r="G86" s="468"/>
      <c r="H86" s="468"/>
      <c r="I86" s="468"/>
      <c r="J86" s="468"/>
      <c r="K86" s="468"/>
      <c r="L86" s="468"/>
    </row>
    <row r="87" spans="1:12" x14ac:dyDescent="0.3">
      <c r="A87" s="468"/>
      <c r="B87" s="468"/>
      <c r="C87" s="468"/>
      <c r="D87" s="468"/>
      <c r="E87" s="468"/>
      <c r="F87" s="468"/>
      <c r="G87" s="468"/>
      <c r="H87" s="468"/>
      <c r="I87" s="468"/>
      <c r="J87" s="468"/>
      <c r="K87" s="468"/>
      <c r="L87" s="468"/>
    </row>
    <row r="88" spans="1:12" x14ac:dyDescent="0.3">
      <c r="A88" s="468"/>
      <c r="B88" s="468"/>
      <c r="C88" s="468"/>
      <c r="D88" s="468"/>
      <c r="E88" s="468"/>
      <c r="F88" s="468"/>
      <c r="G88" s="468"/>
      <c r="H88" s="468"/>
      <c r="I88" s="468"/>
      <c r="J88" s="468"/>
      <c r="K88" s="468"/>
      <c r="L88" s="468"/>
    </row>
    <row r="89" spans="1:12" x14ac:dyDescent="0.3">
      <c r="A89" s="468"/>
      <c r="B89" s="468"/>
      <c r="C89" s="468"/>
      <c r="D89" s="468"/>
      <c r="E89" s="468"/>
      <c r="F89" s="468"/>
      <c r="G89" s="468"/>
      <c r="H89" s="468"/>
      <c r="I89" s="468"/>
      <c r="J89" s="468"/>
      <c r="K89" s="468"/>
      <c r="L89" s="468"/>
    </row>
    <row r="90" spans="1:12" x14ac:dyDescent="0.3">
      <c r="A90" s="468"/>
      <c r="B90" s="468"/>
      <c r="C90" s="468"/>
      <c r="D90" s="468"/>
      <c r="E90" s="468"/>
      <c r="F90" s="468"/>
      <c r="G90" s="468"/>
      <c r="H90" s="468"/>
      <c r="I90" s="468"/>
      <c r="J90" s="468"/>
      <c r="K90" s="468"/>
      <c r="L90" s="468"/>
    </row>
    <row r="91" spans="1:12" x14ac:dyDescent="0.3">
      <c r="A91" s="468"/>
      <c r="B91" s="468"/>
      <c r="C91" s="468"/>
      <c r="D91" s="468"/>
      <c r="E91" s="468"/>
      <c r="F91" s="468"/>
      <c r="G91" s="468"/>
      <c r="H91" s="468"/>
      <c r="I91" s="468"/>
      <c r="J91" s="468"/>
      <c r="K91" s="468"/>
      <c r="L91" s="468"/>
    </row>
    <row r="92" spans="1:12" x14ac:dyDescent="0.3">
      <c r="A92" s="468"/>
      <c r="B92" s="468"/>
      <c r="C92" s="468"/>
      <c r="D92" s="468"/>
      <c r="E92" s="468"/>
      <c r="F92" s="468"/>
      <c r="G92" s="468"/>
      <c r="H92" s="468"/>
      <c r="I92" s="468"/>
      <c r="J92" s="468"/>
      <c r="K92" s="468"/>
      <c r="L92" s="468"/>
    </row>
    <row r="93" spans="1:12" x14ac:dyDescent="0.3">
      <c r="A93" s="468"/>
      <c r="B93" s="468"/>
      <c r="C93" s="468"/>
      <c r="D93" s="468"/>
      <c r="E93" s="468"/>
      <c r="F93" s="468"/>
      <c r="G93" s="468"/>
      <c r="H93" s="468"/>
      <c r="I93" s="468"/>
      <c r="J93" s="468"/>
      <c r="K93" s="468"/>
      <c r="L93" s="468"/>
    </row>
    <row r="94" spans="1:12" x14ac:dyDescent="0.3">
      <c r="A94" s="468"/>
      <c r="B94" s="468"/>
      <c r="C94" s="468"/>
      <c r="D94" s="468"/>
      <c r="E94" s="468"/>
      <c r="F94" s="468"/>
      <c r="G94" s="468"/>
      <c r="H94" s="468"/>
      <c r="I94" s="468"/>
      <c r="J94" s="468"/>
      <c r="K94" s="468"/>
      <c r="L94" s="468"/>
    </row>
    <row r="95" spans="1:12" x14ac:dyDescent="0.3">
      <c r="A95" s="468"/>
      <c r="B95" s="468"/>
      <c r="C95" s="468"/>
      <c r="D95" s="468"/>
      <c r="E95" s="468"/>
      <c r="F95" s="468"/>
      <c r="G95" s="468"/>
      <c r="H95" s="468"/>
      <c r="I95" s="468"/>
      <c r="J95" s="468"/>
      <c r="K95" s="468"/>
      <c r="L95" s="468"/>
    </row>
    <row r="96" spans="1:12" x14ac:dyDescent="0.3">
      <c r="A96" s="468"/>
      <c r="B96" s="468"/>
      <c r="C96" s="468"/>
      <c r="D96" s="468"/>
      <c r="E96" s="468"/>
      <c r="F96" s="468"/>
      <c r="G96" s="468"/>
      <c r="H96" s="468"/>
      <c r="I96" s="468"/>
      <c r="J96" s="468"/>
      <c r="K96" s="468"/>
      <c r="L96" s="468"/>
    </row>
    <row r="97" spans="1:12" x14ac:dyDescent="0.3">
      <c r="A97" s="468"/>
      <c r="B97" s="468"/>
      <c r="C97" s="468"/>
      <c r="D97" s="468"/>
      <c r="E97" s="468"/>
      <c r="F97" s="468"/>
      <c r="G97" s="468"/>
      <c r="H97" s="468"/>
      <c r="I97" s="468"/>
      <c r="J97" s="468"/>
      <c r="K97" s="468"/>
      <c r="L97" s="468"/>
    </row>
    <row r="98" spans="1:12" x14ac:dyDescent="0.3">
      <c r="A98" s="468"/>
      <c r="B98" s="468"/>
      <c r="C98" s="468"/>
      <c r="D98" s="468"/>
      <c r="E98" s="468"/>
      <c r="F98" s="468"/>
      <c r="G98" s="468"/>
      <c r="H98" s="468"/>
      <c r="I98" s="468"/>
      <c r="J98" s="468"/>
      <c r="K98" s="468"/>
      <c r="L98" s="468"/>
    </row>
    <row r="99" spans="1:12" x14ac:dyDescent="0.3">
      <c r="A99" s="468"/>
      <c r="B99" s="468"/>
      <c r="C99" s="468"/>
      <c r="D99" s="468"/>
      <c r="E99" s="468"/>
      <c r="F99" s="468"/>
      <c r="G99" s="468"/>
      <c r="H99" s="468"/>
      <c r="I99" s="468"/>
      <c r="J99" s="468"/>
      <c r="K99" s="468"/>
      <c r="L99" s="468"/>
    </row>
    <row r="100" spans="1:12" x14ac:dyDescent="0.3">
      <c r="A100" s="468"/>
      <c r="B100" s="468"/>
      <c r="C100" s="468"/>
      <c r="D100" s="468"/>
      <c r="E100" s="468"/>
      <c r="F100" s="468"/>
      <c r="G100" s="468"/>
      <c r="H100" s="468"/>
      <c r="I100" s="468"/>
      <c r="J100" s="468"/>
      <c r="K100" s="468"/>
      <c r="L100" s="468"/>
    </row>
    <row r="101" spans="1:12" x14ac:dyDescent="0.3">
      <c r="A101" s="468"/>
      <c r="B101" s="468"/>
      <c r="C101" s="468"/>
      <c r="D101" s="468"/>
      <c r="E101" s="468"/>
      <c r="F101" s="468"/>
      <c r="G101" s="468"/>
      <c r="H101" s="468"/>
      <c r="I101" s="468"/>
      <c r="J101" s="468"/>
      <c r="K101" s="468"/>
      <c r="L101" s="468"/>
    </row>
    <row r="102" spans="1:12" x14ac:dyDescent="0.3">
      <c r="A102" s="468"/>
      <c r="B102" s="468"/>
      <c r="C102" s="468"/>
      <c r="D102" s="468"/>
      <c r="E102" s="468"/>
      <c r="F102" s="468"/>
      <c r="G102" s="468"/>
      <c r="H102" s="468"/>
      <c r="I102" s="468"/>
      <c r="J102" s="468"/>
      <c r="K102" s="468"/>
      <c r="L102" s="468"/>
    </row>
    <row r="103" spans="1:12" x14ac:dyDescent="0.3">
      <c r="A103" s="468"/>
      <c r="B103" s="468"/>
      <c r="C103" s="468"/>
      <c r="D103" s="468"/>
      <c r="E103" s="468"/>
      <c r="F103" s="468"/>
      <c r="G103" s="468"/>
      <c r="H103" s="468"/>
      <c r="I103" s="468"/>
      <c r="J103" s="468"/>
      <c r="K103" s="468"/>
      <c r="L103" s="468"/>
    </row>
    <row r="104" spans="1:12" x14ac:dyDescent="0.3">
      <c r="A104" s="468"/>
      <c r="B104" s="468"/>
      <c r="C104" s="468"/>
      <c r="D104" s="468"/>
      <c r="E104" s="468"/>
      <c r="F104" s="468"/>
      <c r="G104" s="468"/>
      <c r="H104" s="468"/>
      <c r="I104" s="468"/>
      <c r="J104" s="468"/>
      <c r="K104" s="468"/>
      <c r="L104" s="468"/>
    </row>
    <row r="105" spans="1:12" x14ac:dyDescent="0.3">
      <c r="A105" s="468"/>
      <c r="B105" s="468"/>
      <c r="C105" s="468"/>
      <c r="D105" s="468"/>
      <c r="E105" s="468"/>
      <c r="F105" s="468"/>
      <c r="G105" s="468"/>
      <c r="H105" s="468"/>
      <c r="I105" s="468"/>
      <c r="J105" s="468"/>
      <c r="K105" s="468"/>
      <c r="L105" s="468"/>
    </row>
    <row r="106" spans="1:12" x14ac:dyDescent="0.3">
      <c r="A106" s="468"/>
      <c r="B106" s="468"/>
      <c r="C106" s="468"/>
      <c r="D106" s="468"/>
      <c r="E106" s="468"/>
      <c r="F106" s="468"/>
      <c r="G106" s="468"/>
      <c r="H106" s="468"/>
      <c r="I106" s="468"/>
      <c r="J106" s="468"/>
      <c r="K106" s="468"/>
      <c r="L106" s="468"/>
    </row>
    <row r="107" spans="1:12" x14ac:dyDescent="0.3">
      <c r="A107" s="468"/>
      <c r="B107" s="468"/>
      <c r="C107" s="468"/>
      <c r="D107" s="468"/>
      <c r="E107" s="468"/>
      <c r="F107" s="468"/>
      <c r="G107" s="468"/>
      <c r="H107" s="468"/>
      <c r="I107" s="468"/>
      <c r="J107" s="468"/>
      <c r="K107" s="468"/>
      <c r="L107" s="468"/>
    </row>
    <row r="108" spans="1:12" x14ac:dyDescent="0.3">
      <c r="A108" s="468"/>
      <c r="B108" s="468"/>
      <c r="C108" s="468"/>
      <c r="D108" s="468"/>
      <c r="E108" s="468"/>
      <c r="F108" s="468"/>
      <c r="G108" s="468"/>
      <c r="H108" s="468"/>
      <c r="I108" s="468"/>
      <c r="J108" s="468"/>
      <c r="K108" s="468"/>
      <c r="L108" s="468"/>
    </row>
    <row r="109" spans="1:12" x14ac:dyDescent="0.3">
      <c r="A109" s="468"/>
      <c r="B109" s="468"/>
      <c r="C109" s="468"/>
      <c r="D109" s="468"/>
      <c r="E109" s="468"/>
      <c r="F109" s="468"/>
      <c r="G109" s="468"/>
      <c r="H109" s="468"/>
      <c r="I109" s="468"/>
      <c r="J109" s="468"/>
      <c r="K109" s="468"/>
      <c r="L109" s="468"/>
    </row>
    <row r="110" spans="1:12" x14ac:dyDescent="0.3">
      <c r="A110" s="468"/>
      <c r="B110" s="468"/>
      <c r="C110" s="468"/>
      <c r="D110" s="468"/>
      <c r="E110" s="468"/>
      <c r="F110" s="468"/>
      <c r="G110" s="468"/>
      <c r="H110" s="468"/>
      <c r="I110" s="468"/>
      <c r="J110" s="468"/>
      <c r="K110" s="468"/>
      <c r="L110" s="468"/>
    </row>
    <row r="111" spans="1:12" x14ac:dyDescent="0.3">
      <c r="A111" s="468"/>
      <c r="B111" s="468"/>
      <c r="C111" s="468"/>
      <c r="D111" s="468"/>
      <c r="E111" s="468"/>
      <c r="F111" s="468"/>
      <c r="G111" s="468"/>
      <c r="H111" s="468"/>
      <c r="I111" s="468"/>
      <c r="J111" s="468"/>
      <c r="K111" s="468"/>
      <c r="L111" s="468"/>
    </row>
  </sheetData>
  <pageMargins left="0.75" right="0.75" top="1" bottom="1" header="0.5" footer="0.5"/>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Q101"/>
  <sheetViews>
    <sheetView topLeftCell="G1" zoomScaleNormal="100" workbookViewId="0">
      <pane ySplit="3" topLeftCell="A73" activePane="bottomLeft" state="frozen"/>
      <selection pane="bottomLeft" activeCell="I85" sqref="I85"/>
    </sheetView>
  </sheetViews>
  <sheetFormatPr defaultColWidth="8.90625" defaultRowHeight="15.6" x14ac:dyDescent="0.3"/>
  <cols>
    <col min="1" max="1" width="20.90625" style="27" customWidth="1"/>
    <col min="2" max="2" width="22.453125" style="27" customWidth="1"/>
    <col min="3" max="5" width="24.6328125" style="27" customWidth="1"/>
    <col min="6" max="6" width="21.1796875" style="27" customWidth="1"/>
    <col min="7" max="7" width="17.54296875" style="25" customWidth="1"/>
    <col min="8" max="8" width="13.1796875" style="25" customWidth="1"/>
    <col min="9" max="11" width="24.6328125" style="25" customWidth="1"/>
    <col min="12" max="13" width="16.08984375" style="25" customWidth="1"/>
    <col min="14" max="15" width="16.08984375" style="6" customWidth="1"/>
    <col min="16" max="16384" width="8.90625" style="25"/>
  </cols>
  <sheetData>
    <row r="1" spans="1:17" x14ac:dyDescent="0.3">
      <c r="D1" s="720" t="s">
        <v>54</v>
      </c>
      <c r="E1" s="720"/>
      <c r="F1" s="721" t="s">
        <v>717</v>
      </c>
      <c r="G1" s="721"/>
      <c r="H1" s="721"/>
      <c r="I1" s="722" t="s">
        <v>251</v>
      </c>
      <c r="J1" s="722"/>
      <c r="K1" s="722"/>
      <c r="L1" s="723" t="s">
        <v>721</v>
      </c>
      <c r="M1" s="723"/>
      <c r="N1" s="724" t="s">
        <v>724</v>
      </c>
      <c r="O1" s="724"/>
      <c r="P1" s="724"/>
      <c r="Q1" s="724"/>
    </row>
    <row r="2" spans="1:17" ht="15" x14ac:dyDescent="0.25">
      <c r="A2" s="28">
        <v>1</v>
      </c>
      <c r="B2" s="28">
        <f>A2+1</f>
        <v>2</v>
      </c>
      <c r="C2" s="28">
        <f t="shared" ref="C2:Q2" si="0">B2+1</f>
        <v>3</v>
      </c>
      <c r="D2" s="28">
        <f t="shared" si="0"/>
        <v>4</v>
      </c>
      <c r="E2" s="28">
        <f t="shared" si="0"/>
        <v>5</v>
      </c>
      <c r="F2" s="28">
        <f t="shared" si="0"/>
        <v>6</v>
      </c>
      <c r="G2" s="28">
        <f t="shared" si="0"/>
        <v>7</v>
      </c>
      <c r="H2" s="28">
        <f t="shared" si="0"/>
        <v>8</v>
      </c>
      <c r="I2" s="621">
        <f t="shared" si="0"/>
        <v>9</v>
      </c>
      <c r="J2" s="621">
        <f t="shared" si="0"/>
        <v>10</v>
      </c>
      <c r="K2" s="621">
        <f t="shared" si="0"/>
        <v>11</v>
      </c>
      <c r="L2" s="621">
        <f t="shared" si="0"/>
        <v>12</v>
      </c>
      <c r="M2" s="621">
        <f t="shared" si="0"/>
        <v>13</v>
      </c>
      <c r="N2" s="621">
        <f t="shared" si="0"/>
        <v>14</v>
      </c>
      <c r="O2" s="621">
        <f t="shared" si="0"/>
        <v>15</v>
      </c>
      <c r="P2" s="621">
        <f t="shared" si="0"/>
        <v>16</v>
      </c>
      <c r="Q2" s="621">
        <f t="shared" si="0"/>
        <v>17</v>
      </c>
    </row>
    <row r="3" spans="1:17" s="623" customFormat="1" ht="46.8" x14ac:dyDescent="0.3">
      <c r="A3" s="622" t="s">
        <v>194</v>
      </c>
      <c r="B3" s="622" t="s">
        <v>336</v>
      </c>
      <c r="C3" s="622" t="s">
        <v>116</v>
      </c>
      <c r="D3" s="622" t="s">
        <v>715</v>
      </c>
      <c r="E3" s="622" t="s">
        <v>716</v>
      </c>
      <c r="F3" s="622" t="s">
        <v>337</v>
      </c>
      <c r="G3" s="622" t="s">
        <v>646</v>
      </c>
      <c r="H3" s="622" t="s">
        <v>647</v>
      </c>
      <c r="I3" s="623" t="s">
        <v>718</v>
      </c>
      <c r="J3" s="624" t="s">
        <v>719</v>
      </c>
      <c r="K3" s="624" t="s">
        <v>720</v>
      </c>
      <c r="L3" s="624" t="s">
        <v>722</v>
      </c>
      <c r="M3" s="624" t="s">
        <v>723</v>
      </c>
      <c r="N3" s="624" t="s">
        <v>218</v>
      </c>
      <c r="O3" s="624" t="s">
        <v>219</v>
      </c>
      <c r="P3" s="624" t="s">
        <v>725</v>
      </c>
      <c r="Q3" s="624" t="s">
        <v>726</v>
      </c>
    </row>
    <row r="5" spans="1:17" x14ac:dyDescent="0.3">
      <c r="A5" s="145">
        <v>36831</v>
      </c>
      <c r="B5" s="145">
        <f>EOMONTH(A5,2)</f>
        <v>36922</v>
      </c>
      <c r="C5" s="146" t="s">
        <v>85</v>
      </c>
      <c r="D5" s="598"/>
      <c r="E5" s="598"/>
      <c r="F5" s="146"/>
    </row>
    <row r="6" spans="1:17" x14ac:dyDescent="0.3">
      <c r="A6" s="145">
        <f>EDATE(A5,3)</f>
        <v>36923</v>
      </c>
      <c r="B6" s="145">
        <f t="shared" ref="B6:B51" si="1">EOMONTH(A6,2)</f>
        <v>37011</v>
      </c>
      <c r="C6" s="146" t="s">
        <v>197</v>
      </c>
      <c r="D6" s="598"/>
      <c r="E6" s="598"/>
      <c r="F6" s="146"/>
    </row>
    <row r="7" spans="1:17" x14ac:dyDescent="0.3">
      <c r="A7" s="145">
        <f t="shared" ref="A7:A51" si="2">EDATE(A6,3)</f>
        <v>37012</v>
      </c>
      <c r="B7" s="145">
        <f t="shared" si="1"/>
        <v>37103</v>
      </c>
      <c r="C7" s="146" t="s">
        <v>198</v>
      </c>
      <c r="D7" s="598"/>
      <c r="E7" s="598"/>
      <c r="F7" s="146"/>
    </row>
    <row r="8" spans="1:17" x14ac:dyDescent="0.3">
      <c r="A8" s="145">
        <f t="shared" si="2"/>
        <v>37104</v>
      </c>
      <c r="B8" s="145">
        <f t="shared" si="1"/>
        <v>37195</v>
      </c>
      <c r="C8" s="146" t="s">
        <v>199</v>
      </c>
      <c r="D8" s="598"/>
      <c r="E8" s="598"/>
      <c r="F8" s="146"/>
    </row>
    <row r="9" spans="1:17" x14ac:dyDescent="0.3">
      <c r="A9" s="145">
        <f t="shared" si="2"/>
        <v>37196</v>
      </c>
      <c r="B9" s="145">
        <f t="shared" si="1"/>
        <v>37287</v>
      </c>
      <c r="C9" s="146" t="s">
        <v>200</v>
      </c>
      <c r="D9" s="598"/>
      <c r="E9" s="598"/>
      <c r="F9" s="146"/>
    </row>
    <row r="10" spans="1:17" x14ac:dyDescent="0.3">
      <c r="A10" s="145">
        <f t="shared" si="2"/>
        <v>37288</v>
      </c>
      <c r="B10" s="145">
        <f t="shared" si="1"/>
        <v>37376</v>
      </c>
      <c r="C10" s="146" t="s">
        <v>201</v>
      </c>
      <c r="D10" s="598"/>
      <c r="E10" s="598"/>
      <c r="F10" s="146"/>
    </row>
    <row r="11" spans="1:17" x14ac:dyDescent="0.3">
      <c r="A11" s="145">
        <f t="shared" si="2"/>
        <v>37377</v>
      </c>
      <c r="B11" s="145">
        <f t="shared" si="1"/>
        <v>37468</v>
      </c>
      <c r="C11" s="146" t="s">
        <v>202</v>
      </c>
      <c r="D11" s="598"/>
      <c r="E11" s="598"/>
      <c r="F11" s="146"/>
    </row>
    <row r="12" spans="1:17" x14ac:dyDescent="0.3">
      <c r="A12" s="145">
        <f t="shared" si="2"/>
        <v>37469</v>
      </c>
      <c r="B12" s="145">
        <f t="shared" si="1"/>
        <v>37560</v>
      </c>
      <c r="C12" s="146" t="s">
        <v>178</v>
      </c>
      <c r="D12" s="598"/>
      <c r="E12" s="598"/>
      <c r="F12" s="146"/>
      <c r="G12" s="86"/>
      <c r="H12" s="86"/>
    </row>
    <row r="13" spans="1:17" x14ac:dyDescent="0.3">
      <c r="A13" s="145">
        <f t="shared" si="2"/>
        <v>37561</v>
      </c>
      <c r="B13" s="145">
        <f t="shared" si="1"/>
        <v>37652</v>
      </c>
      <c r="C13" s="146" t="s">
        <v>179</v>
      </c>
      <c r="D13" s="598"/>
      <c r="E13" s="598"/>
      <c r="F13" s="146"/>
    </row>
    <row r="14" spans="1:17" x14ac:dyDescent="0.3">
      <c r="A14" s="145">
        <f t="shared" si="2"/>
        <v>37653</v>
      </c>
      <c r="B14" s="145">
        <f t="shared" si="1"/>
        <v>37741</v>
      </c>
      <c r="C14" s="146" t="s">
        <v>180</v>
      </c>
      <c r="D14" s="598"/>
      <c r="E14" s="598"/>
      <c r="F14" s="146" t="str">
        <f>C12</f>
        <v>(Case No. 2002-00261)</v>
      </c>
    </row>
    <row r="15" spans="1:17" x14ac:dyDescent="0.3">
      <c r="A15" s="145">
        <f t="shared" si="2"/>
        <v>37742</v>
      </c>
      <c r="B15" s="145">
        <f t="shared" si="1"/>
        <v>37833</v>
      </c>
      <c r="C15" s="146" t="s">
        <v>181</v>
      </c>
      <c r="D15" s="598"/>
      <c r="E15" s="598"/>
      <c r="F15" s="146" t="str">
        <f t="shared" ref="F15:F28" si="3">C13</f>
        <v>(Case No. 2002-00368)</v>
      </c>
    </row>
    <row r="16" spans="1:17" x14ac:dyDescent="0.3">
      <c r="A16" s="145">
        <f t="shared" si="2"/>
        <v>37834</v>
      </c>
      <c r="B16" s="145">
        <f t="shared" si="1"/>
        <v>37925</v>
      </c>
      <c r="C16" s="146" t="s">
        <v>182</v>
      </c>
      <c r="D16" s="598"/>
      <c r="E16" s="598"/>
      <c r="F16" s="146" t="str">
        <f t="shared" si="3"/>
        <v>(Case No. 2003-00004)</v>
      </c>
    </row>
    <row r="17" spans="1:6" x14ac:dyDescent="0.3">
      <c r="A17" s="145">
        <f t="shared" si="2"/>
        <v>37926</v>
      </c>
      <c r="B17" s="145">
        <f t="shared" si="1"/>
        <v>38017</v>
      </c>
      <c r="C17" s="146" t="s">
        <v>183</v>
      </c>
      <c r="D17" s="598"/>
      <c r="E17" s="598"/>
      <c r="F17" s="146" t="str">
        <f t="shared" si="3"/>
        <v>(Case No. 2003-00121)</v>
      </c>
    </row>
    <row r="18" spans="1:6" x14ac:dyDescent="0.3">
      <c r="A18" s="145">
        <f t="shared" si="2"/>
        <v>38018</v>
      </c>
      <c r="B18" s="145">
        <f t="shared" si="1"/>
        <v>38107</v>
      </c>
      <c r="C18" s="146" t="s">
        <v>184</v>
      </c>
      <c r="D18" s="598"/>
      <c r="E18" s="598"/>
      <c r="F18" s="146" t="str">
        <f t="shared" si="3"/>
        <v>(Case No. 2003-00260)</v>
      </c>
    </row>
    <row r="19" spans="1:6" x14ac:dyDescent="0.3">
      <c r="A19" s="145">
        <f t="shared" si="2"/>
        <v>38108</v>
      </c>
      <c r="B19" s="145">
        <f t="shared" si="1"/>
        <v>38199</v>
      </c>
      <c r="C19" s="146" t="s">
        <v>185</v>
      </c>
      <c r="D19" s="598"/>
      <c r="E19" s="598"/>
      <c r="F19" s="146" t="str">
        <f t="shared" si="3"/>
        <v>(Case No. 2003-00385)</v>
      </c>
    </row>
    <row r="20" spans="1:6" x14ac:dyDescent="0.3">
      <c r="A20" s="145">
        <f t="shared" si="2"/>
        <v>38200</v>
      </c>
      <c r="B20" s="145">
        <f t="shared" si="1"/>
        <v>38291</v>
      </c>
      <c r="C20" s="146" t="s">
        <v>186</v>
      </c>
      <c r="D20" s="598"/>
      <c r="E20" s="598"/>
      <c r="F20" s="146" t="str">
        <f t="shared" si="3"/>
        <v>(Case No. 2004-00506)</v>
      </c>
    </row>
    <row r="21" spans="1:6" x14ac:dyDescent="0.3">
      <c r="A21" s="145">
        <f t="shared" si="2"/>
        <v>38292</v>
      </c>
      <c r="B21" s="145">
        <f t="shared" si="1"/>
        <v>38383</v>
      </c>
      <c r="C21" s="146" t="s">
        <v>187</v>
      </c>
      <c r="D21" s="598"/>
      <c r="E21" s="598"/>
      <c r="F21" s="146" t="str">
        <f t="shared" si="3"/>
        <v>(Case No. 2004-00117)</v>
      </c>
    </row>
    <row r="22" spans="1:6" x14ac:dyDescent="0.3">
      <c r="A22" s="145">
        <f t="shared" si="2"/>
        <v>38384</v>
      </c>
      <c r="B22" s="145">
        <f t="shared" si="1"/>
        <v>38472</v>
      </c>
      <c r="C22" s="146" t="s">
        <v>188</v>
      </c>
      <c r="D22" s="598"/>
      <c r="E22" s="598"/>
      <c r="F22" s="146" t="str">
        <f t="shared" si="3"/>
        <v>(Case No. 2004-00271)</v>
      </c>
    </row>
    <row r="23" spans="1:6" x14ac:dyDescent="0.3">
      <c r="A23" s="145">
        <f t="shared" si="2"/>
        <v>38473</v>
      </c>
      <c r="B23" s="145">
        <f t="shared" si="1"/>
        <v>38564</v>
      </c>
      <c r="C23" s="146" t="s">
        <v>189</v>
      </c>
      <c r="D23" s="598"/>
      <c r="E23" s="598"/>
      <c r="F23" s="146" t="str">
        <f t="shared" si="3"/>
        <v>(Case No. 2004-00390)</v>
      </c>
    </row>
    <row r="24" spans="1:6" x14ac:dyDescent="0.3">
      <c r="A24" s="145">
        <f t="shared" si="2"/>
        <v>38565</v>
      </c>
      <c r="B24" s="145">
        <f t="shared" si="1"/>
        <v>38656</v>
      </c>
      <c r="C24" s="146" t="s">
        <v>195</v>
      </c>
      <c r="D24" s="598"/>
      <c r="E24" s="598"/>
      <c r="F24" s="146" t="str">
        <f t="shared" si="3"/>
        <v>(Case No. 2004-00526)</v>
      </c>
    </row>
    <row r="25" spans="1:6" x14ac:dyDescent="0.3">
      <c r="A25" s="145">
        <f t="shared" si="2"/>
        <v>38657</v>
      </c>
      <c r="B25" s="145">
        <f t="shared" si="1"/>
        <v>38748</v>
      </c>
      <c r="C25" s="146" t="s">
        <v>190</v>
      </c>
      <c r="D25" s="598"/>
      <c r="E25" s="598"/>
      <c r="F25" s="146" t="str">
        <f t="shared" si="3"/>
        <v>(Case No. 2005-00143)</v>
      </c>
    </row>
    <row r="26" spans="1:6" x14ac:dyDescent="0.3">
      <c r="A26" s="145">
        <f t="shared" si="2"/>
        <v>38749</v>
      </c>
      <c r="B26" s="145">
        <f t="shared" si="1"/>
        <v>38837</v>
      </c>
      <c r="C26" s="146" t="s">
        <v>191</v>
      </c>
      <c r="D26" s="598"/>
      <c r="E26" s="598"/>
      <c r="F26" s="146" t="str">
        <f t="shared" si="3"/>
        <v>(Case No. 2005-00274)</v>
      </c>
    </row>
    <row r="27" spans="1:6" x14ac:dyDescent="0.3">
      <c r="A27" s="145">
        <f t="shared" si="2"/>
        <v>38838</v>
      </c>
      <c r="B27" s="145">
        <f t="shared" si="1"/>
        <v>38929</v>
      </c>
      <c r="C27" s="146" t="s">
        <v>192</v>
      </c>
      <c r="D27" s="598"/>
      <c r="E27" s="598"/>
      <c r="F27" s="146" t="str">
        <f t="shared" si="3"/>
        <v>(Case No. 2005-00401)</v>
      </c>
    </row>
    <row r="28" spans="1:6" x14ac:dyDescent="0.3">
      <c r="A28" s="145">
        <f t="shared" si="2"/>
        <v>38930</v>
      </c>
      <c r="B28" s="145">
        <f t="shared" si="1"/>
        <v>39021</v>
      </c>
      <c r="C28" s="146" t="s">
        <v>193</v>
      </c>
      <c r="D28" s="598"/>
      <c r="E28" s="598"/>
      <c r="F28" s="146" t="str">
        <f t="shared" si="3"/>
        <v>(Case No. 2006-00005)</v>
      </c>
    </row>
    <row r="29" spans="1:6" x14ac:dyDescent="0.3">
      <c r="A29" s="145">
        <f t="shared" si="2"/>
        <v>39022</v>
      </c>
      <c r="B29" s="145">
        <f t="shared" si="1"/>
        <v>39113</v>
      </c>
      <c r="C29" s="146" t="s">
        <v>206</v>
      </c>
      <c r="D29" s="598"/>
      <c r="E29" s="598"/>
      <c r="F29" s="146" t="str">
        <f>C27</f>
        <v>(Case No. 2006-00138)</v>
      </c>
    </row>
    <row r="30" spans="1:6" x14ac:dyDescent="0.3">
      <c r="A30" s="145">
        <f t="shared" si="2"/>
        <v>39114</v>
      </c>
      <c r="B30" s="145">
        <f t="shared" si="1"/>
        <v>39202</v>
      </c>
      <c r="C30" s="146" t="s">
        <v>207</v>
      </c>
      <c r="D30" s="598"/>
      <c r="E30" s="598"/>
      <c r="F30" s="146" t="str">
        <f t="shared" ref="F30:F73" si="4">C28</f>
        <v>(Case No. 2006-00335)</v>
      </c>
    </row>
    <row r="31" spans="1:6" x14ac:dyDescent="0.3">
      <c r="A31" s="145">
        <f t="shared" si="2"/>
        <v>39203</v>
      </c>
      <c r="B31" s="145">
        <f t="shared" si="1"/>
        <v>39294</v>
      </c>
      <c r="C31" s="146" t="s">
        <v>208</v>
      </c>
      <c r="D31" s="598"/>
      <c r="E31" s="598"/>
      <c r="F31" s="146" t="str">
        <f t="shared" si="4"/>
        <v>(Case No. 2006-00431)</v>
      </c>
    </row>
    <row r="32" spans="1:6" x14ac:dyDescent="0.3">
      <c r="A32" s="145">
        <f t="shared" si="2"/>
        <v>39295</v>
      </c>
      <c r="B32" s="145">
        <f t="shared" si="1"/>
        <v>39386</v>
      </c>
      <c r="C32" s="146" t="s">
        <v>209</v>
      </c>
      <c r="D32" s="598"/>
      <c r="E32" s="598"/>
      <c r="F32" s="146" t="str">
        <f t="shared" si="4"/>
        <v>(Case No. 2007-00001)</v>
      </c>
    </row>
    <row r="33" spans="1:6" x14ac:dyDescent="0.3">
      <c r="A33" s="145">
        <f t="shared" si="2"/>
        <v>39387</v>
      </c>
      <c r="B33" s="145">
        <f t="shared" si="1"/>
        <v>39478</v>
      </c>
      <c r="C33" s="146" t="s">
        <v>210</v>
      </c>
      <c r="D33" s="598"/>
      <c r="E33" s="598"/>
      <c r="F33" s="146" t="str">
        <f t="shared" si="4"/>
        <v>(Case No. 2007-00141)</v>
      </c>
    </row>
    <row r="34" spans="1:6" x14ac:dyDescent="0.3">
      <c r="A34" s="145">
        <f t="shared" si="2"/>
        <v>39479</v>
      </c>
      <c r="B34" s="145">
        <f t="shared" si="1"/>
        <v>39568</v>
      </c>
      <c r="C34" s="146" t="s">
        <v>38</v>
      </c>
      <c r="D34" s="598"/>
      <c r="E34" s="598"/>
      <c r="F34" s="146" t="str">
        <f t="shared" si="4"/>
        <v>(Case No. 2007-00267)</v>
      </c>
    </row>
    <row r="35" spans="1:6" x14ac:dyDescent="0.3">
      <c r="A35" s="145">
        <f t="shared" si="2"/>
        <v>39569</v>
      </c>
      <c r="B35" s="145">
        <f t="shared" si="1"/>
        <v>39660</v>
      </c>
      <c r="C35" s="146" t="s">
        <v>216</v>
      </c>
      <c r="D35" s="598"/>
      <c r="E35" s="598"/>
      <c r="F35" s="146" t="str">
        <f t="shared" si="4"/>
        <v>(Case No. 2007-00428)</v>
      </c>
    </row>
    <row r="36" spans="1:6" x14ac:dyDescent="0.3">
      <c r="A36" s="145">
        <f t="shared" si="2"/>
        <v>39661</v>
      </c>
      <c r="B36" s="145">
        <f t="shared" si="1"/>
        <v>39752</v>
      </c>
      <c r="C36" s="146" t="s">
        <v>71</v>
      </c>
      <c r="D36" s="598"/>
      <c r="E36" s="598"/>
      <c r="F36" s="146" t="str">
        <f t="shared" si="4"/>
        <v>(Case No. 2007-00559)</v>
      </c>
    </row>
    <row r="37" spans="1:6" x14ac:dyDescent="0.3">
      <c r="A37" s="145">
        <f t="shared" si="2"/>
        <v>39753</v>
      </c>
      <c r="B37" s="145">
        <f t="shared" si="1"/>
        <v>39844</v>
      </c>
      <c r="C37" s="146" t="s">
        <v>1</v>
      </c>
      <c r="D37" s="598"/>
      <c r="E37" s="598"/>
      <c r="F37" s="146" t="str">
        <f t="shared" si="4"/>
        <v>(Case No. 2008-00117)</v>
      </c>
    </row>
    <row r="38" spans="1:6" x14ac:dyDescent="0.3">
      <c r="A38" s="145">
        <f t="shared" si="2"/>
        <v>39845</v>
      </c>
      <c r="B38" s="145">
        <f t="shared" si="1"/>
        <v>39933</v>
      </c>
      <c r="C38" s="146" t="s">
        <v>3</v>
      </c>
      <c r="D38" s="598"/>
      <c r="E38" s="598"/>
      <c r="F38" s="146" t="str">
        <f t="shared" si="4"/>
        <v>(Case No. 2008-00246)</v>
      </c>
    </row>
    <row r="39" spans="1:6" x14ac:dyDescent="0.3">
      <c r="A39" s="145">
        <f t="shared" si="2"/>
        <v>39934</v>
      </c>
      <c r="B39" s="145">
        <f t="shared" si="1"/>
        <v>40025</v>
      </c>
      <c r="C39" s="146" t="s">
        <v>2</v>
      </c>
      <c r="D39" s="598"/>
      <c r="E39" s="598"/>
      <c r="F39" s="146" t="str">
        <f t="shared" si="4"/>
        <v>(Case No. 2008-00430)</v>
      </c>
    </row>
    <row r="40" spans="1:6" x14ac:dyDescent="0.3">
      <c r="A40" s="145">
        <f t="shared" si="2"/>
        <v>40026</v>
      </c>
      <c r="B40" s="145">
        <f t="shared" si="1"/>
        <v>40117</v>
      </c>
      <c r="C40" s="146" t="s">
        <v>338</v>
      </c>
      <c r="D40" s="598"/>
      <c r="E40" s="598"/>
      <c r="F40" s="146" t="str">
        <f t="shared" si="4"/>
        <v>(Case No. 2008-00564)</v>
      </c>
    </row>
    <row r="41" spans="1:6" x14ac:dyDescent="0.3">
      <c r="A41" s="145">
        <f t="shared" si="2"/>
        <v>40118</v>
      </c>
      <c r="B41" s="145">
        <f t="shared" si="1"/>
        <v>40209</v>
      </c>
      <c r="C41" s="146" t="s">
        <v>339</v>
      </c>
      <c r="D41" s="598"/>
      <c r="E41" s="598"/>
      <c r="F41" s="146" t="str">
        <f t="shared" si="4"/>
        <v>(Case No. 2009-00140)</v>
      </c>
    </row>
    <row r="42" spans="1:6" x14ac:dyDescent="0.3">
      <c r="A42" s="145">
        <f t="shared" si="2"/>
        <v>40210</v>
      </c>
      <c r="B42" s="145">
        <f t="shared" si="1"/>
        <v>40298</v>
      </c>
      <c r="C42" s="146" t="s">
        <v>340</v>
      </c>
      <c r="D42" s="598"/>
      <c r="E42" s="598"/>
      <c r="F42" s="146" t="str">
        <f t="shared" si="4"/>
        <v>(Case No. 2009-00248)</v>
      </c>
    </row>
    <row r="43" spans="1:6" x14ac:dyDescent="0.3">
      <c r="A43" s="145">
        <f t="shared" si="2"/>
        <v>40299</v>
      </c>
      <c r="B43" s="145">
        <f t="shared" si="1"/>
        <v>40390</v>
      </c>
      <c r="C43" s="146" t="s">
        <v>341</v>
      </c>
      <c r="D43" s="598"/>
      <c r="E43" s="598"/>
      <c r="F43" s="146" t="str">
        <f t="shared" si="4"/>
        <v>(Case No. 2009-00395)</v>
      </c>
    </row>
    <row r="44" spans="1:6" x14ac:dyDescent="0.3">
      <c r="A44" s="145">
        <f t="shared" si="2"/>
        <v>40391</v>
      </c>
      <c r="B44" s="145">
        <f t="shared" si="1"/>
        <v>40482</v>
      </c>
      <c r="C44" s="146" t="s">
        <v>342</v>
      </c>
      <c r="D44" s="598"/>
      <c r="E44" s="598"/>
      <c r="F44" s="146" t="str">
        <f t="shared" si="4"/>
        <v>(Case No. 2009-00457)</v>
      </c>
    </row>
    <row r="45" spans="1:6" x14ac:dyDescent="0.3">
      <c r="A45" s="145">
        <f t="shared" si="2"/>
        <v>40483</v>
      </c>
      <c r="B45" s="145">
        <f t="shared" si="1"/>
        <v>40574</v>
      </c>
      <c r="C45" s="146" t="s">
        <v>343</v>
      </c>
      <c r="D45" s="598"/>
      <c r="E45" s="598"/>
      <c r="F45" s="146" t="str">
        <f t="shared" si="4"/>
        <v>(Case No. 2010-00140)</v>
      </c>
    </row>
    <row r="46" spans="1:6" x14ac:dyDescent="0.3">
      <c r="A46" s="145">
        <f t="shared" si="2"/>
        <v>40575</v>
      </c>
      <c r="B46" s="145">
        <f t="shared" si="1"/>
        <v>40663</v>
      </c>
      <c r="C46" s="146" t="s">
        <v>344</v>
      </c>
      <c r="D46" s="598"/>
      <c r="E46" s="598"/>
      <c r="F46" s="146" t="str">
        <f t="shared" si="4"/>
        <v>(Case No. 2010-00263)</v>
      </c>
    </row>
    <row r="47" spans="1:6" x14ac:dyDescent="0.3">
      <c r="A47" s="145">
        <f t="shared" si="2"/>
        <v>40664</v>
      </c>
      <c r="B47" s="145">
        <f t="shared" si="1"/>
        <v>40755</v>
      </c>
      <c r="C47" s="146" t="s">
        <v>294</v>
      </c>
      <c r="D47" s="598"/>
      <c r="E47" s="598"/>
      <c r="F47" s="146" t="str">
        <f t="shared" si="4"/>
        <v>(Case No. 2010-00387)</v>
      </c>
    </row>
    <row r="48" spans="1:6" x14ac:dyDescent="0.3">
      <c r="A48" s="145">
        <f t="shared" si="2"/>
        <v>40756</v>
      </c>
      <c r="B48" s="145">
        <f t="shared" si="1"/>
        <v>40847</v>
      </c>
      <c r="C48" s="146" t="s">
        <v>293</v>
      </c>
      <c r="D48" s="598"/>
      <c r="E48" s="598"/>
      <c r="F48" s="146" t="str">
        <f t="shared" si="4"/>
        <v>(Case No. 2010-00525)</v>
      </c>
    </row>
    <row r="49" spans="1:6" x14ac:dyDescent="0.3">
      <c r="A49" s="478">
        <f t="shared" si="2"/>
        <v>40848</v>
      </c>
      <c r="B49" s="145">
        <f t="shared" si="1"/>
        <v>40939</v>
      </c>
      <c r="C49" s="477" t="s">
        <v>292</v>
      </c>
      <c r="D49" s="477"/>
      <c r="E49" s="477"/>
      <c r="F49" s="146" t="str">
        <f t="shared" si="4"/>
        <v>2011-00119</v>
      </c>
    </row>
    <row r="50" spans="1:6" x14ac:dyDescent="0.3">
      <c r="A50" s="478">
        <f t="shared" si="2"/>
        <v>40940</v>
      </c>
      <c r="B50" s="145">
        <f t="shared" si="1"/>
        <v>41029</v>
      </c>
      <c r="C50" s="477" t="s">
        <v>235</v>
      </c>
      <c r="D50" s="477"/>
      <c r="E50" s="477"/>
      <c r="F50" s="146" t="str">
        <f t="shared" si="4"/>
        <v>2011-00228</v>
      </c>
    </row>
    <row r="51" spans="1:6" x14ac:dyDescent="0.3">
      <c r="A51" s="478">
        <f t="shared" si="2"/>
        <v>41030</v>
      </c>
      <c r="B51" s="145">
        <f t="shared" si="1"/>
        <v>41121</v>
      </c>
      <c r="C51" s="477" t="s">
        <v>264</v>
      </c>
      <c r="D51" s="477"/>
      <c r="E51" s="477"/>
      <c r="F51" s="146" t="str">
        <f t="shared" si="4"/>
        <v>2011-00402</v>
      </c>
    </row>
    <row r="52" spans="1:6" x14ac:dyDescent="0.3">
      <c r="A52" s="478">
        <v>41122</v>
      </c>
      <c r="B52" s="145">
        <f t="shared" ref="B52:B73" si="5">EOMONTH(A52,2)</f>
        <v>41213</v>
      </c>
      <c r="C52" s="477" t="s">
        <v>327</v>
      </c>
      <c r="D52" s="477"/>
      <c r="E52" s="477"/>
      <c r="F52" s="146" t="str">
        <f t="shared" si="4"/>
        <v>2011-00523</v>
      </c>
    </row>
    <row r="53" spans="1:6" x14ac:dyDescent="0.3">
      <c r="A53" s="478">
        <v>41214</v>
      </c>
      <c r="B53" s="145">
        <f t="shared" si="5"/>
        <v>41305</v>
      </c>
      <c r="C53" s="477" t="s">
        <v>351</v>
      </c>
      <c r="D53" s="477"/>
      <c r="E53" s="477"/>
      <c r="F53" s="146" t="str">
        <f t="shared" si="4"/>
        <v>2012-00125</v>
      </c>
    </row>
    <row r="54" spans="1:6" x14ac:dyDescent="0.3">
      <c r="A54" s="478">
        <v>41306</v>
      </c>
      <c r="B54" s="145">
        <f t="shared" si="5"/>
        <v>41394</v>
      </c>
      <c r="C54" s="477" t="s">
        <v>352</v>
      </c>
      <c r="D54" s="477"/>
      <c r="E54" s="477"/>
      <c r="F54" s="146" t="str">
        <f t="shared" si="4"/>
        <v>2012-00286</v>
      </c>
    </row>
    <row r="55" spans="1:6" x14ac:dyDescent="0.3">
      <c r="A55" s="478">
        <v>41395</v>
      </c>
      <c r="B55" s="145">
        <f t="shared" si="5"/>
        <v>41486</v>
      </c>
      <c r="C55" s="477" t="s">
        <v>362</v>
      </c>
      <c r="D55" s="477"/>
      <c r="E55" s="477"/>
      <c r="F55" s="146" t="str">
        <f t="shared" si="4"/>
        <v>2012-00446</v>
      </c>
    </row>
    <row r="56" spans="1:6" x14ac:dyDescent="0.3">
      <c r="A56" s="478">
        <v>41487</v>
      </c>
      <c r="B56" s="145">
        <f t="shared" si="5"/>
        <v>41578</v>
      </c>
      <c r="C56" s="477" t="s">
        <v>370</v>
      </c>
      <c r="D56" s="477"/>
      <c r="E56" s="477"/>
      <c r="F56" s="146" t="str">
        <f t="shared" si="4"/>
        <v>2012-00591</v>
      </c>
    </row>
    <row r="57" spans="1:6" x14ac:dyDescent="0.3">
      <c r="A57" s="478">
        <v>41579</v>
      </c>
      <c r="B57" s="145">
        <f t="shared" si="5"/>
        <v>41670</v>
      </c>
      <c r="C57" s="477" t="s">
        <v>383</v>
      </c>
      <c r="D57" s="477"/>
      <c r="E57" s="477"/>
      <c r="F57" s="146" t="str">
        <f t="shared" si="4"/>
        <v>2013-00126</v>
      </c>
    </row>
    <row r="58" spans="1:6" x14ac:dyDescent="0.3">
      <c r="A58" s="478">
        <v>41671</v>
      </c>
      <c r="B58" s="145">
        <f t="shared" si="5"/>
        <v>41759</v>
      </c>
      <c r="C58" s="477" t="s">
        <v>425</v>
      </c>
      <c r="D58" s="477"/>
      <c r="E58" s="477"/>
      <c r="F58" s="146" t="str">
        <f t="shared" si="4"/>
        <v>2013-00253</v>
      </c>
    </row>
    <row r="59" spans="1:6" x14ac:dyDescent="0.3">
      <c r="A59" s="478">
        <v>41760</v>
      </c>
      <c r="B59" s="145">
        <f t="shared" si="5"/>
        <v>41851</v>
      </c>
      <c r="C59" s="477" t="s">
        <v>428</v>
      </c>
      <c r="D59" s="477"/>
      <c r="E59" s="477"/>
      <c r="F59" s="146" t="str">
        <f t="shared" si="4"/>
        <v>2013-00361</v>
      </c>
    </row>
    <row r="60" spans="1:6" x14ac:dyDescent="0.3">
      <c r="A60" s="478">
        <v>41852</v>
      </c>
      <c r="B60" s="145">
        <f t="shared" si="5"/>
        <v>41943</v>
      </c>
      <c r="C60" s="477" t="s">
        <v>435</v>
      </c>
      <c r="D60" s="477"/>
      <c r="E60" s="477"/>
      <c r="F60" s="146" t="str">
        <f t="shared" si="4"/>
        <v>2013-00486</v>
      </c>
    </row>
    <row r="61" spans="1:6" x14ac:dyDescent="0.3">
      <c r="A61" s="478">
        <v>41944</v>
      </c>
      <c r="B61" s="145">
        <f t="shared" si="5"/>
        <v>42035</v>
      </c>
      <c r="C61" s="477" t="s">
        <v>438</v>
      </c>
      <c r="D61" s="477"/>
      <c r="E61" s="477"/>
      <c r="F61" s="146" t="str">
        <f t="shared" si="4"/>
        <v>2014-00115</v>
      </c>
    </row>
    <row r="62" spans="1:6" x14ac:dyDescent="0.3">
      <c r="A62" s="478">
        <v>42036</v>
      </c>
      <c r="B62" s="145">
        <f t="shared" si="5"/>
        <v>42124</v>
      </c>
      <c r="C62" s="477" t="s">
        <v>439</v>
      </c>
      <c r="D62" s="477"/>
      <c r="E62" s="477"/>
      <c r="F62" s="146" t="str">
        <f t="shared" si="4"/>
        <v>2014-00217</v>
      </c>
    </row>
    <row r="63" spans="1:6" x14ac:dyDescent="0.3">
      <c r="A63" s="478">
        <v>42125</v>
      </c>
      <c r="B63" s="145">
        <f t="shared" si="5"/>
        <v>42216</v>
      </c>
      <c r="C63" s="477" t="s">
        <v>442</v>
      </c>
      <c r="D63" s="477"/>
      <c r="E63" s="477"/>
      <c r="F63" s="146" t="str">
        <f t="shared" si="4"/>
        <v>2014-00348</v>
      </c>
    </row>
    <row r="64" spans="1:6" x14ac:dyDescent="0.3">
      <c r="A64" s="478">
        <v>42217</v>
      </c>
      <c r="B64" s="145">
        <f t="shared" si="5"/>
        <v>42308</v>
      </c>
      <c r="C64" s="477" t="s">
        <v>456</v>
      </c>
      <c r="D64" s="477"/>
      <c r="E64" s="477"/>
      <c r="F64" s="146" t="str">
        <f t="shared" si="4"/>
        <v>2014-00475</v>
      </c>
    </row>
    <row r="65" spans="1:17" x14ac:dyDescent="0.3">
      <c r="A65" s="478">
        <v>42309</v>
      </c>
      <c r="B65" s="145">
        <f t="shared" si="5"/>
        <v>42400</v>
      </c>
      <c r="C65" s="477" t="s">
        <v>478</v>
      </c>
      <c r="D65" s="477"/>
      <c r="E65" s="477"/>
      <c r="F65" s="146" t="str">
        <f t="shared" si="4"/>
        <v>2015-00105</v>
      </c>
    </row>
    <row r="66" spans="1:17" x14ac:dyDescent="0.3">
      <c r="A66" s="478">
        <v>42401</v>
      </c>
      <c r="B66" s="145">
        <f t="shared" si="5"/>
        <v>42490</v>
      </c>
      <c r="C66" s="477" t="s">
        <v>500</v>
      </c>
      <c r="D66" s="477"/>
      <c r="E66" s="477"/>
      <c r="F66" s="146" t="str">
        <f t="shared" si="4"/>
        <v>2015-00218</v>
      </c>
    </row>
    <row r="67" spans="1:17" x14ac:dyDescent="0.3">
      <c r="A67" s="478">
        <v>42491</v>
      </c>
      <c r="B67" s="145">
        <f t="shared" si="5"/>
        <v>42582</v>
      </c>
      <c r="C67" s="477" t="s">
        <v>573</v>
      </c>
      <c r="D67" s="477"/>
      <c r="E67" s="477"/>
      <c r="F67" s="146" t="str">
        <f t="shared" si="4"/>
        <v>2015-00329</v>
      </c>
    </row>
    <row r="68" spans="1:17" x14ac:dyDescent="0.3">
      <c r="A68" s="478">
        <v>42583</v>
      </c>
      <c r="B68" s="145">
        <f t="shared" si="5"/>
        <v>42674</v>
      </c>
      <c r="C68" s="477" t="s">
        <v>555</v>
      </c>
      <c r="D68" s="477"/>
      <c r="E68" s="477"/>
      <c r="F68" s="146" t="str">
        <f t="shared" si="4"/>
        <v>2015-00429</v>
      </c>
    </row>
    <row r="69" spans="1:17" x14ac:dyDescent="0.3">
      <c r="A69" s="478">
        <v>42675</v>
      </c>
      <c r="B69" s="145">
        <f t="shared" si="5"/>
        <v>42766</v>
      </c>
      <c r="C69" s="477" t="s">
        <v>572</v>
      </c>
      <c r="D69" s="477"/>
      <c r="E69" s="477"/>
      <c r="F69" s="146" t="str">
        <f t="shared" si="4"/>
        <v>2016-00137</v>
      </c>
    </row>
    <row r="70" spans="1:17" x14ac:dyDescent="0.3">
      <c r="A70" s="478">
        <v>42767</v>
      </c>
      <c r="B70" s="145">
        <f t="shared" si="5"/>
        <v>42855</v>
      </c>
      <c r="C70" s="477" t="s">
        <v>574</v>
      </c>
      <c r="D70" s="477"/>
      <c r="E70" s="477"/>
      <c r="F70" s="146" t="str">
        <f t="shared" si="4"/>
        <v>2016-00225</v>
      </c>
    </row>
    <row r="71" spans="1:17" x14ac:dyDescent="0.3">
      <c r="A71" s="478">
        <v>42856</v>
      </c>
      <c r="B71" s="145">
        <f t="shared" si="5"/>
        <v>42947</v>
      </c>
      <c r="C71" s="477" t="s">
        <v>590</v>
      </c>
      <c r="D71" s="477"/>
      <c r="E71" s="477"/>
      <c r="F71" s="146" t="str">
        <f t="shared" si="4"/>
        <v>2016-00353</v>
      </c>
    </row>
    <row r="72" spans="1:17" x14ac:dyDescent="0.3">
      <c r="A72" s="478">
        <v>42948</v>
      </c>
      <c r="B72" s="145">
        <f t="shared" si="5"/>
        <v>43039</v>
      </c>
      <c r="C72" s="477" t="s">
        <v>592</v>
      </c>
      <c r="D72" s="477"/>
      <c r="E72" s="477"/>
      <c r="F72" s="146" t="str">
        <f t="shared" si="4"/>
        <v>2016-00428</v>
      </c>
      <c r="G72" s="591"/>
      <c r="H72" s="592"/>
    </row>
    <row r="73" spans="1:17" x14ac:dyDescent="0.3">
      <c r="A73" s="478">
        <v>43040</v>
      </c>
      <c r="B73" s="145">
        <f t="shared" si="5"/>
        <v>43131</v>
      </c>
      <c r="C73" s="477" t="s">
        <v>607</v>
      </c>
      <c r="D73" s="477"/>
      <c r="E73" s="477"/>
      <c r="F73" s="146" t="str">
        <f t="shared" si="4"/>
        <v>2017-00131</v>
      </c>
      <c r="G73" s="591"/>
      <c r="H73" s="592"/>
    </row>
    <row r="74" spans="1:17" x14ac:dyDescent="0.3">
      <c r="A74" s="478">
        <v>43132</v>
      </c>
      <c r="B74" s="145">
        <f t="shared" ref="B74:B85" si="6">EOMONTH(A74,2)</f>
        <v>43220</v>
      </c>
      <c r="C74" s="515" t="s">
        <v>609</v>
      </c>
      <c r="D74" s="515"/>
      <c r="E74" s="515"/>
      <c r="F74" s="146" t="str">
        <f t="shared" ref="F74:F87" si="7">C72</f>
        <v>2017-00235</v>
      </c>
      <c r="G74" s="591">
        <v>-5.11E-2</v>
      </c>
      <c r="H74" s="592">
        <v>-5.11E-3</v>
      </c>
      <c r="M74" s="592"/>
    </row>
    <row r="75" spans="1:17" x14ac:dyDescent="0.3">
      <c r="A75" s="478">
        <v>43221</v>
      </c>
      <c r="B75" s="145">
        <f t="shared" si="6"/>
        <v>43312</v>
      </c>
      <c r="C75" s="515" t="s">
        <v>610</v>
      </c>
      <c r="D75" s="515"/>
      <c r="E75" s="515"/>
      <c r="F75" s="146" t="str">
        <f t="shared" si="7"/>
        <v>2017-00364</v>
      </c>
      <c r="G75" s="591">
        <v>-3.3999999999999998E-3</v>
      </c>
      <c r="H75" s="592">
        <v>-3.4000000000000002E-4</v>
      </c>
      <c r="L75" s="591"/>
      <c r="M75" s="592"/>
    </row>
    <row r="76" spans="1:17" x14ac:dyDescent="0.3">
      <c r="A76" s="478">
        <v>43313</v>
      </c>
      <c r="B76" s="145">
        <f t="shared" si="6"/>
        <v>43404</v>
      </c>
      <c r="C76" s="477" t="s">
        <v>618</v>
      </c>
      <c r="D76" s="477">
        <v>3.964</v>
      </c>
      <c r="E76" s="477">
        <v>0.39639999999999997</v>
      </c>
      <c r="F76" s="146" t="str">
        <f t="shared" si="7"/>
        <v>2017-00457</v>
      </c>
      <c r="G76" s="591">
        <v>0.15010000000000001</v>
      </c>
      <c r="H76" s="592">
        <v>1.5010000000000001E-2</v>
      </c>
      <c r="I76" s="591">
        <v>0.83299999999999996</v>
      </c>
      <c r="J76" s="591">
        <v>0.85</v>
      </c>
      <c r="K76" s="591">
        <v>0.16569999999999999</v>
      </c>
      <c r="L76" s="591">
        <v>2.3E-3</v>
      </c>
      <c r="M76" s="592">
        <v>2.3000000000000001E-4</v>
      </c>
      <c r="N76" s="6">
        <v>0</v>
      </c>
      <c r="O76" s="6">
        <v>0</v>
      </c>
      <c r="P76" s="591">
        <v>0</v>
      </c>
      <c r="Q76" s="592">
        <v>0</v>
      </c>
    </row>
    <row r="77" spans="1:17" x14ac:dyDescent="0.3">
      <c r="A77" s="478">
        <v>43405</v>
      </c>
      <c r="B77" s="145">
        <f t="shared" si="6"/>
        <v>43496</v>
      </c>
      <c r="C77" s="477" t="s">
        <v>625</v>
      </c>
      <c r="D77" s="477">
        <v>3.8913000000000002</v>
      </c>
      <c r="E77" s="477">
        <v>0.38912999999999998</v>
      </c>
      <c r="F77" s="146" t="str">
        <f t="shared" si="7"/>
        <v>2018-00088</v>
      </c>
      <c r="G77" s="591">
        <v>-3.2500000000000001E-2</v>
      </c>
      <c r="H77" s="592">
        <v>-3.2499999999999999E-3</v>
      </c>
      <c r="I77" s="591">
        <v>0.81379999999999997</v>
      </c>
      <c r="J77" s="591">
        <v>0.83079999999999998</v>
      </c>
      <c r="K77" s="591">
        <v>0.1648</v>
      </c>
      <c r="L77" s="591">
        <v>-2.8999999999999998E-3</v>
      </c>
      <c r="M77" s="592">
        <v>-2.9E-4</v>
      </c>
      <c r="N77" s="6">
        <v>0</v>
      </c>
      <c r="O77" s="6">
        <v>0</v>
      </c>
      <c r="P77" s="591">
        <v>0</v>
      </c>
      <c r="Q77" s="592">
        <v>0</v>
      </c>
    </row>
    <row r="78" spans="1:17" x14ac:dyDescent="0.3">
      <c r="A78" s="478">
        <v>43497</v>
      </c>
      <c r="B78" s="145">
        <f t="shared" si="6"/>
        <v>43585</v>
      </c>
      <c r="C78" s="515" t="s">
        <v>631</v>
      </c>
      <c r="D78" s="515">
        <v>4.0709</v>
      </c>
      <c r="E78" s="515">
        <v>0.40709000000000001</v>
      </c>
      <c r="F78" s="146" t="str">
        <f t="shared" si="7"/>
        <v>2018-00182</v>
      </c>
      <c r="G78" s="591">
        <v>-3.3300000000000003E-2</v>
      </c>
      <c r="H78" s="592">
        <v>-3.3300000000000001E-3</v>
      </c>
      <c r="I78" s="591">
        <v>0.81710000000000005</v>
      </c>
      <c r="J78" s="591">
        <v>0.8377</v>
      </c>
      <c r="K78" s="591">
        <v>0.1648</v>
      </c>
      <c r="L78" s="591">
        <v>-4.8999999999999998E-3</v>
      </c>
      <c r="M78" s="592">
        <v>-4.8999999999999998E-4</v>
      </c>
      <c r="N78" s="6">
        <v>0</v>
      </c>
      <c r="O78" s="6">
        <v>0</v>
      </c>
      <c r="P78" s="591">
        <v>0</v>
      </c>
      <c r="Q78" s="592">
        <v>0</v>
      </c>
    </row>
    <row r="79" spans="1:17" x14ac:dyDescent="0.3">
      <c r="A79" s="478">
        <v>43586</v>
      </c>
      <c r="B79" s="145">
        <f t="shared" si="6"/>
        <v>43677</v>
      </c>
      <c r="C79" s="515" t="s">
        <v>632</v>
      </c>
      <c r="D79" s="515">
        <v>3.7871000000000001</v>
      </c>
      <c r="E79" s="515">
        <v>0.37870999999999999</v>
      </c>
      <c r="F79" s="146" t="str">
        <f t="shared" si="7"/>
        <v>2018-00302</v>
      </c>
      <c r="G79" s="591">
        <v>0.43049999999999999</v>
      </c>
      <c r="H79" s="592">
        <v>4.3049999999999998E-2</v>
      </c>
      <c r="I79" s="591">
        <v>0.8175</v>
      </c>
      <c r="J79" s="591">
        <v>0.83809999999999996</v>
      </c>
      <c r="K79" s="591">
        <v>0.1648</v>
      </c>
      <c r="L79" s="591">
        <v>-3.5999999999999999E-3</v>
      </c>
      <c r="M79" s="592">
        <v>-3.6000000000000002E-4</v>
      </c>
      <c r="N79" s="6">
        <v>0</v>
      </c>
      <c r="O79" s="6">
        <v>0</v>
      </c>
      <c r="P79" s="591">
        <v>0</v>
      </c>
      <c r="Q79" s="592">
        <v>0</v>
      </c>
    </row>
    <row r="80" spans="1:17" x14ac:dyDescent="0.3">
      <c r="A80" s="478">
        <v>43678</v>
      </c>
      <c r="B80" s="145">
        <f t="shared" si="6"/>
        <v>43769</v>
      </c>
      <c r="C80" s="515" t="s">
        <v>635</v>
      </c>
      <c r="D80" s="515">
        <v>3.1084000000000001</v>
      </c>
      <c r="E80" s="515">
        <v>0.31084000000000001</v>
      </c>
      <c r="F80" s="146" t="str">
        <f t="shared" si="7"/>
        <v>2018-00403</v>
      </c>
      <c r="G80" s="591">
        <v>-5.3400000000000003E-2</v>
      </c>
      <c r="H80" s="592">
        <v>-5.3400000000000001E-3</v>
      </c>
      <c r="I80" s="591">
        <v>0.81799999999999995</v>
      </c>
      <c r="J80" s="591">
        <v>0.83860000000000001</v>
      </c>
      <c r="K80" s="591">
        <v>0.161</v>
      </c>
      <c r="L80" s="591">
        <v>1.4E-3</v>
      </c>
      <c r="M80" s="592">
        <v>1.3999999999999999E-4</v>
      </c>
      <c r="N80" s="6">
        <v>0</v>
      </c>
      <c r="O80" s="6">
        <v>0</v>
      </c>
      <c r="P80" s="591">
        <v>0</v>
      </c>
      <c r="Q80" s="592">
        <v>0</v>
      </c>
    </row>
    <row r="81" spans="1:17" x14ac:dyDescent="0.3">
      <c r="A81" s="478">
        <v>43770</v>
      </c>
      <c r="B81" s="145">
        <f t="shared" si="6"/>
        <v>43861</v>
      </c>
      <c r="C81" s="515" t="s">
        <v>640</v>
      </c>
      <c r="D81" s="515">
        <v>3.4847999999999999</v>
      </c>
      <c r="E81" s="515">
        <v>0.34848000000000001</v>
      </c>
      <c r="F81" s="146" t="str">
        <f t="shared" si="7"/>
        <v>2019-00078</v>
      </c>
      <c r="G81" s="591">
        <v>-4.9299999999999997E-2</v>
      </c>
      <c r="H81" s="592">
        <v>-4.9300000000000004E-3</v>
      </c>
      <c r="I81" s="591">
        <v>0.8236</v>
      </c>
      <c r="J81" s="591">
        <v>0.84419999999999995</v>
      </c>
      <c r="K81" s="591">
        <v>0.16270000000000001</v>
      </c>
      <c r="L81" s="591">
        <v>-2.3E-3</v>
      </c>
      <c r="M81" s="592">
        <v>-2.3000000000000001E-4</v>
      </c>
      <c r="N81" s="6">
        <v>0</v>
      </c>
      <c r="O81" s="6">
        <v>0</v>
      </c>
      <c r="P81" s="591">
        <v>0</v>
      </c>
      <c r="Q81" s="592">
        <v>0</v>
      </c>
    </row>
    <row r="82" spans="1:17" x14ac:dyDescent="0.3">
      <c r="A82" s="478">
        <v>43862</v>
      </c>
      <c r="B82" s="145">
        <f t="shared" si="6"/>
        <v>43951</v>
      </c>
      <c r="C82" s="515" t="s">
        <v>642</v>
      </c>
      <c r="D82" s="515">
        <v>3.0407000000000002</v>
      </c>
      <c r="E82" s="515">
        <v>0.30407000000000001</v>
      </c>
      <c r="F82" s="146" t="str">
        <f t="shared" si="7"/>
        <v>2019-00179</v>
      </c>
      <c r="G82" s="591">
        <v>-5.4100000000000002E-2</v>
      </c>
      <c r="H82" s="592">
        <v>-5.4099999999999999E-3</v>
      </c>
      <c r="I82" s="591">
        <v>0.82689999999999997</v>
      </c>
      <c r="J82" s="591">
        <v>0.85629999999999995</v>
      </c>
      <c r="K82" s="591">
        <v>0.16259999999999999</v>
      </c>
      <c r="L82" s="591">
        <v>-6.9999999999999999E-4</v>
      </c>
      <c r="M82" s="592">
        <v>-6.9999999999999994E-5</v>
      </c>
      <c r="N82" s="6">
        <v>0</v>
      </c>
      <c r="O82" s="6">
        <v>0</v>
      </c>
      <c r="P82" s="591">
        <v>0</v>
      </c>
      <c r="Q82" s="592">
        <v>0</v>
      </c>
    </row>
    <row r="83" spans="1:17" x14ac:dyDescent="0.3">
      <c r="A83" s="478">
        <v>43952</v>
      </c>
      <c r="B83" s="145">
        <f t="shared" si="6"/>
        <v>44043</v>
      </c>
      <c r="C83" s="515" t="s">
        <v>645</v>
      </c>
      <c r="D83" s="515">
        <v>2.5918000000000001</v>
      </c>
      <c r="E83" s="515">
        <v>0.25918000000000002</v>
      </c>
      <c r="F83" s="146" t="str">
        <f t="shared" si="7"/>
        <v>2019-00327</v>
      </c>
      <c r="G83" s="591">
        <v>3.6799999999999999E-2</v>
      </c>
      <c r="H83" s="592">
        <v>3.6800000000000001E-3</v>
      </c>
      <c r="I83" s="591">
        <v>0.83109999999999995</v>
      </c>
      <c r="J83" s="591">
        <v>0.86050000000000004</v>
      </c>
      <c r="K83" s="591">
        <v>0.16259999999999999</v>
      </c>
      <c r="L83" s="591">
        <v>-1.72E-2</v>
      </c>
      <c r="M83" s="592">
        <v>-1.72E-3</v>
      </c>
      <c r="N83" s="6">
        <v>0</v>
      </c>
      <c r="O83" s="6">
        <v>0</v>
      </c>
      <c r="P83" s="591">
        <v>0</v>
      </c>
      <c r="Q83" s="592">
        <v>0</v>
      </c>
    </row>
    <row r="84" spans="1:17" x14ac:dyDescent="0.3">
      <c r="A84" s="478">
        <v>44044</v>
      </c>
      <c r="B84" s="145">
        <f t="shared" si="6"/>
        <v>44135</v>
      </c>
      <c r="C84" s="515" t="s">
        <v>697</v>
      </c>
      <c r="D84" s="515">
        <v>2.6113</v>
      </c>
      <c r="E84" s="515">
        <v>0.26112999999999997</v>
      </c>
      <c r="F84" s="146" t="str">
        <f t="shared" si="7"/>
        <v>2019-00436</v>
      </c>
      <c r="G84" s="641">
        <v>4.5600000000000002E-2</v>
      </c>
      <c r="H84" s="641">
        <v>4.5599999999999998E-3</v>
      </c>
      <c r="I84" s="641">
        <v>0.83279999999999998</v>
      </c>
      <c r="J84" s="641">
        <v>0.86219999999999997</v>
      </c>
      <c r="K84" s="641">
        <v>0.16259999999999999</v>
      </c>
      <c r="L84" s="641">
        <v>0.37490000000000001</v>
      </c>
      <c r="M84" s="641">
        <v>3.7490000000000002E-2</v>
      </c>
      <c r="N84" s="6">
        <v>0</v>
      </c>
      <c r="O84" s="6">
        <v>0</v>
      </c>
      <c r="P84" s="591">
        <v>0</v>
      </c>
      <c r="Q84" s="592">
        <v>0</v>
      </c>
    </row>
    <row r="85" spans="1:17" x14ac:dyDescent="0.3">
      <c r="A85" s="478">
        <v>44136</v>
      </c>
      <c r="B85" s="145">
        <f t="shared" si="6"/>
        <v>44227</v>
      </c>
      <c r="C85" s="477" t="s">
        <v>782</v>
      </c>
      <c r="D85" s="515">
        <v>3.5640000000000001</v>
      </c>
      <c r="E85" s="515">
        <v>0.35639999999999999</v>
      </c>
      <c r="F85" s="640" t="str">
        <f t="shared" si="7"/>
        <v>2020-00070</v>
      </c>
      <c r="G85" s="671">
        <v>-3.2000000000000002E-3</v>
      </c>
      <c r="H85" s="672">
        <v>-3.2000000000000003E-4</v>
      </c>
      <c r="I85" s="641">
        <v>0.84940000000000004</v>
      </c>
      <c r="J85" s="641">
        <v>0.87880000000000003</v>
      </c>
      <c r="K85" s="641">
        <v>0.1666</v>
      </c>
      <c r="L85" s="671">
        <v>-8.0000000000000002E-3</v>
      </c>
      <c r="M85" s="672">
        <v>-8.0000000000000004E-4</v>
      </c>
      <c r="N85" s="6">
        <v>0</v>
      </c>
      <c r="O85" s="6">
        <v>0</v>
      </c>
      <c r="P85" s="591">
        <v>0</v>
      </c>
      <c r="Q85" s="592">
        <v>0</v>
      </c>
    </row>
    <row r="86" spans="1:17" x14ac:dyDescent="0.3">
      <c r="A86" s="478">
        <v>44228</v>
      </c>
      <c r="B86" s="145">
        <f t="shared" ref="B86" si="8">EOMONTH(A86,2)</f>
        <v>44316</v>
      </c>
      <c r="C86" s="477" t="s">
        <v>801</v>
      </c>
      <c r="D86" s="515">
        <v>3.2193999999999998</v>
      </c>
      <c r="E86" s="515">
        <v>0.32194</v>
      </c>
      <c r="F86" s="667" t="str">
        <f t="shared" si="7"/>
        <v>2020-00204</v>
      </c>
      <c r="G86" s="671">
        <v>-1.09E-2</v>
      </c>
      <c r="H86" s="672">
        <v>-1.09E-3</v>
      </c>
      <c r="I86" s="641">
        <v>0.84970000000000001</v>
      </c>
      <c r="J86" s="641">
        <v>0.87739999999999996</v>
      </c>
      <c r="K86" s="641">
        <v>0.16669999999999999</v>
      </c>
      <c r="L86" s="671">
        <v>-5.1000000000000004E-3</v>
      </c>
      <c r="M86" s="672">
        <v>-5.1000000000000004E-4</v>
      </c>
      <c r="N86" s="6">
        <v>0</v>
      </c>
      <c r="O86" s="6">
        <v>0</v>
      </c>
      <c r="P86" s="591">
        <v>0</v>
      </c>
      <c r="Q86" s="592">
        <v>0</v>
      </c>
    </row>
    <row r="87" spans="1:17" x14ac:dyDescent="0.3">
      <c r="A87" s="478">
        <v>44317</v>
      </c>
      <c r="B87" s="145">
        <f t="shared" ref="B87" si="9">EOMONTH(A87,2)</f>
        <v>44408</v>
      </c>
      <c r="C87" s="477" t="s">
        <v>810</v>
      </c>
      <c r="D87" s="598"/>
      <c r="E87" s="598"/>
      <c r="F87" s="703" t="str">
        <f t="shared" si="7"/>
        <v>2020-00309</v>
      </c>
    </row>
    <row r="88" spans="1:17" x14ac:dyDescent="0.3">
      <c r="C88" s="146"/>
      <c r="D88" s="598"/>
      <c r="E88" s="598"/>
      <c r="F88" s="146"/>
    </row>
    <row r="89" spans="1:17" x14ac:dyDescent="0.3">
      <c r="C89" s="146"/>
      <c r="D89" s="598"/>
      <c r="E89" s="598"/>
      <c r="F89" s="146"/>
    </row>
    <row r="90" spans="1:17" x14ac:dyDescent="0.3">
      <c r="C90" s="146"/>
      <c r="D90" s="598"/>
      <c r="E90" s="598"/>
      <c r="F90" s="146"/>
    </row>
    <row r="91" spans="1:17" x14ac:dyDescent="0.3">
      <c r="C91" s="146"/>
      <c r="D91" s="598"/>
      <c r="E91" s="598"/>
      <c r="F91" s="146"/>
    </row>
    <row r="92" spans="1:17" x14ac:dyDescent="0.3">
      <c r="C92" s="146"/>
      <c r="D92" s="598"/>
      <c r="E92" s="598"/>
      <c r="F92" s="146"/>
    </row>
    <row r="93" spans="1:17" x14ac:dyDescent="0.3">
      <c r="C93" s="146"/>
      <c r="D93" s="598"/>
      <c r="E93" s="598"/>
      <c r="F93" s="146"/>
    </row>
    <row r="94" spans="1:17" x14ac:dyDescent="0.3">
      <c r="C94" s="146"/>
      <c r="D94" s="598"/>
      <c r="E94" s="598"/>
      <c r="F94" s="146"/>
    </row>
    <row r="95" spans="1:17" x14ac:dyDescent="0.3">
      <c r="C95" s="146"/>
      <c r="D95" s="598"/>
      <c r="E95" s="598"/>
      <c r="F95" s="146"/>
    </row>
    <row r="96" spans="1:17" x14ac:dyDescent="0.3">
      <c r="C96" s="146"/>
      <c r="D96" s="598"/>
      <c r="E96" s="598"/>
      <c r="F96" s="146"/>
    </row>
    <row r="97" spans="3:6" x14ac:dyDescent="0.3">
      <c r="C97" s="146"/>
      <c r="D97" s="598"/>
      <c r="E97" s="598"/>
      <c r="F97" s="146"/>
    </row>
    <row r="98" spans="3:6" x14ac:dyDescent="0.3">
      <c r="C98" s="146"/>
      <c r="D98" s="598"/>
      <c r="E98" s="598"/>
      <c r="F98" s="146"/>
    </row>
    <row r="99" spans="3:6" x14ac:dyDescent="0.3">
      <c r="C99" s="146"/>
      <c r="D99" s="598"/>
      <c r="E99" s="598"/>
      <c r="F99" s="146"/>
    </row>
    <row r="100" spans="3:6" x14ac:dyDescent="0.3">
      <c r="F100" s="146"/>
    </row>
    <row r="101" spans="3:6" x14ac:dyDescent="0.3">
      <c r="F101" s="146"/>
    </row>
  </sheetData>
  <mergeCells count="5">
    <mergeCell ref="D1:E1"/>
    <mergeCell ref="F1:H1"/>
    <mergeCell ref="I1:K1"/>
    <mergeCell ref="L1:M1"/>
    <mergeCell ref="N1:Q1"/>
  </mergeCells>
  <phoneticPr fontId="3" type="noConversion"/>
  <pageMargins left="0.75" right="0.75" top="1" bottom="1" header="0.5" footer="0.5"/>
  <pageSetup scale="8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19"/>
  <sheetViews>
    <sheetView zoomScaleNormal="100" workbookViewId="0">
      <pane ySplit="9" topLeftCell="A94" activePane="bottomLeft" state="frozen"/>
      <selection activeCell="B95" sqref="B95:J97"/>
      <selection pane="bottomLeft" activeCell="B95" sqref="B95:J97"/>
    </sheetView>
  </sheetViews>
  <sheetFormatPr defaultColWidth="8.90625" defaultRowHeight="15.6" x14ac:dyDescent="0.3"/>
  <cols>
    <col min="1" max="1" width="13.08984375" style="6" customWidth="1"/>
    <col min="2" max="2" width="15.1796875" style="6" customWidth="1"/>
    <col min="3" max="3" width="15.08984375" style="6" customWidth="1"/>
    <col min="4" max="4" width="16.08984375" style="6" customWidth="1"/>
    <col min="5" max="5" width="11.90625" style="6" customWidth="1"/>
    <col min="6" max="6" width="11.08984375" style="6" customWidth="1"/>
    <col min="7" max="7" width="10.6328125" style="6" customWidth="1"/>
    <col min="8" max="8" width="11.453125" style="6" customWidth="1"/>
    <col min="9" max="9" width="11.6328125" style="6" customWidth="1"/>
    <col min="10" max="10" width="11.90625" style="6" customWidth="1"/>
    <col min="11" max="11" width="15.08984375" customWidth="1"/>
    <col min="12" max="12" width="12.81640625" customWidth="1"/>
    <col min="13" max="16384" width="8.90625" style="6"/>
  </cols>
  <sheetData>
    <row r="1" spans="1:15" x14ac:dyDescent="0.3">
      <c r="A1" s="730" t="s">
        <v>591</v>
      </c>
      <c r="B1" s="730"/>
      <c r="C1" s="730"/>
      <c r="D1" s="730"/>
      <c r="E1" s="730"/>
      <c r="F1" s="730"/>
      <c r="G1" s="730"/>
      <c r="H1" s="730"/>
      <c r="I1" s="730"/>
      <c r="J1" s="730"/>
    </row>
    <row r="3" spans="1:15" x14ac:dyDescent="0.3">
      <c r="A3" s="725" t="s">
        <v>243</v>
      </c>
      <c r="B3" s="725"/>
      <c r="C3" s="725"/>
      <c r="D3" s="725"/>
      <c r="E3" s="725"/>
      <c r="F3" s="725"/>
      <c r="G3" s="725"/>
      <c r="H3" s="725"/>
      <c r="I3" s="725"/>
      <c r="J3" s="725"/>
    </row>
    <row r="4" spans="1:15" x14ac:dyDescent="0.3">
      <c r="A4" s="726" t="s">
        <v>627</v>
      </c>
      <c r="B4" s="726"/>
      <c r="C4" s="726"/>
      <c r="D4" s="726"/>
      <c r="E4" s="726"/>
      <c r="F4" s="726"/>
      <c r="G4" s="726"/>
      <c r="H4" s="726"/>
      <c r="I4" s="726"/>
      <c r="J4" s="726"/>
    </row>
    <row r="5" spans="1:15" x14ac:dyDescent="0.3">
      <c r="F5" s="325"/>
    </row>
    <row r="6" spans="1:15" x14ac:dyDescent="0.3">
      <c r="A6" s="14"/>
      <c r="B6" s="14"/>
      <c r="C6" s="14"/>
      <c r="D6" s="14"/>
      <c r="E6" s="14"/>
      <c r="F6" s="14"/>
      <c r="G6" s="14"/>
      <c r="H6" s="14"/>
      <c r="I6" s="14"/>
      <c r="J6" s="14"/>
    </row>
    <row r="7" spans="1:15" x14ac:dyDescent="0.3">
      <c r="A7" s="727" t="s">
        <v>240</v>
      </c>
      <c r="B7" s="728"/>
      <c r="C7" s="729"/>
      <c r="D7" s="727" t="s">
        <v>241</v>
      </c>
      <c r="E7" s="728"/>
      <c r="F7" s="728"/>
      <c r="G7" s="728"/>
      <c r="H7" s="728"/>
      <c r="I7" s="728"/>
      <c r="J7" s="729"/>
    </row>
    <row r="8" spans="1:15" ht="78" x14ac:dyDescent="0.3">
      <c r="A8" s="41" t="s">
        <v>78</v>
      </c>
      <c r="B8" s="45" t="s">
        <v>94</v>
      </c>
      <c r="C8" s="42" t="s">
        <v>365</v>
      </c>
      <c r="D8" s="42" t="s">
        <v>242</v>
      </c>
      <c r="E8" s="43" t="s">
        <v>246</v>
      </c>
      <c r="F8" s="43" t="s">
        <v>237</v>
      </c>
      <c r="G8" s="43" t="s">
        <v>238</v>
      </c>
      <c r="H8" s="43" t="s">
        <v>239</v>
      </c>
      <c r="I8" s="43" t="s">
        <v>244</v>
      </c>
      <c r="J8" s="43" t="s">
        <v>245</v>
      </c>
      <c r="L8" s="6"/>
    </row>
    <row r="9" spans="1:15" x14ac:dyDescent="0.3">
      <c r="A9" s="46" t="s">
        <v>60</v>
      </c>
      <c r="B9" s="46" t="s">
        <v>61</v>
      </c>
      <c r="C9" s="46" t="s">
        <v>62</v>
      </c>
      <c r="D9" s="46" t="s">
        <v>63</v>
      </c>
      <c r="E9" s="46" t="s">
        <v>64</v>
      </c>
      <c r="F9" s="46" t="s">
        <v>65</v>
      </c>
      <c r="G9" s="46" t="s">
        <v>66</v>
      </c>
      <c r="H9" s="47" t="s">
        <v>111</v>
      </c>
      <c r="I9" s="47" t="s">
        <v>112</v>
      </c>
      <c r="J9" s="47" t="s">
        <v>113</v>
      </c>
      <c r="L9" s="6"/>
    </row>
    <row r="10" spans="1:15" x14ac:dyDescent="0.3">
      <c r="A10" s="122">
        <v>42005</v>
      </c>
      <c r="B10" s="48">
        <v>3389771</v>
      </c>
      <c r="C10" s="48">
        <v>34043</v>
      </c>
      <c r="D10" s="48">
        <v>3740</v>
      </c>
      <c r="E10" s="48">
        <v>0</v>
      </c>
      <c r="F10" s="48">
        <v>0</v>
      </c>
      <c r="G10" s="48">
        <v>3224582</v>
      </c>
      <c r="H10" s="48">
        <v>45418</v>
      </c>
      <c r="I10" s="48">
        <v>6382527</v>
      </c>
      <c r="J10" s="48">
        <v>28119</v>
      </c>
      <c r="K10" s="93"/>
      <c r="L10" s="6"/>
      <c r="M10" s="14"/>
      <c r="N10" s="14"/>
      <c r="O10" s="14"/>
    </row>
    <row r="11" spans="1:15" x14ac:dyDescent="0.3">
      <c r="A11" s="122">
        <f t="shared" ref="A11:A75" si="0">EDATE(A10,1)</f>
        <v>42036</v>
      </c>
      <c r="B11" s="48">
        <v>2793445</v>
      </c>
      <c r="C11" s="48">
        <v>25942</v>
      </c>
      <c r="D11" s="48">
        <v>2645</v>
      </c>
      <c r="E11" s="48">
        <v>0</v>
      </c>
      <c r="F11" s="48">
        <v>0</v>
      </c>
      <c r="G11" s="48">
        <v>2941034</v>
      </c>
      <c r="H11" s="48">
        <v>38966</v>
      </c>
      <c r="I11" s="48">
        <v>5515071</v>
      </c>
      <c r="J11" s="48">
        <v>29495</v>
      </c>
      <c r="K11" s="93"/>
      <c r="L11" s="6"/>
    </row>
    <row r="12" spans="1:15" x14ac:dyDescent="0.3">
      <c r="A12" s="122">
        <f t="shared" si="0"/>
        <v>42064</v>
      </c>
      <c r="B12" s="48">
        <v>1896715</v>
      </c>
      <c r="C12" s="48">
        <v>20111</v>
      </c>
      <c r="D12" s="48">
        <v>1128</v>
      </c>
      <c r="E12" s="48">
        <v>0</v>
      </c>
      <c r="F12" s="48">
        <v>0</v>
      </c>
      <c r="G12" s="48">
        <v>2177383</v>
      </c>
      <c r="H12" s="48">
        <v>32617</v>
      </c>
      <c r="I12" s="48">
        <v>3869594</v>
      </c>
      <c r="J12" s="48">
        <v>27926</v>
      </c>
      <c r="K12" s="93"/>
      <c r="L12" s="6"/>
    </row>
    <row r="13" spans="1:15" x14ac:dyDescent="0.3">
      <c r="A13" s="122">
        <f t="shared" si="0"/>
        <v>42095</v>
      </c>
      <c r="B13" s="48">
        <v>1451374</v>
      </c>
      <c r="C13" s="48">
        <v>9243</v>
      </c>
      <c r="D13" s="48">
        <v>430</v>
      </c>
      <c r="E13" s="48">
        <v>0</v>
      </c>
      <c r="F13" s="48">
        <v>0</v>
      </c>
      <c r="G13" s="48">
        <v>773060</v>
      </c>
      <c r="H13" s="48">
        <v>26940</v>
      </c>
      <c r="I13" s="48">
        <v>2087330</v>
      </c>
      <c r="J13" s="48">
        <v>31123</v>
      </c>
      <c r="K13" s="93"/>
      <c r="L13" s="6"/>
    </row>
    <row r="14" spans="1:15" x14ac:dyDescent="0.3">
      <c r="A14" s="122">
        <f t="shared" si="0"/>
        <v>42125</v>
      </c>
      <c r="B14" s="48">
        <v>1185902</v>
      </c>
      <c r="C14" s="48">
        <v>9084</v>
      </c>
      <c r="D14" s="48">
        <v>266</v>
      </c>
      <c r="E14" s="48">
        <v>0</v>
      </c>
      <c r="F14" s="48">
        <v>0</v>
      </c>
      <c r="G14" s="48">
        <v>174800</v>
      </c>
      <c r="H14" s="48">
        <v>25200</v>
      </c>
      <c r="I14" s="48">
        <v>1246147</v>
      </c>
      <c r="J14" s="48">
        <v>30870</v>
      </c>
      <c r="K14" s="93"/>
      <c r="L14" s="6"/>
    </row>
    <row r="15" spans="1:15" x14ac:dyDescent="0.3">
      <c r="A15" s="122">
        <f t="shared" si="0"/>
        <v>42156</v>
      </c>
      <c r="B15" s="48">
        <v>2527642</v>
      </c>
      <c r="C15" s="48">
        <v>7764</v>
      </c>
      <c r="D15" s="48">
        <v>100</v>
      </c>
      <c r="E15" s="48">
        <v>0</v>
      </c>
      <c r="F15" s="48">
        <v>1617092</v>
      </c>
      <c r="G15" s="48">
        <v>0</v>
      </c>
      <c r="H15" s="48">
        <v>28092</v>
      </c>
      <c r="I15" s="48">
        <v>816879</v>
      </c>
      <c r="J15" s="48">
        <v>28119</v>
      </c>
      <c r="K15" s="93"/>
      <c r="L15" s="6"/>
    </row>
    <row r="16" spans="1:15" x14ac:dyDescent="0.3">
      <c r="A16" s="122">
        <f t="shared" si="0"/>
        <v>42186</v>
      </c>
      <c r="B16" s="48">
        <v>3671237</v>
      </c>
      <c r="C16" s="48">
        <v>3433</v>
      </c>
      <c r="D16" s="48">
        <v>134</v>
      </c>
      <c r="E16" s="48">
        <v>0</v>
      </c>
      <c r="F16" s="48">
        <v>2852869</v>
      </c>
      <c r="G16" s="48">
        <v>0</v>
      </c>
      <c r="H16" s="48">
        <v>31869</v>
      </c>
      <c r="I16" s="48">
        <v>739675</v>
      </c>
      <c r="J16" s="48">
        <v>30870</v>
      </c>
      <c r="K16" s="93"/>
      <c r="L16" s="6"/>
    </row>
    <row r="17" spans="1:12" x14ac:dyDescent="0.3">
      <c r="A17" s="122">
        <f t="shared" si="0"/>
        <v>42217</v>
      </c>
      <c r="B17" s="48">
        <v>3768891</v>
      </c>
      <c r="C17" s="48">
        <v>19134</v>
      </c>
      <c r="D17" s="48">
        <v>73</v>
      </c>
      <c r="E17" s="48">
        <v>0</v>
      </c>
      <c r="F17" s="48">
        <v>2939274</v>
      </c>
      <c r="G17" s="48">
        <v>0</v>
      </c>
      <c r="H17" s="48">
        <v>39274</v>
      </c>
      <c r="I17" s="48">
        <v>755771</v>
      </c>
      <c r="J17" s="48">
        <v>29495</v>
      </c>
      <c r="K17" s="93"/>
      <c r="L17" s="6"/>
    </row>
    <row r="18" spans="1:12" x14ac:dyDescent="0.3">
      <c r="A18" s="122">
        <f t="shared" si="0"/>
        <v>42248</v>
      </c>
      <c r="B18" s="48">
        <v>3628403</v>
      </c>
      <c r="C18" s="48">
        <v>41870</v>
      </c>
      <c r="D18" s="48">
        <v>62</v>
      </c>
      <c r="E18" s="48">
        <v>0</v>
      </c>
      <c r="F18" s="48">
        <v>2734226</v>
      </c>
      <c r="G18" s="48">
        <v>0</v>
      </c>
      <c r="H18" s="48">
        <v>44226</v>
      </c>
      <c r="I18" s="48">
        <v>818388</v>
      </c>
      <c r="J18" s="48">
        <v>32499</v>
      </c>
      <c r="K18" s="93"/>
      <c r="L18" s="6"/>
    </row>
    <row r="19" spans="1:12" x14ac:dyDescent="0.3">
      <c r="A19" s="122">
        <f t="shared" si="0"/>
        <v>42278</v>
      </c>
      <c r="B19" s="48">
        <v>3717845</v>
      </c>
      <c r="C19" s="48">
        <v>41660</v>
      </c>
      <c r="D19" s="48">
        <v>157</v>
      </c>
      <c r="E19" s="48">
        <v>0</v>
      </c>
      <c r="F19" s="48">
        <v>2189178</v>
      </c>
      <c r="G19" s="48">
        <v>0</v>
      </c>
      <c r="H19" s="48">
        <v>49178</v>
      </c>
      <c r="I19" s="48">
        <v>1444480</v>
      </c>
      <c r="J19" s="48">
        <v>30870</v>
      </c>
      <c r="K19" s="93"/>
      <c r="L19" s="6"/>
    </row>
    <row r="20" spans="1:12" x14ac:dyDescent="0.3">
      <c r="A20" s="122">
        <f t="shared" si="0"/>
        <v>42309</v>
      </c>
      <c r="B20" s="48">
        <v>3223697</v>
      </c>
      <c r="C20" s="48">
        <v>72141</v>
      </c>
      <c r="D20" s="48">
        <v>636</v>
      </c>
      <c r="E20" s="48">
        <v>0</v>
      </c>
      <c r="F20" s="48">
        <v>251623</v>
      </c>
      <c r="G20" s="48">
        <v>200000</v>
      </c>
      <c r="H20" s="48">
        <v>51623</v>
      </c>
      <c r="I20" s="48">
        <v>3071369</v>
      </c>
      <c r="J20" s="48">
        <v>16937</v>
      </c>
      <c r="K20" s="93"/>
    </row>
    <row r="21" spans="1:12" x14ac:dyDescent="0.3">
      <c r="A21" s="122">
        <f t="shared" si="0"/>
        <v>42339</v>
      </c>
      <c r="B21" s="48">
        <v>3443198</v>
      </c>
      <c r="C21" s="48">
        <v>53313</v>
      </c>
      <c r="D21" s="48">
        <v>1627</v>
      </c>
      <c r="E21" s="48">
        <v>0</v>
      </c>
      <c r="F21" s="48">
        <v>0</v>
      </c>
      <c r="G21" s="48">
        <v>2150123</v>
      </c>
      <c r="H21" s="48">
        <v>49877</v>
      </c>
      <c r="I21" s="48">
        <v>5429369</v>
      </c>
      <c r="J21" s="48">
        <v>12722</v>
      </c>
    </row>
    <row r="22" spans="1:12" x14ac:dyDescent="0.3">
      <c r="A22" s="122">
        <f t="shared" si="0"/>
        <v>42370</v>
      </c>
      <c r="B22" s="48">
        <v>3612775</v>
      </c>
      <c r="C22" s="48">
        <v>45361</v>
      </c>
      <c r="D22" s="48">
        <v>2006</v>
      </c>
      <c r="E22" s="48">
        <v>0</v>
      </c>
      <c r="F22" s="48">
        <v>0</v>
      </c>
      <c r="G22" s="48">
        <v>3355135</v>
      </c>
      <c r="H22" s="48">
        <v>44865</v>
      </c>
      <c r="I22" s="48">
        <v>6752035</v>
      </c>
      <c r="J22" s="48">
        <v>12722</v>
      </c>
    </row>
    <row r="23" spans="1:12" x14ac:dyDescent="0.3">
      <c r="A23" s="122">
        <f t="shared" si="0"/>
        <v>42401</v>
      </c>
      <c r="B23" s="48">
        <v>2846423</v>
      </c>
      <c r="C23" s="48">
        <v>30828</v>
      </c>
      <c r="D23" s="48">
        <v>1832</v>
      </c>
      <c r="E23" s="48">
        <v>0</v>
      </c>
      <c r="F23" s="48">
        <v>0</v>
      </c>
      <c r="G23" s="48">
        <v>3062005</v>
      </c>
      <c r="H23" s="48">
        <v>37995</v>
      </c>
      <c r="I23" s="48">
        <v>5697804</v>
      </c>
      <c r="J23" s="48">
        <v>13795</v>
      </c>
    </row>
    <row r="24" spans="1:12" x14ac:dyDescent="0.3">
      <c r="A24" s="122">
        <f t="shared" si="0"/>
        <v>42430</v>
      </c>
      <c r="B24" s="48">
        <v>2154248</v>
      </c>
      <c r="C24" s="48">
        <v>25324</v>
      </c>
      <c r="D24" s="48">
        <v>2226</v>
      </c>
      <c r="E24" s="48">
        <v>0</v>
      </c>
      <c r="F24" s="48">
        <v>0</v>
      </c>
      <c r="G24" s="48">
        <v>2109395</v>
      </c>
      <c r="H24" s="48">
        <v>30605</v>
      </c>
      <c r="I24" s="48">
        <v>4071725</v>
      </c>
      <c r="J24" s="48">
        <v>14829</v>
      </c>
    </row>
    <row r="25" spans="1:12" x14ac:dyDescent="0.3">
      <c r="A25" s="122">
        <f t="shared" si="0"/>
        <v>42461</v>
      </c>
      <c r="B25" s="48">
        <v>1368396</v>
      </c>
      <c r="C25" s="48">
        <v>30367</v>
      </c>
      <c r="D25" s="48">
        <v>1039</v>
      </c>
      <c r="E25" s="48">
        <v>0</v>
      </c>
      <c r="F25" s="48">
        <v>0</v>
      </c>
      <c r="G25" s="48">
        <v>772504</v>
      </c>
      <c r="H25" s="48">
        <v>27496</v>
      </c>
      <c r="I25" s="48">
        <v>2023224</v>
      </c>
      <c r="J25" s="48">
        <v>11688</v>
      </c>
    </row>
    <row r="26" spans="1:12" x14ac:dyDescent="0.3">
      <c r="A26" s="122">
        <f t="shared" si="0"/>
        <v>42491</v>
      </c>
      <c r="B26" s="48">
        <v>1210348</v>
      </c>
      <c r="C26" s="48">
        <v>34732</v>
      </c>
      <c r="D26" s="48">
        <v>362</v>
      </c>
      <c r="E26" s="48">
        <v>0</v>
      </c>
      <c r="F26" s="48">
        <v>0</v>
      </c>
      <c r="G26" s="48">
        <v>71918</v>
      </c>
      <c r="H26" s="48">
        <v>28082</v>
      </c>
      <c r="I26" s="48">
        <v>1190652</v>
      </c>
      <c r="J26" s="48">
        <v>8507</v>
      </c>
    </row>
    <row r="27" spans="1:12" x14ac:dyDescent="0.3">
      <c r="A27" s="122">
        <f t="shared" si="0"/>
        <v>42522</v>
      </c>
      <c r="B27" s="48">
        <v>2219781</v>
      </c>
      <c r="C27" s="48">
        <v>53116</v>
      </c>
      <c r="D27" s="48">
        <v>282</v>
      </c>
      <c r="E27" s="48">
        <v>0</v>
      </c>
      <c r="F27" s="48">
        <v>1366882</v>
      </c>
      <c r="G27" s="48">
        <v>0</v>
      </c>
      <c r="H27" s="48">
        <v>28882</v>
      </c>
      <c r="I27" s="48">
        <v>772506</v>
      </c>
      <c r="J27" s="48">
        <v>14829</v>
      </c>
    </row>
    <row r="28" spans="1:12" x14ac:dyDescent="0.3">
      <c r="A28" s="122">
        <f t="shared" si="0"/>
        <v>42552</v>
      </c>
      <c r="B28" s="48">
        <v>3601166</v>
      </c>
      <c r="C28" s="48">
        <v>48607</v>
      </c>
      <c r="D28" s="48">
        <v>149</v>
      </c>
      <c r="E28" s="48">
        <v>1020</v>
      </c>
      <c r="F28" s="48">
        <v>2824824</v>
      </c>
      <c r="G28" s="48">
        <v>0</v>
      </c>
      <c r="H28" s="48">
        <v>32824</v>
      </c>
      <c r="I28" s="48">
        <v>716538</v>
      </c>
      <c r="J28" s="48">
        <v>12824</v>
      </c>
    </row>
    <row r="29" spans="1:12" x14ac:dyDescent="0.3">
      <c r="A29" s="122">
        <f t="shared" si="0"/>
        <v>42583</v>
      </c>
      <c r="B29" s="48">
        <v>3693887</v>
      </c>
      <c r="C29" s="48">
        <v>44130</v>
      </c>
      <c r="D29" s="48">
        <v>101</v>
      </c>
      <c r="E29" s="48">
        <v>1020</v>
      </c>
      <c r="F29" s="48">
        <v>2891045</v>
      </c>
      <c r="G29" s="48">
        <v>0</v>
      </c>
      <c r="H29" s="48">
        <v>41045</v>
      </c>
      <c r="I29" s="48">
        <v>746708</v>
      </c>
      <c r="J29" s="48">
        <v>12824</v>
      </c>
    </row>
    <row r="30" spans="1:12" x14ac:dyDescent="0.3">
      <c r="A30" s="122">
        <f t="shared" si="0"/>
        <v>42614</v>
      </c>
      <c r="B30" s="48">
        <v>3664808</v>
      </c>
      <c r="C30" s="48">
        <v>53342</v>
      </c>
      <c r="D30" s="48">
        <v>92</v>
      </c>
      <c r="E30" s="48">
        <v>510</v>
      </c>
      <c r="F30" s="48">
        <v>2783959</v>
      </c>
      <c r="G30" s="48">
        <v>0</v>
      </c>
      <c r="H30" s="48">
        <v>43959</v>
      </c>
      <c r="I30" s="48">
        <v>825538</v>
      </c>
      <c r="J30" s="48">
        <v>12773</v>
      </c>
    </row>
    <row r="31" spans="1:12" x14ac:dyDescent="0.3">
      <c r="A31" s="122">
        <f t="shared" si="0"/>
        <v>42644</v>
      </c>
      <c r="B31" s="48">
        <v>3637644</v>
      </c>
      <c r="C31" s="48">
        <v>82865</v>
      </c>
      <c r="D31" s="48">
        <v>143</v>
      </c>
      <c r="E31" s="48">
        <v>0</v>
      </c>
      <c r="F31" s="48">
        <v>2069628</v>
      </c>
      <c r="G31" s="48">
        <v>0</v>
      </c>
      <c r="H31" s="48">
        <v>49628</v>
      </c>
      <c r="I31" s="48">
        <v>1504037</v>
      </c>
      <c r="J31" s="48">
        <v>10615</v>
      </c>
    </row>
    <row r="32" spans="1:12" x14ac:dyDescent="0.3">
      <c r="A32" s="122">
        <f t="shared" si="0"/>
        <v>42675</v>
      </c>
      <c r="B32" s="48">
        <v>2490812</v>
      </c>
      <c r="C32" s="48">
        <v>62445</v>
      </c>
      <c r="D32" s="48">
        <v>635.5</v>
      </c>
      <c r="E32" s="48">
        <v>0</v>
      </c>
      <c r="F32" s="48">
        <v>250423</v>
      </c>
      <c r="G32" s="48">
        <v>200000</v>
      </c>
      <c r="H32" s="48">
        <v>50423</v>
      </c>
      <c r="I32" s="48">
        <v>2342164.3604958318</v>
      </c>
      <c r="J32" s="48">
        <v>14564.100000000002</v>
      </c>
      <c r="K32" s="93"/>
    </row>
    <row r="33" spans="1:11" x14ac:dyDescent="0.3">
      <c r="A33" s="122">
        <f t="shared" si="0"/>
        <v>42705</v>
      </c>
      <c r="B33" s="48">
        <v>2393669</v>
      </c>
      <c r="C33" s="48">
        <v>53786</v>
      </c>
      <c r="D33" s="48">
        <v>1627</v>
      </c>
      <c r="E33" s="48">
        <v>0</v>
      </c>
      <c r="F33" s="48">
        <v>0</v>
      </c>
      <c r="G33" s="48">
        <v>2151073</v>
      </c>
      <c r="H33" s="48">
        <v>48927</v>
      </c>
      <c r="I33" s="48">
        <v>4382245.7996057328</v>
      </c>
      <c r="J33" s="48">
        <v>12191.8</v>
      </c>
      <c r="K33" s="93"/>
    </row>
    <row r="34" spans="1:11" x14ac:dyDescent="0.3">
      <c r="A34" s="122">
        <f t="shared" si="0"/>
        <v>42736</v>
      </c>
      <c r="B34" s="48">
        <v>2999829</v>
      </c>
      <c r="C34" s="48">
        <v>38096</v>
      </c>
      <c r="D34" s="48">
        <v>2006</v>
      </c>
      <c r="E34" s="48">
        <v>0</v>
      </c>
      <c r="F34" s="48">
        <v>0</v>
      </c>
      <c r="G34" s="48">
        <v>3354470</v>
      </c>
      <c r="H34" s="48">
        <v>45530</v>
      </c>
      <c r="I34" s="48">
        <v>6139819.1618230706</v>
      </c>
      <c r="J34" s="48">
        <v>12279.599999999999</v>
      </c>
      <c r="K34" s="93"/>
    </row>
    <row r="35" spans="1:11" x14ac:dyDescent="0.3">
      <c r="A35" s="122">
        <f t="shared" si="0"/>
        <v>42767</v>
      </c>
      <c r="B35" s="48">
        <v>2880935</v>
      </c>
      <c r="C35" s="48">
        <v>25625</v>
      </c>
      <c r="D35" s="48">
        <v>1768.5</v>
      </c>
      <c r="E35" s="48">
        <v>0</v>
      </c>
      <c r="F35" s="48">
        <v>0</v>
      </c>
      <c r="G35" s="48">
        <v>3082101</v>
      </c>
      <c r="H35" s="48">
        <v>37899</v>
      </c>
      <c r="I35" s="48">
        <v>5761399.6451268187</v>
      </c>
      <c r="J35" s="48">
        <v>12236.5</v>
      </c>
      <c r="K35" s="93"/>
    </row>
    <row r="36" spans="1:11" x14ac:dyDescent="0.3">
      <c r="A36" s="122">
        <f t="shared" si="0"/>
        <v>42795</v>
      </c>
      <c r="B36" s="48">
        <v>2874734</v>
      </c>
      <c r="C36" s="48">
        <v>41427</v>
      </c>
      <c r="D36" s="48">
        <v>2225.5</v>
      </c>
      <c r="E36" s="48">
        <v>0</v>
      </c>
      <c r="F36" s="48">
        <v>0</v>
      </c>
      <c r="G36" s="48">
        <v>1987299</v>
      </c>
      <c r="H36" s="48">
        <v>32701</v>
      </c>
      <c r="I36" s="48">
        <v>4670496.3224569801</v>
      </c>
      <c r="J36" s="48">
        <v>14343.8</v>
      </c>
      <c r="K36" s="93"/>
    </row>
    <row r="37" spans="1:11" x14ac:dyDescent="0.3">
      <c r="A37" s="122">
        <f t="shared" si="0"/>
        <v>42826</v>
      </c>
      <c r="B37" s="48">
        <v>1869958</v>
      </c>
      <c r="C37" s="48">
        <v>64808</v>
      </c>
      <c r="D37" s="48">
        <v>1038.5</v>
      </c>
      <c r="E37" s="48">
        <v>0</v>
      </c>
      <c r="F37" s="48">
        <v>0</v>
      </c>
      <c r="G37" s="48">
        <v>772585</v>
      </c>
      <c r="H37" s="48">
        <v>27415</v>
      </c>
      <c r="I37" s="48">
        <v>2523051.3731349409</v>
      </c>
      <c r="J37" s="48">
        <v>13360.1</v>
      </c>
      <c r="K37" s="93"/>
    </row>
    <row r="38" spans="1:11" x14ac:dyDescent="0.3">
      <c r="A38" s="122">
        <f t="shared" si="0"/>
        <v>42856</v>
      </c>
      <c r="B38" s="48">
        <v>1441197</v>
      </c>
      <c r="C38" s="48">
        <v>51340</v>
      </c>
      <c r="D38" s="48">
        <v>362</v>
      </c>
      <c r="E38" s="48">
        <v>0</v>
      </c>
      <c r="F38" s="48">
        <v>0</v>
      </c>
      <c r="G38" s="48">
        <v>72592</v>
      </c>
      <c r="H38" s="48">
        <v>27408</v>
      </c>
      <c r="I38" s="48">
        <v>1419481.285840834</v>
      </c>
      <c r="J38" s="48">
        <v>11245.5</v>
      </c>
      <c r="K38" s="93"/>
    </row>
    <row r="39" spans="1:11" x14ac:dyDescent="0.3">
      <c r="A39" s="122">
        <f t="shared" si="0"/>
        <v>42887</v>
      </c>
      <c r="B39" s="48">
        <v>2361637</v>
      </c>
      <c r="C39" s="48">
        <v>53203</v>
      </c>
      <c r="D39" s="48">
        <v>282</v>
      </c>
      <c r="E39" s="48">
        <v>0</v>
      </c>
      <c r="F39" s="48">
        <v>1368882</v>
      </c>
      <c r="G39" s="48">
        <v>0</v>
      </c>
      <c r="H39" s="48">
        <v>28882</v>
      </c>
      <c r="I39" s="48">
        <v>912979.59494808805</v>
      </c>
      <c r="J39" s="48">
        <v>14211.3</v>
      </c>
      <c r="K39" s="93"/>
    </row>
    <row r="40" spans="1:11" x14ac:dyDescent="0.3">
      <c r="A40" s="122">
        <f t="shared" si="0"/>
        <v>42917</v>
      </c>
      <c r="B40" s="48">
        <v>3203498</v>
      </c>
      <c r="C40" s="48">
        <v>64710</v>
      </c>
      <c r="D40" s="48">
        <v>149</v>
      </c>
      <c r="E40" s="48">
        <v>0</v>
      </c>
      <c r="F40" s="48">
        <v>2354603</v>
      </c>
      <c r="G40" s="48">
        <v>0</v>
      </c>
      <c r="H40" s="48">
        <v>34603</v>
      </c>
      <c r="I40" s="48">
        <v>789933.15250965115</v>
      </c>
      <c r="J40" s="48">
        <v>13182.9</v>
      </c>
      <c r="K40" s="93"/>
    </row>
    <row r="41" spans="1:11" x14ac:dyDescent="0.3">
      <c r="A41" s="122">
        <f t="shared" si="0"/>
        <v>42948</v>
      </c>
      <c r="B41" s="48">
        <v>3786631</v>
      </c>
      <c r="C41" s="48">
        <v>39437</v>
      </c>
      <c r="D41" s="48">
        <v>101</v>
      </c>
      <c r="E41" s="48">
        <v>0</v>
      </c>
      <c r="F41" s="48">
        <v>2980482</v>
      </c>
      <c r="G41" s="48">
        <v>0</v>
      </c>
      <c r="H41" s="48">
        <v>40482</v>
      </c>
      <c r="I41" s="48">
        <v>752634.23840221553</v>
      </c>
      <c r="J41" s="48">
        <v>13395.9</v>
      </c>
      <c r="K41" s="93"/>
    </row>
    <row r="42" spans="1:11" x14ac:dyDescent="0.3">
      <c r="A42" s="122">
        <f t="shared" si="0"/>
        <v>42979</v>
      </c>
      <c r="B42" s="48">
        <v>3721750</v>
      </c>
      <c r="C42" s="48">
        <v>71170</v>
      </c>
      <c r="D42" s="48">
        <v>91.5</v>
      </c>
      <c r="E42" s="48">
        <v>0</v>
      </c>
      <c r="F42" s="48">
        <v>2872825</v>
      </c>
      <c r="G42" s="48">
        <v>0</v>
      </c>
      <c r="H42" s="48">
        <v>42825</v>
      </c>
      <c r="I42" s="48">
        <v>794767.42918480793</v>
      </c>
      <c r="J42" s="48">
        <v>12191.8</v>
      </c>
      <c r="K42" s="93"/>
    </row>
    <row r="43" spans="1:11" x14ac:dyDescent="0.3">
      <c r="A43" s="122">
        <f t="shared" si="0"/>
        <v>43009</v>
      </c>
      <c r="B43" s="48">
        <v>3330179</v>
      </c>
      <c r="C43" s="48">
        <v>86476</v>
      </c>
      <c r="D43" s="48">
        <v>143</v>
      </c>
      <c r="E43" s="48">
        <v>0</v>
      </c>
      <c r="F43" s="48">
        <v>2256600</v>
      </c>
      <c r="G43" s="48">
        <v>0</v>
      </c>
      <c r="H43" s="48">
        <v>46600</v>
      </c>
      <c r="I43" s="48">
        <v>1006032.6273241421</v>
      </c>
      <c r="J43" s="48">
        <v>14343.8</v>
      </c>
      <c r="K43" s="93"/>
    </row>
    <row r="44" spans="1:11" x14ac:dyDescent="0.3">
      <c r="A44" s="122">
        <f t="shared" si="0"/>
        <v>43040</v>
      </c>
      <c r="B44" s="48">
        <v>2907292</v>
      </c>
      <c r="C44" s="48">
        <v>76810</v>
      </c>
      <c r="D44" s="48">
        <v>635.5</v>
      </c>
      <c r="E44" s="48">
        <v>0</v>
      </c>
      <c r="F44" s="48">
        <v>252840</v>
      </c>
      <c r="G44" s="48">
        <v>200000</v>
      </c>
      <c r="H44" s="48">
        <v>52840.229341927778</v>
      </c>
      <c r="I44" s="48">
        <v>2732948.137591423</v>
      </c>
      <c r="J44" s="48">
        <v>38478.1</v>
      </c>
      <c r="K44" s="93"/>
    </row>
    <row r="45" spans="1:11" x14ac:dyDescent="0.3">
      <c r="A45" s="122">
        <f t="shared" si="0"/>
        <v>43070</v>
      </c>
      <c r="B45" s="48">
        <v>3113061</v>
      </c>
      <c r="C45" s="48">
        <v>55898</v>
      </c>
      <c r="D45" s="48">
        <v>1627</v>
      </c>
      <c r="E45" s="48">
        <v>0</v>
      </c>
      <c r="F45" s="48">
        <v>0</v>
      </c>
      <c r="G45" s="48">
        <v>2148337</v>
      </c>
      <c r="H45" s="48">
        <v>51662.982752762131</v>
      </c>
      <c r="I45" s="48">
        <v>5073217.68200788</v>
      </c>
      <c r="J45" s="48">
        <v>38478.1</v>
      </c>
    </row>
    <row r="46" spans="1:11" x14ac:dyDescent="0.3">
      <c r="A46" s="122">
        <f t="shared" si="0"/>
        <v>43101</v>
      </c>
      <c r="B46" s="48">
        <v>3339989</v>
      </c>
      <c r="C46" s="48">
        <v>40788</v>
      </c>
      <c r="D46" s="48">
        <v>2006</v>
      </c>
      <c r="E46" s="48">
        <v>0</v>
      </c>
      <c r="F46" s="48">
        <v>0</v>
      </c>
      <c r="G46" s="48">
        <v>3353027</v>
      </c>
      <c r="H46" s="48">
        <v>46972.708423859884</v>
      </c>
      <c r="I46" s="48">
        <v>6452432.2997245034</v>
      </c>
      <c r="J46" s="48">
        <v>38478.1</v>
      </c>
    </row>
    <row r="47" spans="1:11" x14ac:dyDescent="0.3">
      <c r="A47" s="122">
        <f t="shared" si="0"/>
        <v>43132</v>
      </c>
      <c r="B47" s="48">
        <v>2862751</v>
      </c>
      <c r="C47" s="48">
        <v>35681</v>
      </c>
      <c r="D47" s="48">
        <v>1768.5</v>
      </c>
      <c r="E47" s="48">
        <v>0</v>
      </c>
      <c r="F47" s="48">
        <v>0</v>
      </c>
      <c r="G47" s="48">
        <v>2977058</v>
      </c>
      <c r="H47" s="48">
        <v>42941.737018235734</v>
      </c>
      <c r="I47" s="48">
        <v>5612089.7213283991</v>
      </c>
      <c r="J47" s="48">
        <v>38478.1</v>
      </c>
    </row>
    <row r="48" spans="1:11" x14ac:dyDescent="0.3">
      <c r="A48" s="122">
        <f t="shared" si="0"/>
        <v>43160</v>
      </c>
      <c r="B48" s="48">
        <v>2128064</v>
      </c>
      <c r="C48" s="48">
        <v>40081</v>
      </c>
      <c r="D48" s="48">
        <v>2225.5</v>
      </c>
      <c r="E48" s="48">
        <v>0</v>
      </c>
      <c r="F48" s="48">
        <v>0</v>
      </c>
      <c r="G48" s="48">
        <v>1982329</v>
      </c>
      <c r="H48" s="48">
        <v>37671.281969171207</v>
      </c>
      <c r="I48" s="48">
        <v>3897813.3754893886</v>
      </c>
      <c r="J48" s="48">
        <v>44301.500000000007</v>
      </c>
    </row>
    <row r="49" spans="1:10" x14ac:dyDescent="0.3">
      <c r="A49" s="122">
        <f t="shared" si="0"/>
        <v>43191</v>
      </c>
      <c r="B49" s="48">
        <v>1335791</v>
      </c>
      <c r="C49" s="48">
        <v>35364</v>
      </c>
      <c r="D49" s="48">
        <v>1038.5</v>
      </c>
      <c r="E49" s="48">
        <v>0</v>
      </c>
      <c r="F49" s="48">
        <v>0</v>
      </c>
      <c r="G49" s="48">
        <v>770443</v>
      </c>
      <c r="H49" s="48">
        <v>29556.648805049579</v>
      </c>
      <c r="I49" s="48">
        <v>1963956.841261033</v>
      </c>
      <c r="J49" s="48">
        <v>36383.4</v>
      </c>
    </row>
    <row r="50" spans="1:10" x14ac:dyDescent="0.3">
      <c r="A50" s="122">
        <f t="shared" si="0"/>
        <v>43221</v>
      </c>
      <c r="B50" s="48">
        <v>1174455</v>
      </c>
      <c r="C50" s="48">
        <v>39005</v>
      </c>
      <c r="D50" s="48">
        <v>362</v>
      </c>
      <c r="E50" s="48">
        <v>0</v>
      </c>
      <c r="F50" s="48">
        <v>0</v>
      </c>
      <c r="G50" s="48">
        <v>67911</v>
      </c>
      <c r="H50" s="48">
        <v>32088.736132705912</v>
      </c>
      <c r="I50" s="48">
        <v>1118827.2846716342</v>
      </c>
      <c r="J50" s="48">
        <v>40570.700000000004</v>
      </c>
    </row>
    <row r="51" spans="1:10" x14ac:dyDescent="0.3">
      <c r="A51" s="122">
        <f t="shared" si="0"/>
        <v>43252</v>
      </c>
      <c r="B51" s="48">
        <v>2215296</v>
      </c>
      <c r="C51" s="48">
        <v>50654</v>
      </c>
      <c r="D51" s="48">
        <v>282</v>
      </c>
      <c r="E51" s="48">
        <v>0</v>
      </c>
      <c r="F51" s="48">
        <v>1351521</v>
      </c>
      <c r="G51" s="48">
        <v>0</v>
      </c>
      <c r="H51" s="48">
        <v>31520.091714118022</v>
      </c>
      <c r="I51" s="48">
        <v>759733.24641992617</v>
      </c>
      <c r="J51" s="48">
        <v>38478.1</v>
      </c>
    </row>
    <row r="52" spans="1:10" x14ac:dyDescent="0.3">
      <c r="A52" s="122">
        <f t="shared" si="0"/>
        <v>43282</v>
      </c>
      <c r="B52" s="48">
        <v>3539397</v>
      </c>
      <c r="C52" s="48">
        <v>57592</v>
      </c>
      <c r="D52" s="48">
        <v>149</v>
      </c>
      <c r="E52" s="48">
        <v>0</v>
      </c>
      <c r="F52" s="48">
        <v>2790990</v>
      </c>
      <c r="G52" s="48">
        <v>0</v>
      </c>
      <c r="H52" s="48">
        <v>37990</v>
      </c>
      <c r="I52" s="48">
        <v>672699.39336743695</v>
      </c>
      <c r="J52" s="48">
        <v>29245.9</v>
      </c>
    </row>
    <row r="53" spans="1:10" x14ac:dyDescent="0.3">
      <c r="A53" s="122">
        <f t="shared" si="0"/>
        <v>43313</v>
      </c>
      <c r="B53" s="48">
        <v>3513509</v>
      </c>
      <c r="C53" s="48">
        <v>61010</v>
      </c>
      <c r="D53" s="48">
        <v>101</v>
      </c>
      <c r="E53" s="48">
        <v>0</v>
      </c>
      <c r="F53" s="48">
        <v>2771254</v>
      </c>
      <c r="G53" s="48">
        <v>0</v>
      </c>
      <c r="H53" s="48">
        <v>41253.707332392885</v>
      </c>
      <c r="I53" s="48">
        <v>662209.48546529899</v>
      </c>
      <c r="J53" s="48">
        <v>38478.1</v>
      </c>
    </row>
    <row r="54" spans="1:10" x14ac:dyDescent="0.3">
      <c r="A54" s="122">
        <f t="shared" si="0"/>
        <v>43344</v>
      </c>
      <c r="B54" s="48">
        <v>3471043</v>
      </c>
      <c r="C54" s="48">
        <v>62271</v>
      </c>
      <c r="D54" s="48">
        <v>91.5</v>
      </c>
      <c r="E54" s="48">
        <v>0</v>
      </c>
      <c r="F54" s="48">
        <v>2676028</v>
      </c>
      <c r="G54" s="48">
        <v>0</v>
      </c>
      <c r="H54" s="48">
        <v>46028.436483828787</v>
      </c>
      <c r="I54" s="48">
        <v>714681.92008887709</v>
      </c>
      <c r="J54" s="48">
        <v>38478.1</v>
      </c>
    </row>
    <row r="55" spans="1:10" x14ac:dyDescent="0.3">
      <c r="A55" s="122">
        <f t="shared" si="0"/>
        <v>43374</v>
      </c>
      <c r="B55" s="48">
        <v>3423157</v>
      </c>
      <c r="C55" s="48">
        <v>92008</v>
      </c>
      <c r="D55" s="48">
        <v>143</v>
      </c>
      <c r="E55" s="48">
        <v>0</v>
      </c>
      <c r="F55" s="48">
        <v>2157716</v>
      </c>
      <c r="G55" s="48">
        <v>0</v>
      </c>
      <c r="H55" s="48">
        <v>50716.017206050434</v>
      </c>
      <c r="I55" s="48">
        <v>1192617.409521492</v>
      </c>
      <c r="J55" s="48">
        <v>20013.7</v>
      </c>
    </row>
    <row r="56" spans="1:10" x14ac:dyDescent="0.3">
      <c r="A56" s="122">
        <f t="shared" si="0"/>
        <v>43405</v>
      </c>
      <c r="B56" s="48">
        <v>3030422</v>
      </c>
      <c r="C56" s="48">
        <v>57179</v>
      </c>
      <c r="D56" s="48">
        <v>1769</v>
      </c>
      <c r="E56" s="48">
        <v>0</v>
      </c>
      <c r="F56" s="48">
        <v>258328</v>
      </c>
      <c r="G56" s="48">
        <v>200000</v>
      </c>
      <c r="H56" s="48">
        <v>58328</v>
      </c>
      <c r="I56" s="48">
        <v>2834842</v>
      </c>
      <c r="J56" s="48">
        <v>40653</v>
      </c>
    </row>
    <row r="57" spans="1:10" x14ac:dyDescent="0.3">
      <c r="A57" s="122">
        <f t="shared" si="0"/>
        <v>43435</v>
      </c>
      <c r="B57" s="48">
        <v>3329567</v>
      </c>
      <c r="C57" s="48">
        <v>40527</v>
      </c>
      <c r="D57" s="48">
        <v>2226</v>
      </c>
      <c r="E57" s="48">
        <v>0</v>
      </c>
      <c r="F57" s="48">
        <v>0</v>
      </c>
      <c r="G57" s="48">
        <v>2142039</v>
      </c>
      <c r="H57" s="48">
        <v>57961</v>
      </c>
      <c r="I57" s="48">
        <v>5167257</v>
      </c>
      <c r="J57" s="48">
        <v>34803</v>
      </c>
    </row>
    <row r="58" spans="1:10" x14ac:dyDescent="0.3">
      <c r="A58" s="122">
        <f t="shared" si="0"/>
        <v>43466</v>
      </c>
      <c r="B58" s="48">
        <v>3554273</v>
      </c>
      <c r="C58" s="48">
        <v>15224</v>
      </c>
      <c r="D58" s="48">
        <v>1039</v>
      </c>
      <c r="E58" s="48">
        <v>0</v>
      </c>
      <c r="F58" s="48">
        <v>0</v>
      </c>
      <c r="G58" s="48">
        <v>3349043</v>
      </c>
      <c r="H58" s="48">
        <v>50957</v>
      </c>
      <c r="I58" s="48">
        <v>6453549</v>
      </c>
      <c r="J58" s="48">
        <v>34500</v>
      </c>
    </row>
    <row r="59" spans="1:10" x14ac:dyDescent="0.3">
      <c r="A59" s="122">
        <f t="shared" si="0"/>
        <v>43497</v>
      </c>
      <c r="B59" s="48">
        <v>3057930</v>
      </c>
      <c r="C59" s="48">
        <v>13673</v>
      </c>
      <c r="D59" s="48">
        <v>362</v>
      </c>
      <c r="E59" s="48">
        <v>0</v>
      </c>
      <c r="F59" s="48">
        <v>0</v>
      </c>
      <c r="G59" s="48">
        <v>2976839</v>
      </c>
      <c r="H59" s="48">
        <v>43161</v>
      </c>
      <c r="I59" s="48">
        <v>5629263</v>
      </c>
      <c r="J59" s="48">
        <v>40099</v>
      </c>
    </row>
    <row r="60" spans="1:10" x14ac:dyDescent="0.3">
      <c r="A60" s="122">
        <f t="shared" si="0"/>
        <v>43525</v>
      </c>
      <c r="B60" s="48">
        <v>2174909</v>
      </c>
      <c r="C60" s="48">
        <v>24842</v>
      </c>
      <c r="D60" s="48">
        <v>282</v>
      </c>
      <c r="E60" s="48">
        <v>0</v>
      </c>
      <c r="F60" s="48">
        <v>0</v>
      </c>
      <c r="G60" s="48">
        <v>1981815</v>
      </c>
      <c r="H60" s="48">
        <v>38185</v>
      </c>
      <c r="I60" s="48">
        <v>3867714</v>
      </c>
      <c r="J60" s="48">
        <v>27384</v>
      </c>
    </row>
    <row r="61" spans="1:10" x14ac:dyDescent="0.3">
      <c r="A61" s="122">
        <f t="shared" si="0"/>
        <v>43556</v>
      </c>
      <c r="B61" s="48">
        <v>1369843</v>
      </c>
      <c r="C61" s="48">
        <v>27307</v>
      </c>
      <c r="D61" s="48">
        <v>149</v>
      </c>
      <c r="E61" s="48">
        <v>0</v>
      </c>
      <c r="F61" s="48">
        <v>0</v>
      </c>
      <c r="G61" s="48">
        <v>768178</v>
      </c>
      <c r="H61" s="48">
        <v>31822</v>
      </c>
      <c r="I61" s="48">
        <v>1967953</v>
      </c>
      <c r="J61" s="48">
        <v>43490</v>
      </c>
    </row>
    <row r="62" spans="1:10" x14ac:dyDescent="0.3">
      <c r="A62" s="122">
        <f t="shared" si="0"/>
        <v>43586</v>
      </c>
      <c r="B62" s="48">
        <v>1062431</v>
      </c>
      <c r="C62" s="48">
        <v>32358</v>
      </c>
      <c r="D62" s="48">
        <v>101</v>
      </c>
      <c r="E62" s="48">
        <v>0</v>
      </c>
      <c r="F62" s="48">
        <v>0</v>
      </c>
      <c r="G62" s="48">
        <v>167608</v>
      </c>
      <c r="H62" s="48">
        <v>32392</v>
      </c>
      <c r="I62" s="48">
        <v>1107887</v>
      </c>
      <c r="J62" s="48">
        <v>39535</v>
      </c>
    </row>
    <row r="63" spans="1:10" x14ac:dyDescent="0.3">
      <c r="A63" s="122">
        <f t="shared" si="0"/>
        <v>43617</v>
      </c>
      <c r="B63" s="48">
        <v>2268369</v>
      </c>
      <c r="C63" s="48">
        <v>40554</v>
      </c>
      <c r="D63" s="48">
        <v>92</v>
      </c>
      <c r="E63" s="48">
        <v>900</v>
      </c>
      <c r="F63" s="48">
        <v>1434772</v>
      </c>
      <c r="G63" s="48">
        <v>0</v>
      </c>
      <c r="H63" s="48">
        <v>31772</v>
      </c>
      <c r="I63" s="48">
        <v>748216</v>
      </c>
      <c r="J63" s="48">
        <v>32444</v>
      </c>
    </row>
    <row r="64" spans="1:10" x14ac:dyDescent="0.3">
      <c r="A64" s="122">
        <f t="shared" si="0"/>
        <v>43647</v>
      </c>
      <c r="B64" s="48">
        <v>3648064</v>
      </c>
      <c r="C64" s="48">
        <v>42084</v>
      </c>
      <c r="D64" s="48">
        <v>143</v>
      </c>
      <c r="E64" s="48">
        <v>900</v>
      </c>
      <c r="F64" s="48">
        <v>2899907</v>
      </c>
      <c r="G64" s="48">
        <v>0</v>
      </c>
      <c r="H64" s="48">
        <v>42907</v>
      </c>
      <c r="I64" s="48">
        <v>672003</v>
      </c>
      <c r="J64" s="48">
        <v>28203</v>
      </c>
    </row>
    <row r="65" spans="1:10" x14ac:dyDescent="0.3">
      <c r="A65" s="122">
        <f t="shared" si="0"/>
        <v>43678</v>
      </c>
      <c r="B65" s="48">
        <v>3554108</v>
      </c>
      <c r="C65" s="48">
        <v>38339</v>
      </c>
      <c r="D65" s="48">
        <v>636</v>
      </c>
      <c r="E65" s="48">
        <v>3373</v>
      </c>
      <c r="F65" s="48">
        <v>2826752</v>
      </c>
      <c r="G65" s="48">
        <v>0</v>
      </c>
      <c r="H65" s="48">
        <v>46752</v>
      </c>
      <c r="I65" s="48">
        <v>654640</v>
      </c>
      <c r="J65" s="48">
        <v>26424</v>
      </c>
    </row>
    <row r="66" spans="1:10" x14ac:dyDescent="0.3">
      <c r="A66" s="122">
        <f t="shared" si="0"/>
        <v>43709</v>
      </c>
      <c r="B66" s="48">
        <v>3509954</v>
      </c>
      <c r="C66" s="48">
        <v>41958</v>
      </c>
      <c r="D66" s="48">
        <v>1627</v>
      </c>
      <c r="E66" s="48">
        <v>0</v>
      </c>
      <c r="F66" s="48">
        <v>2723123</v>
      </c>
      <c r="G66" s="48">
        <v>0</v>
      </c>
      <c r="H66" s="48">
        <v>53123</v>
      </c>
      <c r="I66" s="48">
        <v>703381</v>
      </c>
      <c r="J66" s="48">
        <v>43243</v>
      </c>
    </row>
    <row r="67" spans="1:10" x14ac:dyDescent="0.3">
      <c r="A67" s="122">
        <f t="shared" si="0"/>
        <v>43739</v>
      </c>
      <c r="B67" s="48">
        <v>3276217</v>
      </c>
      <c r="C67" s="48">
        <v>48541</v>
      </c>
      <c r="D67" s="48">
        <v>2006</v>
      </c>
      <c r="E67" s="48">
        <v>0</v>
      </c>
      <c r="F67" s="48">
        <v>1985561</v>
      </c>
      <c r="G67" s="48">
        <v>0</v>
      </c>
      <c r="H67" s="48">
        <v>55561</v>
      </c>
      <c r="I67" s="48">
        <v>1230186</v>
      </c>
      <c r="J67" s="48">
        <v>20722</v>
      </c>
    </row>
    <row r="68" spans="1:10" x14ac:dyDescent="0.3">
      <c r="A68" s="122">
        <f t="shared" si="0"/>
        <v>43770</v>
      </c>
      <c r="B68" s="48">
        <v>3472948</v>
      </c>
      <c r="C68" s="48">
        <v>51046</v>
      </c>
      <c r="D68" s="48">
        <v>636</v>
      </c>
      <c r="E68" s="48">
        <v>464</v>
      </c>
      <c r="F68" s="48">
        <v>257487</v>
      </c>
      <c r="G68" s="48">
        <v>200000</v>
      </c>
      <c r="H68" s="48">
        <v>57487</v>
      </c>
      <c r="I68" s="48">
        <v>3297396</v>
      </c>
      <c r="J68" s="48">
        <v>24305</v>
      </c>
    </row>
    <row r="69" spans="1:10" x14ac:dyDescent="0.3">
      <c r="A69" s="122">
        <f t="shared" si="0"/>
        <v>43800</v>
      </c>
      <c r="B69" s="48">
        <v>3246280</v>
      </c>
      <c r="C69" s="48">
        <v>40285</v>
      </c>
      <c r="D69" s="48">
        <v>1627</v>
      </c>
      <c r="E69" s="48">
        <v>0</v>
      </c>
      <c r="F69" s="48">
        <v>0</v>
      </c>
      <c r="G69" s="48">
        <v>2146888</v>
      </c>
      <c r="H69" s="48">
        <v>53112</v>
      </c>
      <c r="I69" s="48">
        <v>5089967</v>
      </c>
      <c r="J69" s="48">
        <v>35156</v>
      </c>
    </row>
    <row r="70" spans="1:10" x14ac:dyDescent="0.3">
      <c r="A70" s="122">
        <f t="shared" si="0"/>
        <v>43831</v>
      </c>
      <c r="B70" s="48">
        <v>3748989</v>
      </c>
      <c r="C70" s="48">
        <v>12250</v>
      </c>
      <c r="D70" s="48">
        <v>2006</v>
      </c>
      <c r="E70" s="48">
        <v>989</v>
      </c>
      <c r="F70" s="48">
        <v>0</v>
      </c>
      <c r="G70" s="48">
        <v>3082632</v>
      </c>
      <c r="H70" s="48">
        <v>47368</v>
      </c>
      <c r="I70" s="48">
        <v>6375678</v>
      </c>
      <c r="J70" s="48">
        <v>40389</v>
      </c>
    </row>
    <row r="71" spans="1:10" x14ac:dyDescent="0.3">
      <c r="A71" s="122">
        <f t="shared" si="0"/>
        <v>43862</v>
      </c>
      <c r="B71" s="48">
        <v>2832104</v>
      </c>
      <c r="C71" s="48">
        <v>10395</v>
      </c>
      <c r="D71" s="48">
        <v>1832</v>
      </c>
      <c r="E71" s="48">
        <v>0</v>
      </c>
      <c r="F71" s="48">
        <v>0</v>
      </c>
      <c r="G71" s="48">
        <v>2959821</v>
      </c>
      <c r="H71" s="48">
        <v>40179</v>
      </c>
      <c r="I71" s="48">
        <v>5380615</v>
      </c>
      <c r="J71" s="48">
        <v>33710</v>
      </c>
    </row>
    <row r="72" spans="1:10" x14ac:dyDescent="0.3">
      <c r="A72" s="122">
        <f t="shared" si="0"/>
        <v>43891</v>
      </c>
      <c r="B72" s="48">
        <v>1863341</v>
      </c>
      <c r="C72" s="48">
        <v>24943</v>
      </c>
      <c r="D72" s="48">
        <v>2226</v>
      </c>
      <c r="E72" s="48">
        <v>464</v>
      </c>
      <c r="F72" s="48">
        <v>0</v>
      </c>
      <c r="G72" s="48">
        <v>2185443</v>
      </c>
      <c r="H72" s="48">
        <v>34557</v>
      </c>
      <c r="I72" s="48">
        <v>3752856</v>
      </c>
      <c r="J72" s="48">
        <v>33788</v>
      </c>
    </row>
    <row r="73" spans="1:10" x14ac:dyDescent="0.3">
      <c r="A73" s="122">
        <f t="shared" si="0"/>
        <v>43922</v>
      </c>
      <c r="B73" s="48">
        <v>1274063</v>
      </c>
      <c r="C73" s="48">
        <v>40239</v>
      </c>
      <c r="D73" s="48">
        <v>1039</v>
      </c>
      <c r="E73" s="48">
        <v>0</v>
      </c>
      <c r="F73" s="48">
        <v>0</v>
      </c>
      <c r="G73" s="48">
        <v>771112</v>
      </c>
      <c r="H73" s="48">
        <v>28888</v>
      </c>
      <c r="I73" s="48">
        <v>1892568</v>
      </c>
      <c r="J73" s="48">
        <v>25919</v>
      </c>
    </row>
    <row r="74" spans="1:10" x14ac:dyDescent="0.3">
      <c r="A74" s="122">
        <f>EDATE(A73,1)</f>
        <v>43952</v>
      </c>
      <c r="B74" s="48">
        <v>953468</v>
      </c>
      <c r="C74" s="48">
        <v>44778</v>
      </c>
      <c r="D74" s="48">
        <v>362</v>
      </c>
      <c r="E74" s="48">
        <v>0</v>
      </c>
      <c r="F74" s="48">
        <v>0</v>
      </c>
      <c r="G74" s="48">
        <v>171738</v>
      </c>
      <c r="H74" s="48">
        <v>28262</v>
      </c>
      <c r="I74" s="48">
        <v>1009482</v>
      </c>
      <c r="J74" s="48">
        <v>32926</v>
      </c>
    </row>
    <row r="75" spans="1:10" x14ac:dyDescent="0.3">
      <c r="A75" s="122">
        <f t="shared" si="0"/>
        <v>43983</v>
      </c>
      <c r="B75" s="48">
        <v>2139669</v>
      </c>
      <c r="C75" s="48">
        <v>53456</v>
      </c>
      <c r="D75" s="48">
        <v>282</v>
      </c>
      <c r="E75" s="48">
        <v>866</v>
      </c>
      <c r="F75" s="48">
        <v>1372723</v>
      </c>
      <c r="G75" s="48">
        <v>0</v>
      </c>
      <c r="H75" s="48">
        <v>29723</v>
      </c>
      <c r="I75" s="48">
        <v>683362</v>
      </c>
      <c r="J75" s="48">
        <v>30168</v>
      </c>
    </row>
    <row r="76" spans="1:10" x14ac:dyDescent="0.3">
      <c r="A76" s="122">
        <f t="shared" ref="A76:A115" si="1">EDATE(A75,1)</f>
        <v>44013</v>
      </c>
      <c r="B76" s="48">
        <v>3494306</v>
      </c>
      <c r="C76" s="48">
        <v>47272</v>
      </c>
      <c r="D76" s="48">
        <v>149</v>
      </c>
      <c r="E76" s="48">
        <v>0</v>
      </c>
      <c r="F76" s="48">
        <v>2780384</v>
      </c>
      <c r="G76" s="48">
        <v>0</v>
      </c>
      <c r="H76" s="48">
        <v>35884</v>
      </c>
      <c r="I76" s="48">
        <v>627042</v>
      </c>
      <c r="J76" s="48">
        <v>39954</v>
      </c>
    </row>
    <row r="77" spans="1:10" x14ac:dyDescent="0.3">
      <c r="A77" s="122">
        <f t="shared" si="1"/>
        <v>44044</v>
      </c>
      <c r="B77" s="48">
        <v>3514812</v>
      </c>
      <c r="C77" s="48">
        <v>50430</v>
      </c>
      <c r="D77" s="48">
        <v>101</v>
      </c>
      <c r="E77" s="48">
        <v>1732</v>
      </c>
      <c r="F77" s="48">
        <v>2820023</v>
      </c>
      <c r="G77" s="48">
        <v>0</v>
      </c>
      <c r="H77" s="48">
        <v>42523</v>
      </c>
      <c r="I77" s="48">
        <v>621113</v>
      </c>
      <c r="J77" s="48">
        <v>30022</v>
      </c>
    </row>
    <row r="78" spans="1:10" x14ac:dyDescent="0.3">
      <c r="A78" s="122">
        <f t="shared" si="1"/>
        <v>44075</v>
      </c>
      <c r="B78" s="48">
        <v>3474065</v>
      </c>
      <c r="C78" s="48">
        <v>53449</v>
      </c>
      <c r="D78" s="48">
        <v>92</v>
      </c>
      <c r="E78" s="48">
        <v>0</v>
      </c>
      <c r="F78" s="48">
        <v>2633176</v>
      </c>
      <c r="G78" s="48">
        <v>0</v>
      </c>
      <c r="H78" s="48">
        <v>45676</v>
      </c>
      <c r="I78" s="48">
        <v>774342</v>
      </c>
      <c r="J78" s="48">
        <v>28408</v>
      </c>
    </row>
    <row r="79" spans="1:10" x14ac:dyDescent="0.3">
      <c r="A79" s="122">
        <f t="shared" si="1"/>
        <v>44105</v>
      </c>
      <c r="B79" s="48">
        <v>3712223</v>
      </c>
      <c r="C79" s="48">
        <v>58880</v>
      </c>
      <c r="D79" s="48">
        <v>143</v>
      </c>
      <c r="E79" s="48">
        <v>0</v>
      </c>
      <c r="F79" s="48">
        <v>2151711</v>
      </c>
      <c r="G79" s="48">
        <v>0</v>
      </c>
      <c r="H79" s="48">
        <v>54211</v>
      </c>
      <c r="I79" s="48">
        <v>1500368</v>
      </c>
      <c r="J79" s="48">
        <v>22488</v>
      </c>
    </row>
    <row r="80" spans="1:10" x14ac:dyDescent="0.3">
      <c r="A80" s="643">
        <f t="shared" si="1"/>
        <v>44136</v>
      </c>
      <c r="B80" s="48">
        <v>3728800</v>
      </c>
      <c r="C80" s="48">
        <v>59677</v>
      </c>
      <c r="D80" s="48">
        <v>636</v>
      </c>
      <c r="E80" s="48">
        <v>0</v>
      </c>
      <c r="F80" s="48">
        <v>255622</v>
      </c>
      <c r="G80" s="48">
        <v>200000</v>
      </c>
      <c r="H80" s="48">
        <v>55622</v>
      </c>
      <c r="I80" s="48">
        <v>3559226</v>
      </c>
      <c r="J80" s="48">
        <v>20656</v>
      </c>
    </row>
    <row r="81" spans="1:10" x14ac:dyDescent="0.3">
      <c r="A81" s="643">
        <f t="shared" si="1"/>
        <v>44166</v>
      </c>
      <c r="B81" s="48">
        <v>3260300</v>
      </c>
      <c r="C81" s="48">
        <v>34584</v>
      </c>
      <c r="D81" s="48">
        <v>1627</v>
      </c>
      <c r="E81" s="48">
        <v>1008</v>
      </c>
      <c r="F81" s="48">
        <v>0</v>
      </c>
      <c r="G81" s="48">
        <v>2145815</v>
      </c>
      <c r="H81" s="48">
        <v>54185</v>
      </c>
      <c r="I81" s="48">
        <v>5097700</v>
      </c>
      <c r="J81" s="48">
        <v>39362</v>
      </c>
    </row>
    <row r="82" spans="1:10" x14ac:dyDescent="0.3">
      <c r="A82" s="643">
        <f t="shared" si="1"/>
        <v>44197</v>
      </c>
      <c r="B82" s="48">
        <v>3820887</v>
      </c>
      <c r="C82" s="48">
        <v>19473</v>
      </c>
      <c r="D82" s="48">
        <v>2006</v>
      </c>
      <c r="E82" s="48">
        <v>0</v>
      </c>
      <c r="F82" s="48">
        <v>0</v>
      </c>
      <c r="G82" s="48">
        <v>3084620</v>
      </c>
      <c r="H82" s="48">
        <v>45380</v>
      </c>
      <c r="I82" s="48">
        <v>6466594</v>
      </c>
      <c r="J82" s="48">
        <v>24349</v>
      </c>
    </row>
    <row r="83" spans="1:10" x14ac:dyDescent="0.3">
      <c r="A83" s="643">
        <f t="shared" si="1"/>
        <v>44228</v>
      </c>
      <c r="B83" s="48">
        <v>2486675</v>
      </c>
      <c r="C83" s="48">
        <v>22494</v>
      </c>
      <c r="D83" s="48">
        <v>1769</v>
      </c>
      <c r="E83" s="48">
        <v>0</v>
      </c>
      <c r="F83" s="48">
        <v>0</v>
      </c>
      <c r="G83" s="48">
        <v>2962523</v>
      </c>
      <c r="H83" s="48">
        <v>37477</v>
      </c>
      <c r="I83" s="48">
        <v>5047723</v>
      </c>
      <c r="J83" s="48">
        <v>26249</v>
      </c>
    </row>
    <row r="84" spans="1:10" x14ac:dyDescent="0.3">
      <c r="A84" s="643">
        <f t="shared" si="1"/>
        <v>44256</v>
      </c>
      <c r="B84" s="48">
        <v>2046291</v>
      </c>
      <c r="C84" s="48">
        <v>39599</v>
      </c>
      <c r="D84" s="48">
        <v>2226</v>
      </c>
      <c r="E84" s="48">
        <v>2125</v>
      </c>
      <c r="F84" s="48">
        <v>0</v>
      </c>
      <c r="G84" s="48">
        <v>2117711</v>
      </c>
      <c r="H84" s="48">
        <v>32289</v>
      </c>
      <c r="I84" s="48">
        <v>3876884</v>
      </c>
      <c r="J84" s="48">
        <v>23317</v>
      </c>
    </row>
    <row r="85" spans="1:10" x14ac:dyDescent="0.3">
      <c r="A85" s="643">
        <f t="shared" si="1"/>
        <v>44287</v>
      </c>
      <c r="B85" s="48">
        <v>1186950</v>
      </c>
      <c r="C85" s="48">
        <v>41731</v>
      </c>
      <c r="D85" s="48">
        <v>1039</v>
      </c>
      <c r="E85" s="48">
        <v>945</v>
      </c>
      <c r="F85" s="48">
        <v>0</v>
      </c>
      <c r="G85" s="48">
        <v>770940</v>
      </c>
      <c r="H85" s="48">
        <v>29060</v>
      </c>
      <c r="I85" s="48">
        <v>1807926</v>
      </c>
      <c r="J85" s="48">
        <v>22331</v>
      </c>
    </row>
    <row r="86" spans="1:10" x14ac:dyDescent="0.3">
      <c r="A86" s="643">
        <f t="shared" si="1"/>
        <v>44317</v>
      </c>
      <c r="B86" s="48">
        <v>897087</v>
      </c>
      <c r="C86" s="48">
        <v>41370</v>
      </c>
      <c r="D86" s="48">
        <v>362</v>
      </c>
      <c r="E86" s="48">
        <v>0</v>
      </c>
      <c r="F86" s="48">
        <v>0</v>
      </c>
      <c r="G86" s="48">
        <v>171919</v>
      </c>
      <c r="H86" s="48">
        <v>28081</v>
      </c>
      <c r="I86" s="48">
        <v>963877</v>
      </c>
      <c r="J86" s="48">
        <v>22331</v>
      </c>
    </row>
    <row r="87" spans="1:10" x14ac:dyDescent="0.3">
      <c r="A87" s="643">
        <f t="shared" si="1"/>
        <v>44348</v>
      </c>
      <c r="B87" s="48">
        <v>2210409</v>
      </c>
      <c r="C87" s="48">
        <v>42137</v>
      </c>
      <c r="D87" s="48">
        <v>282</v>
      </c>
      <c r="E87" s="48">
        <v>1543</v>
      </c>
      <c r="F87" s="48">
        <v>1492886</v>
      </c>
      <c r="G87" s="48">
        <v>0</v>
      </c>
      <c r="H87" s="48">
        <v>29886</v>
      </c>
      <c r="I87" s="48">
        <v>641098</v>
      </c>
      <c r="J87" s="48">
        <v>22331</v>
      </c>
    </row>
    <row r="88" spans="1:10" x14ac:dyDescent="0.3">
      <c r="A88" s="643">
        <f t="shared" si="1"/>
        <v>44378</v>
      </c>
      <c r="B88" s="48">
        <v>3368819</v>
      </c>
      <c r="C88" s="48">
        <v>34657</v>
      </c>
      <c r="D88" s="48">
        <v>149</v>
      </c>
      <c r="E88" s="48">
        <v>3527</v>
      </c>
      <c r="F88" s="48">
        <v>2733566</v>
      </c>
      <c r="G88" s="48">
        <v>0</v>
      </c>
      <c r="H88" s="48">
        <v>36566</v>
      </c>
      <c r="I88" s="48">
        <v>562469</v>
      </c>
      <c r="J88" s="48">
        <v>22331</v>
      </c>
    </row>
    <row r="89" spans="1:10" x14ac:dyDescent="0.3">
      <c r="A89" s="643">
        <f t="shared" si="1"/>
        <v>44409</v>
      </c>
      <c r="B89" s="48">
        <v>3418734</v>
      </c>
      <c r="C89" s="48">
        <v>44030</v>
      </c>
      <c r="D89" s="48">
        <v>101</v>
      </c>
      <c r="E89" s="48">
        <v>1763</v>
      </c>
      <c r="F89" s="48">
        <v>2772846</v>
      </c>
      <c r="G89" s="48">
        <v>0</v>
      </c>
      <c r="H89" s="48">
        <v>42846</v>
      </c>
      <c r="I89" s="48">
        <v>579871</v>
      </c>
      <c r="J89" s="48">
        <v>22331</v>
      </c>
    </row>
    <row r="90" spans="1:10" x14ac:dyDescent="0.3">
      <c r="A90" s="643">
        <f t="shared" si="1"/>
        <v>44440</v>
      </c>
      <c r="B90" s="48">
        <v>3388318</v>
      </c>
      <c r="C90" s="48">
        <v>56001</v>
      </c>
      <c r="D90" s="48">
        <v>92</v>
      </c>
      <c r="E90" s="48">
        <v>0</v>
      </c>
      <c r="F90" s="48">
        <v>2588088</v>
      </c>
      <c r="G90" s="48">
        <v>0</v>
      </c>
      <c r="H90" s="48">
        <v>48088</v>
      </c>
      <c r="I90" s="48">
        <v>742399</v>
      </c>
      <c r="J90" s="48">
        <v>19692</v>
      </c>
    </row>
    <row r="91" spans="1:10" x14ac:dyDescent="0.3">
      <c r="A91" s="643">
        <f t="shared" si="1"/>
        <v>44470</v>
      </c>
      <c r="B91" s="48">
        <v>3662012</v>
      </c>
      <c r="C91" s="48">
        <v>60160</v>
      </c>
      <c r="D91" s="48">
        <v>143</v>
      </c>
      <c r="E91" s="48">
        <v>1653</v>
      </c>
      <c r="F91" s="48">
        <v>2103097</v>
      </c>
      <c r="G91" s="48">
        <v>0</v>
      </c>
      <c r="H91" s="48">
        <v>53097</v>
      </c>
      <c r="I91" s="48">
        <v>1492868</v>
      </c>
      <c r="J91" s="48">
        <v>26739</v>
      </c>
    </row>
    <row r="92" spans="1:10" x14ac:dyDescent="0.3">
      <c r="A92" s="503">
        <f t="shared" si="1"/>
        <v>44501</v>
      </c>
      <c r="B92" s="613">
        <v>3749971</v>
      </c>
      <c r="C92" s="613">
        <v>58325</v>
      </c>
      <c r="D92" s="613">
        <v>636</v>
      </c>
      <c r="E92" s="613">
        <v>0</v>
      </c>
      <c r="F92" s="613">
        <v>255622</v>
      </c>
      <c r="G92" s="613">
        <v>200000</v>
      </c>
      <c r="H92" s="613">
        <v>55622</v>
      </c>
      <c r="I92" s="613">
        <v>3570245</v>
      </c>
      <c r="J92" s="613">
        <v>30390</v>
      </c>
    </row>
    <row r="93" spans="1:10" x14ac:dyDescent="0.3">
      <c r="A93" s="503">
        <f t="shared" si="1"/>
        <v>44531</v>
      </c>
      <c r="B93" s="613">
        <v>3243745</v>
      </c>
      <c r="C93" s="613">
        <v>33848</v>
      </c>
      <c r="D93" s="613">
        <v>1627</v>
      </c>
      <c r="E93" s="613">
        <v>0</v>
      </c>
      <c r="F93" s="613">
        <v>0</v>
      </c>
      <c r="G93" s="613">
        <v>2962523</v>
      </c>
      <c r="H93" s="613">
        <v>54185</v>
      </c>
      <c r="I93" s="613">
        <v>5094853</v>
      </c>
      <c r="J93" s="613">
        <v>25816</v>
      </c>
    </row>
    <row r="94" spans="1:10" x14ac:dyDescent="0.3">
      <c r="A94" s="503">
        <f t="shared" si="1"/>
        <v>44562</v>
      </c>
      <c r="B94" s="613">
        <v>3840486</v>
      </c>
      <c r="C94" s="613">
        <v>19445</v>
      </c>
      <c r="D94" s="613">
        <v>2006</v>
      </c>
      <c r="E94" s="613">
        <v>0</v>
      </c>
      <c r="F94" s="613">
        <v>0</v>
      </c>
      <c r="G94" s="613">
        <v>3084620</v>
      </c>
      <c r="H94" s="613">
        <v>45380</v>
      </c>
      <c r="I94" s="613">
        <v>6487518</v>
      </c>
      <c r="J94" s="613">
        <v>24349</v>
      </c>
    </row>
    <row r="95" spans="1:10" x14ac:dyDescent="0.3">
      <c r="A95" s="503">
        <f t="shared" si="1"/>
        <v>44593</v>
      </c>
      <c r="B95" s="613">
        <v>2501217</v>
      </c>
      <c r="C95" s="613">
        <v>22476</v>
      </c>
      <c r="D95" s="613">
        <v>1769</v>
      </c>
      <c r="E95" s="613">
        <v>0</v>
      </c>
      <c r="F95" s="613">
        <v>0</v>
      </c>
      <c r="G95" s="613"/>
      <c r="H95" s="613">
        <v>37477</v>
      </c>
      <c r="I95" s="613">
        <v>5072424</v>
      </c>
      <c r="J95" s="613">
        <v>26448</v>
      </c>
    </row>
    <row r="96" spans="1:10" x14ac:dyDescent="0.3">
      <c r="A96" s="503">
        <f t="shared" si="1"/>
        <v>44621</v>
      </c>
      <c r="B96" s="613">
        <v>2064189</v>
      </c>
      <c r="C96" s="613">
        <v>39529</v>
      </c>
      <c r="D96" s="613">
        <v>2226</v>
      </c>
      <c r="E96" s="613">
        <v>0</v>
      </c>
      <c r="F96" s="613">
        <v>0</v>
      </c>
      <c r="G96" s="613">
        <v>2117711</v>
      </c>
      <c r="H96" s="613">
        <v>32289</v>
      </c>
      <c r="I96" s="613">
        <v>3898238</v>
      </c>
      <c r="J96" s="613">
        <v>21861</v>
      </c>
    </row>
    <row r="97" spans="1:10" x14ac:dyDescent="0.3">
      <c r="A97" s="503">
        <f t="shared" si="1"/>
        <v>44652</v>
      </c>
      <c r="B97" s="613">
        <v>1209266</v>
      </c>
      <c r="C97" s="613">
        <v>41812</v>
      </c>
      <c r="D97" s="613">
        <v>1039</v>
      </c>
      <c r="E97" s="613">
        <v>0</v>
      </c>
      <c r="F97" s="613">
        <v>0</v>
      </c>
      <c r="G97" s="613">
        <v>770940</v>
      </c>
      <c r="H97" s="613">
        <v>29060</v>
      </c>
      <c r="I97" s="613">
        <v>1828721</v>
      </c>
      <c r="J97" s="613">
        <v>24797</v>
      </c>
    </row>
    <row r="98" spans="1:10" x14ac:dyDescent="0.3">
      <c r="A98" s="503">
        <f t="shared" si="1"/>
        <v>44682</v>
      </c>
      <c r="B98" s="613">
        <v>912467</v>
      </c>
      <c r="C98" s="613">
        <v>41728</v>
      </c>
      <c r="D98" s="613">
        <v>362</v>
      </c>
      <c r="E98" s="613">
        <v>0</v>
      </c>
      <c r="F98" s="613">
        <v>0</v>
      </c>
      <c r="G98" s="613">
        <v>171919</v>
      </c>
      <c r="H98" s="613">
        <v>28081</v>
      </c>
      <c r="I98" s="613">
        <v>979257</v>
      </c>
      <c r="J98" s="613">
        <v>22331</v>
      </c>
    </row>
    <row r="99" spans="1:10" x14ac:dyDescent="0.3">
      <c r="A99" s="503">
        <f t="shared" si="1"/>
        <v>44713</v>
      </c>
      <c r="B99" s="613">
        <v>2220884</v>
      </c>
      <c r="C99" s="613">
        <v>42413</v>
      </c>
      <c r="D99" s="613">
        <v>282</v>
      </c>
      <c r="E99" s="613">
        <v>0</v>
      </c>
      <c r="F99" s="613">
        <v>1492887</v>
      </c>
      <c r="G99" s="613">
        <v>0</v>
      </c>
      <c r="H99" s="613">
        <v>29886</v>
      </c>
      <c r="I99" s="613">
        <v>651648</v>
      </c>
      <c r="J99" s="613">
        <v>23798</v>
      </c>
    </row>
    <row r="100" spans="1:10" x14ac:dyDescent="0.3">
      <c r="A100" s="503">
        <f t="shared" si="1"/>
        <v>44743</v>
      </c>
      <c r="B100" s="613">
        <v>3376059</v>
      </c>
      <c r="C100" s="613">
        <v>34994</v>
      </c>
      <c r="D100" s="613">
        <v>149</v>
      </c>
      <c r="E100" s="613">
        <v>0</v>
      </c>
      <c r="F100" s="613">
        <v>2733566</v>
      </c>
      <c r="G100" s="613">
        <v>0</v>
      </c>
      <c r="H100" s="613">
        <v>36556</v>
      </c>
      <c r="I100" s="613">
        <v>573203</v>
      </c>
      <c r="J100" s="613">
        <v>22331</v>
      </c>
    </row>
    <row r="101" spans="1:10" x14ac:dyDescent="0.3">
      <c r="A101" s="503">
        <f t="shared" si="1"/>
        <v>44774</v>
      </c>
      <c r="B101" s="613">
        <v>3428053</v>
      </c>
      <c r="C101" s="613">
        <v>44368</v>
      </c>
      <c r="D101" s="613">
        <v>101</v>
      </c>
      <c r="E101" s="613">
        <v>0</v>
      </c>
      <c r="F101" s="613">
        <v>2772846</v>
      </c>
      <c r="G101" s="613">
        <v>0</v>
      </c>
      <c r="H101" s="613">
        <v>42846</v>
      </c>
      <c r="I101" s="613">
        <v>590522</v>
      </c>
      <c r="J101" s="613">
        <v>22824</v>
      </c>
    </row>
    <row r="102" spans="1:10" x14ac:dyDescent="0.3">
      <c r="A102" s="503">
        <f t="shared" si="1"/>
        <v>44805</v>
      </c>
      <c r="B102" s="613">
        <v>3405399</v>
      </c>
      <c r="C102" s="613">
        <v>56462</v>
      </c>
      <c r="D102" s="613">
        <v>92</v>
      </c>
      <c r="E102" s="613">
        <v>0</v>
      </c>
      <c r="F102" s="613">
        <v>2588088</v>
      </c>
      <c r="G102" s="613">
        <v>0</v>
      </c>
      <c r="H102" s="613">
        <v>48088</v>
      </c>
      <c r="I102" s="613">
        <v>756347</v>
      </c>
      <c r="J102" s="613">
        <v>22824</v>
      </c>
    </row>
    <row r="103" spans="1:10" x14ac:dyDescent="0.3">
      <c r="A103" s="503">
        <f t="shared" si="1"/>
        <v>44835</v>
      </c>
      <c r="B103" s="613">
        <v>3667187</v>
      </c>
      <c r="C103" s="613">
        <v>60146</v>
      </c>
      <c r="D103" s="613">
        <v>143</v>
      </c>
      <c r="E103" s="613">
        <v>0</v>
      </c>
      <c r="F103" s="613">
        <v>2103097</v>
      </c>
      <c r="G103" s="613">
        <v>0</v>
      </c>
      <c r="H103" s="613">
        <v>53097</v>
      </c>
      <c r="I103" s="613">
        <v>1507309</v>
      </c>
      <c r="J103" s="613">
        <v>19095</v>
      </c>
    </row>
    <row r="104" spans="1:10" x14ac:dyDescent="0.3">
      <c r="A104" s="503">
        <f t="shared" si="1"/>
        <v>44866</v>
      </c>
      <c r="B104" s="613">
        <v>3754658</v>
      </c>
      <c r="C104" s="613">
        <v>58173</v>
      </c>
      <c r="D104" s="613">
        <v>636</v>
      </c>
      <c r="E104" s="613">
        <v>0</v>
      </c>
      <c r="F104" s="613">
        <v>255622</v>
      </c>
      <c r="G104" s="613">
        <v>200000</v>
      </c>
      <c r="H104" s="613">
        <v>55622</v>
      </c>
      <c r="I104" s="613">
        <v>3580632</v>
      </c>
      <c r="J104" s="613">
        <v>24686</v>
      </c>
    </row>
    <row r="105" spans="1:10" x14ac:dyDescent="0.3">
      <c r="A105" s="503">
        <f t="shared" si="1"/>
        <v>44896</v>
      </c>
      <c r="B105" s="613">
        <v>3248803</v>
      </c>
      <c r="C105" s="613">
        <v>33791</v>
      </c>
      <c r="D105" s="613">
        <v>1627</v>
      </c>
      <c r="E105" s="613">
        <v>0</v>
      </c>
      <c r="F105" s="613">
        <v>0</v>
      </c>
      <c r="G105" s="613">
        <v>2145815</v>
      </c>
      <c r="H105" s="613">
        <v>54185</v>
      </c>
      <c r="I105" s="613">
        <v>5100368</v>
      </c>
      <c r="J105" s="613">
        <v>25359</v>
      </c>
    </row>
    <row r="106" spans="1:10" x14ac:dyDescent="0.3">
      <c r="A106" s="503">
        <f t="shared" si="1"/>
        <v>44927</v>
      </c>
      <c r="B106" s="613">
        <v>3846254</v>
      </c>
      <c r="C106" s="613">
        <v>19428</v>
      </c>
      <c r="D106" s="613">
        <v>2006</v>
      </c>
      <c r="E106" s="613">
        <v>0</v>
      </c>
      <c r="F106" s="613">
        <v>0</v>
      </c>
      <c r="G106" s="613">
        <v>3084620</v>
      </c>
      <c r="H106" s="613">
        <v>45380</v>
      </c>
      <c r="I106" s="613">
        <v>6496220</v>
      </c>
      <c r="J106" s="613">
        <v>21416</v>
      </c>
    </row>
    <row r="107" spans="1:10" x14ac:dyDescent="0.3">
      <c r="A107" s="503">
        <f t="shared" si="1"/>
        <v>44958</v>
      </c>
      <c r="B107" s="613">
        <v>2511052</v>
      </c>
      <c r="C107" s="613">
        <v>22464</v>
      </c>
      <c r="D107" s="613">
        <v>1769</v>
      </c>
      <c r="E107" s="613">
        <v>0</v>
      </c>
      <c r="F107" s="613">
        <v>0</v>
      </c>
      <c r="G107" s="613">
        <v>2962523</v>
      </c>
      <c r="H107" s="613">
        <v>37477</v>
      </c>
      <c r="I107" s="613">
        <v>5083348</v>
      </c>
      <c r="J107" s="613">
        <v>25359</v>
      </c>
    </row>
    <row r="108" spans="1:10" x14ac:dyDescent="0.3">
      <c r="A108" s="503">
        <f t="shared" si="1"/>
        <v>44986</v>
      </c>
      <c r="B108" s="613">
        <v>2078574</v>
      </c>
      <c r="C108" s="613">
        <v>39462</v>
      </c>
      <c r="D108" s="613">
        <v>2226</v>
      </c>
      <c r="E108" s="613">
        <v>0</v>
      </c>
      <c r="F108" s="613">
        <v>0</v>
      </c>
      <c r="G108" s="613">
        <v>2117711</v>
      </c>
      <c r="H108" s="613">
        <v>32289</v>
      </c>
      <c r="I108" s="613">
        <v>3910789</v>
      </c>
      <c r="J108" s="613">
        <v>21861</v>
      </c>
    </row>
    <row r="109" spans="1:10" x14ac:dyDescent="0.3">
      <c r="A109" s="503">
        <f t="shared" si="1"/>
        <v>45017</v>
      </c>
      <c r="B109" s="613">
        <v>1223770</v>
      </c>
      <c r="C109" s="613">
        <v>41887</v>
      </c>
      <c r="D109" s="613">
        <v>1039</v>
      </c>
      <c r="E109" s="613">
        <v>0</v>
      </c>
      <c r="F109" s="613">
        <v>0</v>
      </c>
      <c r="G109" s="613">
        <v>770940</v>
      </c>
      <c r="H109" s="613">
        <v>29060</v>
      </c>
      <c r="I109" s="613">
        <v>1842924</v>
      </c>
      <c r="J109" s="613">
        <v>24291</v>
      </c>
    </row>
    <row r="110" spans="1:10" x14ac:dyDescent="0.3">
      <c r="A110" s="503">
        <f t="shared" si="1"/>
        <v>45047</v>
      </c>
      <c r="B110" s="613">
        <v>919623</v>
      </c>
      <c r="C110" s="613">
        <v>41982</v>
      </c>
      <c r="D110" s="613">
        <v>362</v>
      </c>
      <c r="E110" s="613">
        <v>0</v>
      </c>
      <c r="F110" s="613">
        <v>0</v>
      </c>
      <c r="G110" s="613">
        <v>171919</v>
      </c>
      <c r="H110" s="613">
        <v>28081</v>
      </c>
      <c r="I110" s="613">
        <v>986412</v>
      </c>
      <c r="J110" s="613">
        <v>22331</v>
      </c>
    </row>
    <row r="111" spans="1:10" x14ac:dyDescent="0.3">
      <c r="A111" s="503">
        <f t="shared" si="1"/>
        <v>45078</v>
      </c>
      <c r="B111" s="613">
        <v>2219662</v>
      </c>
      <c r="C111" s="613">
        <v>42415</v>
      </c>
      <c r="D111" s="613">
        <v>282</v>
      </c>
      <c r="E111" s="613">
        <v>0</v>
      </c>
      <c r="F111" s="613">
        <v>1492887</v>
      </c>
      <c r="G111" s="613">
        <v>0</v>
      </c>
      <c r="H111" s="613">
        <v>29886</v>
      </c>
      <c r="I111" s="613">
        <v>651963</v>
      </c>
      <c r="J111" s="613">
        <v>22331</v>
      </c>
    </row>
    <row r="112" spans="1:10" x14ac:dyDescent="0.3">
      <c r="A112" s="503">
        <f t="shared" si="1"/>
        <v>45108</v>
      </c>
      <c r="B112" s="613">
        <v>3377145</v>
      </c>
      <c r="C112" s="613">
        <v>34970</v>
      </c>
      <c r="D112" s="613">
        <v>149</v>
      </c>
      <c r="E112" s="613">
        <v>0</v>
      </c>
      <c r="F112" s="613">
        <v>2733566</v>
      </c>
      <c r="G112" s="613">
        <v>0</v>
      </c>
      <c r="H112" s="613">
        <v>36566</v>
      </c>
      <c r="I112" s="613">
        <v>572493</v>
      </c>
      <c r="J112" s="613">
        <v>24093</v>
      </c>
    </row>
    <row r="113" spans="1:10" x14ac:dyDescent="0.3">
      <c r="A113" s="503">
        <f t="shared" si="1"/>
        <v>45139</v>
      </c>
      <c r="B113" s="613">
        <v>3425248</v>
      </c>
      <c r="C113" s="613">
        <v>44332</v>
      </c>
      <c r="D113" s="613">
        <v>101</v>
      </c>
      <c r="E113" s="613">
        <v>0</v>
      </c>
      <c r="F113" s="613">
        <v>2772846</v>
      </c>
      <c r="G113" s="613">
        <v>0</v>
      </c>
      <c r="H113" s="613">
        <v>42846</v>
      </c>
      <c r="I113" s="613">
        <v>589752</v>
      </c>
      <c r="J113" s="613">
        <v>20851</v>
      </c>
    </row>
    <row r="114" spans="1:10" x14ac:dyDescent="0.3">
      <c r="A114" s="503">
        <f t="shared" si="1"/>
        <v>45170</v>
      </c>
      <c r="B114" s="613">
        <v>3409292</v>
      </c>
      <c r="C114" s="613">
        <v>56912</v>
      </c>
      <c r="D114" s="613">
        <v>92</v>
      </c>
      <c r="E114" s="613">
        <v>0</v>
      </c>
      <c r="F114" s="613">
        <v>2588088</v>
      </c>
      <c r="G114" s="613">
        <v>0</v>
      </c>
      <c r="H114" s="613">
        <v>48088</v>
      </c>
      <c r="I114" s="613">
        <v>761686</v>
      </c>
      <c r="J114" s="613">
        <v>20851</v>
      </c>
    </row>
    <row r="115" spans="1:10" x14ac:dyDescent="0.3">
      <c r="A115" s="503">
        <f t="shared" si="1"/>
        <v>45200</v>
      </c>
      <c r="B115" s="613">
        <v>3676741</v>
      </c>
      <c r="C115" s="613">
        <v>60172</v>
      </c>
      <c r="D115" s="613">
        <v>143</v>
      </c>
      <c r="E115" s="613">
        <v>0</v>
      </c>
      <c r="F115" s="613">
        <v>2103097</v>
      </c>
      <c r="G115" s="613">
        <v>0</v>
      </c>
      <c r="H115" s="613">
        <v>53097</v>
      </c>
      <c r="I115" s="613">
        <v>1515628</v>
      </c>
      <c r="J115" s="613">
        <v>19903</v>
      </c>
    </row>
    <row r="116" spans="1:10" x14ac:dyDescent="0.3">
      <c r="A116" s="122"/>
      <c r="B116" s="642"/>
      <c r="C116" s="642"/>
      <c r="D116" s="642"/>
      <c r="E116" s="642"/>
      <c r="F116" s="642"/>
      <c r="G116" s="642"/>
      <c r="H116" s="642"/>
      <c r="I116" s="642"/>
      <c r="J116" s="642"/>
    </row>
    <row r="117" spans="1:10" x14ac:dyDescent="0.3">
      <c r="A117" s="122"/>
      <c r="B117" s="642"/>
      <c r="C117" s="642"/>
      <c r="D117" s="642"/>
      <c r="E117" s="642"/>
      <c r="F117" s="642"/>
      <c r="G117" s="642"/>
      <c r="H117" s="642"/>
      <c r="I117" s="642"/>
      <c r="J117" s="642"/>
    </row>
    <row r="118" spans="1:10" x14ac:dyDescent="0.3">
      <c r="B118" s="642"/>
      <c r="C118" s="642"/>
      <c r="D118" s="642"/>
      <c r="E118" s="642"/>
      <c r="F118" s="642"/>
      <c r="G118" s="642"/>
      <c r="H118" s="642"/>
      <c r="I118" s="642"/>
      <c r="J118" s="642"/>
    </row>
    <row r="119" spans="1:10" x14ac:dyDescent="0.3">
      <c r="B119" s="642"/>
      <c r="C119" s="642"/>
      <c r="D119" s="642"/>
      <c r="E119" s="642"/>
      <c r="F119" s="642"/>
      <c r="G119" s="642"/>
      <c r="H119" s="642"/>
      <c r="I119" s="642"/>
      <c r="J119" s="642"/>
    </row>
  </sheetData>
  <mergeCells count="5">
    <mergeCell ref="A3:J3"/>
    <mergeCell ref="A4:J4"/>
    <mergeCell ref="A7:C7"/>
    <mergeCell ref="D7:J7"/>
    <mergeCell ref="A1:J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89"/>
  <sheetViews>
    <sheetView zoomScaleNormal="100" workbookViewId="0">
      <pane xSplit="1" ySplit="3" topLeftCell="B72" activePane="bottomRight" state="frozen"/>
      <selection activeCell="B95" sqref="B95:J97"/>
      <selection pane="topRight" activeCell="B95" sqref="B95:J97"/>
      <selection pane="bottomLeft" activeCell="B95" sqref="B95:J97"/>
      <selection pane="bottomRight" activeCell="B95" sqref="B95:J97"/>
    </sheetView>
  </sheetViews>
  <sheetFormatPr defaultColWidth="8.90625" defaultRowHeight="15.6" x14ac:dyDescent="0.3"/>
  <cols>
    <col min="1" max="1" width="14.1796875" style="6" customWidth="1"/>
    <col min="2" max="2" width="14.08984375" style="6" customWidth="1"/>
    <col min="3" max="4" width="17.08984375" style="6" customWidth="1"/>
    <col min="5" max="5" width="13.36328125" style="6" customWidth="1"/>
    <col min="6" max="6" width="15.54296875" style="6" customWidth="1"/>
    <col min="7" max="7" width="15.90625" style="6" customWidth="1"/>
    <col min="8" max="8" width="14.54296875" style="6" customWidth="1"/>
    <col min="9" max="9" width="4.453125" customWidth="1"/>
    <col min="10" max="10" width="10.81640625" customWidth="1"/>
    <col min="11" max="11" width="12" style="6" customWidth="1"/>
    <col min="12" max="12" width="11.453125" style="6" customWidth="1"/>
    <col min="13" max="16384" width="8.90625" style="6"/>
  </cols>
  <sheetData>
    <row r="1" spans="1:13" x14ac:dyDescent="0.3">
      <c r="A1" s="128" t="s">
        <v>60</v>
      </c>
      <c r="B1" s="128" t="s">
        <v>61</v>
      </c>
      <c r="C1" s="128" t="s">
        <v>62</v>
      </c>
      <c r="D1" s="128" t="s">
        <v>63</v>
      </c>
      <c r="E1" s="128" t="s">
        <v>64</v>
      </c>
      <c r="F1" s="128" t="s">
        <v>65</v>
      </c>
      <c r="G1" s="128" t="s">
        <v>66</v>
      </c>
      <c r="H1" s="128" t="s">
        <v>111</v>
      </c>
    </row>
    <row r="2" spans="1:13" x14ac:dyDescent="0.3">
      <c r="A2" s="124"/>
      <c r="B2" s="126" t="s">
        <v>397</v>
      </c>
      <c r="C2" s="126" t="s">
        <v>389</v>
      </c>
      <c r="D2" s="126" t="s">
        <v>389</v>
      </c>
      <c r="E2" s="126" t="s">
        <v>397</v>
      </c>
      <c r="F2" s="126" t="s">
        <v>392</v>
      </c>
      <c r="G2" s="126" t="s">
        <v>392</v>
      </c>
      <c r="H2" s="126" t="s">
        <v>397</v>
      </c>
    </row>
    <row r="3" spans="1:13" x14ac:dyDescent="0.3">
      <c r="A3" s="125" t="s">
        <v>265</v>
      </c>
      <c r="B3" s="127" t="s">
        <v>384</v>
      </c>
      <c r="C3" s="127" t="s">
        <v>390</v>
      </c>
      <c r="D3" s="127" t="s">
        <v>391</v>
      </c>
      <c r="E3" s="127" t="s">
        <v>385</v>
      </c>
      <c r="F3" s="127" t="s">
        <v>390</v>
      </c>
      <c r="G3" s="127" t="s">
        <v>391</v>
      </c>
      <c r="H3" s="127" t="s">
        <v>386</v>
      </c>
    </row>
    <row r="4" spans="1:13" x14ac:dyDescent="0.3">
      <c r="A4" s="129">
        <v>41640</v>
      </c>
      <c r="B4" s="132">
        <v>7164339.5999999996</v>
      </c>
      <c r="C4" s="479">
        <v>7161740.0999999996</v>
      </c>
      <c r="D4" s="479">
        <v>2599.5</v>
      </c>
      <c r="E4" s="505">
        <v>18227.7</v>
      </c>
      <c r="F4" s="130" t="s">
        <v>387</v>
      </c>
      <c r="G4" s="130" t="s">
        <v>387</v>
      </c>
      <c r="H4" s="507">
        <v>1502937.7</v>
      </c>
      <c r="J4" s="255" t="s">
        <v>436</v>
      </c>
      <c r="K4" s="134"/>
      <c r="L4" s="134"/>
      <c r="M4" s="134"/>
    </row>
    <row r="5" spans="1:13" x14ac:dyDescent="0.3">
      <c r="A5" s="129">
        <v>41671</v>
      </c>
      <c r="B5" s="132">
        <v>7414286.9000000004</v>
      </c>
      <c r="C5" s="479">
        <v>3765480.4</v>
      </c>
      <c r="D5" s="479">
        <v>3648806.5</v>
      </c>
      <c r="E5" s="505">
        <v>25147</v>
      </c>
      <c r="F5" s="130" t="s">
        <v>387</v>
      </c>
      <c r="G5" s="130" t="s">
        <v>387</v>
      </c>
      <c r="H5" s="507">
        <v>1308586.3</v>
      </c>
      <c r="J5" s="255" t="s">
        <v>437</v>
      </c>
      <c r="K5" s="134"/>
      <c r="L5" s="134"/>
      <c r="M5" s="134"/>
    </row>
    <row r="6" spans="1:13" x14ac:dyDescent="0.3">
      <c r="A6" s="277">
        <v>41699</v>
      </c>
      <c r="B6" s="132">
        <f>SUM(C6:D6)</f>
        <v>5630919.2999999998</v>
      </c>
      <c r="C6" s="479">
        <f>1416256/10</f>
        <v>141625.60000000001</v>
      </c>
      <c r="D6" s="479">
        <f>54892937/10</f>
        <v>5489293.7000000002</v>
      </c>
      <c r="E6" s="505">
        <v>17207.599999999999</v>
      </c>
      <c r="F6" s="130" t="s">
        <v>387</v>
      </c>
      <c r="G6" s="130" t="s">
        <v>387</v>
      </c>
      <c r="H6" s="507">
        <v>1232291</v>
      </c>
    </row>
    <row r="7" spans="1:13" x14ac:dyDescent="0.3">
      <c r="A7" s="277">
        <v>41730</v>
      </c>
      <c r="B7" s="132">
        <f t="shared" ref="B7:B44" si="0">SUM(C7:D7)</f>
        <v>2981427.6999999997</v>
      </c>
      <c r="C7" s="479">
        <f>875463/10</f>
        <v>87546.3</v>
      </c>
      <c r="D7" s="479">
        <f>28938814/10</f>
        <v>2893881.4</v>
      </c>
      <c r="E7" s="505">
        <v>10919</v>
      </c>
      <c r="F7" s="130" t="s">
        <v>387</v>
      </c>
      <c r="G7" s="130" t="s">
        <v>387</v>
      </c>
      <c r="H7" s="507">
        <v>1505681.6</v>
      </c>
    </row>
    <row r="8" spans="1:13" x14ac:dyDescent="0.3">
      <c r="A8" s="277">
        <v>41760</v>
      </c>
      <c r="B8" s="132">
        <f t="shared" si="0"/>
        <v>1395749.3</v>
      </c>
      <c r="C8" s="479">
        <f>7230635/10</f>
        <v>723063.5</v>
      </c>
      <c r="D8" s="479">
        <f>6726858/10</f>
        <v>672685.8</v>
      </c>
      <c r="E8" s="505">
        <v>8074.3</v>
      </c>
      <c r="F8" s="130" t="s">
        <v>387</v>
      </c>
      <c r="G8" s="130" t="s">
        <v>387</v>
      </c>
      <c r="H8" s="507">
        <v>844881.1</v>
      </c>
    </row>
    <row r="9" spans="1:13" x14ac:dyDescent="0.3">
      <c r="A9" s="277">
        <v>41791</v>
      </c>
      <c r="B9" s="132">
        <f t="shared" si="0"/>
        <v>962563.8</v>
      </c>
      <c r="C9" s="479">
        <f>214409/10</f>
        <v>21440.9</v>
      </c>
      <c r="D9" s="479">
        <f>9411229/10</f>
        <v>941122.9</v>
      </c>
      <c r="E9" s="505">
        <v>7166.2</v>
      </c>
      <c r="F9" s="130" t="s">
        <v>387</v>
      </c>
      <c r="G9" s="130" t="s">
        <v>387</v>
      </c>
      <c r="H9" s="507">
        <v>837693.3</v>
      </c>
    </row>
    <row r="10" spans="1:13" x14ac:dyDescent="0.3">
      <c r="A10" s="277">
        <v>41821</v>
      </c>
      <c r="B10" s="132">
        <f t="shared" si="0"/>
        <v>828655.5</v>
      </c>
      <c r="C10" s="479">
        <v>-1048.0999999999999</v>
      </c>
      <c r="D10" s="479">
        <f>8297036/10</f>
        <v>829703.6</v>
      </c>
      <c r="E10" s="505">
        <v>9236.6</v>
      </c>
      <c r="F10" s="130" t="s">
        <v>387</v>
      </c>
      <c r="G10" s="130" t="s">
        <v>387</v>
      </c>
      <c r="H10" s="507">
        <v>755229.6</v>
      </c>
    </row>
    <row r="11" spans="1:13" x14ac:dyDescent="0.3">
      <c r="A11" s="277">
        <v>41852</v>
      </c>
      <c r="B11" s="132">
        <f t="shared" si="0"/>
        <v>779547.2</v>
      </c>
      <c r="C11" s="479">
        <f>3874807/10</f>
        <v>387480.7</v>
      </c>
      <c r="D11" s="479">
        <f>3920665/10</f>
        <v>392066.5</v>
      </c>
      <c r="E11" s="505">
        <v>10480.9</v>
      </c>
      <c r="F11" s="130" t="s">
        <v>387</v>
      </c>
      <c r="G11" s="130" t="s">
        <v>387</v>
      </c>
      <c r="H11" s="507">
        <v>778283.2</v>
      </c>
    </row>
    <row r="12" spans="1:13" x14ac:dyDescent="0.3">
      <c r="A12" s="277">
        <v>41883</v>
      </c>
      <c r="B12" s="132">
        <f t="shared" si="0"/>
        <v>782497.5</v>
      </c>
      <c r="C12" s="479">
        <v>6672.3</v>
      </c>
      <c r="D12" s="479">
        <v>775825.2</v>
      </c>
      <c r="E12" s="505">
        <v>13776.4</v>
      </c>
      <c r="F12" s="130" t="s">
        <v>387</v>
      </c>
      <c r="G12" s="130" t="s">
        <v>387</v>
      </c>
      <c r="H12" s="507">
        <v>781340.4</v>
      </c>
    </row>
    <row r="13" spans="1:13" x14ac:dyDescent="0.3">
      <c r="A13" s="277">
        <v>41913</v>
      </c>
      <c r="B13" s="132">
        <f t="shared" si="0"/>
        <v>1071670.6000000001</v>
      </c>
      <c r="C13" s="479">
        <v>88.1</v>
      </c>
      <c r="D13" s="479">
        <v>1071582.5</v>
      </c>
      <c r="E13" s="505">
        <v>17344.400000000001</v>
      </c>
      <c r="F13" s="130" t="s">
        <v>387</v>
      </c>
      <c r="G13" s="130" t="s">
        <v>387</v>
      </c>
      <c r="H13" s="507">
        <v>916848</v>
      </c>
    </row>
    <row r="14" spans="1:13" x14ac:dyDescent="0.3">
      <c r="A14" s="277">
        <v>41944</v>
      </c>
      <c r="B14" s="132">
        <f t="shared" si="0"/>
        <v>2590842.9</v>
      </c>
      <c r="C14" s="479">
        <v>1350252.7</v>
      </c>
      <c r="D14" s="479">
        <v>1240590.2</v>
      </c>
      <c r="E14" s="505">
        <v>33796.6</v>
      </c>
      <c r="F14" s="130" t="s">
        <v>387</v>
      </c>
      <c r="G14" s="130" t="s">
        <v>387</v>
      </c>
      <c r="H14" s="507">
        <v>1210206.7</v>
      </c>
    </row>
    <row r="15" spans="1:13" x14ac:dyDescent="0.3">
      <c r="A15" s="277">
        <v>41974</v>
      </c>
      <c r="B15" s="132">
        <f t="shared" si="0"/>
        <v>5040088</v>
      </c>
      <c r="C15" s="479">
        <v>48201</v>
      </c>
      <c r="D15" s="479">
        <v>4991887</v>
      </c>
      <c r="E15" s="505">
        <v>31458.2</v>
      </c>
      <c r="F15" s="130" t="s">
        <v>387</v>
      </c>
      <c r="G15" s="130" t="s">
        <v>387</v>
      </c>
      <c r="H15" s="507">
        <v>1222531</v>
      </c>
    </row>
    <row r="16" spans="1:13" x14ac:dyDescent="0.3">
      <c r="A16" s="277">
        <v>42005</v>
      </c>
      <c r="B16" s="132">
        <f t="shared" si="0"/>
        <v>6463268</v>
      </c>
      <c r="C16" s="479">
        <v>8915</v>
      </c>
      <c r="D16" s="479">
        <v>6454353</v>
      </c>
      <c r="E16" s="505">
        <v>29614.799999999999</v>
      </c>
      <c r="F16" s="130" t="s">
        <v>387</v>
      </c>
      <c r="G16" s="130" t="s">
        <v>387</v>
      </c>
      <c r="H16" s="507">
        <v>1466206.1</v>
      </c>
    </row>
    <row r="17" spans="1:8" x14ac:dyDescent="0.3">
      <c r="A17" s="277">
        <v>42036</v>
      </c>
      <c r="B17" s="132">
        <f t="shared" si="0"/>
        <v>6355917.5</v>
      </c>
      <c r="C17" s="479">
        <v>3140562.6</v>
      </c>
      <c r="D17" s="479">
        <v>3215354.9</v>
      </c>
      <c r="E17" s="505">
        <v>40053</v>
      </c>
      <c r="F17" s="130" t="s">
        <v>387</v>
      </c>
      <c r="G17" s="130" t="s">
        <v>387</v>
      </c>
      <c r="H17" s="507">
        <v>1420264.1</v>
      </c>
    </row>
    <row r="18" spans="1:8" x14ac:dyDescent="0.3">
      <c r="A18" s="277">
        <v>42064</v>
      </c>
      <c r="B18" s="132">
        <f t="shared" si="0"/>
        <v>6227552.2000000002</v>
      </c>
      <c r="C18" s="479">
        <v>66704.3</v>
      </c>
      <c r="D18" s="479">
        <v>6160847.9000000004</v>
      </c>
      <c r="E18" s="505">
        <v>46083.4</v>
      </c>
      <c r="F18" s="130" t="s">
        <v>387</v>
      </c>
      <c r="G18" s="130" t="s">
        <v>387</v>
      </c>
      <c r="H18" s="507">
        <v>1456559.9</v>
      </c>
    </row>
    <row r="19" spans="1:8" x14ac:dyDescent="0.3">
      <c r="A19" s="277">
        <v>42095</v>
      </c>
      <c r="B19" s="132">
        <f t="shared" si="0"/>
        <v>2395537.1</v>
      </c>
      <c r="C19" s="479">
        <v>5837.9</v>
      </c>
      <c r="D19" s="479">
        <v>2389699.2000000002</v>
      </c>
      <c r="E19" s="505">
        <v>62130.400000000001</v>
      </c>
      <c r="F19" s="130" t="s">
        <v>387</v>
      </c>
      <c r="G19" s="130" t="s">
        <v>387</v>
      </c>
      <c r="H19" s="507">
        <v>1308898.8999999999</v>
      </c>
    </row>
    <row r="20" spans="1:8" x14ac:dyDescent="0.3">
      <c r="A20" s="277">
        <v>42125</v>
      </c>
      <c r="B20" s="132">
        <f t="shared" si="0"/>
        <v>1228564.8999999999</v>
      </c>
      <c r="C20" s="479">
        <v>680294.9</v>
      </c>
      <c r="D20" s="479">
        <v>548270</v>
      </c>
      <c r="E20" s="505">
        <v>38797.800000000003</v>
      </c>
      <c r="F20" s="130" t="s">
        <v>387</v>
      </c>
      <c r="G20" s="130" t="s">
        <v>387</v>
      </c>
      <c r="H20" s="507">
        <v>684381.7</v>
      </c>
    </row>
    <row r="21" spans="1:8" x14ac:dyDescent="0.3">
      <c r="A21" s="277">
        <v>42156</v>
      </c>
      <c r="B21" s="132">
        <f t="shared" si="0"/>
        <v>874302.5</v>
      </c>
      <c r="C21" s="479">
        <v>3999</v>
      </c>
      <c r="D21" s="479">
        <v>870303.5</v>
      </c>
      <c r="E21" s="505">
        <v>46645.7</v>
      </c>
      <c r="F21" s="130" t="s">
        <v>387</v>
      </c>
      <c r="G21" s="130" t="s">
        <v>387</v>
      </c>
      <c r="H21" s="507">
        <v>790511.9</v>
      </c>
    </row>
    <row r="22" spans="1:8" x14ac:dyDescent="0.3">
      <c r="A22" s="277">
        <v>42186</v>
      </c>
      <c r="B22" s="132">
        <f t="shared" si="0"/>
        <v>712691.29999999993</v>
      </c>
      <c r="C22" s="479">
        <v>2010.2</v>
      </c>
      <c r="D22" s="479">
        <v>710681.1</v>
      </c>
      <c r="E22" s="505">
        <v>52580.5</v>
      </c>
      <c r="F22" s="130" t="s">
        <v>387</v>
      </c>
      <c r="G22" s="130" t="s">
        <v>387</v>
      </c>
      <c r="H22" s="507">
        <v>811242.6</v>
      </c>
    </row>
    <row r="23" spans="1:8" x14ac:dyDescent="0.3">
      <c r="A23" s="277">
        <v>42217</v>
      </c>
      <c r="B23" s="132">
        <f t="shared" si="0"/>
        <v>755644</v>
      </c>
      <c r="C23" s="479">
        <v>388882.7</v>
      </c>
      <c r="D23" s="479">
        <v>366761.3</v>
      </c>
      <c r="E23" s="505">
        <v>48097.8</v>
      </c>
      <c r="F23" s="130" t="s">
        <v>387</v>
      </c>
      <c r="G23" s="130" t="s">
        <v>387</v>
      </c>
      <c r="H23" s="507">
        <v>870918.5</v>
      </c>
    </row>
    <row r="24" spans="1:8" x14ac:dyDescent="0.3">
      <c r="A24" s="277">
        <v>42248</v>
      </c>
      <c r="B24" s="132">
        <f t="shared" si="0"/>
        <v>780404.8</v>
      </c>
      <c r="C24" s="479">
        <v>37369.5</v>
      </c>
      <c r="D24" s="479">
        <v>743035.3</v>
      </c>
      <c r="E24" s="505">
        <v>48747.6</v>
      </c>
      <c r="F24" s="496" t="s">
        <v>387</v>
      </c>
      <c r="G24" s="496" t="s">
        <v>387</v>
      </c>
      <c r="H24" s="507">
        <v>839279.3</v>
      </c>
    </row>
    <row r="25" spans="1:8" x14ac:dyDescent="0.3">
      <c r="A25" s="277">
        <v>42278</v>
      </c>
      <c r="B25" s="132">
        <f t="shared" si="0"/>
        <v>939620.8</v>
      </c>
      <c r="C25" s="479">
        <v>-195.5</v>
      </c>
      <c r="D25" s="479">
        <v>939816.3</v>
      </c>
      <c r="E25" s="505">
        <v>48234.400000000001</v>
      </c>
      <c r="F25" s="496" t="s">
        <v>387</v>
      </c>
      <c r="G25" s="496" t="s">
        <v>387</v>
      </c>
      <c r="H25" s="507">
        <v>1243523.6000000001</v>
      </c>
    </row>
    <row r="26" spans="1:8" x14ac:dyDescent="0.3">
      <c r="A26" s="277">
        <v>42309</v>
      </c>
      <c r="B26" s="132">
        <f t="shared" si="0"/>
        <v>1706623.8</v>
      </c>
      <c r="C26" s="479">
        <v>911151.5</v>
      </c>
      <c r="D26" s="479">
        <v>795472.3</v>
      </c>
      <c r="E26" s="505">
        <v>59109.5</v>
      </c>
      <c r="F26" s="496" t="s">
        <v>387</v>
      </c>
      <c r="G26" s="496" t="s">
        <v>387</v>
      </c>
      <c r="H26" s="507">
        <v>1213142.5</v>
      </c>
    </row>
    <row r="27" spans="1:8" x14ac:dyDescent="0.3">
      <c r="A27" s="277">
        <v>42339</v>
      </c>
      <c r="B27" s="132">
        <f t="shared" si="0"/>
        <v>3396567.1000000006</v>
      </c>
      <c r="C27" s="479">
        <v>30017.49</v>
      </c>
      <c r="D27" s="479">
        <v>3366549.6100000003</v>
      </c>
      <c r="E27" s="505">
        <v>51325.4</v>
      </c>
      <c r="F27" s="496" t="s">
        <v>387</v>
      </c>
      <c r="G27" s="496" t="s">
        <v>387</v>
      </c>
      <c r="H27" s="507">
        <v>1139582</v>
      </c>
    </row>
    <row r="28" spans="1:8" x14ac:dyDescent="0.3">
      <c r="A28" s="277">
        <v>42370</v>
      </c>
      <c r="B28" s="132">
        <f t="shared" si="0"/>
        <v>5101869.9999999991</v>
      </c>
      <c r="C28" s="479">
        <v>1851.5433333333101</v>
      </c>
      <c r="D28" s="479">
        <v>5100018.4566666661</v>
      </c>
      <c r="E28" s="505">
        <v>38913.599999999999</v>
      </c>
      <c r="F28" s="496" t="s">
        <v>387</v>
      </c>
      <c r="G28" s="496" t="s">
        <v>387</v>
      </c>
      <c r="H28" s="507">
        <v>1550541.1</v>
      </c>
    </row>
    <row r="29" spans="1:8" x14ac:dyDescent="0.3">
      <c r="A29" s="277">
        <v>42401</v>
      </c>
      <c r="B29" s="132">
        <f t="shared" si="0"/>
        <v>5755793.8000000007</v>
      </c>
      <c r="C29" s="479">
        <v>2948636.3137931032</v>
      </c>
      <c r="D29" s="479">
        <v>2807157.4862068971</v>
      </c>
      <c r="E29" s="505">
        <v>44357.599999999999</v>
      </c>
      <c r="F29" s="496" t="s">
        <v>387</v>
      </c>
      <c r="G29" s="496" t="s">
        <v>387</v>
      </c>
      <c r="H29" s="507">
        <v>1334142.3999999999</v>
      </c>
    </row>
    <row r="30" spans="1:8" x14ac:dyDescent="0.3">
      <c r="A30" s="277">
        <v>42430</v>
      </c>
      <c r="B30" s="132">
        <f t="shared" si="0"/>
        <v>3951842.2</v>
      </c>
      <c r="C30" s="479">
        <v>21564.2</v>
      </c>
      <c r="D30" s="479">
        <v>3930278</v>
      </c>
      <c r="E30" s="506">
        <v>62703.9</v>
      </c>
      <c r="F30" s="496" t="s">
        <v>387</v>
      </c>
      <c r="G30" s="496" t="s">
        <v>387</v>
      </c>
      <c r="H30" s="507">
        <v>1149144.5</v>
      </c>
    </row>
    <row r="31" spans="1:8" x14ac:dyDescent="0.3">
      <c r="A31" s="277">
        <v>42461</v>
      </c>
      <c r="B31" s="132">
        <f t="shared" si="0"/>
        <v>2284040.8000000003</v>
      </c>
      <c r="C31" s="479">
        <v>-192.9</v>
      </c>
      <c r="D31" s="479">
        <v>2284233.7000000002</v>
      </c>
      <c r="E31" s="506">
        <v>48217.2</v>
      </c>
      <c r="F31" s="496" t="s">
        <v>387</v>
      </c>
      <c r="G31" s="496" t="s">
        <v>387</v>
      </c>
      <c r="H31" s="507">
        <v>946160.2</v>
      </c>
    </row>
    <row r="32" spans="1:8" x14ac:dyDescent="0.3">
      <c r="A32" s="277">
        <v>42491</v>
      </c>
      <c r="B32" s="132">
        <f t="shared" si="0"/>
        <v>1293125.8999999999</v>
      </c>
      <c r="C32" s="479">
        <v>761452.1</v>
      </c>
      <c r="D32" s="479">
        <v>531673.80000000005</v>
      </c>
      <c r="E32" s="506">
        <v>60031.700000000004</v>
      </c>
      <c r="F32" s="497"/>
      <c r="G32" s="497"/>
      <c r="H32" s="506">
        <v>997249.19999999949</v>
      </c>
    </row>
    <row r="33" spans="1:10" x14ac:dyDescent="0.3">
      <c r="A33" s="277">
        <v>42522</v>
      </c>
      <c r="B33" s="132">
        <f t="shared" si="0"/>
        <v>985404.8</v>
      </c>
      <c r="C33" s="479">
        <v>-24004</v>
      </c>
      <c r="D33" s="479">
        <v>1009408.8</v>
      </c>
      <c r="E33" s="506">
        <v>63204.2</v>
      </c>
      <c r="F33" s="497"/>
      <c r="G33" s="497"/>
      <c r="H33" s="506">
        <v>1003164.8000000003</v>
      </c>
    </row>
    <row r="34" spans="1:10" x14ac:dyDescent="0.3">
      <c r="A34" s="277">
        <v>42552</v>
      </c>
      <c r="B34" s="132">
        <f t="shared" si="0"/>
        <v>733329.6</v>
      </c>
      <c r="C34" s="479">
        <v>-2543.8000000000002</v>
      </c>
      <c r="D34" s="479">
        <v>735873.4</v>
      </c>
      <c r="E34" s="506">
        <v>66386.900000000009</v>
      </c>
      <c r="F34" s="497"/>
      <c r="G34" s="497"/>
      <c r="H34" s="506">
        <v>955069.90000000037</v>
      </c>
    </row>
    <row r="35" spans="1:10" x14ac:dyDescent="0.3">
      <c r="A35" s="277">
        <v>42583</v>
      </c>
      <c r="B35" s="132">
        <f t="shared" si="0"/>
        <v>692908.5</v>
      </c>
      <c r="C35" s="479">
        <v>331185.3</v>
      </c>
      <c r="D35" s="479">
        <v>361723.2</v>
      </c>
      <c r="E35" s="506">
        <v>68114.100000000006</v>
      </c>
      <c r="F35" s="497"/>
      <c r="G35" s="497"/>
      <c r="H35" s="506">
        <v>876335.09999999986</v>
      </c>
    </row>
    <row r="36" spans="1:10" x14ac:dyDescent="0.3">
      <c r="A36" s="277">
        <v>42614</v>
      </c>
      <c r="B36" s="132">
        <f t="shared" si="0"/>
        <v>743780.79999999993</v>
      </c>
      <c r="C36" s="479">
        <v>38101.599999999999</v>
      </c>
      <c r="D36" s="479">
        <v>705679.2</v>
      </c>
      <c r="E36" s="506">
        <v>57661.3</v>
      </c>
      <c r="F36" s="497"/>
      <c r="G36" s="497"/>
      <c r="H36" s="506">
        <v>919238.3000000004</v>
      </c>
    </row>
    <row r="37" spans="1:10" x14ac:dyDescent="0.3">
      <c r="A37" s="277">
        <v>42644</v>
      </c>
      <c r="B37" s="132">
        <f t="shared" si="0"/>
        <v>756617.3</v>
      </c>
      <c r="C37" s="479">
        <v>-1307.7</v>
      </c>
      <c r="D37" s="479">
        <v>757925</v>
      </c>
      <c r="E37" s="506">
        <v>57444.7</v>
      </c>
      <c r="F37" s="497"/>
      <c r="G37" s="497"/>
      <c r="H37" s="506">
        <v>946073.50000000012</v>
      </c>
    </row>
    <row r="38" spans="1:10" x14ac:dyDescent="0.3">
      <c r="A38" s="277">
        <v>42675</v>
      </c>
      <c r="B38" s="132">
        <f t="shared" si="0"/>
        <v>1530329.5</v>
      </c>
      <c r="C38" s="479">
        <v>725498.4</v>
      </c>
      <c r="D38" s="479">
        <v>804831.1</v>
      </c>
      <c r="E38" s="506">
        <v>55279.3</v>
      </c>
      <c r="F38" s="3"/>
      <c r="G38" s="3"/>
      <c r="H38" s="506">
        <v>1104299.3</v>
      </c>
      <c r="J38" s="6"/>
    </row>
    <row r="39" spans="1:10" x14ac:dyDescent="0.3">
      <c r="A39" s="277">
        <v>42705</v>
      </c>
      <c r="B39" s="132">
        <f t="shared" si="0"/>
        <v>4306093.4000000004</v>
      </c>
      <c r="C39" s="479">
        <v>80981.2</v>
      </c>
      <c r="D39" s="479">
        <v>4225112.2</v>
      </c>
      <c r="E39" s="506">
        <v>48387</v>
      </c>
      <c r="F39" s="3"/>
      <c r="G39" s="3"/>
      <c r="H39" s="506">
        <v>1438293.6</v>
      </c>
      <c r="J39" s="6"/>
    </row>
    <row r="40" spans="1:10" x14ac:dyDescent="0.3">
      <c r="A40" s="277">
        <v>42736</v>
      </c>
      <c r="B40" s="132">
        <f t="shared" si="0"/>
        <v>5551143</v>
      </c>
      <c r="C40" s="479">
        <v>13960.5</v>
      </c>
      <c r="D40" s="479">
        <v>5537182.5</v>
      </c>
      <c r="E40" s="506">
        <v>39568.300000000003</v>
      </c>
      <c r="F40" s="3"/>
      <c r="G40" s="3"/>
      <c r="H40" s="506">
        <v>1414213.5</v>
      </c>
      <c r="J40" s="6"/>
    </row>
    <row r="41" spans="1:10" x14ac:dyDescent="0.3">
      <c r="A41" s="277">
        <v>42767</v>
      </c>
      <c r="B41" s="132">
        <f t="shared" si="0"/>
        <v>4168435</v>
      </c>
      <c r="C41" s="504">
        <v>2245129.2000000002</v>
      </c>
      <c r="D41" s="504">
        <v>1923305.8</v>
      </c>
      <c r="E41" s="506">
        <v>36948.399999999994</v>
      </c>
      <c r="F41" s="3"/>
      <c r="G41" s="3"/>
      <c r="H41" s="506">
        <v>1144202.1999999997</v>
      </c>
    </row>
    <row r="42" spans="1:10" x14ac:dyDescent="0.3">
      <c r="A42" s="277">
        <v>42795</v>
      </c>
      <c r="B42" s="132">
        <f t="shared" si="0"/>
        <v>3270421.2392857103</v>
      </c>
      <c r="C42" s="505">
        <v>32074.6</v>
      </c>
      <c r="D42" s="505">
        <v>3238346.6392857102</v>
      </c>
      <c r="E42" s="506">
        <v>40814.300000000003</v>
      </c>
      <c r="F42" s="3"/>
      <c r="G42" s="3"/>
      <c r="H42" s="506">
        <v>1315531.9000000004</v>
      </c>
    </row>
    <row r="43" spans="1:10" x14ac:dyDescent="0.3">
      <c r="A43" s="277">
        <v>42826</v>
      </c>
      <c r="B43" s="132">
        <f t="shared" si="0"/>
        <v>2342627.1</v>
      </c>
      <c r="C43" s="505">
        <v>12936.7</v>
      </c>
      <c r="D43" s="505">
        <v>2329690.4</v>
      </c>
      <c r="E43" s="506">
        <v>40503.400000000009</v>
      </c>
      <c r="F43" s="3"/>
      <c r="G43" s="3"/>
      <c r="H43" s="506">
        <v>921728.1999999996</v>
      </c>
    </row>
    <row r="44" spans="1:10" x14ac:dyDescent="0.3">
      <c r="A44" s="277">
        <v>42856</v>
      </c>
      <c r="B44" s="132">
        <f t="shared" si="0"/>
        <v>1213560</v>
      </c>
      <c r="C44" s="505">
        <v>686289</v>
      </c>
      <c r="D44" s="505">
        <v>527271</v>
      </c>
      <c r="E44" s="506">
        <v>43878.400000000001</v>
      </c>
      <c r="F44" s="3"/>
      <c r="G44" s="3"/>
      <c r="H44" s="506">
        <v>915798.99999999965</v>
      </c>
    </row>
    <row r="45" spans="1:10" x14ac:dyDescent="0.3">
      <c r="A45" s="277">
        <v>42887</v>
      </c>
      <c r="B45" s="132">
        <f t="shared" ref="B45:B65" si="1">SUM(C45:D45)</f>
        <v>953320.2</v>
      </c>
      <c r="C45" s="505">
        <v>-29289.8</v>
      </c>
      <c r="D45" s="505">
        <v>982610</v>
      </c>
      <c r="E45" s="506">
        <v>54708.800000000003</v>
      </c>
      <c r="F45" s="3"/>
      <c r="G45" s="3"/>
      <c r="H45" s="506">
        <v>756321.6</v>
      </c>
    </row>
    <row r="46" spans="1:10" x14ac:dyDescent="0.3">
      <c r="A46" s="277">
        <v>42917</v>
      </c>
      <c r="B46" s="132">
        <f t="shared" si="1"/>
        <v>690751.8</v>
      </c>
      <c r="C46" s="505">
        <v>-16222.5</v>
      </c>
      <c r="D46" s="505">
        <v>706974.3</v>
      </c>
      <c r="E46" s="506">
        <v>48362.000000000007</v>
      </c>
      <c r="F46" s="3"/>
      <c r="G46" s="3"/>
      <c r="H46" s="506">
        <v>716804.49999999977</v>
      </c>
    </row>
    <row r="47" spans="1:10" x14ac:dyDescent="0.3">
      <c r="A47" s="277">
        <v>42948</v>
      </c>
      <c r="B47" s="132">
        <f t="shared" si="1"/>
        <v>718478.3</v>
      </c>
      <c r="C47" s="505">
        <v>355634.1</v>
      </c>
      <c r="D47" s="505">
        <v>362844.2</v>
      </c>
      <c r="E47" s="506">
        <v>45766</v>
      </c>
      <c r="F47" s="3"/>
      <c r="G47" s="3"/>
      <c r="H47" s="506">
        <v>840284.59999999974</v>
      </c>
    </row>
    <row r="48" spans="1:10" x14ac:dyDescent="0.3">
      <c r="A48" s="277">
        <v>42979</v>
      </c>
      <c r="B48" s="132">
        <f t="shared" si="1"/>
        <v>744894.2</v>
      </c>
      <c r="C48" s="505">
        <v>1356</v>
      </c>
      <c r="D48" s="505">
        <v>743538.2</v>
      </c>
      <c r="E48" s="505">
        <v>35794.299999999996</v>
      </c>
      <c r="H48" s="506">
        <v>772573.20000000042</v>
      </c>
    </row>
    <row r="49" spans="1:8" x14ac:dyDescent="0.3">
      <c r="A49" s="277">
        <v>43009</v>
      </c>
      <c r="B49" s="132">
        <f t="shared" si="1"/>
        <v>840387.5</v>
      </c>
      <c r="C49" s="505">
        <v>775.5</v>
      </c>
      <c r="D49" s="505">
        <v>839612</v>
      </c>
      <c r="E49" s="505">
        <v>46965.4</v>
      </c>
      <c r="H49" s="506">
        <v>953232.1</v>
      </c>
    </row>
    <row r="50" spans="1:8" x14ac:dyDescent="0.3">
      <c r="A50" s="277">
        <v>43040</v>
      </c>
      <c r="B50" s="132">
        <f t="shared" si="1"/>
        <v>2259484.9000000004</v>
      </c>
      <c r="C50" s="505">
        <v>1001146.8</v>
      </c>
      <c r="D50" s="505">
        <v>1258338.1000000001</v>
      </c>
      <c r="E50" s="505">
        <v>71898.899999999994</v>
      </c>
      <c r="H50" s="506">
        <v>1247351.9999999995</v>
      </c>
    </row>
    <row r="51" spans="1:8" x14ac:dyDescent="0.3">
      <c r="A51" s="277">
        <v>43070</v>
      </c>
      <c r="B51" s="132">
        <f t="shared" si="1"/>
        <v>4228872.7</v>
      </c>
      <c r="C51" s="505">
        <v>190745.5</v>
      </c>
      <c r="D51" s="505">
        <v>4038127.2</v>
      </c>
      <c r="E51" s="505">
        <v>64229.900000000009</v>
      </c>
      <c r="H51" s="506">
        <v>1431459</v>
      </c>
    </row>
    <row r="52" spans="1:8" x14ac:dyDescent="0.3">
      <c r="A52" s="277">
        <v>43101</v>
      </c>
      <c r="B52" s="132">
        <f t="shared" si="1"/>
        <v>7315147.2000000002</v>
      </c>
      <c r="C52" s="505">
        <v>28073.3</v>
      </c>
      <c r="D52" s="505">
        <v>7287073.9000000004</v>
      </c>
      <c r="E52" s="505">
        <v>43872.100000000006</v>
      </c>
      <c r="H52" s="506">
        <v>1669754.7000000002</v>
      </c>
    </row>
    <row r="53" spans="1:8" x14ac:dyDescent="0.3">
      <c r="A53" s="277">
        <v>43132</v>
      </c>
      <c r="B53" s="132">
        <f t="shared" si="1"/>
        <v>5484180.5999999996</v>
      </c>
      <c r="C53" s="505">
        <v>2955290.3</v>
      </c>
      <c r="D53" s="505">
        <v>2528890.2999999998</v>
      </c>
      <c r="E53" s="505">
        <v>25385.3</v>
      </c>
      <c r="H53" s="506">
        <v>1268158.8</v>
      </c>
    </row>
    <row r="54" spans="1:8" x14ac:dyDescent="0.3">
      <c r="A54" s="277">
        <v>43160</v>
      </c>
      <c r="B54" s="132">
        <f t="shared" si="1"/>
        <v>3758171.9</v>
      </c>
      <c r="C54" s="505">
        <v>18600.099999999999</v>
      </c>
      <c r="D54" s="505">
        <v>3739571.8</v>
      </c>
      <c r="E54" s="505">
        <v>47315.5</v>
      </c>
      <c r="H54" s="506">
        <v>1432002.6</v>
      </c>
    </row>
    <row r="55" spans="1:8" x14ac:dyDescent="0.3">
      <c r="A55" s="277">
        <v>43191</v>
      </c>
      <c r="B55" s="132">
        <f t="shared" si="1"/>
        <v>3574415.6</v>
      </c>
      <c r="C55" s="505">
        <v>13452</v>
      </c>
      <c r="D55" s="505">
        <v>3560963.6</v>
      </c>
      <c r="E55" s="505">
        <v>49975.5</v>
      </c>
      <c r="H55" s="506">
        <v>1183734.8000000003</v>
      </c>
    </row>
    <row r="56" spans="1:8" x14ac:dyDescent="0.3">
      <c r="A56" s="277">
        <v>43221</v>
      </c>
      <c r="B56" s="132">
        <f t="shared" si="1"/>
        <v>1717818.4</v>
      </c>
      <c r="C56" s="505">
        <v>999212.2</v>
      </c>
      <c r="D56" s="505">
        <v>718606.2</v>
      </c>
      <c r="E56" s="505">
        <v>58553.2</v>
      </c>
      <c r="H56" s="506">
        <v>904837.89999999944</v>
      </c>
    </row>
    <row r="57" spans="1:8" x14ac:dyDescent="0.3">
      <c r="A57" s="277">
        <v>43252</v>
      </c>
      <c r="B57" s="132">
        <f t="shared" si="1"/>
        <v>804407.9</v>
      </c>
      <c r="C57" s="505">
        <v>17672.5</v>
      </c>
      <c r="D57" s="505">
        <v>786735.4</v>
      </c>
      <c r="E57" s="505">
        <v>55149.7</v>
      </c>
      <c r="H57" s="506">
        <v>821425.50000000035</v>
      </c>
    </row>
    <row r="58" spans="1:8" x14ac:dyDescent="0.3">
      <c r="A58" s="277">
        <v>43282</v>
      </c>
      <c r="B58" s="132">
        <f t="shared" si="1"/>
        <v>711177.6</v>
      </c>
      <c r="C58" s="505">
        <v>691707.5</v>
      </c>
      <c r="D58" s="505">
        <v>19470.099999999999</v>
      </c>
      <c r="E58" s="505">
        <v>47377.000000000007</v>
      </c>
      <c r="H58" s="506">
        <v>788728.29999999981</v>
      </c>
    </row>
    <row r="59" spans="1:8" x14ac:dyDescent="0.3">
      <c r="A59" s="277">
        <v>43313</v>
      </c>
      <c r="B59" s="132">
        <f t="shared" si="1"/>
        <v>685611.4</v>
      </c>
      <c r="C59" s="505">
        <v>310354.90000000002</v>
      </c>
      <c r="D59" s="505">
        <v>375256.5</v>
      </c>
      <c r="E59" s="505">
        <v>60415.3</v>
      </c>
      <c r="H59" s="506">
        <v>775443.69999999984</v>
      </c>
    </row>
    <row r="60" spans="1:8" x14ac:dyDescent="0.3">
      <c r="A60" s="277">
        <v>43344</v>
      </c>
      <c r="B60" s="132">
        <f t="shared" si="1"/>
        <v>715644</v>
      </c>
      <c r="C60" s="505">
        <v>9481.6</v>
      </c>
      <c r="D60" s="505">
        <v>706162.4</v>
      </c>
      <c r="E60" s="505">
        <v>62054.6</v>
      </c>
      <c r="H60" s="506">
        <v>803754.6</v>
      </c>
    </row>
    <row r="61" spans="1:8" x14ac:dyDescent="0.3">
      <c r="A61" s="277">
        <v>43374</v>
      </c>
      <c r="B61" s="132">
        <f t="shared" si="1"/>
        <v>1074864.5999999999</v>
      </c>
      <c r="C61" s="505">
        <v>2196.1999999999998</v>
      </c>
      <c r="D61" s="505">
        <v>1072668.3999999999</v>
      </c>
      <c r="E61" s="505">
        <v>71891.399999999994</v>
      </c>
      <c r="H61" s="506">
        <v>1080228.7</v>
      </c>
    </row>
    <row r="62" spans="1:8" x14ac:dyDescent="0.3">
      <c r="A62" s="277">
        <v>43405</v>
      </c>
      <c r="B62" s="132">
        <f t="shared" si="1"/>
        <v>2736023.9</v>
      </c>
      <c r="C62" s="505">
        <v>1167553.5</v>
      </c>
      <c r="D62" s="505">
        <v>1568470.4</v>
      </c>
      <c r="E62" s="505">
        <v>42525</v>
      </c>
      <c r="H62" s="506">
        <v>1394920.4999999998</v>
      </c>
    </row>
    <row r="63" spans="1:8" x14ac:dyDescent="0.3">
      <c r="A63" s="277">
        <v>43435</v>
      </c>
      <c r="B63" s="132">
        <f t="shared" si="1"/>
        <v>4747676.1000000006</v>
      </c>
      <c r="C63" s="505">
        <v>58966.400000000001</v>
      </c>
      <c r="D63" s="505">
        <v>4688709.7</v>
      </c>
      <c r="E63" s="505">
        <v>29030.399999999998</v>
      </c>
      <c r="H63" s="506">
        <v>1418792.7000000002</v>
      </c>
    </row>
    <row r="64" spans="1:8" x14ac:dyDescent="0.3">
      <c r="A64" s="277">
        <v>43466</v>
      </c>
      <c r="B64" s="132">
        <f t="shared" si="1"/>
        <v>5209144.6000000006</v>
      </c>
      <c r="C64" s="505">
        <v>19312.2</v>
      </c>
      <c r="D64" s="505">
        <v>5189832.4000000004</v>
      </c>
      <c r="E64" s="505">
        <v>12021.099999999999</v>
      </c>
      <c r="H64" s="506">
        <v>1678701.0999999996</v>
      </c>
    </row>
    <row r="65" spans="1:8" x14ac:dyDescent="0.3">
      <c r="A65" s="277">
        <v>43497</v>
      </c>
      <c r="B65" s="132">
        <f t="shared" si="1"/>
        <v>5879594.9000000004</v>
      </c>
      <c r="C65" s="505">
        <v>2943537.6</v>
      </c>
      <c r="D65" s="505">
        <v>2936057.3</v>
      </c>
      <c r="E65" s="505">
        <v>4909</v>
      </c>
      <c r="H65" s="506">
        <v>1421391.6</v>
      </c>
    </row>
    <row r="66" spans="1:8" x14ac:dyDescent="0.3">
      <c r="A66" s="277">
        <v>43525</v>
      </c>
      <c r="B66" s="132">
        <f t="shared" ref="B66:B86" si="2">SUM(C66:D66)</f>
        <v>4866844.2</v>
      </c>
      <c r="C66" s="505">
        <v>5396.7</v>
      </c>
      <c r="D66" s="505">
        <v>4861447.5</v>
      </c>
      <c r="E66" s="505">
        <v>13299.199999999999</v>
      </c>
      <c r="H66" s="506">
        <v>1444982.8000000003</v>
      </c>
    </row>
    <row r="67" spans="1:8" x14ac:dyDescent="0.3">
      <c r="A67" s="277">
        <v>43556</v>
      </c>
      <c r="B67" s="132">
        <f t="shared" si="2"/>
        <v>2742152.5</v>
      </c>
      <c r="C67" s="505">
        <v>1167</v>
      </c>
      <c r="D67" s="505">
        <v>2740985.5</v>
      </c>
      <c r="E67" s="505">
        <v>36260.5</v>
      </c>
      <c r="H67" s="506">
        <v>1088354.5000000002</v>
      </c>
    </row>
    <row r="68" spans="1:8" x14ac:dyDescent="0.3">
      <c r="A68" s="277">
        <v>43586</v>
      </c>
      <c r="B68" s="132">
        <f t="shared" si="2"/>
        <v>1295028.3999999999</v>
      </c>
      <c r="C68" s="505">
        <v>712344.8</v>
      </c>
      <c r="D68" s="505">
        <v>582683.6</v>
      </c>
      <c r="E68" s="505">
        <v>36467</v>
      </c>
      <c r="H68" s="506">
        <v>981057.20000000019</v>
      </c>
    </row>
    <row r="69" spans="1:8" x14ac:dyDescent="0.3">
      <c r="A69" s="277">
        <v>43617</v>
      </c>
      <c r="B69" s="132">
        <f t="shared" si="2"/>
        <v>825371.1</v>
      </c>
      <c r="C69" s="505">
        <v>12729.2</v>
      </c>
      <c r="D69" s="505">
        <v>812641.9</v>
      </c>
      <c r="E69" s="505">
        <v>33022.6</v>
      </c>
      <c r="H69" s="506">
        <v>897842.49999999965</v>
      </c>
    </row>
    <row r="70" spans="1:8" x14ac:dyDescent="0.3">
      <c r="A70" s="277">
        <v>43647</v>
      </c>
      <c r="B70" s="132">
        <f t="shared" si="2"/>
        <v>702726.8</v>
      </c>
      <c r="C70" s="505">
        <v>-1864.5</v>
      </c>
      <c r="D70" s="505">
        <v>704591.3</v>
      </c>
      <c r="E70" s="505">
        <v>29285.5</v>
      </c>
      <c r="H70" s="506">
        <v>826414.2</v>
      </c>
    </row>
    <row r="71" spans="1:8" x14ac:dyDescent="0.3">
      <c r="A71" s="277">
        <v>43678</v>
      </c>
      <c r="B71" s="132">
        <f t="shared" si="2"/>
        <v>645750.69999999995</v>
      </c>
      <c r="C71" s="505">
        <v>336861.2</v>
      </c>
      <c r="D71" s="505">
        <v>308889.5</v>
      </c>
      <c r="E71" s="505">
        <v>44427.100000000006</v>
      </c>
      <c r="H71" s="506">
        <v>812061.09999999986</v>
      </c>
    </row>
    <row r="72" spans="1:8" x14ac:dyDescent="0.3">
      <c r="A72" s="277">
        <v>43709</v>
      </c>
      <c r="B72" s="132">
        <f t="shared" si="2"/>
        <v>665202.89999999991</v>
      </c>
      <c r="C72" s="505">
        <v>1232.7</v>
      </c>
      <c r="D72" s="505">
        <v>663970.19999999995</v>
      </c>
      <c r="E72" s="505">
        <v>62264.80000000001</v>
      </c>
      <c r="H72" s="506">
        <v>850497.50000000023</v>
      </c>
    </row>
    <row r="73" spans="1:8" x14ac:dyDescent="0.3">
      <c r="A73" s="277">
        <v>43739</v>
      </c>
      <c r="B73" s="132">
        <f t="shared" si="2"/>
        <v>819786</v>
      </c>
      <c r="C73" s="505">
        <v>-1112.7</v>
      </c>
      <c r="D73" s="505">
        <v>820898.7</v>
      </c>
      <c r="E73" s="505">
        <v>63703.9</v>
      </c>
      <c r="H73" s="506">
        <v>1127313.6000000001</v>
      </c>
    </row>
    <row r="74" spans="1:8" x14ac:dyDescent="0.3">
      <c r="A74" s="277">
        <v>43770</v>
      </c>
      <c r="B74" s="132">
        <f t="shared" si="2"/>
        <v>2484181.5</v>
      </c>
      <c r="C74" s="505">
        <v>1196569.1000000001</v>
      </c>
      <c r="D74" s="505">
        <v>1287612.3999999999</v>
      </c>
      <c r="E74" s="505">
        <v>53399.9</v>
      </c>
      <c r="H74" s="506">
        <v>1347937.3000000003</v>
      </c>
    </row>
    <row r="75" spans="1:8" x14ac:dyDescent="0.3">
      <c r="A75" s="277">
        <v>43800</v>
      </c>
      <c r="B75" s="132">
        <f t="shared" si="2"/>
        <v>4914992.7</v>
      </c>
      <c r="C75" s="505">
        <v>130919.4</v>
      </c>
      <c r="D75" s="505">
        <v>4784073.3</v>
      </c>
      <c r="E75" s="505">
        <v>36610</v>
      </c>
      <c r="H75" s="506">
        <v>1430878.8</v>
      </c>
    </row>
    <row r="76" spans="1:8" x14ac:dyDescent="0.3">
      <c r="A76" s="277">
        <v>43831</v>
      </c>
      <c r="B76" s="132">
        <f t="shared" si="2"/>
        <v>4666287.8</v>
      </c>
      <c r="C76" s="505">
        <v>846.5</v>
      </c>
      <c r="D76" s="505">
        <v>4665441.3</v>
      </c>
      <c r="E76" s="505">
        <v>48318.1</v>
      </c>
      <c r="H76" s="506">
        <v>1497866.7</v>
      </c>
    </row>
    <row r="77" spans="1:8" x14ac:dyDescent="0.3">
      <c r="A77" s="277">
        <v>43862</v>
      </c>
      <c r="B77" s="132">
        <f t="shared" si="2"/>
        <v>4895025.5999999996</v>
      </c>
      <c r="C77" s="505">
        <v>2534081.5</v>
      </c>
      <c r="D77" s="505">
        <v>2360944.1</v>
      </c>
      <c r="E77" s="505">
        <v>24878.199999999997</v>
      </c>
      <c r="H77" s="506">
        <v>1485084.9000000004</v>
      </c>
    </row>
    <row r="78" spans="1:8" x14ac:dyDescent="0.3">
      <c r="A78" s="277">
        <v>43891</v>
      </c>
      <c r="B78" s="132">
        <f t="shared" si="2"/>
        <v>4167631.8</v>
      </c>
      <c r="C78" s="505">
        <v>13828.5</v>
      </c>
      <c r="D78" s="505">
        <v>4153803.3</v>
      </c>
      <c r="E78" s="505">
        <v>30252.1</v>
      </c>
      <c r="H78" s="506">
        <v>1184225</v>
      </c>
    </row>
    <row r="79" spans="1:8" x14ac:dyDescent="0.3">
      <c r="A79" s="277">
        <v>43922</v>
      </c>
      <c r="B79" s="132">
        <f t="shared" si="2"/>
        <v>2380089.7000000002</v>
      </c>
      <c r="C79" s="505">
        <v>140</v>
      </c>
      <c r="D79" s="505">
        <v>2379949.7000000002</v>
      </c>
      <c r="E79" s="505">
        <v>55664.100000000006</v>
      </c>
      <c r="H79" s="506">
        <v>832221</v>
      </c>
    </row>
    <row r="80" spans="1:8" x14ac:dyDescent="0.3">
      <c r="A80" s="277">
        <v>43952</v>
      </c>
      <c r="B80" s="132">
        <f t="shared" si="2"/>
        <v>1668456.8</v>
      </c>
      <c r="C80" s="505">
        <v>957976.3</v>
      </c>
      <c r="D80" s="505">
        <v>710480.5</v>
      </c>
      <c r="E80" s="505">
        <v>39270.19999999999</v>
      </c>
      <c r="H80" s="506">
        <v>837007.4</v>
      </c>
    </row>
    <row r="81" spans="1:8" x14ac:dyDescent="0.3">
      <c r="A81" s="277">
        <v>43983</v>
      </c>
      <c r="B81" s="132">
        <f t="shared" si="2"/>
        <v>937602.9</v>
      </c>
      <c r="C81" s="505">
        <v>-908.6</v>
      </c>
      <c r="D81" s="505">
        <v>938511.5</v>
      </c>
      <c r="E81" s="505">
        <v>39270.199999999997</v>
      </c>
      <c r="H81" s="506">
        <v>811277.5</v>
      </c>
    </row>
    <row r="82" spans="1:8" x14ac:dyDescent="0.3">
      <c r="A82" s="277">
        <v>44013</v>
      </c>
      <c r="B82" s="132">
        <f t="shared" si="2"/>
        <v>687225.60000000009</v>
      </c>
      <c r="C82" s="505">
        <v>-7213.2</v>
      </c>
      <c r="D82" s="505">
        <v>694438.8</v>
      </c>
      <c r="E82" s="505">
        <v>49416.5</v>
      </c>
      <c r="H82" s="506">
        <v>802016.7</v>
      </c>
    </row>
    <row r="83" spans="1:8" x14ac:dyDescent="0.3">
      <c r="A83" s="277">
        <v>44044</v>
      </c>
      <c r="B83" s="132">
        <f t="shared" si="2"/>
        <v>630697.30000000005</v>
      </c>
      <c r="C83" s="505">
        <v>317154</v>
      </c>
      <c r="D83" s="505">
        <v>313543.3</v>
      </c>
      <c r="E83" s="505">
        <v>30957.200000000001</v>
      </c>
      <c r="F83" s="3"/>
      <c r="G83" s="3"/>
      <c r="H83" s="506">
        <v>763198</v>
      </c>
    </row>
    <row r="84" spans="1:8" x14ac:dyDescent="0.3">
      <c r="A84" s="277">
        <v>44075</v>
      </c>
      <c r="B84" s="132">
        <f t="shared" si="2"/>
        <v>670179.9</v>
      </c>
      <c r="C84" s="505">
        <v>-8181</v>
      </c>
      <c r="D84" s="505">
        <v>678360.9</v>
      </c>
      <c r="E84" s="505">
        <v>54045.3</v>
      </c>
      <c r="F84" s="3"/>
      <c r="G84" s="3"/>
      <c r="H84" s="506">
        <v>819663.4</v>
      </c>
    </row>
    <row r="85" spans="1:8" x14ac:dyDescent="0.3">
      <c r="A85" s="277">
        <v>44105</v>
      </c>
      <c r="B85" s="132">
        <f t="shared" si="2"/>
        <v>953506.2</v>
      </c>
      <c r="C85" s="505">
        <v>-1335.4</v>
      </c>
      <c r="D85" s="505">
        <v>954841.59999999998</v>
      </c>
      <c r="E85" s="505">
        <v>66050.899999999994</v>
      </c>
      <c r="F85" s="3"/>
      <c r="G85" s="3"/>
      <c r="H85" s="506">
        <v>824280.5</v>
      </c>
    </row>
    <row r="86" spans="1:8" x14ac:dyDescent="0.3">
      <c r="A86" s="277">
        <v>44136</v>
      </c>
      <c r="B86" s="132">
        <f t="shared" si="2"/>
        <v>1919239</v>
      </c>
      <c r="C86" s="505">
        <v>1057236.6000000001</v>
      </c>
      <c r="D86" s="505">
        <v>862002.4</v>
      </c>
      <c r="E86" s="505">
        <v>74502</v>
      </c>
      <c r="F86" s="3"/>
      <c r="G86" s="3"/>
      <c r="H86" s="506">
        <v>1045220.2</v>
      </c>
    </row>
    <row r="87" spans="1:8" x14ac:dyDescent="0.3">
      <c r="A87" s="277">
        <v>44166</v>
      </c>
      <c r="B87" s="132">
        <v>3979897.4</v>
      </c>
      <c r="C87" s="505">
        <v>-4050.2</v>
      </c>
      <c r="D87" s="505">
        <v>3983947.6</v>
      </c>
      <c r="E87" s="505">
        <v>71473.600000000006</v>
      </c>
      <c r="F87" s="3"/>
      <c r="G87" s="3"/>
      <c r="H87" s="506">
        <v>1147614.3999999999</v>
      </c>
    </row>
    <row r="88" spans="1:8" x14ac:dyDescent="0.3">
      <c r="A88" s="277">
        <v>44197</v>
      </c>
      <c r="B88" s="132">
        <v>5828853.2000000002</v>
      </c>
      <c r="C88" s="505">
        <v>199994.6</v>
      </c>
      <c r="D88" s="505">
        <v>5628858.5999999996</v>
      </c>
      <c r="E88" s="505">
        <v>44430.3</v>
      </c>
      <c r="F88" s="3"/>
      <c r="G88" s="3"/>
      <c r="H88" s="506">
        <v>1615941.5</v>
      </c>
    </row>
    <row r="89" spans="1:8" x14ac:dyDescent="0.3">
      <c r="A89" s="277">
        <v>44228</v>
      </c>
      <c r="B89" s="132">
        <v>6106907.0999999996</v>
      </c>
      <c r="C89" s="505">
        <v>3239192.3</v>
      </c>
      <c r="D89" s="505">
        <v>2867714.8</v>
      </c>
      <c r="E89" s="505">
        <v>22918.3</v>
      </c>
      <c r="F89" s="3"/>
      <c r="G89" s="3"/>
      <c r="H89" s="506">
        <v>1588920.3</v>
      </c>
    </row>
  </sheetData>
  <pageMargins left="0.7" right="0.7" top="0.75" bottom="0.75" header="0.3" footer="0.3"/>
  <pageSetup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election activeCell="B95" sqref="B95:J97"/>
    </sheetView>
  </sheetViews>
  <sheetFormatPr defaultColWidth="8.90625" defaultRowHeight="15.6" x14ac:dyDescent="0.3"/>
  <cols>
    <col min="1" max="1" width="10.453125" style="6" customWidth="1"/>
    <col min="2" max="4" width="12.36328125" style="6" hidden="1" customWidth="1"/>
    <col min="5" max="5" width="4" style="6" hidden="1" customWidth="1"/>
    <col min="6" max="6" width="9.54296875" style="6" hidden="1" customWidth="1"/>
    <col min="7" max="7" width="11.453125" style="6" hidden="1" customWidth="1"/>
    <col min="8" max="8" width="6" style="6" hidden="1" customWidth="1"/>
    <col min="9" max="10" width="12.36328125" style="6" hidden="1" customWidth="1"/>
    <col min="11" max="11" width="4.36328125" style="6" hidden="1" customWidth="1"/>
    <col min="12" max="13" width="12.36328125" style="6" customWidth="1"/>
    <col min="14" max="14" width="5.36328125" style="6" hidden="1" customWidth="1"/>
    <col min="15" max="16" width="12.36328125" style="6" hidden="1" customWidth="1"/>
    <col min="17" max="17" width="1" style="6" hidden="1" customWidth="1"/>
    <col min="18" max="19" width="12.36328125" style="6" hidden="1" customWidth="1"/>
    <col min="20" max="20" width="4.6328125" style="6" hidden="1" customWidth="1"/>
    <col min="21" max="22" width="12.36328125" style="6" customWidth="1"/>
    <col min="23" max="23" width="4.36328125" style="6" customWidth="1"/>
    <col min="24" max="24" width="12.36328125" style="6" customWidth="1"/>
    <col min="25" max="25" width="5" style="6" customWidth="1"/>
    <col min="26" max="26" width="9" style="6" bestFit="1" customWidth="1"/>
    <col min="27" max="27" width="4.08984375" style="6" customWidth="1"/>
    <col min="28" max="28" width="11.08984375" style="6" hidden="1" customWidth="1"/>
    <col min="29" max="29" width="9.08984375" style="6" hidden="1" customWidth="1"/>
    <col min="30" max="30" width="4.08984375" style="6" hidden="1" customWidth="1"/>
    <col min="31" max="31" width="10.54296875" style="6" hidden="1" customWidth="1"/>
    <col min="32" max="32" width="4.453125" style="6" hidden="1" customWidth="1"/>
    <col min="33" max="33" width="10.453125" style="6" hidden="1" customWidth="1"/>
    <col min="34" max="34" width="4.453125" style="6" hidden="1" customWidth="1"/>
    <col min="35" max="35" width="9" style="6" hidden="1" customWidth="1"/>
    <col min="36" max="36" width="4.453125" style="6" customWidth="1"/>
    <col min="37" max="37" width="9" style="6" bestFit="1" customWidth="1"/>
    <col min="38" max="38" width="11.81640625" style="6" hidden="1" customWidth="1"/>
    <col min="39" max="39" width="11.36328125" style="6" hidden="1" customWidth="1"/>
    <col min="40" max="40" width="10.90625" style="6" hidden="1" customWidth="1"/>
    <col min="41" max="41" width="4" style="6" hidden="1" customWidth="1"/>
    <col min="42" max="42" width="10.36328125" style="6" hidden="1" customWidth="1"/>
    <col min="43" max="43" width="4.08984375" style="6" hidden="1" customWidth="1"/>
    <col min="44" max="44" width="9" style="6" hidden="1" customWidth="1"/>
    <col min="45" max="45" width="4.08984375" style="6" hidden="1" customWidth="1"/>
    <col min="46" max="46" width="9" style="6" hidden="1" customWidth="1"/>
    <col min="47" max="47" width="4.08984375" style="6" hidden="1" customWidth="1"/>
    <col min="48" max="48" width="9" style="6" hidden="1" customWidth="1"/>
    <col min="49" max="49" width="3.90625" style="6" hidden="1" customWidth="1"/>
    <col min="50" max="50" width="9" style="6" hidden="1" customWidth="1"/>
    <col min="51" max="51" width="3.90625" style="6" hidden="1" customWidth="1"/>
    <col min="52" max="52" width="9" style="6" hidden="1" customWidth="1"/>
    <col min="53" max="53" width="3.90625" style="6" hidden="1" customWidth="1"/>
    <col min="54" max="54" width="9.54296875" style="6" hidden="1" customWidth="1"/>
    <col min="55" max="55" width="3.90625" style="6" hidden="1" customWidth="1"/>
    <col min="56" max="56" width="9.54296875" style="6" hidden="1" customWidth="1"/>
    <col min="57" max="57" width="3.90625" style="6" hidden="1" customWidth="1"/>
    <col min="58" max="58" width="9" style="6" hidden="1" customWidth="1"/>
    <col min="59" max="59" width="4.1796875" style="6" hidden="1" customWidth="1"/>
    <col min="60" max="60" width="10.1796875" style="6" hidden="1" customWidth="1"/>
    <col min="61" max="61" width="5.1796875" style="6" hidden="1" customWidth="1"/>
    <col min="62" max="62" width="10.453125" style="6" hidden="1" customWidth="1"/>
    <col min="63" max="63" width="0" style="6" hidden="1" customWidth="1"/>
    <col min="64" max="64" width="10.81640625" style="6" hidden="1" customWidth="1"/>
    <col min="65" max="65" width="0" style="6" hidden="1" customWidth="1"/>
    <col min="66" max="16384" width="8.90625" style="6"/>
  </cols>
  <sheetData>
    <row r="1" spans="1:65" customFormat="1" x14ac:dyDescent="0.3">
      <c r="A1" s="363">
        <v>-1</v>
      </c>
      <c r="B1" s="363">
        <v>-2</v>
      </c>
      <c r="C1" s="363">
        <v>-3</v>
      </c>
      <c r="D1" s="363">
        <v>-4</v>
      </c>
      <c r="E1" s="363">
        <v>-5</v>
      </c>
      <c r="F1" s="363">
        <v>-6</v>
      </c>
      <c r="G1" s="363">
        <v>-7</v>
      </c>
      <c r="H1" s="363">
        <v>-8</v>
      </c>
      <c r="I1" s="363">
        <v>-9</v>
      </c>
      <c r="J1" s="363">
        <v>-10</v>
      </c>
      <c r="K1" s="363">
        <v>-11</v>
      </c>
      <c r="L1" s="363">
        <v>-12</v>
      </c>
      <c r="M1" s="363">
        <v>-13</v>
      </c>
      <c r="N1" s="363">
        <v>-14</v>
      </c>
      <c r="O1" s="363">
        <v>-15</v>
      </c>
      <c r="P1" s="363">
        <v>-16</v>
      </c>
      <c r="Q1" s="363">
        <v>-17</v>
      </c>
      <c r="R1" s="363">
        <v>-18</v>
      </c>
      <c r="S1" s="363">
        <v>-19</v>
      </c>
      <c r="T1" s="363">
        <v>-20</v>
      </c>
      <c r="U1" s="363">
        <v>-21</v>
      </c>
      <c r="V1" s="363">
        <v>-22</v>
      </c>
      <c r="W1" s="363">
        <v>-23</v>
      </c>
      <c r="X1" s="363">
        <v>-24</v>
      </c>
      <c r="Y1" s="363">
        <v>-25</v>
      </c>
      <c r="Z1" s="363">
        <v>-26</v>
      </c>
      <c r="AA1" s="363">
        <v>-27</v>
      </c>
      <c r="AB1" s="363">
        <v>-28</v>
      </c>
      <c r="AC1" s="363">
        <v>-29</v>
      </c>
      <c r="AD1" s="363">
        <v>-30</v>
      </c>
      <c r="AE1" s="363">
        <v>-31</v>
      </c>
      <c r="AF1" s="363">
        <v>-32</v>
      </c>
      <c r="AG1" s="363">
        <v>-33</v>
      </c>
      <c r="AH1" s="363">
        <v>-34</v>
      </c>
      <c r="AI1" s="363">
        <v>-35</v>
      </c>
      <c r="AJ1" s="363">
        <v>-36</v>
      </c>
      <c r="AK1" s="363">
        <v>-37</v>
      </c>
      <c r="AL1" s="363">
        <v>-38</v>
      </c>
      <c r="AM1" s="363">
        <v>-39</v>
      </c>
      <c r="AN1" s="363">
        <v>-40</v>
      </c>
      <c r="AO1" s="363">
        <v>-41</v>
      </c>
      <c r="AP1" s="363">
        <v>-42</v>
      </c>
      <c r="AQ1" s="363">
        <v>-43</v>
      </c>
      <c r="AR1" s="363">
        <v>-44</v>
      </c>
      <c r="AS1" s="363">
        <v>-45</v>
      </c>
      <c r="AT1" s="363"/>
      <c r="AU1" s="363"/>
      <c r="AV1" s="363"/>
      <c r="AW1" s="363"/>
      <c r="AX1" s="363">
        <v>-46</v>
      </c>
      <c r="AY1" s="363">
        <v>-47</v>
      </c>
      <c r="AZ1" s="363">
        <v>-48</v>
      </c>
      <c r="BA1" s="363">
        <v>-49</v>
      </c>
      <c r="BB1" s="363">
        <v>-50</v>
      </c>
      <c r="BC1" s="363">
        <v>-51</v>
      </c>
      <c r="BD1" s="363">
        <v>-52</v>
      </c>
      <c r="BE1" s="363">
        <v>-53</v>
      </c>
      <c r="BF1" s="363">
        <v>-54</v>
      </c>
      <c r="BG1" s="363">
        <v>-55</v>
      </c>
      <c r="BH1" s="363">
        <v>-56</v>
      </c>
      <c r="BI1" s="363">
        <v>-57</v>
      </c>
      <c r="BJ1" s="363">
        <v>-58</v>
      </c>
    </row>
    <row r="2" spans="1:65" x14ac:dyDescent="0.3">
      <c r="B2" s="352"/>
      <c r="C2" s="352"/>
      <c r="D2" s="350"/>
      <c r="E2" s="349"/>
      <c r="F2" s="352"/>
      <c r="G2" s="350"/>
      <c r="H2" s="349"/>
      <c r="I2" s="350"/>
      <c r="J2" s="350"/>
      <c r="K2" s="349"/>
      <c r="L2" s="350"/>
      <c r="M2" s="350"/>
      <c r="N2" s="349"/>
      <c r="O2" s="131"/>
      <c r="P2" s="350"/>
      <c r="Q2" s="349"/>
      <c r="R2" s="352"/>
      <c r="S2" s="350"/>
      <c r="T2" s="349"/>
      <c r="U2" s="131"/>
      <c r="V2" s="350"/>
      <c r="W2" s="349"/>
      <c r="X2" s="350"/>
      <c r="Y2" s="349"/>
      <c r="Z2" s="350"/>
      <c r="AA2" s="349"/>
      <c r="AB2" s="131"/>
      <c r="AC2" s="350"/>
      <c r="AD2" s="349"/>
      <c r="AE2" s="350"/>
      <c r="AF2" s="350"/>
      <c r="AG2" s="350"/>
      <c r="AH2" s="350"/>
      <c r="AI2" s="350"/>
      <c r="AJ2" s="349"/>
      <c r="AK2" s="352"/>
      <c r="AL2" s="350"/>
      <c r="AM2" s="350"/>
      <c r="AN2" s="350"/>
      <c r="AO2" s="349"/>
      <c r="AP2" s="350"/>
      <c r="AQ2" s="349"/>
      <c r="AR2" s="350"/>
      <c r="AS2" s="349"/>
      <c r="AT2" s="349"/>
      <c r="AU2" s="349"/>
      <c r="AV2" s="349"/>
      <c r="AW2" s="349"/>
      <c r="AX2" s="349"/>
      <c r="AY2" s="349"/>
      <c r="AZ2" s="350"/>
      <c r="BA2" s="349"/>
      <c r="BB2" s="349"/>
      <c r="BC2" s="349"/>
      <c r="BD2" s="349"/>
      <c r="BE2" s="349"/>
      <c r="BF2" s="350"/>
      <c r="BG2" s="349"/>
      <c r="BH2" s="350"/>
      <c r="BI2" s="349"/>
      <c r="BJ2" s="350"/>
      <c r="BK2" s="360"/>
    </row>
    <row r="3" spans="1:65" x14ac:dyDescent="0.3">
      <c r="A3" s="347"/>
      <c r="B3" s="731" t="s">
        <v>507</v>
      </c>
      <c r="C3" s="731"/>
      <c r="D3" s="731"/>
      <c r="E3" s="351"/>
      <c r="F3" s="731" t="s">
        <v>547</v>
      </c>
      <c r="G3" s="731"/>
      <c r="H3" s="351"/>
      <c r="I3" s="731" t="s">
        <v>515</v>
      </c>
      <c r="J3" s="731"/>
      <c r="K3" s="351"/>
      <c r="L3" s="731" t="s">
        <v>516</v>
      </c>
      <c r="M3" s="731"/>
      <c r="N3" s="351"/>
      <c r="O3" s="731" t="s">
        <v>536</v>
      </c>
      <c r="P3" s="731"/>
      <c r="Q3" s="351"/>
      <c r="R3" s="731" t="s">
        <v>537</v>
      </c>
      <c r="S3" s="731"/>
      <c r="T3" s="351"/>
      <c r="U3" s="731" t="s">
        <v>538</v>
      </c>
      <c r="V3" s="731"/>
      <c r="W3" s="351"/>
      <c r="X3" s="354" t="s">
        <v>510</v>
      </c>
      <c r="Y3" s="351"/>
      <c r="Z3" s="354" t="s">
        <v>539</v>
      </c>
      <c r="AA3" s="351"/>
      <c r="AB3" s="361" t="s">
        <v>540</v>
      </c>
      <c r="AC3" s="359" t="s">
        <v>540</v>
      </c>
      <c r="AD3" s="351"/>
      <c r="AE3" s="359" t="s">
        <v>409</v>
      </c>
      <c r="AF3" s="359"/>
      <c r="AG3" s="359" t="s">
        <v>619</v>
      </c>
      <c r="AH3" s="359"/>
      <c r="AI3" s="359" t="s">
        <v>520</v>
      </c>
      <c r="AJ3" s="351"/>
      <c r="AK3" s="731" t="s">
        <v>69</v>
      </c>
      <c r="AL3" s="731"/>
      <c r="AM3" s="731"/>
      <c r="AN3" s="731"/>
      <c r="AO3" s="351"/>
      <c r="AP3" s="354" t="s">
        <v>541</v>
      </c>
      <c r="AQ3" s="351"/>
      <c r="AR3" s="354" t="s">
        <v>519</v>
      </c>
      <c r="AS3" s="359"/>
      <c r="AT3" s="359" t="s">
        <v>636</v>
      </c>
      <c r="AU3" s="359"/>
      <c r="AV3" s="359" t="s">
        <v>73</v>
      </c>
      <c r="AW3" s="359"/>
      <c r="AX3" s="359"/>
      <c r="AY3" s="359"/>
      <c r="AZ3" s="354" t="s">
        <v>517</v>
      </c>
      <c r="BA3" s="359"/>
      <c r="BB3" s="359" t="s">
        <v>409</v>
      </c>
      <c r="BC3" s="359"/>
      <c r="BD3" s="359" t="s">
        <v>619</v>
      </c>
      <c r="BE3" s="359"/>
      <c r="BF3" s="354" t="s">
        <v>30</v>
      </c>
      <c r="BG3" s="359"/>
      <c r="BH3" s="354" t="s">
        <v>30</v>
      </c>
      <c r="BI3" s="359"/>
      <c r="BJ3" s="354" t="s">
        <v>30</v>
      </c>
      <c r="BK3" s="131"/>
      <c r="BL3" s="374" t="s">
        <v>222</v>
      </c>
      <c r="BM3" s="480"/>
    </row>
    <row r="4" spans="1:65" x14ac:dyDescent="0.3">
      <c r="A4" s="78" t="s">
        <v>265</v>
      </c>
      <c r="B4" s="356" t="s">
        <v>90</v>
      </c>
      <c r="C4" s="356" t="s">
        <v>522</v>
      </c>
      <c r="D4" s="358" t="s">
        <v>406</v>
      </c>
      <c r="E4" s="355"/>
      <c r="F4" s="356" t="s">
        <v>90</v>
      </c>
      <c r="G4" s="358" t="s">
        <v>529</v>
      </c>
      <c r="H4" s="355"/>
      <c r="I4" s="356" t="s">
        <v>90</v>
      </c>
      <c r="J4" s="358" t="s">
        <v>529</v>
      </c>
      <c r="K4" s="355"/>
      <c r="L4" s="356" t="s">
        <v>90</v>
      </c>
      <c r="M4" s="358" t="s">
        <v>529</v>
      </c>
      <c r="N4" s="355"/>
      <c r="O4" s="362" t="s">
        <v>90</v>
      </c>
      <c r="P4" s="358" t="s">
        <v>529</v>
      </c>
      <c r="Q4" s="355"/>
      <c r="R4" s="356" t="s">
        <v>90</v>
      </c>
      <c r="S4" s="358" t="s">
        <v>529</v>
      </c>
      <c r="T4" s="355"/>
      <c r="U4" s="362" t="s">
        <v>90</v>
      </c>
      <c r="V4" s="358" t="s">
        <v>529</v>
      </c>
      <c r="W4" s="355"/>
      <c r="X4" s="358" t="s">
        <v>542</v>
      </c>
      <c r="Y4" s="355"/>
      <c r="Z4" s="358" t="s">
        <v>529</v>
      </c>
      <c r="AA4" s="355"/>
      <c r="AB4" s="362" t="s">
        <v>543</v>
      </c>
      <c r="AC4" s="357" t="s">
        <v>544</v>
      </c>
      <c r="AD4" s="355"/>
      <c r="AE4" s="357" t="s">
        <v>621</v>
      </c>
      <c r="AF4" s="357"/>
      <c r="AG4" s="575" t="s">
        <v>620</v>
      </c>
      <c r="AH4" s="575"/>
      <c r="AI4" s="357" t="s">
        <v>532</v>
      </c>
      <c r="AJ4" s="355"/>
      <c r="AK4" s="356" t="s">
        <v>90</v>
      </c>
      <c r="AL4" s="358" t="s">
        <v>529</v>
      </c>
      <c r="AM4" s="358" t="s">
        <v>534</v>
      </c>
      <c r="AN4" s="358" t="s">
        <v>535</v>
      </c>
      <c r="AO4" s="355"/>
      <c r="AP4" s="358" t="s">
        <v>529</v>
      </c>
      <c r="AQ4" s="355"/>
      <c r="AR4" s="358" t="s">
        <v>530</v>
      </c>
      <c r="AS4" s="355"/>
      <c r="AT4" s="578" t="s">
        <v>637</v>
      </c>
      <c r="AU4" s="578"/>
      <c r="AV4" s="578" t="s">
        <v>530</v>
      </c>
      <c r="AW4" s="578"/>
      <c r="AX4" s="355" t="s">
        <v>406</v>
      </c>
      <c r="AY4" s="355"/>
      <c r="AZ4" s="358" t="s">
        <v>530</v>
      </c>
      <c r="BA4" s="355"/>
      <c r="BB4" s="355" t="s">
        <v>608</v>
      </c>
      <c r="BC4" s="355"/>
      <c r="BD4" s="578" t="s">
        <v>620</v>
      </c>
      <c r="BE4" s="578"/>
      <c r="BF4" s="358" t="s">
        <v>545</v>
      </c>
      <c r="BG4" s="355"/>
      <c r="BH4" s="358" t="s">
        <v>546</v>
      </c>
      <c r="BI4" s="355"/>
      <c r="BJ4" s="358" t="s">
        <v>529</v>
      </c>
      <c r="BK4" s="131"/>
      <c r="BL4" s="374" t="s">
        <v>30</v>
      </c>
      <c r="BM4" s="480"/>
    </row>
    <row r="5" spans="1:65" x14ac:dyDescent="0.3">
      <c r="A5" s="371">
        <f>'Input Data'!C7</f>
        <v>44136</v>
      </c>
      <c r="B5" s="512">
        <v>821863.49999999988</v>
      </c>
      <c r="C5" s="513">
        <v>31230.809999999994</v>
      </c>
      <c r="D5" s="513">
        <v>546.01</v>
      </c>
      <c r="E5" s="514"/>
      <c r="F5" s="507">
        <v>8851.499999999849</v>
      </c>
      <c r="G5" s="584">
        <v>24230.399999999998</v>
      </c>
      <c r="H5" s="514"/>
      <c r="I5" s="512">
        <v>-2916.000000000151</v>
      </c>
      <c r="J5" s="513">
        <v>-4967.1100000000006</v>
      </c>
      <c r="K5" s="514"/>
      <c r="L5" s="512">
        <v>12479</v>
      </c>
      <c r="M5" s="513">
        <v>37406.559999999998</v>
      </c>
      <c r="N5" s="514">
        <v>0</v>
      </c>
      <c r="O5" s="506">
        <v>73</v>
      </c>
      <c r="P5" s="584">
        <v>135.68</v>
      </c>
      <c r="Q5" s="514"/>
      <c r="R5" s="512">
        <v>-26</v>
      </c>
      <c r="S5" s="513">
        <v>-39.33</v>
      </c>
      <c r="T5" s="514"/>
      <c r="U5" s="512">
        <v>0</v>
      </c>
      <c r="V5" s="513">
        <v>0</v>
      </c>
      <c r="W5" s="514"/>
      <c r="X5" s="513">
        <v>966.78</v>
      </c>
      <c r="Y5" s="514"/>
      <c r="Z5" s="513">
        <v>0</v>
      </c>
      <c r="AA5" s="514"/>
      <c r="AB5" s="512">
        <v>7785.2999999999993</v>
      </c>
      <c r="AC5" s="513">
        <v>295.84000000000003</v>
      </c>
      <c r="AD5" s="514"/>
      <c r="AE5" s="513">
        <v>8054.2199999999975</v>
      </c>
      <c r="AF5" s="513"/>
      <c r="AG5" s="513">
        <v>0</v>
      </c>
      <c r="AH5" s="513"/>
      <c r="AI5" s="513">
        <v>450.72</v>
      </c>
      <c r="AJ5" s="514"/>
      <c r="AK5" s="512">
        <v>39031</v>
      </c>
      <c r="AL5" s="513">
        <v>9467.83</v>
      </c>
      <c r="AM5" s="513">
        <v>2838.7777208187354</v>
      </c>
      <c r="AN5" s="513">
        <v>6629.0522791812655</v>
      </c>
      <c r="AO5" s="514"/>
      <c r="AP5" s="513">
        <v>46025</v>
      </c>
      <c r="AQ5" s="514"/>
      <c r="AR5" s="513">
        <v>0</v>
      </c>
      <c r="AS5" s="514"/>
      <c r="AT5" s="514">
        <v>55500</v>
      </c>
      <c r="AU5" s="514"/>
      <c r="AV5" s="514">
        <v>378244.46999999986</v>
      </c>
      <c r="AW5" s="514"/>
      <c r="AX5" s="514">
        <v>0</v>
      </c>
      <c r="AY5" s="514"/>
      <c r="AZ5" s="513">
        <v>0.15</v>
      </c>
      <c r="BA5" s="514"/>
      <c r="BB5" s="514">
        <v>0.04</v>
      </c>
      <c r="BC5" s="514"/>
      <c r="BD5" s="579">
        <v>0</v>
      </c>
      <c r="BE5" s="514"/>
      <c r="BF5" s="513">
        <v>1037.02</v>
      </c>
      <c r="BG5" s="514"/>
      <c r="BH5" s="513">
        <v>19997.599999999999</v>
      </c>
      <c r="BI5" s="514"/>
      <c r="BJ5" s="513">
        <v>575215.79</v>
      </c>
      <c r="BK5" s="131"/>
      <c r="BL5" s="375">
        <f>C5+D5+J5+M5+S5+V5+X5+Z5+AC5+AE5+AG5+AI5+AL5+AP5+AR5+AT5+AV5+AZ5+BB5+BD5+BF5+BH5+AX5</f>
        <v>584216.60999999987</v>
      </c>
      <c r="BM5" s="374" t="str">
        <f>IF(BJ5=BL5,"ok","error")</f>
        <v>error</v>
      </c>
    </row>
    <row r="6" spans="1:65" x14ac:dyDescent="0.3">
      <c r="A6" s="371">
        <f>EOMONTH(A5,1)</f>
        <v>44196</v>
      </c>
      <c r="B6" s="512">
        <v>826413.50000000012</v>
      </c>
      <c r="C6" s="513">
        <v>31403.730000000003</v>
      </c>
      <c r="D6" s="513">
        <v>548.52</v>
      </c>
      <c r="E6" s="514"/>
      <c r="F6" s="507">
        <f t="shared" ref="F6" si="0">I6+L6</f>
        <v>127032.60000000005</v>
      </c>
      <c r="G6" s="584">
        <f t="shared" ref="G6" si="1">J6+M6</f>
        <v>359408.1</v>
      </c>
      <c r="H6" s="514"/>
      <c r="I6" s="512">
        <v>-10321.399999999947</v>
      </c>
      <c r="J6" s="513">
        <v>-13640.579999999998</v>
      </c>
      <c r="K6" s="514"/>
      <c r="L6" s="512">
        <v>137354</v>
      </c>
      <c r="M6" s="513">
        <v>373048.68</v>
      </c>
      <c r="N6" s="514">
        <v>0</v>
      </c>
      <c r="O6" s="506">
        <f t="shared" ref="O6:P7" si="2">R6+U6</f>
        <v>-14</v>
      </c>
      <c r="P6" s="584">
        <f t="shared" si="2"/>
        <v>41.5</v>
      </c>
      <c r="Q6" s="514"/>
      <c r="R6" s="512">
        <v>-14</v>
      </c>
      <c r="S6" s="513">
        <v>-26.95</v>
      </c>
      <c r="T6" s="514"/>
      <c r="U6" s="512">
        <v>0</v>
      </c>
      <c r="V6" s="513">
        <v>68.45</v>
      </c>
      <c r="W6" s="514"/>
      <c r="X6" s="513">
        <v>771.31</v>
      </c>
      <c r="Y6" s="514"/>
      <c r="Z6" s="513">
        <v>0</v>
      </c>
      <c r="AA6" s="514"/>
      <c r="AB6" s="512">
        <v>6835.2</v>
      </c>
      <c r="AC6" s="513">
        <v>259.73</v>
      </c>
      <c r="AD6" s="514"/>
      <c r="AE6" s="513">
        <v>8098.88</v>
      </c>
      <c r="AF6" s="513"/>
      <c r="AG6" s="513">
        <v>0</v>
      </c>
      <c r="AH6" s="513"/>
      <c r="AI6" s="513">
        <v>450.4</v>
      </c>
      <c r="AJ6" s="514"/>
      <c r="AK6" s="512">
        <v>93642</v>
      </c>
      <c r="AL6" s="584">
        <v>16826.89</v>
      </c>
      <c r="AM6" s="513">
        <v>5045.2744126867055</v>
      </c>
      <c r="AN6" s="513">
        <v>11781.615587313294</v>
      </c>
      <c r="AO6" s="514"/>
      <c r="AP6" s="513">
        <v>46025</v>
      </c>
      <c r="AQ6" s="514"/>
      <c r="AR6" s="513">
        <v>0</v>
      </c>
      <c r="AS6" s="514"/>
      <c r="AT6" s="514">
        <v>55500</v>
      </c>
      <c r="AU6" s="514"/>
      <c r="AV6" s="514">
        <v>378639.58999999985</v>
      </c>
      <c r="AW6" s="514"/>
      <c r="AX6" s="514">
        <v>0</v>
      </c>
      <c r="AY6" s="514"/>
      <c r="AZ6" s="513">
        <v>0</v>
      </c>
      <c r="BA6" s="514"/>
      <c r="BB6" s="514">
        <v>0</v>
      </c>
      <c r="BC6" s="514"/>
      <c r="BD6" s="579">
        <v>0</v>
      </c>
      <c r="BE6" s="514"/>
      <c r="BF6" s="513">
        <v>1038.69</v>
      </c>
      <c r="BG6" s="514"/>
      <c r="BH6" s="513">
        <v>19993.459999999995</v>
      </c>
      <c r="BI6" s="514"/>
      <c r="BJ6" s="513">
        <v>576303.05000000005</v>
      </c>
      <c r="BK6" s="131"/>
      <c r="BL6" s="375">
        <f>C6+D6+J6+M6+S6+V6+X6+Z6+AC6+AE6+AG6+AI6+AL6+AP6+AR6+AT6+AV6+AZ6+BB6+BD6+BF6+BH6+AX6</f>
        <v>919005.79999999981</v>
      </c>
      <c r="BM6" s="374" t="str">
        <f>IF(BJ6=BL6,"ok","error")</f>
        <v>error</v>
      </c>
    </row>
    <row r="7" spans="1:65" x14ac:dyDescent="0.3">
      <c r="A7" s="371">
        <f>EOMONTH(A6,1)</f>
        <v>44227</v>
      </c>
      <c r="B7" s="506">
        <v>1025608.5999999999</v>
      </c>
      <c r="C7" s="584">
        <v>38973.14</v>
      </c>
      <c r="D7" s="584">
        <v>591.17999999999995</v>
      </c>
      <c r="E7" s="585"/>
      <c r="F7" s="507">
        <f t="shared" ref="F7:G7" si="3">I7+L7</f>
        <v>63065.599999999933</v>
      </c>
      <c r="G7" s="584">
        <f t="shared" si="3"/>
        <v>196135.26</v>
      </c>
      <c r="H7" s="585"/>
      <c r="I7" s="506">
        <v>-7483.4000000000633</v>
      </c>
      <c r="J7" s="584">
        <v>-8127.72</v>
      </c>
      <c r="K7" s="585"/>
      <c r="L7" s="506">
        <v>70549</v>
      </c>
      <c r="M7" s="584">
        <v>204262.98</v>
      </c>
      <c r="N7" s="586">
        <v>0</v>
      </c>
      <c r="O7" s="506">
        <f t="shared" si="2"/>
        <v>-2599</v>
      </c>
      <c r="P7" s="584">
        <f t="shared" si="2"/>
        <v>-4659.6299999999992</v>
      </c>
      <c r="Q7" s="585"/>
      <c r="R7" s="506">
        <v>-2599</v>
      </c>
      <c r="S7" s="584">
        <v>-4659.6299999999992</v>
      </c>
      <c r="T7" s="585"/>
      <c r="U7" s="506">
        <v>0</v>
      </c>
      <c r="V7" s="584">
        <v>0</v>
      </c>
      <c r="W7" s="585"/>
      <c r="X7" s="584">
        <v>723.9</v>
      </c>
      <c r="Y7" s="585"/>
      <c r="Z7" s="584">
        <v>0</v>
      </c>
      <c r="AA7" s="585"/>
      <c r="AB7" s="506">
        <v>4129.9000000000005</v>
      </c>
      <c r="AC7" s="584">
        <v>156.92999999999995</v>
      </c>
      <c r="AD7" s="585"/>
      <c r="AE7" s="584">
        <v>10050.920000000002</v>
      </c>
      <c r="AF7" s="584"/>
      <c r="AG7" s="584">
        <v>0</v>
      </c>
      <c r="AH7" s="584"/>
      <c r="AI7" s="584">
        <v>454.75999999999993</v>
      </c>
      <c r="AJ7" s="585"/>
      <c r="AK7" s="506">
        <v>61409</v>
      </c>
      <c r="AL7" s="584">
        <v>18434.580000000002</v>
      </c>
      <c r="AM7" s="584">
        <v>5527.314600774479</v>
      </c>
      <c r="AN7" s="584">
        <v>12907.265399225522</v>
      </c>
      <c r="AO7" s="585"/>
      <c r="AP7" s="584">
        <v>45400</v>
      </c>
      <c r="AQ7" s="585"/>
      <c r="AR7" s="584">
        <v>0</v>
      </c>
      <c r="AS7" s="585"/>
      <c r="AT7" s="586">
        <v>54750</v>
      </c>
      <c r="AU7" s="585"/>
      <c r="AV7" s="586">
        <v>378553.02999999991</v>
      </c>
      <c r="AW7" s="585"/>
      <c r="AX7" s="586">
        <v>1.88</v>
      </c>
      <c r="AY7" s="585"/>
      <c r="AZ7" s="584">
        <v>15.09</v>
      </c>
      <c r="BA7" s="585"/>
      <c r="BB7" s="586">
        <v>3.89</v>
      </c>
      <c r="BC7" s="585"/>
      <c r="BD7" s="587">
        <v>0</v>
      </c>
      <c r="BE7" s="585"/>
      <c r="BF7" s="584">
        <v>1091.5900000000001</v>
      </c>
      <c r="BG7" s="585"/>
      <c r="BH7" s="584">
        <v>19637.5</v>
      </c>
      <c r="BI7" s="585"/>
      <c r="BJ7" s="584">
        <v>574304.44000000018</v>
      </c>
      <c r="BK7" s="131"/>
      <c r="BL7" s="375">
        <f>C7+D7+J7+M7+S7+V7+X7+Z7+AC7+AE7+AG7+AI7+AL7+AP7+AR7+AT7+AV7+AZ7+BB7+BD7+BF7+BH7+AX7</f>
        <v>760314.0199999999</v>
      </c>
      <c r="BM7" s="374" t="str">
        <f>IF(BJ7=BL7,"ok","error")</f>
        <v>error</v>
      </c>
    </row>
    <row r="8" spans="1:65" customFormat="1" x14ac:dyDescent="0.3">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364"/>
    </row>
    <row r="9" spans="1:65" customFormat="1" x14ac:dyDescent="0.3">
      <c r="A9" s="6"/>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row>
    <row r="10" spans="1:65" customFormat="1" x14ac:dyDescent="0.3"/>
    <row r="11" spans="1:65" customFormat="1" x14ac:dyDescent="0.3"/>
    <row r="12" spans="1:65" customFormat="1" x14ac:dyDescent="0.3"/>
    <row r="13" spans="1:65" customFormat="1" x14ac:dyDescent="0.3"/>
    <row r="14" spans="1:65" customFormat="1" x14ac:dyDescent="0.3"/>
    <row r="15" spans="1:65" customFormat="1" x14ac:dyDescent="0.3"/>
    <row r="16" spans="1:65" customFormat="1" x14ac:dyDescent="0.3"/>
    <row r="17" customFormat="1" x14ac:dyDescent="0.3"/>
    <row r="18" customFormat="1" x14ac:dyDescent="0.3"/>
    <row r="19" customFormat="1" x14ac:dyDescent="0.3"/>
    <row r="20" customFormat="1" x14ac:dyDescent="0.3"/>
    <row r="21" customFormat="1" x14ac:dyDescent="0.3"/>
    <row r="22" customFormat="1" x14ac:dyDescent="0.3"/>
    <row r="23" customFormat="1" x14ac:dyDescent="0.3"/>
    <row r="24" customFormat="1" x14ac:dyDescent="0.3"/>
    <row r="25" customFormat="1" x14ac:dyDescent="0.3"/>
    <row r="26" customFormat="1" x14ac:dyDescent="0.3"/>
    <row r="27" customFormat="1" x14ac:dyDescent="0.3"/>
    <row r="28" customFormat="1" x14ac:dyDescent="0.3"/>
    <row r="29" customFormat="1" x14ac:dyDescent="0.3"/>
    <row r="30" customFormat="1" x14ac:dyDescent="0.3"/>
    <row r="31" customFormat="1" x14ac:dyDescent="0.3"/>
    <row r="32"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B25"/>
  <sheetViews>
    <sheetView zoomScaleNormal="100" workbookViewId="0">
      <selection activeCell="B95" sqref="B95:J97"/>
    </sheetView>
  </sheetViews>
  <sheetFormatPr defaultColWidth="8.90625" defaultRowHeight="15.6" x14ac:dyDescent="0.3"/>
  <cols>
    <col min="1" max="1" width="9" style="6" bestFit="1" customWidth="1"/>
    <col min="2" max="2" width="9.54296875" style="6" customWidth="1"/>
    <col min="3" max="3" width="10.1796875" style="6" hidden="1" customWidth="1"/>
    <col min="4" max="4" width="13.453125" style="6" hidden="1" customWidth="1"/>
    <col min="5" max="6" width="11" style="6" hidden="1" customWidth="1"/>
    <col min="7" max="7" width="14.54296875" style="6" hidden="1" customWidth="1"/>
    <col min="8" max="8" width="11.54296875" style="6" customWidth="1"/>
    <col min="9" max="9" width="7.90625" style="6" customWidth="1"/>
    <col min="10" max="10" width="9.54296875" style="6" hidden="1" customWidth="1"/>
    <col min="11" max="12" width="10.08984375" style="6" hidden="1" customWidth="1"/>
    <col min="13" max="13" width="5.54296875" style="6" hidden="1" customWidth="1"/>
    <col min="14" max="14" width="12.90625" style="6" hidden="1" customWidth="1"/>
    <col min="15" max="15" width="8.6328125" style="6" hidden="1" customWidth="1"/>
    <col min="16" max="16" width="12.08984375" style="6" bestFit="1" customWidth="1"/>
    <col min="17" max="17" width="8.08984375" style="6" bestFit="1" customWidth="1"/>
    <col min="18" max="18" width="13.08984375" style="6" hidden="1" customWidth="1"/>
    <col min="19" max="19" width="9.54296875" style="6" hidden="1" customWidth="1"/>
    <col min="20" max="20" width="12.1796875" style="6" bestFit="1" customWidth="1"/>
    <col min="21" max="21" width="10.81640625" style="6" customWidth="1"/>
    <col min="22" max="22" width="9.81640625" style="6" hidden="1" customWidth="1"/>
    <col min="23" max="23" width="9.90625" style="6" hidden="1" customWidth="1"/>
    <col min="24" max="24" width="10" style="6" hidden="1" customWidth="1"/>
    <col min="25" max="25" width="8.6328125" style="6" hidden="1" customWidth="1"/>
    <col min="26" max="26" width="8.54296875" style="6" hidden="1" customWidth="1"/>
    <col min="27" max="27" width="10.1796875" style="6" hidden="1" customWidth="1"/>
    <col min="28" max="28" width="10.08984375" style="6" hidden="1" customWidth="1"/>
    <col min="29" max="29" width="5.6328125" style="6" customWidth="1"/>
    <col min="30" max="16384" width="8.90625" style="6"/>
  </cols>
  <sheetData>
    <row r="1" spans="1:28" s="347" customFormat="1" x14ac:dyDescent="0.3">
      <c r="A1" s="363">
        <v>-1</v>
      </c>
      <c r="B1" s="363">
        <v>-2</v>
      </c>
      <c r="C1" s="363">
        <v>-3</v>
      </c>
      <c r="D1" s="363">
        <v>-4</v>
      </c>
      <c r="E1" s="363">
        <v>-5</v>
      </c>
      <c r="F1" s="363">
        <v>-6</v>
      </c>
      <c r="G1" s="363">
        <v>-7</v>
      </c>
      <c r="H1" s="363">
        <v>-8</v>
      </c>
      <c r="I1" s="363">
        <v>-9</v>
      </c>
      <c r="J1" s="363">
        <v>-10</v>
      </c>
      <c r="K1" s="363">
        <v>-11</v>
      </c>
      <c r="L1" s="363">
        <v>-12</v>
      </c>
      <c r="M1" s="363">
        <v>-13</v>
      </c>
      <c r="N1" s="363">
        <v>-14</v>
      </c>
      <c r="O1" s="363">
        <v>-15</v>
      </c>
      <c r="P1" s="363">
        <v>-16</v>
      </c>
      <c r="Q1" s="363">
        <v>-17</v>
      </c>
      <c r="R1" s="363">
        <v>-18</v>
      </c>
      <c r="S1" s="363">
        <v>-19</v>
      </c>
      <c r="T1" s="363">
        <v>-20</v>
      </c>
      <c r="U1" s="363">
        <v>-21</v>
      </c>
      <c r="V1" s="363">
        <v>-22</v>
      </c>
      <c r="W1" s="363">
        <v>-23</v>
      </c>
      <c r="X1" s="363">
        <v>-24</v>
      </c>
      <c r="Y1" s="363">
        <v>-25</v>
      </c>
      <c r="Z1" s="363">
        <v>-26</v>
      </c>
      <c r="AA1" s="363">
        <v>-27</v>
      </c>
      <c r="AB1" s="363">
        <v>-28</v>
      </c>
    </row>
    <row r="3" spans="1:28" x14ac:dyDescent="0.3">
      <c r="A3" s="347"/>
      <c r="B3" s="353" t="s">
        <v>507</v>
      </c>
      <c r="C3" s="353" t="s">
        <v>507</v>
      </c>
      <c r="D3" s="353" t="s">
        <v>507</v>
      </c>
      <c r="E3" s="353" t="s">
        <v>508</v>
      </c>
      <c r="F3" s="353"/>
      <c r="G3" s="353" t="s">
        <v>509</v>
      </c>
      <c r="H3" s="353" t="s">
        <v>510</v>
      </c>
      <c r="I3" s="353" t="s">
        <v>511</v>
      </c>
      <c r="J3" s="353"/>
      <c r="K3" s="353" t="s">
        <v>512</v>
      </c>
      <c r="L3" s="351" t="s">
        <v>619</v>
      </c>
      <c r="M3" s="351"/>
      <c r="N3" s="731" t="s">
        <v>513</v>
      </c>
      <c r="O3" s="731"/>
      <c r="P3" s="731" t="s">
        <v>514</v>
      </c>
      <c r="Q3" s="731"/>
      <c r="R3" s="731" t="s">
        <v>515</v>
      </c>
      <c r="S3" s="731"/>
      <c r="T3" s="731" t="s">
        <v>516</v>
      </c>
      <c r="U3" s="731"/>
      <c r="V3" s="354" t="s">
        <v>517</v>
      </c>
      <c r="W3" s="354" t="s">
        <v>67</v>
      </c>
      <c r="X3" s="354" t="s">
        <v>518</v>
      </c>
      <c r="Y3" s="354" t="s">
        <v>519</v>
      </c>
      <c r="Z3" s="354" t="s">
        <v>520</v>
      </c>
      <c r="AA3" s="354"/>
      <c r="AB3" s="354"/>
    </row>
    <row r="4" spans="1:28" x14ac:dyDescent="0.3">
      <c r="A4" s="78" t="s">
        <v>265</v>
      </c>
      <c r="B4" s="356" t="s">
        <v>90</v>
      </c>
      <c r="C4" s="356" t="s">
        <v>521</v>
      </c>
      <c r="D4" s="356" t="s">
        <v>522</v>
      </c>
      <c r="E4" s="357" t="s">
        <v>523</v>
      </c>
      <c r="F4" s="575" t="s">
        <v>406</v>
      </c>
      <c r="G4" s="356" t="s">
        <v>524</v>
      </c>
      <c r="H4" s="356" t="s">
        <v>525</v>
      </c>
      <c r="I4" s="356" t="s">
        <v>526</v>
      </c>
      <c r="J4" s="356" t="s">
        <v>527</v>
      </c>
      <c r="K4" s="356" t="s">
        <v>528</v>
      </c>
      <c r="L4" s="355" t="s">
        <v>620</v>
      </c>
      <c r="M4" s="355"/>
      <c r="N4" s="356" t="s">
        <v>11</v>
      </c>
      <c r="O4" s="356" t="s">
        <v>529</v>
      </c>
      <c r="P4" s="356" t="s">
        <v>11</v>
      </c>
      <c r="Q4" s="356" t="s">
        <v>529</v>
      </c>
      <c r="R4" s="356" t="s">
        <v>11</v>
      </c>
      <c r="S4" s="356" t="s">
        <v>529</v>
      </c>
      <c r="T4" s="356" t="s">
        <v>11</v>
      </c>
      <c r="U4" s="356" t="s">
        <v>529</v>
      </c>
      <c r="V4" s="358" t="s">
        <v>530</v>
      </c>
      <c r="W4" s="358" t="s">
        <v>110</v>
      </c>
      <c r="X4" s="358" t="s">
        <v>531</v>
      </c>
      <c r="Y4" s="358" t="s">
        <v>530</v>
      </c>
      <c r="Z4" s="358" t="s">
        <v>532</v>
      </c>
      <c r="AA4" s="358" t="s">
        <v>533</v>
      </c>
      <c r="AB4" s="358" t="s">
        <v>30</v>
      </c>
    </row>
    <row r="5" spans="1:28" x14ac:dyDescent="0.3">
      <c r="A5" s="371">
        <f>'Input Data'!C7</f>
        <v>44136</v>
      </c>
      <c r="B5" s="510">
        <v>71473.600000000006</v>
      </c>
      <c r="C5" s="511" t="s">
        <v>809</v>
      </c>
      <c r="D5" s="511" t="s">
        <v>809</v>
      </c>
      <c r="E5" s="511" t="s">
        <v>809</v>
      </c>
      <c r="F5" s="511" t="s">
        <v>809</v>
      </c>
      <c r="G5" s="511" t="s">
        <v>809</v>
      </c>
      <c r="H5" s="511">
        <v>323.74</v>
      </c>
      <c r="I5" s="511">
        <v>0</v>
      </c>
      <c r="J5" s="511" t="s">
        <v>809</v>
      </c>
      <c r="K5" s="511" t="s">
        <v>809</v>
      </c>
      <c r="L5" s="511" t="s">
        <v>809</v>
      </c>
      <c r="M5" s="511" t="s">
        <v>809</v>
      </c>
      <c r="N5" s="511" t="s">
        <v>809</v>
      </c>
      <c r="O5" s="511" t="s">
        <v>809</v>
      </c>
      <c r="P5" s="510">
        <v>0</v>
      </c>
      <c r="Q5" s="511">
        <v>0</v>
      </c>
      <c r="R5" s="511" t="s">
        <v>809</v>
      </c>
      <c r="S5" s="511" t="s">
        <v>809</v>
      </c>
      <c r="T5" s="510">
        <v>0</v>
      </c>
      <c r="U5" s="511">
        <v>0</v>
      </c>
      <c r="V5" s="511" t="s">
        <v>809</v>
      </c>
      <c r="W5" s="511" t="s">
        <v>809</v>
      </c>
      <c r="X5" s="511" t="s">
        <v>809</v>
      </c>
      <c r="Y5" s="511" t="s">
        <v>809</v>
      </c>
      <c r="Z5" s="511" t="s">
        <v>809</v>
      </c>
      <c r="AA5" s="511" t="s">
        <v>809</v>
      </c>
      <c r="AB5" s="511" t="s">
        <v>809</v>
      </c>
    </row>
    <row r="6" spans="1:28" x14ac:dyDescent="0.3">
      <c r="A6" s="371">
        <f>EOMONTH(A5,1)</f>
        <v>44196</v>
      </c>
      <c r="B6" s="510">
        <v>44430.3</v>
      </c>
      <c r="C6" s="511" t="s">
        <v>809</v>
      </c>
      <c r="D6" s="511" t="s">
        <v>809</v>
      </c>
      <c r="E6" s="511" t="s">
        <v>809</v>
      </c>
      <c r="F6" s="511" t="s">
        <v>809</v>
      </c>
      <c r="G6" s="511" t="s">
        <v>809</v>
      </c>
      <c r="H6" s="511">
        <v>205.98</v>
      </c>
      <c r="I6" s="511">
        <v>0</v>
      </c>
      <c r="J6" s="511" t="s">
        <v>809</v>
      </c>
      <c r="K6" s="511" t="s">
        <v>809</v>
      </c>
      <c r="L6" s="511" t="s">
        <v>809</v>
      </c>
      <c r="M6" s="511" t="s">
        <v>809</v>
      </c>
      <c r="N6" s="511" t="s">
        <v>809</v>
      </c>
      <c r="O6" s="511" t="s">
        <v>809</v>
      </c>
      <c r="P6" s="510">
        <v>0</v>
      </c>
      <c r="Q6" s="511">
        <v>0</v>
      </c>
      <c r="R6" s="511" t="s">
        <v>809</v>
      </c>
      <c r="S6" s="511" t="s">
        <v>809</v>
      </c>
      <c r="T6" s="510">
        <v>0</v>
      </c>
      <c r="U6" s="511">
        <v>0</v>
      </c>
      <c r="V6" s="511" t="s">
        <v>809</v>
      </c>
      <c r="W6" s="511" t="s">
        <v>809</v>
      </c>
      <c r="X6" s="511" t="s">
        <v>809</v>
      </c>
      <c r="Y6" s="511" t="s">
        <v>809</v>
      </c>
      <c r="Z6" s="511" t="s">
        <v>809</v>
      </c>
      <c r="AA6" s="511" t="s">
        <v>809</v>
      </c>
      <c r="AB6" s="511" t="s">
        <v>809</v>
      </c>
    </row>
    <row r="7" spans="1:28" x14ac:dyDescent="0.3">
      <c r="A7" s="371">
        <f>EOMONTH(A6,1)</f>
        <v>44227</v>
      </c>
      <c r="B7" s="581">
        <v>22918</v>
      </c>
      <c r="C7" s="511" t="s">
        <v>809</v>
      </c>
      <c r="D7" s="511" t="s">
        <v>809</v>
      </c>
      <c r="E7" s="511" t="s">
        <v>809</v>
      </c>
      <c r="F7" s="511" t="s">
        <v>809</v>
      </c>
      <c r="G7" s="511" t="s">
        <v>809</v>
      </c>
      <c r="H7" s="582">
        <v>44.65</v>
      </c>
      <c r="I7" s="582">
        <v>0</v>
      </c>
      <c r="J7" s="582">
        <v>0</v>
      </c>
      <c r="K7" s="582">
        <v>0</v>
      </c>
      <c r="L7" s="582">
        <v>0</v>
      </c>
      <c r="M7" s="583"/>
      <c r="N7" s="511" t="s">
        <v>809</v>
      </c>
      <c r="O7" s="511" t="s">
        <v>809</v>
      </c>
      <c r="P7" s="581">
        <v>0</v>
      </c>
      <c r="Q7" s="582">
        <v>0</v>
      </c>
      <c r="R7" s="511" t="s">
        <v>809</v>
      </c>
      <c r="S7" s="511" t="s">
        <v>809</v>
      </c>
      <c r="T7" s="581">
        <v>23</v>
      </c>
      <c r="U7" s="582">
        <v>63.89</v>
      </c>
      <c r="V7" s="511" t="s">
        <v>809</v>
      </c>
      <c r="W7" s="511" t="s">
        <v>809</v>
      </c>
      <c r="X7" s="511" t="s">
        <v>809</v>
      </c>
      <c r="Y7" s="511" t="s">
        <v>809</v>
      </c>
      <c r="Z7" s="511" t="s">
        <v>809</v>
      </c>
      <c r="AA7" s="511" t="s">
        <v>809</v>
      </c>
      <c r="AB7" s="511" t="s">
        <v>809</v>
      </c>
    </row>
    <row r="8" spans="1:28" x14ac:dyDescent="0.3">
      <c r="A8" s="44"/>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row>
    <row r="9" spans="1:28" x14ac:dyDescent="0.3">
      <c r="A9" s="44"/>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row>
    <row r="10" spans="1:28" x14ac:dyDescent="0.3">
      <c r="A10" s="44"/>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row>
    <row r="11" spans="1:28" x14ac:dyDescent="0.3">
      <c r="A11" s="44"/>
    </row>
    <row r="12" spans="1:28" x14ac:dyDescent="0.3">
      <c r="A12" s="44"/>
    </row>
    <row r="13" spans="1:28" x14ac:dyDescent="0.3">
      <c r="A13" s="44"/>
    </row>
    <row r="14" spans="1:28" x14ac:dyDescent="0.3">
      <c r="A14" s="44"/>
    </row>
    <row r="15" spans="1:28" x14ac:dyDescent="0.3">
      <c r="A15" s="44"/>
    </row>
    <row r="16" spans="1:28" x14ac:dyDescent="0.3">
      <c r="A16" s="44"/>
    </row>
    <row r="17" spans="1:1" x14ac:dyDescent="0.3">
      <c r="A17" s="44"/>
    </row>
    <row r="18" spans="1:1" x14ac:dyDescent="0.3">
      <c r="A18" s="44"/>
    </row>
    <row r="19" spans="1:1" x14ac:dyDescent="0.3">
      <c r="A19" s="44"/>
    </row>
    <row r="20" spans="1:1" x14ac:dyDescent="0.3">
      <c r="A20" s="44"/>
    </row>
    <row r="21" spans="1:1" x14ac:dyDescent="0.3">
      <c r="A21" s="44"/>
    </row>
    <row r="22" spans="1:1" x14ac:dyDescent="0.3">
      <c r="A22" s="44"/>
    </row>
    <row r="23" spans="1:1" x14ac:dyDescent="0.3">
      <c r="A23" s="44"/>
    </row>
    <row r="24" spans="1:1" x14ac:dyDescent="0.3">
      <c r="A24" s="44"/>
    </row>
    <row r="25" spans="1:1" x14ac:dyDescent="0.3">
      <c r="A25" s="44"/>
    </row>
  </sheetData>
  <mergeCells count="4">
    <mergeCell ref="P3:Q3"/>
    <mergeCell ref="R3:S3"/>
    <mergeCell ref="T3:U3"/>
    <mergeCell ref="N3:O3"/>
  </mergeCells>
  <pageMargins left="0.7" right="0.7" top="0.75" bottom="0.75" header="0.3" footer="0.3"/>
  <pageSetup scale="2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B95" sqref="B95:J97"/>
    </sheetView>
  </sheetViews>
  <sheetFormatPr defaultRowHeight="15.6"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37</vt:i4>
      </vt:variant>
      <vt:variant>
        <vt:lpstr>Named Ranges</vt:lpstr>
      </vt:variant>
      <vt:variant>
        <vt:i4>26</vt:i4>
      </vt:variant>
    </vt:vector>
  </HeadingPairs>
  <TitlesOfParts>
    <vt:vector size="63" baseType="lpstr">
      <vt:lpstr>Typical Bill</vt:lpstr>
      <vt:lpstr>Databases &gt;</vt:lpstr>
      <vt:lpstr>Input Data</vt:lpstr>
      <vt:lpstr>Case Database</vt:lpstr>
      <vt:lpstr>Forecast</vt:lpstr>
      <vt:lpstr>Sales Volumes</vt:lpstr>
      <vt:lpstr>FT Data</vt:lpstr>
      <vt:lpstr>TS-2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A-1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'Sales Volumes'!Print_Titles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Conroy</dc:creator>
  <cp:lastModifiedBy>Steve Sharp</cp:lastModifiedBy>
  <cp:lastPrinted>2021-03-31T18:35:06Z</cp:lastPrinted>
  <dcterms:created xsi:type="dcterms:W3CDTF">2006-10-04T20:02:49Z</dcterms:created>
  <dcterms:modified xsi:type="dcterms:W3CDTF">2021-03-31T19:29:35Z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965de27-20ef-4eb5-94ff-abaf6a06cb9e_Enabled">
    <vt:lpwstr>true</vt:lpwstr>
  </property>
  <property fmtid="{D5CDD505-2E9C-101B-9397-08002B2CF9AE}" pid="3" name="MSIP_Label_e965de27-20ef-4eb5-94ff-abaf6a06cb9e_SetDate">
    <vt:lpwstr>2020-12-23T16:38:23Z</vt:lpwstr>
  </property>
  <property fmtid="{D5CDD505-2E9C-101B-9397-08002B2CF9AE}" pid="4" name="MSIP_Label_e965de27-20ef-4eb5-94ff-abaf6a06cb9e_Method">
    <vt:lpwstr>Privileged</vt:lpwstr>
  </property>
  <property fmtid="{D5CDD505-2E9C-101B-9397-08002B2CF9AE}" pid="5" name="MSIP_Label_e965de27-20ef-4eb5-94ff-abaf6a06cb9e_Name">
    <vt:lpwstr>e965de27-20ef-4eb5-94ff-abaf6a06cb9e</vt:lpwstr>
  </property>
  <property fmtid="{D5CDD505-2E9C-101B-9397-08002B2CF9AE}" pid="6" name="MSIP_Label_e965de27-20ef-4eb5-94ff-abaf6a06cb9e_SiteId">
    <vt:lpwstr>5ee3b0ba-a559-45ee-a69e-6d3e963a3e72</vt:lpwstr>
  </property>
  <property fmtid="{D5CDD505-2E9C-101B-9397-08002B2CF9AE}" pid="7" name="MSIP_Label_e965de27-20ef-4eb5-94ff-abaf6a06cb9e_ActionId">
    <vt:lpwstr>a209245f-6fc9-4e75-b1fe-000013019352</vt:lpwstr>
  </property>
  <property fmtid="{D5CDD505-2E9C-101B-9397-08002B2CF9AE}" pid="8" name="MSIP_Label_e965de27-20ef-4eb5-94ff-abaf6a06cb9e_ContentBits">
    <vt:lpwstr>0</vt:lpwstr>
  </property>
</Properties>
</file>