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Taylor Co\Analysis\"/>
    </mc:Choice>
  </mc:AlternateContent>
  <xr:revisionPtr revIDLastSave="0" documentId="13_ncr:1_{77BEF076-D7CF-453A-A091-9F9CFBB81BF8}" xr6:coauthVersionLast="47" xr6:coauthVersionMax="47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Detail'!$A$1:$R$148</definedName>
    <definedName name="_xlnm.Print_Area" localSheetId="2">'Notice Table'!$A$1:$G$56</definedName>
    <definedName name="_xlnm.Print_Area" localSheetId="0">Summary!$A$1:$O$30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5" i="1" l="1"/>
  <c r="I62" i="1"/>
  <c r="I48" i="1"/>
  <c r="I35" i="1"/>
  <c r="I23" i="1"/>
  <c r="I11" i="1"/>
  <c r="G14" i="2" l="1"/>
  <c r="R15" i="2"/>
  <c r="R14" i="2"/>
  <c r="R13" i="2"/>
  <c r="R12" i="2"/>
  <c r="R11" i="2"/>
  <c r="R10" i="2"/>
  <c r="R9" i="2"/>
  <c r="R8" i="2"/>
  <c r="E41" i="3"/>
  <c r="F41" i="3"/>
  <c r="E42" i="3"/>
  <c r="F42" i="3"/>
  <c r="E44" i="3"/>
  <c r="F44" i="3"/>
  <c r="E45" i="3"/>
  <c r="F45" i="3"/>
  <c r="E46" i="3"/>
  <c r="F46" i="3"/>
  <c r="E48" i="3"/>
  <c r="F48" i="3"/>
  <c r="E49" i="3"/>
  <c r="F49" i="3"/>
  <c r="E50" i="3"/>
  <c r="F50" i="3"/>
  <c r="E51" i="3"/>
  <c r="F51" i="3"/>
  <c r="E53" i="3"/>
  <c r="F53" i="3"/>
  <c r="E54" i="3"/>
  <c r="F54" i="3"/>
  <c r="E55" i="3"/>
  <c r="F55" i="3"/>
  <c r="E56" i="3"/>
  <c r="F56" i="3"/>
  <c r="F40" i="3"/>
  <c r="E40" i="3"/>
  <c r="C43" i="3"/>
  <c r="D43" i="3"/>
  <c r="C47" i="3"/>
  <c r="D47" i="3"/>
  <c r="C52" i="3"/>
  <c r="D52" i="3"/>
  <c r="D39" i="3"/>
  <c r="C39" i="3"/>
  <c r="E24" i="3" l="1"/>
  <c r="F24" i="3"/>
  <c r="E25" i="3"/>
  <c r="F25" i="3"/>
  <c r="F23" i="3"/>
  <c r="E23" i="3"/>
  <c r="E21" i="3"/>
  <c r="F21" i="3"/>
  <c r="E19" i="3"/>
  <c r="F19" i="3"/>
  <c r="E20" i="3"/>
  <c r="F20" i="3"/>
  <c r="F18" i="3"/>
  <c r="E18" i="3"/>
  <c r="E15" i="3"/>
  <c r="F15" i="3"/>
  <c r="E16" i="3"/>
  <c r="F16" i="3"/>
  <c r="N123" i="1"/>
  <c r="G120" i="1"/>
  <c r="G121" i="1"/>
  <c r="G123" i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E41" i="1"/>
  <c r="E78" i="3" s="1"/>
  <c r="F86" i="1"/>
  <c r="F85" i="1"/>
  <c r="G85" i="1" s="1"/>
  <c r="F84" i="1"/>
  <c r="L86" i="1"/>
  <c r="L85" i="1"/>
  <c r="L84" i="1"/>
  <c r="G20" i="1"/>
  <c r="I20" i="1"/>
  <c r="M20" i="1"/>
  <c r="E29" i="1"/>
  <c r="I84" i="1"/>
  <c r="M84" i="1" s="1"/>
  <c r="I85" i="1"/>
  <c r="M85" i="1" s="1"/>
  <c r="I72" i="1"/>
  <c r="G72" i="1"/>
  <c r="I58" i="1"/>
  <c r="G58" i="1"/>
  <c r="I59" i="1"/>
  <c r="G59" i="1"/>
  <c r="I45" i="1"/>
  <c r="G45" i="1"/>
  <c r="B8" i="2"/>
  <c r="D76" i="3" s="1"/>
  <c r="N94" i="1"/>
  <c r="F82" i="3" s="1"/>
  <c r="E81" i="1"/>
  <c r="E81" i="3" s="1"/>
  <c r="E68" i="1"/>
  <c r="E80" i="3" s="1"/>
  <c r="E54" i="1"/>
  <c r="E79" i="3" s="1"/>
  <c r="G82" i="3"/>
  <c r="F68" i="3"/>
  <c r="G68" i="3"/>
  <c r="I120" i="1" l="1"/>
  <c r="O20" i="1"/>
  <c r="N20" i="1"/>
  <c r="N85" i="1"/>
  <c r="O85" i="1" s="1"/>
  <c r="T85" i="1"/>
  <c r="D62" i="3"/>
  <c r="E17" i="1"/>
  <c r="E76" i="3" s="1"/>
  <c r="E28" i="3" l="1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F27" i="3"/>
  <c r="E27" i="3"/>
  <c r="C26" i="3"/>
  <c r="D26" i="3"/>
  <c r="C22" i="3"/>
  <c r="D22" i="3"/>
  <c r="C17" i="3"/>
  <c r="D17" i="3"/>
  <c r="E14" i="3"/>
  <c r="C13" i="3"/>
  <c r="D13" i="3"/>
  <c r="E12" i="3"/>
  <c r="F12" i="3"/>
  <c r="F11" i="3"/>
  <c r="E11" i="3"/>
  <c r="C10" i="3"/>
  <c r="D10" i="3"/>
  <c r="E9" i="3"/>
  <c r="C8" i="3"/>
  <c r="D8" i="3"/>
  <c r="E7" i="3"/>
  <c r="F7" i="3"/>
  <c r="F6" i="3"/>
  <c r="E6" i="3"/>
  <c r="C5" i="3"/>
  <c r="D5" i="3"/>
  <c r="R16" i="2"/>
  <c r="S15" i="2" l="1"/>
  <c r="S9" i="2"/>
  <c r="S10" i="2"/>
  <c r="S11" i="2"/>
  <c r="S12" i="2"/>
  <c r="S13" i="2"/>
  <c r="S14" i="2"/>
  <c r="S8" i="2"/>
  <c r="S16" i="2"/>
  <c r="F14" i="3" l="1"/>
  <c r="F9" i="3"/>
  <c r="H18" i="2"/>
  <c r="A1" i="3" l="1"/>
  <c r="L28" i="2" l="1"/>
  <c r="G90" i="1" l="1"/>
  <c r="G122" i="1" s="1"/>
  <c r="C13" i="2" l="1"/>
  <c r="B13" i="2"/>
  <c r="C11" i="2"/>
  <c r="I86" i="1"/>
  <c r="J85" i="1" s="1"/>
  <c r="G86" i="1"/>
  <c r="I73" i="1"/>
  <c r="G73" i="1"/>
  <c r="M86" i="1" l="1"/>
  <c r="Q13" i="2"/>
  <c r="C81" i="3"/>
  <c r="C67" i="3"/>
  <c r="C65" i="3"/>
  <c r="C79" i="3"/>
  <c r="Q11" i="2"/>
  <c r="D81" i="3"/>
  <c r="D67" i="3"/>
  <c r="I60" i="1"/>
  <c r="G60" i="1"/>
  <c r="I21" i="1"/>
  <c r="G21" i="1"/>
  <c r="G79" i="1" l="1"/>
  <c r="I78" i="1"/>
  <c r="M78" i="1" s="1"/>
  <c r="I77" i="1"/>
  <c r="M77" i="1" s="1"/>
  <c r="N77" i="1" s="1"/>
  <c r="I76" i="1"/>
  <c r="M76" i="1" s="1"/>
  <c r="N76" i="1" s="1"/>
  <c r="M75" i="1"/>
  <c r="I71" i="1"/>
  <c r="G71" i="1"/>
  <c r="I46" i="1"/>
  <c r="G46" i="1"/>
  <c r="I33" i="1"/>
  <c r="G33" i="1"/>
  <c r="I74" i="1" l="1"/>
  <c r="G74" i="1"/>
  <c r="N75" i="1"/>
  <c r="M79" i="1"/>
  <c r="I79" i="1"/>
  <c r="J72" i="1" l="1"/>
  <c r="J73" i="1"/>
  <c r="J71" i="1"/>
  <c r="G80" i="1"/>
  <c r="G81" i="1" s="1"/>
  <c r="D13" i="2"/>
  <c r="E13" i="2"/>
  <c r="I80" i="1"/>
  <c r="I81" i="1" s="1"/>
  <c r="N79" i="1"/>
  <c r="O79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J74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T13" i="2"/>
  <c r="I65" i="1"/>
  <c r="M65" i="1" s="1"/>
  <c r="I64" i="1"/>
  <c r="M64" i="1" s="1"/>
  <c r="I63" i="1"/>
  <c r="M63" i="1" s="1"/>
  <c r="I91" i="1"/>
  <c r="M91" i="1" s="1"/>
  <c r="I90" i="1"/>
  <c r="I89" i="1"/>
  <c r="M89" i="1" s="1"/>
  <c r="I51" i="1"/>
  <c r="M51" i="1" s="1"/>
  <c r="I50" i="1"/>
  <c r="M50" i="1" s="1"/>
  <c r="I49" i="1"/>
  <c r="M49" i="1" s="1"/>
  <c r="I38" i="1"/>
  <c r="M38" i="1" s="1"/>
  <c r="I36" i="1"/>
  <c r="I26" i="1"/>
  <c r="M26" i="1" s="1"/>
  <c r="I25" i="1"/>
  <c r="M25" i="1" s="1"/>
  <c r="I24" i="1"/>
  <c r="M24" i="1" s="1"/>
  <c r="I14" i="1"/>
  <c r="I13" i="1"/>
  <c r="I12" i="1"/>
  <c r="B24" i="2"/>
  <c r="I121" i="1" l="1"/>
  <c r="I123" i="1"/>
  <c r="E24" i="2" s="1"/>
  <c r="M13" i="1"/>
  <c r="M12" i="1"/>
  <c r="M14" i="1"/>
  <c r="M123" i="1" s="1"/>
  <c r="M90" i="1"/>
  <c r="I27" i="1"/>
  <c r="I52" i="1"/>
  <c r="M36" i="1"/>
  <c r="G39" i="1"/>
  <c r="I37" i="1"/>
  <c r="M37" i="1" s="1"/>
  <c r="G15" i="1"/>
  <c r="G66" i="1"/>
  <c r="D24" i="2"/>
  <c r="G92" i="1"/>
  <c r="G52" i="1"/>
  <c r="G27" i="1"/>
  <c r="I122" i="1" l="1"/>
  <c r="J24" i="2"/>
  <c r="I15" i="1"/>
  <c r="I66" i="1"/>
  <c r="I92" i="1"/>
  <c r="I3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E23" i="2" l="1"/>
  <c r="E22" i="2"/>
  <c r="D23" i="2"/>
  <c r="D22" i="2"/>
  <c r="C10" i="2"/>
  <c r="C14" i="2"/>
  <c r="C12" i="2"/>
  <c r="C15" i="2"/>
  <c r="B15" i="2"/>
  <c r="B12" i="2"/>
  <c r="B14" i="2"/>
  <c r="B11" i="2"/>
  <c r="B10" i="2"/>
  <c r="C9" i="2"/>
  <c r="C8" i="2"/>
  <c r="B9" i="2"/>
  <c r="N90" i="1"/>
  <c r="N89" i="1"/>
  <c r="M88" i="1"/>
  <c r="N50" i="1"/>
  <c r="N49" i="1"/>
  <c r="M48" i="1"/>
  <c r="I44" i="1"/>
  <c r="G44" i="1"/>
  <c r="N25" i="1"/>
  <c r="N24" i="1"/>
  <c r="M23" i="1"/>
  <c r="N36" i="1"/>
  <c r="M35" i="1"/>
  <c r="I32" i="1"/>
  <c r="G32" i="1"/>
  <c r="N64" i="1"/>
  <c r="N63" i="1"/>
  <c r="M62" i="1"/>
  <c r="I57" i="1"/>
  <c r="G57" i="1"/>
  <c r="D69" i="3" l="1"/>
  <c r="D83" i="3"/>
  <c r="Q10" i="2"/>
  <c r="C64" i="3"/>
  <c r="C78" i="3"/>
  <c r="C77" i="3"/>
  <c r="Q9" i="2"/>
  <c r="C63" i="3"/>
  <c r="C76" i="3"/>
  <c r="C62" i="3"/>
  <c r="Q8" i="2"/>
  <c r="C69" i="3"/>
  <c r="C83" i="3"/>
  <c r="Q15" i="2"/>
  <c r="C82" i="3"/>
  <c r="C68" i="3"/>
  <c r="Q14" i="2"/>
  <c r="C80" i="3"/>
  <c r="Q12" i="2"/>
  <c r="C66" i="3"/>
  <c r="D68" i="3"/>
  <c r="D82" i="3"/>
  <c r="D80" i="3"/>
  <c r="D66" i="3"/>
  <c r="D79" i="3"/>
  <c r="D65" i="3"/>
  <c r="D78" i="3"/>
  <c r="D64" i="3"/>
  <c r="D63" i="3"/>
  <c r="D77" i="3"/>
  <c r="N23" i="1"/>
  <c r="M27" i="1"/>
  <c r="N62" i="1"/>
  <c r="M66" i="1"/>
  <c r="N88" i="1"/>
  <c r="M92" i="1"/>
  <c r="N48" i="1"/>
  <c r="M52" i="1"/>
  <c r="N35" i="1"/>
  <c r="M39" i="1"/>
  <c r="N39" i="1" s="1"/>
  <c r="O39" i="1" s="1"/>
  <c r="E21" i="2"/>
  <c r="E25" i="2" s="1"/>
  <c r="G47" i="1"/>
  <c r="D11" i="2" s="1"/>
  <c r="D21" i="2"/>
  <c r="D25" i="2" s="1"/>
  <c r="G22" i="1"/>
  <c r="D9" i="2" s="1"/>
  <c r="G87" i="1"/>
  <c r="I87" i="1"/>
  <c r="J86" i="1" s="1"/>
  <c r="J87" i="1" s="1"/>
  <c r="I47" i="1"/>
  <c r="I22" i="1"/>
  <c r="G34" i="1"/>
  <c r="N37" i="1"/>
  <c r="I34" i="1"/>
  <c r="J33" i="1" s="1"/>
  <c r="I61" i="1"/>
  <c r="G61" i="1"/>
  <c r="G97" i="1"/>
  <c r="I97" i="1"/>
  <c r="G114" i="1"/>
  <c r="G124" i="1" s="1"/>
  <c r="M112" i="1"/>
  <c r="M122" i="1" s="1"/>
  <c r="M111" i="1"/>
  <c r="M121" i="1" s="1"/>
  <c r="M110" i="1"/>
  <c r="B22" i="2"/>
  <c r="B23" i="2"/>
  <c r="B21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J58" i="1" l="1"/>
  <c r="J59" i="1"/>
  <c r="J60" i="1"/>
  <c r="J20" i="1"/>
  <c r="J21" i="1"/>
  <c r="J22" i="1" s="1"/>
  <c r="J32" i="1"/>
  <c r="J34" i="1" s="1"/>
  <c r="J45" i="1"/>
  <c r="J46" i="1"/>
  <c r="J44" i="1"/>
  <c r="J47" i="1" s="1"/>
  <c r="M120" i="1"/>
  <c r="J57" i="1"/>
  <c r="J61" i="1" s="1"/>
  <c r="M15" i="1"/>
  <c r="N110" i="1"/>
  <c r="E11" i="2"/>
  <c r="N111" i="1"/>
  <c r="N112" i="1"/>
  <c r="J23" i="2"/>
  <c r="G53" i="1"/>
  <c r="G54" i="1" s="1"/>
  <c r="G28" i="1"/>
  <c r="G29" i="1" s="1"/>
  <c r="N12" i="1"/>
  <c r="J22" i="2"/>
  <c r="N13" i="1"/>
  <c r="N122" i="1" s="1"/>
  <c r="G93" i="1"/>
  <c r="D14" i="2"/>
  <c r="G40" i="1"/>
  <c r="G41" i="1" s="1"/>
  <c r="D10" i="2"/>
  <c r="I53" i="1"/>
  <c r="I54" i="1" s="1"/>
  <c r="G67" i="1"/>
  <c r="G68" i="1" s="1"/>
  <c r="D12" i="2"/>
  <c r="I67" i="1"/>
  <c r="I68" i="1" s="1"/>
  <c r="E12" i="2"/>
  <c r="I40" i="1"/>
  <c r="I41" i="1" s="1"/>
  <c r="E10" i="2"/>
  <c r="I28" i="1"/>
  <c r="I29" i="1" s="1"/>
  <c r="E9" i="2"/>
  <c r="I93" i="1"/>
  <c r="E14" i="2"/>
  <c r="N52" i="1"/>
  <c r="O52" i="1" s="1"/>
  <c r="N92" i="1"/>
  <c r="O92" i="1" s="1"/>
  <c r="N27" i="1"/>
  <c r="O27" i="1" s="1"/>
  <c r="N66" i="1"/>
  <c r="O66" i="1" s="1"/>
  <c r="G10" i="1"/>
  <c r="I10" i="1"/>
  <c r="J9" i="1" s="1"/>
  <c r="I114" i="1"/>
  <c r="I124" i="1" s="1"/>
  <c r="I109" i="1"/>
  <c r="G109" i="1"/>
  <c r="N11" i="1"/>
  <c r="J8" i="1" l="1"/>
  <c r="J10" i="1" s="1"/>
  <c r="N120" i="1"/>
  <c r="J100" i="1"/>
  <c r="J99" i="1"/>
  <c r="J104" i="1"/>
  <c r="J103" i="1"/>
  <c r="J108" i="1"/>
  <c r="J107" i="1"/>
  <c r="J98" i="1"/>
  <c r="J102" i="1"/>
  <c r="J105" i="1"/>
  <c r="J106" i="1"/>
  <c r="J101" i="1"/>
  <c r="J97" i="1"/>
  <c r="G119" i="1"/>
  <c r="G125" i="1" s="1"/>
  <c r="I119" i="1"/>
  <c r="I125" i="1" s="1"/>
  <c r="N121" i="1"/>
  <c r="T12" i="2"/>
  <c r="T14" i="2"/>
  <c r="T11" i="2"/>
  <c r="T9" i="2"/>
  <c r="T10" i="2"/>
  <c r="D15" i="2"/>
  <c r="J21" i="2"/>
  <c r="J25" i="2" s="1"/>
  <c r="E15" i="2"/>
  <c r="G115" i="1"/>
  <c r="E8" i="2"/>
  <c r="G16" i="1"/>
  <c r="D8" i="2"/>
  <c r="I115" i="1"/>
  <c r="M114" i="1"/>
  <c r="M124" i="1" s="1"/>
  <c r="I16" i="1"/>
  <c r="I17" i="1" s="1"/>
  <c r="N15" i="1"/>
  <c r="J109" i="1" l="1"/>
  <c r="T15" i="2"/>
  <c r="T8" i="2"/>
  <c r="D16" i="2"/>
  <c r="D18" i="2" s="1"/>
  <c r="D27" i="2" s="1"/>
  <c r="E16" i="2"/>
  <c r="G17" i="1"/>
  <c r="N114" i="1"/>
  <c r="O114" i="1" s="1"/>
  <c r="N124" i="1" l="1"/>
  <c r="G16" i="2"/>
  <c r="G18" i="2" s="1"/>
  <c r="T16" i="2"/>
  <c r="U8" i="2" s="1"/>
  <c r="E18" i="2"/>
  <c r="F13" i="2"/>
  <c r="F8" i="2"/>
  <c r="F11" i="2"/>
  <c r="F9" i="2"/>
  <c r="F15" i="2"/>
  <c r="F16" i="2"/>
  <c r="F18" i="2" s="1"/>
  <c r="F10" i="2"/>
  <c r="F12" i="2"/>
  <c r="F14" i="2"/>
  <c r="H15" i="2" l="1"/>
  <c r="I15" i="2" s="1"/>
  <c r="K109" i="1" s="1"/>
  <c r="H9" i="2"/>
  <c r="I9" i="2" s="1"/>
  <c r="K22" i="1" s="1"/>
  <c r="H13" i="2"/>
  <c r="I13" i="2" s="1"/>
  <c r="K74" i="1" s="1"/>
  <c r="H14" i="2"/>
  <c r="H10" i="2"/>
  <c r="I10" i="2" s="1"/>
  <c r="K34" i="1" s="1"/>
  <c r="H11" i="2"/>
  <c r="I11" i="2" s="1"/>
  <c r="K47" i="1" s="1"/>
  <c r="H12" i="2"/>
  <c r="I12" i="2" s="1"/>
  <c r="K61" i="1" s="1"/>
  <c r="H8" i="2"/>
  <c r="I8" i="2" s="1"/>
  <c r="K10" i="1" s="1"/>
  <c r="U13" i="2"/>
  <c r="V13" i="2" s="1"/>
  <c r="U14" i="2"/>
  <c r="V14" i="2" s="1"/>
  <c r="U15" i="2"/>
  <c r="V15" i="2" s="1"/>
  <c r="U9" i="2"/>
  <c r="V9" i="2" s="1"/>
  <c r="U10" i="2"/>
  <c r="V10" i="2" s="1"/>
  <c r="U12" i="2"/>
  <c r="V12" i="2" s="1"/>
  <c r="U11" i="2"/>
  <c r="V11" i="2" s="1"/>
  <c r="V8" i="2"/>
  <c r="E27" i="2"/>
  <c r="I14" i="2" l="1"/>
  <c r="K87" i="1" s="1"/>
  <c r="S22" i="1"/>
  <c r="L21" i="1" s="1"/>
  <c r="U16" i="2"/>
  <c r="V16" i="2" s="1"/>
  <c r="S109" i="1"/>
  <c r="L108" i="1" s="1"/>
  <c r="S34" i="1"/>
  <c r="S10" i="1"/>
  <c r="S61" i="1"/>
  <c r="S47" i="1"/>
  <c r="L45" i="1" s="1"/>
  <c r="G15" i="3" s="1"/>
  <c r="J15" i="3" s="1"/>
  <c r="S74" i="1"/>
  <c r="L72" i="1" s="1"/>
  <c r="G24" i="3" l="1"/>
  <c r="J24" i="3" s="1"/>
  <c r="L133" i="1"/>
  <c r="I16" i="2"/>
  <c r="I18" i="2" s="1"/>
  <c r="L59" i="1"/>
  <c r="L58" i="1"/>
  <c r="L71" i="1"/>
  <c r="L73" i="1"/>
  <c r="G25" i="3" s="1"/>
  <c r="J25" i="3" s="1"/>
  <c r="L46" i="1"/>
  <c r="G16" i="3" s="1"/>
  <c r="J16" i="3" s="1"/>
  <c r="L44" i="1"/>
  <c r="L60" i="1"/>
  <c r="L9" i="1"/>
  <c r="G7" i="3" s="1"/>
  <c r="J7" i="3" s="1"/>
  <c r="L32" i="1"/>
  <c r="G11" i="3" s="1"/>
  <c r="J11" i="3" s="1"/>
  <c r="L33" i="1"/>
  <c r="G12" i="3" s="1"/>
  <c r="J12" i="3" s="1"/>
  <c r="L102" i="1"/>
  <c r="T102" i="1" s="1"/>
  <c r="L105" i="1"/>
  <c r="G35" i="3" s="1"/>
  <c r="J35" i="3" s="1"/>
  <c r="L106" i="1"/>
  <c r="G36" i="3" s="1"/>
  <c r="J36" i="3" s="1"/>
  <c r="L8" i="1"/>
  <c r="L107" i="1"/>
  <c r="G37" i="3" s="1"/>
  <c r="J37" i="3" s="1"/>
  <c r="L101" i="1"/>
  <c r="G31" i="3" s="1"/>
  <c r="J31" i="3" s="1"/>
  <c r="L103" i="1"/>
  <c r="G33" i="3" s="1"/>
  <c r="J33" i="3" s="1"/>
  <c r="L100" i="1"/>
  <c r="G30" i="3" s="1"/>
  <c r="J30" i="3" s="1"/>
  <c r="L104" i="1"/>
  <c r="G34" i="3" s="1"/>
  <c r="J34" i="3" s="1"/>
  <c r="L97" i="1"/>
  <c r="G27" i="3" s="1"/>
  <c r="J27" i="3" s="1"/>
  <c r="L98" i="1"/>
  <c r="G28" i="3" s="1"/>
  <c r="J28" i="3" s="1"/>
  <c r="L99" i="1"/>
  <c r="G29" i="3" s="1"/>
  <c r="J29" i="3" s="1"/>
  <c r="L57" i="1"/>
  <c r="T108" i="1"/>
  <c r="G38" i="3"/>
  <c r="J38" i="3" s="1"/>
  <c r="G9" i="3"/>
  <c r="J9" i="3" s="1"/>
  <c r="M108" i="1"/>
  <c r="N108" i="1" s="1"/>
  <c r="O108" i="1" s="1"/>
  <c r="M9" i="1"/>
  <c r="N9" i="1" s="1"/>
  <c r="O9" i="1" s="1"/>
  <c r="T32" i="1"/>
  <c r="T86" i="1"/>
  <c r="T9" i="1" l="1"/>
  <c r="G19" i="3"/>
  <c r="J19" i="3" s="1"/>
  <c r="L141" i="1"/>
  <c r="G20" i="3"/>
  <c r="J20" i="3" s="1"/>
  <c r="L142" i="1"/>
  <c r="L137" i="1"/>
  <c r="G45" i="3" s="1"/>
  <c r="J45" i="3" s="1"/>
  <c r="G41" i="3"/>
  <c r="J41" i="3" s="1"/>
  <c r="M32" i="1"/>
  <c r="N32" i="1" s="1"/>
  <c r="O32" i="1" s="1"/>
  <c r="M57" i="1"/>
  <c r="N57" i="1" s="1"/>
  <c r="O57" i="1" s="1"/>
  <c r="G18" i="3"/>
  <c r="J18" i="3" s="1"/>
  <c r="G21" i="3"/>
  <c r="J21" i="3" s="1"/>
  <c r="G23" i="3"/>
  <c r="J23" i="3" s="1"/>
  <c r="M71" i="1"/>
  <c r="N71" i="1" s="1"/>
  <c r="O71" i="1" s="1"/>
  <c r="T71" i="1"/>
  <c r="M60" i="1"/>
  <c r="N60" i="1" s="1"/>
  <c r="O60" i="1" s="1"/>
  <c r="T60" i="1"/>
  <c r="T58" i="1"/>
  <c r="M58" i="1"/>
  <c r="N58" i="1" s="1"/>
  <c r="O58" i="1" s="1"/>
  <c r="M59" i="1"/>
  <c r="N59" i="1" s="1"/>
  <c r="O59" i="1" s="1"/>
  <c r="T59" i="1"/>
  <c r="M72" i="1"/>
  <c r="N72" i="1" s="1"/>
  <c r="O72" i="1" s="1"/>
  <c r="T72" i="1"/>
  <c r="N86" i="1"/>
  <c r="N87" i="1" s="1"/>
  <c r="O87" i="1" s="1"/>
  <c r="P85" i="1"/>
  <c r="Q85" i="1" s="1"/>
  <c r="G6" i="3"/>
  <c r="J6" i="3" s="1"/>
  <c r="T33" i="1"/>
  <c r="G32" i="3"/>
  <c r="J32" i="3" s="1"/>
  <c r="M102" i="1"/>
  <c r="N102" i="1" s="1"/>
  <c r="O102" i="1" s="1"/>
  <c r="T106" i="1"/>
  <c r="M105" i="1"/>
  <c r="N105" i="1" s="1"/>
  <c r="O105" i="1" s="1"/>
  <c r="T105" i="1"/>
  <c r="T103" i="1"/>
  <c r="T99" i="1"/>
  <c r="M8" i="1"/>
  <c r="N8" i="1" s="1"/>
  <c r="O8" i="1" s="1"/>
  <c r="M44" i="1"/>
  <c r="N44" i="1" s="1"/>
  <c r="M106" i="1"/>
  <c r="N106" i="1" s="1"/>
  <c r="O106" i="1" s="1"/>
  <c r="M73" i="1"/>
  <c r="N73" i="1" s="1"/>
  <c r="O73" i="1" s="1"/>
  <c r="M99" i="1"/>
  <c r="N99" i="1" s="1"/>
  <c r="O99" i="1" s="1"/>
  <c r="M101" i="1"/>
  <c r="N101" i="1" s="1"/>
  <c r="O101" i="1" s="1"/>
  <c r="M104" i="1"/>
  <c r="N104" i="1" s="1"/>
  <c r="O104" i="1" s="1"/>
  <c r="M33" i="1"/>
  <c r="N33" i="1" s="1"/>
  <c r="O33" i="1" s="1"/>
  <c r="T104" i="1"/>
  <c r="T101" i="1"/>
  <c r="M103" i="1"/>
  <c r="N103" i="1" s="1"/>
  <c r="O103" i="1" s="1"/>
  <c r="T73" i="1"/>
  <c r="M107" i="1"/>
  <c r="N107" i="1" s="1"/>
  <c r="O107" i="1" s="1"/>
  <c r="T107" i="1"/>
  <c r="T8" i="1"/>
  <c r="T100" i="1"/>
  <c r="M100" i="1"/>
  <c r="N100" i="1" s="1"/>
  <c r="O100" i="1" s="1"/>
  <c r="M97" i="1"/>
  <c r="N97" i="1" s="1"/>
  <c r="O97" i="1" s="1"/>
  <c r="T97" i="1"/>
  <c r="M98" i="1"/>
  <c r="N98" i="1" s="1"/>
  <c r="O98" i="1" s="1"/>
  <c r="T98" i="1"/>
  <c r="T46" i="1"/>
  <c r="M46" i="1"/>
  <c r="M87" i="1"/>
  <c r="J14" i="2" s="1"/>
  <c r="G49" i="3" l="1"/>
  <c r="J49" i="3" s="1"/>
  <c r="L146" i="1"/>
  <c r="G54" i="3" s="1"/>
  <c r="J54" i="3" s="1"/>
  <c r="G50" i="3"/>
  <c r="J50" i="3" s="1"/>
  <c r="L147" i="1"/>
  <c r="G55" i="3" s="1"/>
  <c r="J55" i="3" s="1"/>
  <c r="M61" i="1"/>
  <c r="P58" i="1" s="1"/>
  <c r="Q58" i="1" s="1"/>
  <c r="N61" i="1"/>
  <c r="L12" i="2" s="1"/>
  <c r="O86" i="1"/>
  <c r="M45" i="1"/>
  <c r="M47" i="1" s="1"/>
  <c r="P44" i="1" s="1"/>
  <c r="Q44" i="1" s="1"/>
  <c r="T45" i="1"/>
  <c r="M10" i="1"/>
  <c r="G14" i="3"/>
  <c r="J14" i="3" s="1"/>
  <c r="N10" i="1"/>
  <c r="M34" i="1"/>
  <c r="R34" i="1" s="1"/>
  <c r="N34" i="1"/>
  <c r="O34" i="1" s="1"/>
  <c r="M74" i="1"/>
  <c r="N74" i="1"/>
  <c r="M109" i="1"/>
  <c r="N109" i="1"/>
  <c r="O109" i="1" s="1"/>
  <c r="O44" i="1"/>
  <c r="P86" i="1"/>
  <c r="Q86" i="1" s="1"/>
  <c r="N46" i="1"/>
  <c r="O46" i="1" s="1"/>
  <c r="P57" i="1"/>
  <c r="Q57" i="1" s="1"/>
  <c r="M67" i="1"/>
  <c r="M68" i="1" s="1"/>
  <c r="N68" i="1" s="1"/>
  <c r="J12" i="2"/>
  <c r="O12" i="2" s="1"/>
  <c r="O14" i="2"/>
  <c r="R87" i="1"/>
  <c r="M93" i="1"/>
  <c r="P8" i="1" l="1"/>
  <c r="Q8" i="1" s="1"/>
  <c r="O10" i="1"/>
  <c r="P59" i="1"/>
  <c r="Q59" i="1" s="1"/>
  <c r="P60" i="1"/>
  <c r="Q60" i="1" s="1"/>
  <c r="R61" i="1"/>
  <c r="J13" i="2"/>
  <c r="O13" i="2" s="1"/>
  <c r="P72" i="1"/>
  <c r="Q72" i="1" s="1"/>
  <c r="P45" i="1"/>
  <c r="Q45" i="1" s="1"/>
  <c r="N45" i="1"/>
  <c r="O45" i="1" s="1"/>
  <c r="J8" i="2"/>
  <c r="O8" i="2" s="1"/>
  <c r="R10" i="1"/>
  <c r="M16" i="1"/>
  <c r="M17" i="1" s="1"/>
  <c r="N17" i="1" s="1"/>
  <c r="O17" i="1" s="1"/>
  <c r="M80" i="1"/>
  <c r="M81" i="1" s="1"/>
  <c r="N81" i="1" s="1"/>
  <c r="P9" i="1"/>
  <c r="Q9" i="1" s="1"/>
  <c r="P73" i="1"/>
  <c r="Q73" i="1" s="1"/>
  <c r="P71" i="1"/>
  <c r="R74" i="1"/>
  <c r="J10" i="2"/>
  <c r="O10" i="2" s="1"/>
  <c r="P32" i="1"/>
  <c r="Q32" i="1" s="1"/>
  <c r="P33" i="1"/>
  <c r="Q33" i="1" s="1"/>
  <c r="M40" i="1"/>
  <c r="M41" i="1" s="1"/>
  <c r="N41" i="1" s="1"/>
  <c r="O41" i="1" s="1"/>
  <c r="J15" i="2"/>
  <c r="L15" i="2" s="1"/>
  <c r="M15" i="2" s="1"/>
  <c r="R109" i="1"/>
  <c r="P103" i="1"/>
  <c r="Q103" i="1" s="1"/>
  <c r="P97" i="1"/>
  <c r="Q97" i="1" s="1"/>
  <c r="J11" i="2"/>
  <c r="O11" i="2" s="1"/>
  <c r="P100" i="1"/>
  <c r="Q100" i="1" s="1"/>
  <c r="P101" i="1"/>
  <c r="Q101" i="1" s="1"/>
  <c r="P98" i="1"/>
  <c r="Q98" i="1" s="1"/>
  <c r="P107" i="1"/>
  <c r="Q107" i="1" s="1"/>
  <c r="O68" i="1"/>
  <c r="F80" i="3"/>
  <c r="M115" i="1"/>
  <c r="N115" i="1" s="1"/>
  <c r="O115" i="1" s="1"/>
  <c r="N15" i="2" s="1"/>
  <c r="P102" i="1"/>
  <c r="Q102" i="1" s="1"/>
  <c r="P108" i="1"/>
  <c r="Q108" i="1" s="1"/>
  <c r="P104" i="1"/>
  <c r="Q104" i="1" s="1"/>
  <c r="P105" i="1"/>
  <c r="Q105" i="1" s="1"/>
  <c r="P99" i="1"/>
  <c r="Q99" i="1" s="1"/>
  <c r="P106" i="1"/>
  <c r="Q106" i="1" s="1"/>
  <c r="M53" i="1"/>
  <c r="M54" i="1" s="1"/>
  <c r="N54" i="1" s="1"/>
  <c r="P46" i="1"/>
  <c r="Q46" i="1" s="1"/>
  <c r="R47" i="1"/>
  <c r="M12" i="2"/>
  <c r="F66" i="3"/>
  <c r="M14" i="2"/>
  <c r="O61" i="1"/>
  <c r="N67" i="1"/>
  <c r="P87" i="1"/>
  <c r="Q87" i="1" s="1"/>
  <c r="L8" i="2"/>
  <c r="L10" i="2"/>
  <c r="N93" i="1"/>
  <c r="O93" i="1" s="1"/>
  <c r="O74" i="1"/>
  <c r="L13" i="2"/>
  <c r="P61" i="1" l="1"/>
  <c r="Q61" i="1" s="1"/>
  <c r="N47" i="1"/>
  <c r="O47" i="1" s="1"/>
  <c r="N16" i="1"/>
  <c r="O16" i="1" s="1"/>
  <c r="N8" i="2" s="1"/>
  <c r="F76" i="3"/>
  <c r="P74" i="1"/>
  <c r="Q74" i="1" s="1"/>
  <c r="N80" i="1"/>
  <c r="O80" i="1" s="1"/>
  <c r="N13" i="2" s="1"/>
  <c r="P10" i="1"/>
  <c r="Q10" i="1" s="1"/>
  <c r="Q71" i="1"/>
  <c r="P34" i="1"/>
  <c r="Q34" i="1" s="1"/>
  <c r="N40" i="1"/>
  <c r="O40" i="1" s="1"/>
  <c r="N10" i="2" s="1"/>
  <c r="F78" i="3"/>
  <c r="F69" i="3"/>
  <c r="O15" i="2"/>
  <c r="O54" i="1"/>
  <c r="F79" i="3"/>
  <c r="P109" i="1"/>
  <c r="Q109" i="1" s="1"/>
  <c r="O81" i="1"/>
  <c r="F81" i="3"/>
  <c r="P47" i="1"/>
  <c r="Q47" i="1" s="1"/>
  <c r="N53" i="1"/>
  <c r="O53" i="1" s="1"/>
  <c r="N11" i="2" s="1"/>
  <c r="M10" i="2"/>
  <c r="F64" i="3"/>
  <c r="M8" i="2"/>
  <c r="F62" i="3"/>
  <c r="M13" i="2"/>
  <c r="F67" i="3"/>
  <c r="O67" i="1"/>
  <c r="N12" i="2" s="1"/>
  <c r="G69" i="3"/>
  <c r="G83" i="3"/>
  <c r="L11" i="2" l="1"/>
  <c r="M11" i="2" s="1"/>
  <c r="G78" i="3"/>
  <c r="G64" i="3"/>
  <c r="G81" i="3"/>
  <c r="G67" i="3"/>
  <c r="G80" i="3"/>
  <c r="G66" i="3"/>
  <c r="G79" i="3"/>
  <c r="G65" i="3"/>
  <c r="G62" i="3"/>
  <c r="G76" i="3"/>
  <c r="M21" i="1"/>
  <c r="F65" i="3" l="1"/>
  <c r="T21" i="1"/>
  <c r="N21" i="1"/>
  <c r="O21" i="1" s="1"/>
  <c r="N22" i="1" l="1"/>
  <c r="N119" i="1" s="1"/>
  <c r="N125" i="1" s="1"/>
  <c r="M22" i="1"/>
  <c r="M119" i="1" s="1"/>
  <c r="M125" i="1" s="1"/>
  <c r="P20" i="1" l="1"/>
  <c r="Q20" i="1" s="1"/>
  <c r="J9" i="2"/>
  <c r="O9" i="2" s="1"/>
  <c r="M28" i="1"/>
  <c r="M29" i="1" s="1"/>
  <c r="R22" i="1"/>
  <c r="P21" i="1"/>
  <c r="Q21" i="1" s="1"/>
  <c r="N29" i="1" l="1"/>
  <c r="O29" i="1" s="1"/>
  <c r="J16" i="2"/>
  <c r="L9" i="2"/>
  <c r="O22" i="1"/>
  <c r="P22" i="1"/>
  <c r="Q22" i="1" s="1"/>
  <c r="N28" i="1"/>
  <c r="O119" i="1"/>
  <c r="S147" i="1" l="1"/>
  <c r="T147" i="1" s="1"/>
  <c r="S148" i="1"/>
  <c r="S146" i="1"/>
  <c r="T146" i="1" s="1"/>
  <c r="S145" i="1"/>
  <c r="S143" i="1"/>
  <c r="S133" i="1"/>
  <c r="T133" i="1" s="1"/>
  <c r="S142" i="1"/>
  <c r="T142" i="1" s="1"/>
  <c r="S140" i="1"/>
  <c r="S138" i="1"/>
  <c r="S132" i="1"/>
  <c r="S137" i="1"/>
  <c r="T137" i="1" s="1"/>
  <c r="S136" i="1"/>
  <c r="S141" i="1"/>
  <c r="T141" i="1" s="1"/>
  <c r="S134" i="1"/>
  <c r="O28" i="1"/>
  <c r="N9" i="2" s="1"/>
  <c r="M9" i="2"/>
  <c r="F63" i="3"/>
  <c r="O16" i="2"/>
  <c r="O18" i="2" s="1"/>
  <c r="K9" i="2"/>
  <c r="K12" i="2"/>
  <c r="K10" i="2"/>
  <c r="K15" i="2"/>
  <c r="K13" i="2"/>
  <c r="J18" i="2"/>
  <c r="J27" i="2" s="1"/>
  <c r="L27" i="2" s="1"/>
  <c r="F70" i="3" s="1"/>
  <c r="K16" i="2"/>
  <c r="K18" i="2" s="1"/>
  <c r="K14" i="2"/>
  <c r="K11" i="2"/>
  <c r="K8" i="2"/>
  <c r="L16" i="2"/>
  <c r="L18" i="2" s="1"/>
  <c r="N127" i="1"/>
  <c r="O125" i="1"/>
  <c r="L134" i="1" l="1"/>
  <c r="G42" i="3" s="1"/>
  <c r="J42" i="3" s="1"/>
  <c r="L143" i="1"/>
  <c r="G51" i="3" s="1"/>
  <c r="J51" i="3" s="1"/>
  <c r="L136" i="1"/>
  <c r="G44" i="3" s="1"/>
  <c r="J44" i="3" s="1"/>
  <c r="L140" i="1"/>
  <c r="G48" i="3" s="1"/>
  <c r="J48" i="3" s="1"/>
  <c r="L145" i="1"/>
  <c r="G53" i="3" s="1"/>
  <c r="J53" i="3" s="1"/>
  <c r="L132" i="1"/>
  <c r="G40" i="3" s="1"/>
  <c r="J40" i="3" s="1"/>
  <c r="L148" i="1"/>
  <c r="G56" i="3" s="1"/>
  <c r="J56" i="3" s="1"/>
  <c r="L138" i="1"/>
  <c r="G46" i="3" s="1"/>
  <c r="J46" i="3" s="1"/>
  <c r="G77" i="3"/>
  <c r="G63" i="3"/>
  <c r="M16" i="2"/>
  <c r="M18" i="2" s="1"/>
  <c r="L29" i="2"/>
  <c r="L30" i="2" s="1"/>
  <c r="N27" i="2"/>
  <c r="G70" i="3" s="1"/>
  <c r="T140" i="1" l="1"/>
  <c r="T138" i="1"/>
  <c r="T148" i="1"/>
  <c r="T136" i="1"/>
  <c r="T132" i="1"/>
  <c r="T143" i="1"/>
  <c r="T145" i="1"/>
  <c r="T134" i="1"/>
</calcChain>
</file>

<file path=xl/sharedStrings.xml><?xml version="1.0" encoding="utf-8"?>
<sst xmlns="http://schemas.openxmlformats.org/spreadsheetml/2006/main" count="215" uniqueCount="106">
  <si>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</si>
  <si>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</si>
  <si>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</si>
  <si>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</si>
  <si>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</si>
  <si>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</si>
  <si>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</si>
  <si>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</si>
  <si>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</si>
  <si>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</si>
  <si>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</si>
  <si>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</si>
  <si>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</si>
  <si>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</si>
  <si>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</si>
  <si>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</si>
  <si>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</si>
  <si>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</si>
  <si>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</si>
  <si>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</si>
  <si>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</si>
  <si>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</si>
  <si>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</si>
  <si>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</si>
  <si>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</si>
  <si>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</si>
  <si>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</si>
  <si>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</si>
  <si>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</si>
  <si>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</si>
  <si>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</si>
  <si>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</si>
  <si>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</si>
  <si>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</si>
  <si>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</si>
  <si>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</si>
  <si>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</si>
  <si>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</si>
  <si>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</si>
  <si>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</si>
  <si>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</si>
  <si>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</si>
  <si>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</si>
  <si>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</si>
  <si>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</si>
  <si>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</si>
  <si>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</si>
  <si>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</si>
  <si>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</si>
  <si>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</si>
  <si>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</si>
  <si>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Demand Charge per kW</t>
  </si>
  <si>
    <t>Large Industrial</t>
  </si>
  <si>
    <t>Allocation Shares</t>
  </si>
  <si>
    <t>Last Rate Order</t>
  </si>
  <si>
    <t>Diff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</si>
  <si>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</si>
  <si>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</si>
  <si>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</si>
  <si>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</si>
  <si>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</si>
  <si>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</si>
  <si>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</si>
  <si>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</si>
  <si>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</si>
  <si>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</si>
  <si>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</si>
  <si>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TAYLOR COUNTY RECC</t>
  </si>
  <si>
    <t>GP2</t>
  </si>
  <si>
    <t>Residential Farm and Home</t>
  </si>
  <si>
    <t>A</t>
  </si>
  <si>
    <t>Residential ETS</t>
  </si>
  <si>
    <t>GP1</t>
  </si>
  <si>
    <t>Small Commercial Part 1 &lt; 50 KVA</t>
  </si>
  <si>
    <t>Small Commercial Part 2 &gt; 50 KVA</t>
  </si>
  <si>
    <t>B1</t>
  </si>
  <si>
    <t>Demand Charge Excess per kW</t>
  </si>
  <si>
    <t>Demand Charge Contract per kW</t>
  </si>
  <si>
    <t xml:space="preserve">Large Industrial </t>
  </si>
  <si>
    <t>C1</t>
  </si>
  <si>
    <t>Special</t>
  </si>
  <si>
    <t>Tennessee Gas / Kinder Morgan</t>
  </si>
  <si>
    <t>$2/MWH</t>
  </si>
  <si>
    <t>175 Watt Mercury Vapor</t>
  </si>
  <si>
    <t>250 Watt Mercury Vapor</t>
  </si>
  <si>
    <t>400 Watt Mercury Vapor</t>
  </si>
  <si>
    <t>100 Watt HPSodium</t>
  </si>
  <si>
    <t>250 Watt HPSodium</t>
  </si>
  <si>
    <t>175 Watt Mercury Metered</t>
  </si>
  <si>
    <t>400 Watt Mercury Metered</t>
  </si>
  <si>
    <t>250 Watt HPS Con Metered</t>
  </si>
  <si>
    <t>LED Security Light</t>
  </si>
  <si>
    <t>LED Cobra Head Light</t>
  </si>
  <si>
    <t>LED Directional Light</t>
  </si>
  <si>
    <t>100 Watt HPS Metered</t>
  </si>
  <si>
    <t>SL</t>
  </si>
  <si>
    <t>RATES WITH NO CURRENT MEMBERS</t>
  </si>
  <si>
    <t>Consumer Charge</t>
  </si>
  <si>
    <t>C3</t>
  </si>
  <si>
    <t>Demand Charge -Contract per kW</t>
  </si>
  <si>
    <t>Demand Charge -Excess per kW</t>
  </si>
  <si>
    <t>B2</t>
  </si>
  <si>
    <t>B3</t>
  </si>
  <si>
    <t>C2</t>
  </si>
  <si>
    <t>ETS</t>
  </si>
  <si>
    <t>Present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</si>
</sst>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&quot;$&quot;* #,##0.00000_);_(&quot;$&quot;* \(#,##0.00000\);_(&quot;$&quot;* &quot;-&quot;??_);_(@_)"/>
    <numFmt numFmtId="171" formatCode="0.0%"/>
    <numFmt numFmtId="172" formatCode="&quot;$&quot;#,##0"/>
    <numFmt numFmtId="173" formatCode="0.00000"/>
    <numFmt numFmtId="174" formatCode="_(* #,##0.0000_);_(* \(#,##0.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43" fontId="3" fillId="0" borderId="0" xfId="1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10" fontId="3" fillId="0" borderId="0" xfId="3" applyNumberFormat="1" applyFont="1" applyFill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9" fillId="4" borderId="0" xfId="0" applyFont="1" applyFill="1"/>
    <xf numFmtId="0" fontId="9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165" fontId="3" fillId="4" borderId="0" xfId="2" applyNumberFormat="1" applyFont="1" applyFill="1" applyAlignment="1"/>
    <xf numFmtId="171" fontId="3" fillId="4" borderId="0" xfId="3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165" fontId="3" fillId="4" borderId="2" xfId="2" applyNumberFormat="1" applyFont="1" applyFill="1" applyBorder="1" applyAlignment="1"/>
    <xf numFmtId="171" fontId="3" fillId="4" borderId="2" xfId="3" applyNumberFormat="1" applyFont="1" applyFill="1" applyBorder="1" applyAlignment="1">
      <alignment horizontal="right"/>
    </xf>
    <xf numFmtId="10" fontId="3" fillId="4" borderId="2" xfId="0" applyNumberFormat="1" applyFont="1" applyFill="1" applyBorder="1" applyAlignment="1">
      <alignment horizontal="center"/>
    </xf>
    <xf numFmtId="0" fontId="10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2" fontId="3" fillId="0" borderId="2" xfId="0" applyNumberFormat="1" applyFont="1" applyBorder="1"/>
    <xf numFmtId="10" fontId="3" fillId="0" borderId="2" xfId="3" applyNumberFormat="1" applyFont="1" applyBorder="1"/>
    <xf numFmtId="172" fontId="3" fillId="0" borderId="0" xfId="0" applyNumberFormat="1" applyFont="1"/>
    <xf numFmtId="10" fontId="3" fillId="0" borderId="0" xfId="3" applyNumberFormat="1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1" fillId="0" borderId="0" xfId="0" applyFont="1"/>
    <xf numFmtId="0" fontId="7" fillId="0" borderId="2" xfId="0" applyFont="1" applyBorder="1" applyAlignment="1">
      <alignment horizontal="center"/>
    </xf>
    <xf numFmtId="0" fontId="3" fillId="4" borderId="0" xfId="0" applyFont="1" applyFill="1" applyAlignment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7" fillId="0" borderId="0" xfId="0" applyFont="1"/>
    <xf numFmtId="167" fontId="3" fillId="0" borderId="0" xfId="0" applyNumberFormat="1" applyFont="1"/>
    <xf numFmtId="10" fontId="3" fillId="0" borderId="5" xfId="3" applyNumberFormat="1" applyFont="1" applyBorder="1" applyAlignment="1"/>
    <xf numFmtId="165" fontId="3" fillId="0" borderId="0" xfId="2" applyNumberFormat="1" applyFont="1" applyFill="1" applyAlignment="1"/>
    <xf numFmtId="0" fontId="7" fillId="0" borderId="0" xfId="0" applyFont="1" applyAlignment="1">
      <alignment horizontal="left"/>
    </xf>
    <xf numFmtId="43" fontId="3" fillId="0" borderId="0" xfId="1" applyFont="1" applyAlignment="1">
      <alignment vertical="center"/>
    </xf>
    <xf numFmtId="44" fontId="3" fillId="0" borderId="0" xfId="2" applyNumberFormat="1" applyFont="1"/>
    <xf numFmtId="174" fontId="7" fillId="0" borderId="0" xfId="1" applyNumberFormat="1" applyFont="1" applyAlignment="1">
      <alignment vertical="center"/>
    </xf>
    <xf numFmtId="43" fontId="3" fillId="0" borderId="0" xfId="0" applyNumberFormat="1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0" fontId="7" fillId="0" borderId="0" xfId="0" applyFont="1" applyFill="1"/>
    <xf numFmtId="43" fontId="7" fillId="0" borderId="0" xfId="1" applyFont="1" applyFill="1"/>
    <xf numFmtId="168" fontId="7" fillId="0" borderId="0" xfId="1" applyNumberFormat="1" applyFont="1" applyFill="1"/>
    <xf numFmtId="167" fontId="7" fillId="0" borderId="0" xfId="1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10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7" fillId="0" borderId="6" xfId="0" applyFont="1" applyFill="1" applyBorder="1"/>
    <xf numFmtId="164" fontId="7" fillId="0" borderId="0" xfId="1" applyNumberFormat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5" fontId="7" fillId="0" borderId="0" xfId="0" applyNumberFormat="1" applyFont="1" applyFill="1"/>
    <xf numFmtId="169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43" fontId="7" fillId="0" borderId="0" xfId="0" applyNumberFormat="1" applyFont="1" applyFill="1" applyAlignment="1">
      <alignment horizontal="right"/>
    </xf>
    <xf numFmtId="43" fontId="7" fillId="0" borderId="0" xfId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0" fontId="7" fillId="0" borderId="0" xfId="0" applyFont="1" applyFill="1" applyAlignment="1">
      <alignment horizontal="center"/>
    </xf>
    <xf numFmtId="166" fontId="7" fillId="0" borderId="0" xfId="0" applyNumberFormat="1" applyFont="1" applyFill="1"/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6" fontId="4" fillId="5" borderId="1" xfId="0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1"/>
  <sheetViews>
    <sheetView tabSelected="1" view="pageBreakPreview" zoomScaleNormal="75" zoomScaleSheetLayoutView="100" workbookViewId="0">
      <selection activeCell="L4" sqref="L4"/>
    </sheetView>
  </sheetViews>
  <sheetFormatPr defaultColWidth="8.88671875" defaultRowHeight="13.2" x14ac:dyDescent="0.25"/>
  <cols>
    <col min="1" max="1" width="6.44140625" style="2" customWidth="1"/>
    <col min="2" max="2" width="32.21875" style="2" bestFit="1" customWidth="1"/>
    <col min="3" max="3" width="7.33203125" style="13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1.3320312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44.554687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67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24" t="s">
        <v>39</v>
      </c>
      <c r="L4" s="172">
        <v>1676689</v>
      </c>
      <c r="M4" s="4"/>
    </row>
    <row r="5" spans="1:22" x14ac:dyDescent="0.25">
      <c r="M5" s="4"/>
      <c r="N5" s="4"/>
      <c r="Q5" s="80"/>
      <c r="R5" s="76" t="s">
        <v>53</v>
      </c>
      <c r="S5" s="77"/>
      <c r="T5" s="76"/>
      <c r="U5" s="76"/>
      <c r="V5" s="76"/>
    </row>
    <row r="6" spans="1:22" s="9" customFormat="1" ht="31.95" customHeight="1" x14ac:dyDescent="0.25">
      <c r="A6" s="7" t="s">
        <v>1</v>
      </c>
      <c r="B6" s="7" t="s">
        <v>2</v>
      </c>
      <c r="C6" s="8" t="s">
        <v>11</v>
      </c>
      <c r="D6" s="28" t="s">
        <v>21</v>
      </c>
      <c r="E6" s="28" t="s">
        <v>3</v>
      </c>
      <c r="F6" s="28" t="s">
        <v>22</v>
      </c>
      <c r="G6" s="28" t="s">
        <v>34</v>
      </c>
      <c r="H6" s="28" t="s">
        <v>35</v>
      </c>
      <c r="I6" s="28" t="s">
        <v>36</v>
      </c>
      <c r="J6" s="28" t="s">
        <v>4</v>
      </c>
      <c r="K6" s="28" t="s">
        <v>24</v>
      </c>
      <c r="L6" s="28" t="s">
        <v>47</v>
      </c>
      <c r="M6" s="75" t="s">
        <v>45</v>
      </c>
      <c r="N6" s="75" t="s">
        <v>46</v>
      </c>
      <c r="O6" s="10" t="s">
        <v>38</v>
      </c>
      <c r="Q6" s="78"/>
      <c r="R6" s="106" t="s">
        <v>54</v>
      </c>
      <c r="S6" s="107"/>
      <c r="T6" s="108" t="s">
        <v>48</v>
      </c>
      <c r="U6" s="109"/>
      <c r="V6" s="110" t="s">
        <v>55</v>
      </c>
    </row>
    <row r="7" spans="1:22" s="38" customFormat="1" x14ac:dyDescent="0.25">
      <c r="A7" s="3">
        <v>1</v>
      </c>
      <c r="B7" s="34" t="s">
        <v>5</v>
      </c>
      <c r="C7" s="70"/>
      <c r="D7" s="34"/>
      <c r="E7" s="35"/>
      <c r="F7" s="36"/>
      <c r="G7" s="36"/>
      <c r="H7" s="9"/>
      <c r="I7" s="9"/>
      <c r="J7" s="35"/>
      <c r="K7" s="36"/>
      <c r="L7" s="35"/>
      <c r="M7" s="37"/>
      <c r="N7" s="37"/>
      <c r="Q7" s="78"/>
      <c r="R7" s="80"/>
      <c r="S7" s="79"/>
      <c r="T7" s="80"/>
      <c r="U7" s="81"/>
      <c r="V7" s="81"/>
    </row>
    <row r="8" spans="1:22" s="38" customFormat="1" x14ac:dyDescent="0.25">
      <c r="A8" s="3">
        <f>A7+1</f>
        <v>2</v>
      </c>
      <c r="B8" s="38" t="str">
        <f>'Billing Detail'!B7</f>
        <v>Residential Farm and Home</v>
      </c>
      <c r="C8" s="13" t="str">
        <f>'Billing Detail'!C7</f>
        <v>A</v>
      </c>
      <c r="D8" s="39">
        <f>'Billing Detail'!G10</f>
        <v>26980545.139199998</v>
      </c>
      <c r="E8" s="39">
        <f>'Billing Detail'!I10</f>
        <v>26491047.678300001</v>
      </c>
      <c r="F8" s="37">
        <f t="shared" ref="F8:F16" si="0">E8/E$16</f>
        <v>0.61802232218216568</v>
      </c>
      <c r="G8" s="124">
        <v>26491047.678300001</v>
      </c>
      <c r="H8" s="125">
        <f t="shared" ref="H8:H15" si="1">G8/G$16</f>
        <v>0.67759253009332188</v>
      </c>
      <c r="I8" s="126">
        <f t="shared" ref="I8:I15" si="2">ROUND(L$4*H8,2)</f>
        <v>1136111.94</v>
      </c>
      <c r="J8" s="39">
        <f>'Billing Detail'!M10</f>
        <v>27627397.399800003</v>
      </c>
      <c r="K8" s="37">
        <f t="shared" ref="K8:K16" si="3">J8/J$16</f>
        <v>0.62024914758585892</v>
      </c>
      <c r="L8" s="39">
        <f>'Billing Detail'!N10</f>
        <v>1136349.7215000018</v>
      </c>
      <c r="M8" s="37">
        <f>IF(E8=0,0,L8/E8)</f>
        <v>4.2895612710358626E-2</v>
      </c>
      <c r="N8" s="37">
        <f>'Billing Detail'!O16</f>
        <v>3.9419951539903617E-2</v>
      </c>
      <c r="O8" s="41">
        <f>J8-I8-E8</f>
        <v>237.78150000050664</v>
      </c>
      <c r="Q8" s="81" t="str">
        <f>C8</f>
        <v>A</v>
      </c>
      <c r="R8" s="82" t="e">
        <f>'Billing Detail'!#REF!</f>
        <v>#REF!</v>
      </c>
      <c r="S8" s="83" t="e">
        <f t="shared" ref="S8:S15" si="4">R8/R$16</f>
        <v>#REF!</v>
      </c>
      <c r="T8" s="82">
        <f>E8</f>
        <v>26491047.678300001</v>
      </c>
      <c r="U8" s="84">
        <f t="shared" ref="U8:U15" si="5">T8/T$16</f>
        <v>0.61802232218216568</v>
      </c>
      <c r="V8" s="84" t="e">
        <f t="shared" ref="V8:V16" si="6">U8-S8</f>
        <v>#REF!</v>
      </c>
    </row>
    <row r="9" spans="1:22" s="38" customFormat="1" x14ac:dyDescent="0.25">
      <c r="A9" s="3">
        <f t="shared" ref="A9:A30" si="7">A8+1</f>
        <v>3</v>
      </c>
      <c r="B9" s="38" t="str">
        <f>'Billing Detail'!B19</f>
        <v>Residential ETS</v>
      </c>
      <c r="C9" s="13" t="str">
        <f>'Billing Detail'!C19</f>
        <v>ETS</v>
      </c>
      <c r="D9" s="39">
        <f>'Billing Detail'!G22</f>
        <v>15249.62103</v>
      </c>
      <c r="E9" s="39">
        <f>'Billing Detail'!I22</f>
        <v>14736.0906</v>
      </c>
      <c r="F9" s="37">
        <f t="shared" si="0"/>
        <v>3.4378530600580673E-4</v>
      </c>
      <c r="G9" s="124">
        <v>14736.0906</v>
      </c>
      <c r="H9" s="125">
        <f t="shared" si="1"/>
        <v>3.7692223556404035E-4</v>
      </c>
      <c r="I9" s="126">
        <f t="shared" si="2"/>
        <v>631.98</v>
      </c>
      <c r="J9" s="39">
        <f>'Billing Detail'!M22</f>
        <v>15367.637339999999</v>
      </c>
      <c r="K9" s="37">
        <f t="shared" si="3"/>
        <v>3.4501128798373955E-4</v>
      </c>
      <c r="L9" s="39">
        <f>'Billing Detail'!N22</f>
        <v>631.54673999999977</v>
      </c>
      <c r="M9" s="37">
        <f t="shared" ref="M9:M15" si="8">IF(E9=0,0,L9/E9)</f>
        <v>4.2857142857142844E-2</v>
      </c>
      <c r="N9" s="37">
        <f>'Billing Detail'!O28</f>
        <v>3.7416275881304903E-2</v>
      </c>
      <c r="O9" s="41">
        <f t="shared" ref="O9:O16" si="9">J9-I9-E9</f>
        <v>-0.43325999999979103</v>
      </c>
      <c r="Q9" s="81" t="str">
        <f t="shared" ref="Q9:Q15" si="10">C9</f>
        <v>ETS</v>
      </c>
      <c r="R9" s="82" t="e">
        <f>'Billing Detail'!#REF!</f>
        <v>#REF!</v>
      </c>
      <c r="S9" s="83" t="e">
        <f t="shared" si="4"/>
        <v>#REF!</v>
      </c>
      <c r="T9" s="82">
        <f t="shared" ref="T9:T15" si="11">E9</f>
        <v>14736.0906</v>
      </c>
      <c r="U9" s="84">
        <f t="shared" si="5"/>
        <v>3.4378530600580673E-4</v>
      </c>
      <c r="V9" s="84" t="e">
        <f t="shared" si="6"/>
        <v>#REF!</v>
      </c>
    </row>
    <row r="10" spans="1:22" s="38" customFormat="1" x14ac:dyDescent="0.25">
      <c r="A10" s="3">
        <f t="shared" si="7"/>
        <v>4</v>
      </c>
      <c r="B10" s="38" t="str">
        <f>'Billing Detail'!B31</f>
        <v>Small Commercial Part 1 &lt; 50 KVA</v>
      </c>
      <c r="C10" s="13" t="str">
        <f>'Billing Detail'!C31</f>
        <v>GP1</v>
      </c>
      <c r="D10" s="39">
        <f>'Billing Detail'!G34</f>
        <v>3533770.30345</v>
      </c>
      <c r="E10" s="39">
        <f>'Billing Detail'!I34</f>
        <v>3469479.1764800004</v>
      </c>
      <c r="F10" s="37">
        <f t="shared" si="0"/>
        <v>8.0941139189721817E-2</v>
      </c>
      <c r="G10" s="124">
        <v>3469479.1764800004</v>
      </c>
      <c r="H10" s="125">
        <f t="shared" si="1"/>
        <v>8.8742929379229493E-2</v>
      </c>
      <c r="I10" s="126">
        <f t="shared" si="2"/>
        <v>148794.29</v>
      </c>
      <c r="J10" s="39">
        <f>'Billing Detail'!M34</f>
        <v>3618494.2732000002</v>
      </c>
      <c r="K10" s="37">
        <f t="shared" si="3"/>
        <v>8.1237040030157151E-2</v>
      </c>
      <c r="L10" s="39">
        <f>'Billing Detail'!N34</f>
        <v>149015.09671999974</v>
      </c>
      <c r="M10" s="37">
        <f t="shared" si="8"/>
        <v>4.2950278453950747E-2</v>
      </c>
      <c r="N10" s="37">
        <f>'Billing Detail'!O40</f>
        <v>3.9443857972969787E-2</v>
      </c>
      <c r="O10" s="41">
        <f t="shared" si="9"/>
        <v>220.80671999976039</v>
      </c>
      <c r="Q10" s="81" t="str">
        <f t="shared" si="10"/>
        <v>GP1</v>
      </c>
      <c r="R10" s="82" t="e">
        <f>'Billing Detail'!#REF!</f>
        <v>#REF!</v>
      </c>
      <c r="S10" s="83" t="e">
        <f t="shared" si="4"/>
        <v>#REF!</v>
      </c>
      <c r="T10" s="82">
        <f t="shared" si="11"/>
        <v>3469479.1764800004</v>
      </c>
      <c r="U10" s="84">
        <f t="shared" si="5"/>
        <v>8.0941139189721817E-2</v>
      </c>
      <c r="V10" s="84" t="e">
        <f t="shared" si="6"/>
        <v>#REF!</v>
      </c>
    </row>
    <row r="11" spans="1:22" s="38" customFormat="1" x14ac:dyDescent="0.25">
      <c r="A11" s="3">
        <f t="shared" si="7"/>
        <v>5</v>
      </c>
      <c r="B11" s="38" t="str">
        <f>'Billing Detail'!B43</f>
        <v>Small Commercial Part 2 &gt; 50 KVA</v>
      </c>
      <c r="C11" s="13" t="str">
        <f>'Billing Detail'!C43</f>
        <v>GP2</v>
      </c>
      <c r="D11" s="39">
        <f>'Billing Detail'!G47</f>
        <v>7423937.8721600007</v>
      </c>
      <c r="E11" s="39">
        <f>'Billing Detail'!I47</f>
        <v>7278132.3566399999</v>
      </c>
      <c r="F11" s="37">
        <f t="shared" si="0"/>
        <v>0.16979503094112666</v>
      </c>
      <c r="G11" s="124">
        <v>7278132.3566399999</v>
      </c>
      <c r="H11" s="125">
        <f t="shared" si="1"/>
        <v>0.1861613092006727</v>
      </c>
      <c r="I11" s="126">
        <f t="shared" si="2"/>
        <v>312134.62</v>
      </c>
      <c r="J11" s="39">
        <f>'Billing Detail'!M47</f>
        <v>7591108.2980000004</v>
      </c>
      <c r="K11" s="37">
        <f t="shared" si="3"/>
        <v>0.1704242489052018</v>
      </c>
      <c r="L11" s="39">
        <f>'Billing Detail'!N47</f>
        <v>312975.94136000017</v>
      </c>
      <c r="M11" s="37">
        <f t="shared" si="8"/>
        <v>4.30022327190114E-2</v>
      </c>
      <c r="N11" s="37">
        <f>'Billing Detail'!O53</f>
        <v>3.9724122970435823E-2</v>
      </c>
      <c r="O11" s="41">
        <f t="shared" si="9"/>
        <v>841.32136000040919</v>
      </c>
      <c r="Q11" s="81" t="str">
        <f t="shared" si="10"/>
        <v>GP2</v>
      </c>
      <c r="R11" s="82" t="e">
        <f>'Billing Detail'!#REF!</f>
        <v>#REF!</v>
      </c>
      <c r="S11" s="83" t="e">
        <f t="shared" si="4"/>
        <v>#REF!</v>
      </c>
      <c r="T11" s="82">
        <f t="shared" si="11"/>
        <v>7278132.3566399999</v>
      </c>
      <c r="U11" s="84">
        <f t="shared" si="5"/>
        <v>0.16979503094112666</v>
      </c>
      <c r="V11" s="84" t="e">
        <f t="shared" si="6"/>
        <v>#REF!</v>
      </c>
    </row>
    <row r="12" spans="1:22" s="38" customFormat="1" x14ac:dyDescent="0.25">
      <c r="A12" s="3">
        <f t="shared" si="7"/>
        <v>6</v>
      </c>
      <c r="B12" s="38" t="str">
        <f>'Billing Detail'!B56</f>
        <v>Large Industrial</v>
      </c>
      <c r="C12" s="13" t="str">
        <f>'Billing Detail'!C56</f>
        <v>B1</v>
      </c>
      <c r="D12" s="39">
        <f>'Billing Detail'!G61</f>
        <v>932624.12428999995</v>
      </c>
      <c r="E12" s="39">
        <f>'Billing Detail'!I61</f>
        <v>911148.66111999995</v>
      </c>
      <c r="F12" s="37">
        <f t="shared" si="0"/>
        <v>2.1256622925480678E-2</v>
      </c>
      <c r="G12" s="124">
        <v>911148.66111999995</v>
      </c>
      <c r="H12" s="125">
        <f t="shared" si="1"/>
        <v>2.3305515662378772E-2</v>
      </c>
      <c r="I12" s="126">
        <f t="shared" si="2"/>
        <v>39076.1</v>
      </c>
      <c r="J12" s="39">
        <f>'Billing Detail'!M61</f>
        <v>950338.47482</v>
      </c>
      <c r="K12" s="37">
        <f t="shared" si="3"/>
        <v>2.1335582950329491E-2</v>
      </c>
      <c r="L12" s="39">
        <f>'Billing Detail'!N61</f>
        <v>39189.813700000086</v>
      </c>
      <c r="M12" s="37">
        <f>IF(E12=0,0,L12/E12)</f>
        <v>4.3011437509908955E-2</v>
      </c>
      <c r="N12" s="37">
        <f>'Billing Detail'!O67</f>
        <v>3.9973018062510537E-2</v>
      </c>
      <c r="O12" s="41">
        <f>J12-I12-E12</f>
        <v>113.71370000008028</v>
      </c>
      <c r="Q12" s="81" t="str">
        <f t="shared" si="10"/>
        <v>B1</v>
      </c>
      <c r="R12" s="82" t="e">
        <f>'Billing Detail'!#REF!</f>
        <v>#REF!</v>
      </c>
      <c r="S12" s="83" t="e">
        <f t="shared" si="4"/>
        <v>#REF!</v>
      </c>
      <c r="T12" s="82">
        <f t="shared" si="11"/>
        <v>911148.66111999995</v>
      </c>
      <c r="U12" s="84">
        <f t="shared" si="5"/>
        <v>2.1256622925480678E-2</v>
      </c>
      <c r="V12" s="84" t="e">
        <f t="shared" si="6"/>
        <v>#REF!</v>
      </c>
    </row>
    <row r="13" spans="1:22" s="38" customFormat="1" x14ac:dyDescent="0.25">
      <c r="A13" s="3">
        <f t="shared" si="7"/>
        <v>7</v>
      </c>
      <c r="B13" s="38" t="str">
        <f>'Billing Detail'!B70</f>
        <v xml:space="preserve">Large Industrial </v>
      </c>
      <c r="C13" s="13" t="str">
        <f>'Billing Detail'!C70</f>
        <v>C1</v>
      </c>
      <c r="D13" s="39">
        <f>'Billing Detail'!G74</f>
        <v>633361.66379000002</v>
      </c>
      <c r="E13" s="39">
        <f>'Billing Detail'!I74</f>
        <v>620463.71711999993</v>
      </c>
      <c r="F13" s="37">
        <f t="shared" si="0"/>
        <v>1.4475094829805097E-2</v>
      </c>
      <c r="G13" s="124">
        <v>620463.71711999993</v>
      </c>
      <c r="H13" s="125">
        <f t="shared" si="1"/>
        <v>1.5870326648456189E-2</v>
      </c>
      <c r="I13" s="126">
        <f t="shared" si="2"/>
        <v>26609.599999999999</v>
      </c>
      <c r="J13" s="39">
        <f>'Billing Detail'!M74</f>
        <v>647246.88581999997</v>
      </c>
      <c r="K13" s="37">
        <f t="shared" si="3"/>
        <v>1.4531022354293963E-2</v>
      </c>
      <c r="L13" s="39">
        <f>'Billing Detail'!N74</f>
        <v>26783.168700000038</v>
      </c>
      <c r="M13" s="37">
        <f t="shared" ref="M13" si="12">IF(E13=0,0,L13/E13)</f>
        <v>4.3166373731439445E-2</v>
      </c>
      <c r="N13" s="37">
        <f>'Billing Detail'!O80</f>
        <v>4.0052412128668891E-2</v>
      </c>
      <c r="O13" s="41">
        <f t="shared" ref="O13" si="13">J13-I13-E13</f>
        <v>173.56870000006165</v>
      </c>
      <c r="Q13" s="81" t="str">
        <f t="shared" si="10"/>
        <v>C1</v>
      </c>
      <c r="R13" s="82" t="e">
        <f>'Billing Detail'!#REF!</f>
        <v>#REF!</v>
      </c>
      <c r="S13" s="83" t="e">
        <f t="shared" si="4"/>
        <v>#REF!</v>
      </c>
      <c r="T13" s="82">
        <f t="shared" si="11"/>
        <v>620463.71711999993</v>
      </c>
      <c r="U13" s="84">
        <f t="shared" si="5"/>
        <v>1.4475094829805097E-2</v>
      </c>
      <c r="V13" s="84" t="e">
        <f t="shared" si="6"/>
        <v>#REF!</v>
      </c>
    </row>
    <row r="14" spans="1:22" s="38" customFormat="1" x14ac:dyDescent="0.25">
      <c r="A14" s="3">
        <f t="shared" si="7"/>
        <v>8</v>
      </c>
      <c r="B14" s="38" t="str">
        <f>'Billing Detail'!B83</f>
        <v>Tennessee Gas / Kinder Morgan</v>
      </c>
      <c r="C14" s="13" t="str">
        <f>'Billing Detail'!C83</f>
        <v>Special</v>
      </c>
      <c r="D14" s="39">
        <f>'Billing Detail'!G87</f>
        <v>3591978.6286400002</v>
      </c>
      <c r="E14" s="39">
        <f>'Billing Detail'!I87</f>
        <v>3768386.8446400003</v>
      </c>
      <c r="F14" s="37">
        <f t="shared" si="0"/>
        <v>8.7914499150325467E-2</v>
      </c>
      <c r="G14" s="124">
        <f>3768386.84464*0</f>
        <v>0</v>
      </c>
      <c r="H14" s="125">
        <f t="shared" si="1"/>
        <v>0</v>
      </c>
      <c r="I14" s="126">
        <f t="shared" si="2"/>
        <v>0</v>
      </c>
      <c r="J14" s="116">
        <f>'Billing Detail'!M87</f>
        <v>3768386.8446400003</v>
      </c>
      <c r="K14" s="37">
        <f t="shared" si="3"/>
        <v>8.4602204628172653E-2</v>
      </c>
      <c r="L14" s="116">
        <v>0</v>
      </c>
      <c r="M14" s="37">
        <f t="shared" si="8"/>
        <v>0</v>
      </c>
      <c r="N14" s="64">
        <v>0</v>
      </c>
      <c r="O14" s="41">
        <f t="shared" si="9"/>
        <v>0</v>
      </c>
      <c r="Q14" s="81" t="str">
        <f t="shared" si="10"/>
        <v>Special</v>
      </c>
      <c r="R14" s="82" t="e">
        <f>'Billing Detail'!#REF!</f>
        <v>#REF!</v>
      </c>
      <c r="S14" s="83" t="e">
        <f t="shared" si="4"/>
        <v>#REF!</v>
      </c>
      <c r="T14" s="82">
        <f t="shared" si="11"/>
        <v>3768386.8446400003</v>
      </c>
      <c r="U14" s="84">
        <f t="shared" si="5"/>
        <v>8.7914499150325467E-2</v>
      </c>
      <c r="V14" s="84" t="e">
        <f t="shared" si="6"/>
        <v>#REF!</v>
      </c>
    </row>
    <row r="15" spans="1:22" s="38" customFormat="1" x14ac:dyDescent="0.25">
      <c r="A15" s="3">
        <f t="shared" si="7"/>
        <v>9</v>
      </c>
      <c r="B15" s="38" t="str">
        <f>'Billing Detail'!B96</f>
        <v>Lighting</v>
      </c>
      <c r="C15" s="13" t="str">
        <f>'Billing Detail'!C96</f>
        <v>SL</v>
      </c>
      <c r="D15" s="39">
        <f>'Billing Detail'!G109</f>
        <v>310830.16000000003</v>
      </c>
      <c r="E15" s="39">
        <f>'Billing Detail'!I109</f>
        <v>310830.16000000003</v>
      </c>
      <c r="F15" s="37">
        <f t="shared" si="0"/>
        <v>7.251505475369016E-3</v>
      </c>
      <c r="G15" s="124">
        <v>310830.16000000003</v>
      </c>
      <c r="H15" s="125">
        <f t="shared" si="1"/>
        <v>7.9504667803771759E-3</v>
      </c>
      <c r="I15" s="126">
        <f t="shared" si="2"/>
        <v>13330.46</v>
      </c>
      <c r="J15" s="39">
        <f>'Billing Detail'!M109</f>
        <v>324079.15999999997</v>
      </c>
      <c r="K15" s="37">
        <f t="shared" si="3"/>
        <v>7.2757422580020624E-3</v>
      </c>
      <c r="L15" s="39">
        <f t="shared" ref="L15:L16" si="14">J15-E15</f>
        <v>13248.999999999942</v>
      </c>
      <c r="M15" s="37">
        <f t="shared" si="8"/>
        <v>4.2624563845413008E-2</v>
      </c>
      <c r="N15" s="37">
        <f>'Billing Detail'!O115</f>
        <v>4.2624563845413008E-2</v>
      </c>
      <c r="O15" s="41">
        <f t="shared" si="9"/>
        <v>-81.460000000079162</v>
      </c>
      <c r="Q15" s="81" t="str">
        <f t="shared" si="10"/>
        <v>SL</v>
      </c>
      <c r="R15" s="82" t="e">
        <f>'Billing Detail'!#REF!</f>
        <v>#REF!</v>
      </c>
      <c r="S15" s="83" t="e">
        <f t="shared" si="4"/>
        <v>#REF!</v>
      </c>
      <c r="T15" s="82">
        <f t="shared" si="11"/>
        <v>310830.16000000003</v>
      </c>
      <c r="U15" s="84">
        <f t="shared" si="5"/>
        <v>7.251505475369016E-3</v>
      </c>
      <c r="V15" s="84" t="e">
        <f t="shared" si="6"/>
        <v>#REF!</v>
      </c>
    </row>
    <row r="16" spans="1:22" s="38" customFormat="1" ht="16.2" customHeight="1" x14ac:dyDescent="0.25">
      <c r="A16" s="3">
        <f t="shared" si="7"/>
        <v>10</v>
      </c>
      <c r="B16" s="42" t="s">
        <v>44</v>
      </c>
      <c r="C16" s="71"/>
      <c r="D16" s="43">
        <f>SUM(D8:D15)</f>
        <v>43422297.512559995</v>
      </c>
      <c r="E16" s="43">
        <f>SUM(E8:E15)</f>
        <v>42864224.684899993</v>
      </c>
      <c r="F16" s="44">
        <f t="shared" si="0"/>
        <v>1</v>
      </c>
      <c r="G16" s="43">
        <f>SUM(G8:G15)</f>
        <v>39095837.840259992</v>
      </c>
      <c r="H16" s="44">
        <v>1</v>
      </c>
      <c r="I16" s="43">
        <f>SUM(I8:I15)</f>
        <v>1676688.9900000002</v>
      </c>
      <c r="J16" s="43">
        <f>SUM(J8:J15)</f>
        <v>44542418.973620012</v>
      </c>
      <c r="K16" s="44">
        <f t="shared" si="3"/>
        <v>1</v>
      </c>
      <c r="L16" s="43">
        <f t="shared" si="14"/>
        <v>1678194.2887200192</v>
      </c>
      <c r="M16" s="44">
        <f t="shared" ref="M16" si="15">L16/E16</f>
        <v>3.9151397256257978E-2</v>
      </c>
      <c r="N16" s="44"/>
      <c r="O16" s="45">
        <f t="shared" si="9"/>
        <v>1505.2987200170755</v>
      </c>
      <c r="Q16" s="105"/>
      <c r="R16" s="85" t="e">
        <f>SUM(R8:R15)</f>
        <v>#REF!</v>
      </c>
      <c r="S16" s="86" t="e">
        <f t="shared" ref="S16" si="16">R16/R$16</f>
        <v>#REF!</v>
      </c>
      <c r="T16" s="85">
        <f>SUM(T8:T15)</f>
        <v>42864224.684899993</v>
      </c>
      <c r="U16" s="87">
        <f>SUM(U8:U15)</f>
        <v>1.0000000000000002</v>
      </c>
      <c r="V16" s="84" t="e">
        <f t="shared" si="6"/>
        <v>#REF!</v>
      </c>
    </row>
    <row r="17" spans="1:19" s="38" customFormat="1" ht="16.2" customHeight="1" x14ac:dyDescent="0.25">
      <c r="A17" s="3">
        <f t="shared" si="7"/>
        <v>11</v>
      </c>
      <c r="B17" s="46"/>
      <c r="C17" s="72"/>
      <c r="D17" s="47"/>
      <c r="E17" s="47"/>
      <c r="F17" s="48"/>
      <c r="G17" s="47"/>
      <c r="H17" s="48"/>
      <c r="I17" s="47"/>
      <c r="J17" s="47"/>
      <c r="K17" s="48"/>
      <c r="L17" s="47"/>
      <c r="M17" s="48"/>
      <c r="N17" s="48"/>
      <c r="O17" s="49"/>
    </row>
    <row r="18" spans="1:19" s="38" customFormat="1" ht="16.2" customHeight="1" x14ac:dyDescent="0.25">
      <c r="A18" s="3">
        <f t="shared" si="7"/>
        <v>12</v>
      </c>
      <c r="B18" s="50" t="s">
        <v>43</v>
      </c>
      <c r="C18" s="73"/>
      <c r="D18" s="51">
        <f>D16</f>
        <v>43422297.512559995</v>
      </c>
      <c r="E18" s="51">
        <f t="shared" ref="E18:O18" si="17">E16</f>
        <v>42864224.684899993</v>
      </c>
      <c r="F18" s="115">
        <f t="shared" si="17"/>
        <v>1</v>
      </c>
      <c r="G18" s="51">
        <f t="shared" si="17"/>
        <v>39095837.840259992</v>
      </c>
      <c r="H18" s="115">
        <f t="shared" si="17"/>
        <v>1</v>
      </c>
      <c r="I18" s="51">
        <f t="shared" si="17"/>
        <v>1676688.9900000002</v>
      </c>
      <c r="J18" s="51">
        <f t="shared" si="17"/>
        <v>44542418.973620012</v>
      </c>
      <c r="K18" s="115">
        <f t="shared" si="17"/>
        <v>1</v>
      </c>
      <c r="L18" s="51">
        <f t="shared" si="17"/>
        <v>1678194.2887200192</v>
      </c>
      <c r="M18" s="115">
        <f t="shared" si="17"/>
        <v>3.9151397256257978E-2</v>
      </c>
      <c r="N18" s="51"/>
      <c r="O18" s="51">
        <f t="shared" si="17"/>
        <v>1505.2987200170755</v>
      </c>
    </row>
    <row r="19" spans="1:19" s="38" customFormat="1" ht="12.6" customHeight="1" x14ac:dyDescent="0.25">
      <c r="A19" s="3">
        <f t="shared" si="7"/>
        <v>13</v>
      </c>
      <c r="C19" s="13"/>
      <c r="S19" s="39"/>
    </row>
    <row r="20" spans="1:19" s="38" customFormat="1" x14ac:dyDescent="0.25">
      <c r="A20" s="3">
        <f t="shared" si="7"/>
        <v>14</v>
      </c>
      <c r="B20" s="34" t="s">
        <v>7</v>
      </c>
      <c r="C20" s="70"/>
      <c r="D20" s="34"/>
    </row>
    <row r="21" spans="1:19" s="38" customFormat="1" x14ac:dyDescent="0.25">
      <c r="A21" s="3">
        <f t="shared" si="7"/>
        <v>15</v>
      </c>
      <c r="B21" s="38" t="str">
        <f>'Billing Detail'!D11</f>
        <v xml:space="preserve">    FAC</v>
      </c>
      <c r="C21" s="13"/>
      <c r="D21" s="39">
        <f>'Billing Detail'!G120</f>
        <v>-1840749.11</v>
      </c>
      <c r="E21" s="39">
        <f>'Billing Detail'!I120</f>
        <v>-1106268.0663399999</v>
      </c>
      <c r="F21" s="52"/>
      <c r="G21" s="53"/>
      <c r="H21" s="53"/>
      <c r="I21" s="53"/>
      <c r="J21" s="39">
        <f>'Billing Detail'!M120</f>
        <v>-1106268.0663399999</v>
      </c>
      <c r="K21" s="54"/>
      <c r="L21" s="54"/>
      <c r="M21" s="53"/>
      <c r="N21" s="53"/>
    </row>
    <row r="22" spans="1:19" s="38" customFormat="1" x14ac:dyDescent="0.25">
      <c r="A22" s="3">
        <f t="shared" si="7"/>
        <v>16</v>
      </c>
      <c r="B22" s="38" t="str">
        <f>'Billing Detail'!D12</f>
        <v xml:space="preserve">    ES</v>
      </c>
      <c r="C22" s="13"/>
      <c r="D22" s="39">
        <f>'Billing Detail'!G121</f>
        <v>4708578.37</v>
      </c>
      <c r="E22" s="39">
        <f>'Billing Detail'!I121</f>
        <v>4708578.37</v>
      </c>
      <c r="F22" s="53"/>
      <c r="G22" s="53"/>
      <c r="H22" s="53"/>
      <c r="I22" s="53"/>
      <c r="J22" s="39">
        <f>'Billing Detail'!M121</f>
        <v>4708578.37</v>
      </c>
      <c r="K22" s="54"/>
      <c r="L22" s="54"/>
      <c r="M22" s="53"/>
      <c r="N22" s="53"/>
    </row>
    <row r="23" spans="1:19" s="38" customFormat="1" x14ac:dyDescent="0.25">
      <c r="A23" s="3">
        <f t="shared" si="7"/>
        <v>17</v>
      </c>
      <c r="B23" s="38" t="str">
        <f>'Billing Detail'!D13</f>
        <v xml:space="preserve">    Misc Adj</v>
      </c>
      <c r="C23" s="13"/>
      <c r="D23" s="39">
        <f>'Billing Detail'!G122</f>
        <v>0</v>
      </c>
      <c r="E23" s="39">
        <f>'Billing Detail'!I122</f>
        <v>0</v>
      </c>
      <c r="F23" s="53"/>
      <c r="G23" s="53"/>
      <c r="H23" s="53"/>
      <c r="I23" s="53"/>
      <c r="J23" s="39">
        <f>'Billing Detail'!M122</f>
        <v>0</v>
      </c>
      <c r="K23" s="54"/>
      <c r="L23" s="54"/>
      <c r="M23" s="53"/>
      <c r="N23" s="53"/>
    </row>
    <row r="24" spans="1:19" s="38" customFormat="1" x14ac:dyDescent="0.25">
      <c r="A24" s="3">
        <f t="shared" si="7"/>
        <v>18</v>
      </c>
      <c r="B24" s="38" t="str">
        <f>'Billing Detail'!D14</f>
        <v xml:space="preserve">    Other</v>
      </c>
      <c r="C24" s="13"/>
      <c r="D24" s="39">
        <f>'Billing Detail'!G123</f>
        <v>0</v>
      </c>
      <c r="E24" s="39">
        <f>'Billing Detail'!I123</f>
        <v>0</v>
      </c>
      <c r="F24" s="53"/>
      <c r="G24" s="53"/>
      <c r="H24" s="53"/>
      <c r="I24" s="53"/>
      <c r="J24" s="39">
        <f>'Billing Detail'!M123</f>
        <v>0</v>
      </c>
      <c r="K24" s="54"/>
      <c r="L24" s="54"/>
      <c r="M24" s="53"/>
      <c r="N24" s="63"/>
    </row>
    <row r="25" spans="1:19" s="38" customFormat="1" x14ac:dyDescent="0.25">
      <c r="A25" s="3">
        <f t="shared" si="7"/>
        <v>19</v>
      </c>
      <c r="B25" s="42" t="s">
        <v>8</v>
      </c>
      <c r="C25" s="71"/>
      <c r="D25" s="43">
        <f>SUM(D21:D24)</f>
        <v>2867829.26</v>
      </c>
      <c r="E25" s="43">
        <f>SUM(E21:E24)</f>
        <v>3602310.3036600002</v>
      </c>
      <c r="F25" s="55"/>
      <c r="G25" s="55"/>
      <c r="H25" s="55"/>
      <c r="I25" s="55"/>
      <c r="J25" s="43">
        <f>SUM(J21:J24)</f>
        <v>3602310.3036600002</v>
      </c>
      <c r="K25" s="56"/>
      <c r="L25" s="56"/>
      <c r="M25" s="55"/>
      <c r="N25" s="62"/>
    </row>
    <row r="26" spans="1:19" s="38" customFormat="1" x14ac:dyDescent="0.25">
      <c r="A26" s="3">
        <f t="shared" si="7"/>
        <v>20</v>
      </c>
      <c r="C26" s="13"/>
    </row>
    <row r="27" spans="1:19" s="38" customFormat="1" ht="18" customHeight="1" thickBot="1" x14ac:dyDescent="0.3">
      <c r="A27" s="3">
        <f t="shared" si="7"/>
        <v>21</v>
      </c>
      <c r="B27" s="57" t="s">
        <v>9</v>
      </c>
      <c r="C27" s="74"/>
      <c r="D27" s="58">
        <f>D18+D25</f>
        <v>46290126.772559993</v>
      </c>
      <c r="E27" s="58">
        <f>E18+E25</f>
        <v>46466534.988559991</v>
      </c>
      <c r="F27" s="59"/>
      <c r="G27" s="59"/>
      <c r="H27" s="59"/>
      <c r="I27" s="59"/>
      <c r="J27" s="58">
        <f>J18+J25</f>
        <v>48144729.27728001</v>
      </c>
      <c r="K27" s="60"/>
      <c r="L27" s="59">
        <f t="shared" ref="L27" si="18">J27-E27</f>
        <v>1678194.2887200192</v>
      </c>
      <c r="M27" s="57"/>
      <c r="N27" s="61">
        <f>L27/E27</f>
        <v>3.6116191773997969E-2</v>
      </c>
    </row>
    <row r="28" spans="1:19" s="38" customFormat="1" ht="18" customHeight="1" thickTop="1" x14ac:dyDescent="0.25">
      <c r="A28" s="3">
        <f t="shared" si="7"/>
        <v>22</v>
      </c>
      <c r="B28" s="38" t="s">
        <v>10</v>
      </c>
      <c r="C28" s="13"/>
      <c r="D28" s="40"/>
      <c r="L28" s="47">
        <f>L4</f>
        <v>1676689</v>
      </c>
    </row>
    <row r="29" spans="1:19" s="38" customFormat="1" ht="15" customHeight="1" x14ac:dyDescent="0.25">
      <c r="A29" s="3">
        <f t="shared" si="7"/>
        <v>23</v>
      </c>
      <c r="B29" s="42" t="s">
        <v>40</v>
      </c>
      <c r="C29" s="71"/>
      <c r="D29" s="43"/>
      <c r="E29" s="42"/>
      <c r="F29" s="42"/>
      <c r="G29" s="42"/>
      <c r="H29" s="42"/>
      <c r="I29" s="42"/>
      <c r="J29" s="42"/>
      <c r="K29" s="42"/>
      <c r="L29" s="43">
        <f>L27-L28</f>
        <v>1505.2887200191617</v>
      </c>
    </row>
    <row r="30" spans="1:19" s="38" customFormat="1" ht="15" customHeight="1" x14ac:dyDescent="0.25">
      <c r="A30" s="3">
        <f t="shared" si="7"/>
        <v>24</v>
      </c>
      <c r="B30" s="38" t="s">
        <v>40</v>
      </c>
      <c r="C30" s="13"/>
      <c r="D30" s="37"/>
      <c r="L30" s="37">
        <f>L29/L28</f>
        <v>8.9777455450543403E-4</v>
      </c>
    </row>
    <row r="31" spans="1:19" x14ac:dyDescent="0.25">
      <c r="A31" s="3"/>
    </row>
  </sheetData>
  <printOptions horizontalCentered="1"/>
  <pageMargins left="0.7" right="0.7" top="0.75" bottom="0.75" header="0.3" footer="0.3"/>
  <pageSetup scale="75" orientation="landscape" r:id="rId1"/>
  <headerFooter>
    <oddHeader>&amp;R&amp;"Arial,Bold"&amp;10Exhibit 3
Page &amp;P of &amp;N</oddHeader>
  </headerFooter>
  <ignoredErrors>
    <ignoredError sqref="J16 F16 J8:J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T148"/>
  <sheetViews>
    <sheetView view="pageBreakPreview" zoomScale="75" zoomScaleNormal="75" zoomScaleSheetLayoutView="75" workbookViewId="0">
      <pane xSplit="4" ySplit="5" topLeftCell="E120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A13" sqref="A13"/>
    </sheetView>
  </sheetViews>
  <sheetFormatPr defaultColWidth="8.88671875" defaultRowHeight="13.2" x14ac:dyDescent="0.25"/>
  <cols>
    <col min="1" max="1" width="7.44140625" style="5" customWidth="1"/>
    <col min="2" max="2" width="21.6640625" style="2" customWidth="1"/>
    <col min="3" max="3" width="6.6640625" style="13" customWidth="1"/>
    <col min="4" max="4" width="30.44140625" style="2" customWidth="1"/>
    <col min="5" max="5" width="12.6640625" style="127" bestFit="1" customWidth="1"/>
    <col min="6" max="6" width="10" style="127" hidden="1" customWidth="1"/>
    <col min="7" max="7" width="12.6640625" style="127" hidden="1" customWidth="1"/>
    <col min="8" max="8" width="12.21875" style="127" bestFit="1" customWidth="1"/>
    <col min="9" max="9" width="15.33203125" style="127" bestFit="1" customWidth="1"/>
    <col min="10" max="10" width="8.5546875" style="127" bestFit="1" customWidth="1"/>
    <col min="11" max="11" width="12.6640625" style="127" bestFit="1" customWidth="1"/>
    <col min="12" max="12" width="9.88671875" style="127" bestFit="1" customWidth="1"/>
    <col min="13" max="13" width="12.6640625" style="127" bestFit="1" customWidth="1"/>
    <col min="14" max="14" width="11.6640625" style="127" bestFit="1" customWidth="1"/>
    <col min="15" max="15" width="6.44140625" style="127" bestFit="1" customWidth="1"/>
    <col min="16" max="16" width="9.88671875" style="127" bestFit="1" customWidth="1"/>
    <col min="17" max="17" width="9.44140625" style="127" bestFit="1" customWidth="1"/>
    <col min="18" max="18" width="13.21875" style="127" bestFit="1" customWidth="1"/>
    <col min="19" max="19" width="8.88671875" style="2" customWidth="1"/>
    <col min="20" max="20" width="14.109375" style="2" customWidth="1"/>
    <col min="21" max="21" width="8.88671875" style="2" customWidth="1"/>
    <col min="22" max="16384" width="8.88671875" style="2"/>
  </cols>
  <sheetData>
    <row r="1" spans="1:20" x14ac:dyDescent="0.25">
      <c r="A1" s="30" t="str">
        <f>Summary!A1</f>
        <v>TAYLOR COUNTY RECC</v>
      </c>
      <c r="F1" s="128"/>
    </row>
    <row r="2" spans="1:20" ht="14.4" customHeight="1" x14ac:dyDescent="0.25">
      <c r="A2" s="30" t="str">
        <f>Summary!A2</f>
        <v>Billing Analysis for Pass-Through Rate Increase</v>
      </c>
      <c r="F2" s="129"/>
      <c r="G2" s="130"/>
      <c r="H2" s="131"/>
      <c r="I2" s="132"/>
      <c r="P2" s="133"/>
      <c r="S2" s="25"/>
      <c r="T2" s="25"/>
    </row>
    <row r="3" spans="1:20" x14ac:dyDescent="0.25">
      <c r="S3" s="25"/>
      <c r="T3" s="25"/>
    </row>
    <row r="4" spans="1:20" x14ac:dyDescent="0.25">
      <c r="D4" s="25"/>
      <c r="S4" s="25"/>
      <c r="T4" s="25"/>
    </row>
    <row r="5" spans="1:20" ht="38.4" customHeight="1" x14ac:dyDescent="0.25">
      <c r="A5" s="15" t="s">
        <v>1</v>
      </c>
      <c r="B5" s="15" t="s">
        <v>12</v>
      </c>
      <c r="C5" s="8" t="s">
        <v>11</v>
      </c>
      <c r="D5" s="15" t="s">
        <v>13</v>
      </c>
      <c r="E5" s="134" t="s">
        <v>14</v>
      </c>
      <c r="F5" s="134" t="s">
        <v>20</v>
      </c>
      <c r="G5" s="134" t="s">
        <v>25</v>
      </c>
      <c r="H5" s="134" t="s">
        <v>26</v>
      </c>
      <c r="I5" s="134" t="s">
        <v>27</v>
      </c>
      <c r="J5" s="134" t="s">
        <v>56</v>
      </c>
      <c r="K5" s="134" t="s">
        <v>10</v>
      </c>
      <c r="L5" s="134" t="s">
        <v>23</v>
      </c>
      <c r="M5" s="134" t="s">
        <v>4</v>
      </c>
      <c r="N5" s="134" t="s">
        <v>15</v>
      </c>
      <c r="O5" s="135" t="s">
        <v>16</v>
      </c>
      <c r="P5" s="134" t="s">
        <v>24</v>
      </c>
      <c r="Q5" s="134" t="s">
        <v>28</v>
      </c>
      <c r="R5" s="134" t="s">
        <v>41</v>
      </c>
      <c r="T5" s="10" t="s">
        <v>37</v>
      </c>
    </row>
    <row r="6" spans="1:20" ht="30.6" customHeight="1" thickBot="1" x14ac:dyDescent="0.3">
      <c r="A6" s="31"/>
      <c r="B6" s="20"/>
      <c r="C6" s="21"/>
      <c r="D6" s="20"/>
      <c r="E6" s="136"/>
      <c r="F6" s="137"/>
      <c r="G6" s="137"/>
      <c r="H6" s="137"/>
      <c r="I6" s="137"/>
      <c r="J6" s="136"/>
      <c r="K6" s="137"/>
      <c r="L6" s="137"/>
      <c r="M6" s="137"/>
      <c r="N6" s="137"/>
      <c r="O6" s="138"/>
      <c r="P6" s="137"/>
      <c r="Q6" s="137"/>
      <c r="R6" s="137"/>
    </row>
    <row r="7" spans="1:20" x14ac:dyDescent="0.25">
      <c r="A7" s="32">
        <v>1</v>
      </c>
      <c r="B7" s="168" t="s">
        <v>69</v>
      </c>
      <c r="C7" s="23" t="s">
        <v>70</v>
      </c>
      <c r="D7" s="22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20" x14ac:dyDescent="0.25">
      <c r="A8" s="32">
        <f>A7+1</f>
        <v>2</v>
      </c>
      <c r="B8" s="169"/>
      <c r="C8" s="2"/>
      <c r="D8" s="2" t="s">
        <v>17</v>
      </c>
      <c r="E8" s="140">
        <v>280548</v>
      </c>
      <c r="F8" s="128">
        <v>9.82</v>
      </c>
      <c r="G8" s="141">
        <f>F8*E8</f>
        <v>2754981.36</v>
      </c>
      <c r="H8" s="128">
        <v>9.82</v>
      </c>
      <c r="I8" s="141">
        <f>H8*E8</f>
        <v>2754981.36</v>
      </c>
      <c r="J8" s="142">
        <f>I8/I10</f>
        <v>0.10399669327750778</v>
      </c>
      <c r="K8" s="142"/>
      <c r="L8" s="128">
        <f>ROUND(H8*S10,2)</f>
        <v>10.24</v>
      </c>
      <c r="M8" s="141">
        <f>L8*E8</f>
        <v>2872811.52</v>
      </c>
      <c r="N8" s="141">
        <f t="shared" ref="N8:N13" si="0">M8-I8</f>
        <v>117830.16000000015</v>
      </c>
      <c r="O8" s="142">
        <f>IF(I8=0,0,N8/I8)</f>
        <v>4.2769857433808608E-2</v>
      </c>
      <c r="P8" s="142">
        <f>M8/M10</f>
        <v>0.10398415306469644</v>
      </c>
      <c r="Q8" s="143">
        <f>P8-J8</f>
        <v>-1.2540212811343321E-5</v>
      </c>
      <c r="R8" s="143"/>
      <c r="T8" s="4">
        <f>L8/H8-1</f>
        <v>4.2769857433808456E-2</v>
      </c>
    </row>
    <row r="9" spans="1:20" x14ac:dyDescent="0.25">
      <c r="A9" s="32">
        <f t="shared" ref="A9:A20" si="1">A8+1</f>
        <v>3</v>
      </c>
      <c r="B9" s="11"/>
      <c r="D9" s="2" t="s">
        <v>50</v>
      </c>
      <c r="E9" s="140">
        <v>304035690</v>
      </c>
      <c r="F9" s="130">
        <v>7.9680000000000001E-2</v>
      </c>
      <c r="G9" s="141">
        <f t="shared" ref="G9" si="2">F9*E9</f>
        <v>24225563.779199999</v>
      </c>
      <c r="H9" s="130">
        <v>7.8070000000000001E-2</v>
      </c>
      <c r="I9" s="141">
        <f t="shared" ref="I9" si="3">H9*E9</f>
        <v>23736066.318300001</v>
      </c>
      <c r="J9" s="142">
        <f>I9/I10</f>
        <v>0.89600330672249229</v>
      </c>
      <c r="K9" s="142"/>
      <c r="L9" s="144">
        <f>ROUND(H9*S10,5)</f>
        <v>8.1420000000000006E-2</v>
      </c>
      <c r="M9" s="141">
        <f t="shared" ref="M9" si="4">L9*E9</f>
        <v>24754585.879800003</v>
      </c>
      <c r="N9" s="141">
        <f t="shared" si="0"/>
        <v>1018519.5615000017</v>
      </c>
      <c r="O9" s="142">
        <f t="shared" ref="O9" si="5">IF(I9=0,0,N9/I9)</f>
        <v>4.2910208786986107E-2</v>
      </c>
      <c r="P9" s="142">
        <f>M9/M10</f>
        <v>0.89601584693530356</v>
      </c>
      <c r="Q9" s="143">
        <f t="shared" ref="Q9:Q10" si="6">P9-J9</f>
        <v>1.2540212811273932E-5</v>
      </c>
      <c r="R9" s="143"/>
      <c r="T9" s="4">
        <f>L9/H9-1</f>
        <v>4.2910208786986148E-2</v>
      </c>
    </row>
    <row r="10" spans="1:20" s="5" customFormat="1" ht="20.399999999999999" customHeight="1" x14ac:dyDescent="0.3">
      <c r="A10" s="32">
        <f t="shared" si="1"/>
        <v>4</v>
      </c>
      <c r="C10" s="14"/>
      <c r="D10" s="16" t="s">
        <v>6</v>
      </c>
      <c r="E10" s="145"/>
      <c r="F10" s="145"/>
      <c r="G10" s="17">
        <f>SUM(G8:G9)</f>
        <v>26980545.139199998</v>
      </c>
      <c r="H10" s="145"/>
      <c r="I10" s="17">
        <f>SUM(I8:I9)</f>
        <v>26491047.678300001</v>
      </c>
      <c r="J10" s="146">
        <f>SUM(J8:J9)</f>
        <v>1</v>
      </c>
      <c r="K10" s="147">
        <f>I10+Summary!I8</f>
        <v>27627159.618300002</v>
      </c>
      <c r="L10" s="145"/>
      <c r="M10" s="17">
        <f>SUM(M8:M9)</f>
        <v>27627397.399800003</v>
      </c>
      <c r="N10" s="17">
        <f>SUM(N8:N9)</f>
        <v>1136349.7215000018</v>
      </c>
      <c r="O10" s="146">
        <f t="shared" ref="O10" si="7">N10/I10</f>
        <v>4.2895612710358626E-2</v>
      </c>
      <c r="P10" s="146">
        <f>SUM(P8:P9)</f>
        <v>1</v>
      </c>
      <c r="Q10" s="148">
        <f t="shared" si="6"/>
        <v>0</v>
      </c>
      <c r="R10" s="149">
        <f>M10-K10</f>
        <v>237.78150000050664</v>
      </c>
      <c r="S10" s="5">
        <f>K10/I10</f>
        <v>1.0428866367912901</v>
      </c>
    </row>
    <row r="11" spans="1:20" x14ac:dyDescent="0.25">
      <c r="A11" s="32">
        <f t="shared" si="1"/>
        <v>5</v>
      </c>
      <c r="B11" s="114"/>
      <c r="D11" s="2" t="s">
        <v>29</v>
      </c>
      <c r="G11" s="141">
        <v>-1207585.82</v>
      </c>
      <c r="I11" s="150">
        <f>G11+(0.00161*E9)</f>
        <v>-718088.3591</v>
      </c>
      <c r="K11" s="150"/>
      <c r="M11" s="141">
        <f>I11</f>
        <v>-718088.3591</v>
      </c>
      <c r="N11" s="141">
        <f t="shared" si="0"/>
        <v>0</v>
      </c>
      <c r="O11" s="128">
        <v>0</v>
      </c>
      <c r="R11" s="151"/>
    </row>
    <row r="12" spans="1:20" x14ac:dyDescent="0.25">
      <c r="A12" s="32">
        <f t="shared" si="1"/>
        <v>6</v>
      </c>
      <c r="D12" s="2" t="s">
        <v>30</v>
      </c>
      <c r="G12" s="141">
        <v>3053806.75</v>
      </c>
      <c r="I12" s="150">
        <f>G12</f>
        <v>3053806.75</v>
      </c>
      <c r="M12" s="141">
        <f t="shared" ref="M12:M14" si="8">I12</f>
        <v>3053806.75</v>
      </c>
      <c r="N12" s="141">
        <f t="shared" si="0"/>
        <v>0</v>
      </c>
      <c r="O12" s="128">
        <v>0</v>
      </c>
    </row>
    <row r="13" spans="1:20" x14ac:dyDescent="0.25">
      <c r="A13" s="32">
        <f t="shared" si="1"/>
        <v>7</v>
      </c>
      <c r="D13" s="2" t="s">
        <v>32</v>
      </c>
      <c r="G13" s="141"/>
      <c r="I13" s="150">
        <f>G13</f>
        <v>0</v>
      </c>
      <c r="M13" s="141">
        <f t="shared" si="8"/>
        <v>0</v>
      </c>
      <c r="N13" s="141">
        <f t="shared" si="0"/>
        <v>0</v>
      </c>
      <c r="O13" s="128">
        <v>0</v>
      </c>
    </row>
    <row r="14" spans="1:20" x14ac:dyDescent="0.25">
      <c r="A14" s="32">
        <f t="shared" si="1"/>
        <v>8</v>
      </c>
      <c r="D14" s="2" t="s">
        <v>42</v>
      </c>
      <c r="G14" s="141">
        <v>0</v>
      </c>
      <c r="I14" s="150">
        <f>G14</f>
        <v>0</v>
      </c>
      <c r="M14" s="141">
        <f t="shared" si="8"/>
        <v>0</v>
      </c>
      <c r="N14" s="141"/>
      <c r="O14" s="128">
        <v>0</v>
      </c>
    </row>
    <row r="15" spans="1:20" x14ac:dyDescent="0.25">
      <c r="A15" s="32">
        <f t="shared" si="1"/>
        <v>9</v>
      </c>
      <c r="D15" s="12" t="s">
        <v>8</v>
      </c>
      <c r="E15" s="152"/>
      <c r="F15" s="152"/>
      <c r="G15" s="153">
        <f>SUM(G11:G14)</f>
        <v>1846220.93</v>
      </c>
      <c r="H15" s="152"/>
      <c r="I15" s="153">
        <f>SUM(I11:I14)</f>
        <v>2335718.3909</v>
      </c>
      <c r="J15" s="152"/>
      <c r="K15" s="152"/>
      <c r="L15" s="152"/>
      <c r="M15" s="153">
        <f>SUM(M11:M14)</f>
        <v>2335718.3909</v>
      </c>
      <c r="N15" s="153">
        <f>M15-I15</f>
        <v>0</v>
      </c>
      <c r="O15" s="154">
        <v>0</v>
      </c>
    </row>
    <row r="16" spans="1:20" s="5" customFormat="1" ht="26.4" customHeight="1" thickBot="1" x14ac:dyDescent="0.3">
      <c r="A16" s="32">
        <f t="shared" si="1"/>
        <v>10</v>
      </c>
      <c r="C16" s="14"/>
      <c r="D16" s="6" t="s">
        <v>19</v>
      </c>
      <c r="E16" s="155"/>
      <c r="F16" s="155"/>
      <c r="G16" s="156">
        <f>G10+G15</f>
        <v>28826766.069199998</v>
      </c>
      <c r="H16" s="155"/>
      <c r="I16" s="157">
        <f>I15+I10</f>
        <v>28826766.069200002</v>
      </c>
      <c r="J16" s="155"/>
      <c r="K16" s="155"/>
      <c r="L16" s="155"/>
      <c r="M16" s="156">
        <f>M15+M10</f>
        <v>29963115.790700004</v>
      </c>
      <c r="N16" s="156">
        <f>M16-I16</f>
        <v>1136349.7215000018</v>
      </c>
      <c r="O16" s="158">
        <f>N16/I16</f>
        <v>3.9419951539903617E-2</v>
      </c>
      <c r="P16" s="127"/>
      <c r="Q16" s="127"/>
      <c r="R16" s="127"/>
    </row>
    <row r="17" spans="1:20" ht="13.8" thickTop="1" x14ac:dyDescent="0.25">
      <c r="A17" s="32">
        <f t="shared" si="1"/>
        <v>11</v>
      </c>
      <c r="D17" s="2" t="s">
        <v>18</v>
      </c>
      <c r="E17" s="128">
        <f>E9/E8</f>
        <v>1083.7207536678216</v>
      </c>
      <c r="G17" s="159">
        <f>G16/E8</f>
        <v>102.75163633032493</v>
      </c>
      <c r="I17" s="159">
        <f>I16/E8</f>
        <v>102.75163633032494</v>
      </c>
      <c r="M17" s="159">
        <f>M16/E8</f>
        <v>106.80210085511214</v>
      </c>
      <c r="N17" s="159">
        <f>M17-I17</f>
        <v>4.050464524787202</v>
      </c>
      <c r="O17" s="142">
        <f>N17/I17</f>
        <v>3.9419951539903547E-2</v>
      </c>
    </row>
    <row r="18" spans="1:20" ht="13.8" thickBot="1" x14ac:dyDescent="0.3">
      <c r="A18" s="32">
        <f t="shared" si="1"/>
        <v>12</v>
      </c>
    </row>
    <row r="19" spans="1:20" x14ac:dyDescent="0.25">
      <c r="A19" s="32">
        <f t="shared" si="1"/>
        <v>13</v>
      </c>
      <c r="B19" s="22" t="s">
        <v>71</v>
      </c>
      <c r="C19" s="23" t="s">
        <v>104</v>
      </c>
      <c r="D19" s="22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20" x14ac:dyDescent="0.25">
      <c r="A20" s="32">
        <f t="shared" si="1"/>
        <v>14</v>
      </c>
      <c r="C20" s="2"/>
      <c r="D20" s="2" t="s">
        <v>17</v>
      </c>
      <c r="E20" s="140">
        <v>233</v>
      </c>
      <c r="F20" s="128">
        <v>0</v>
      </c>
      <c r="G20" s="141">
        <f>F20*E20</f>
        <v>0</v>
      </c>
      <c r="H20" s="128">
        <v>0</v>
      </c>
      <c r="I20" s="141">
        <f>H20*E20</f>
        <v>0</v>
      </c>
      <c r="J20" s="142">
        <f>I20/I22</f>
        <v>0</v>
      </c>
      <c r="K20" s="142"/>
      <c r="L20" s="128">
        <v>0</v>
      </c>
      <c r="M20" s="141">
        <f>L20*E20</f>
        <v>0</v>
      </c>
      <c r="N20" s="141">
        <f>M20-I20</f>
        <v>0</v>
      </c>
      <c r="O20" s="142">
        <f>IF(I20=0,0,N20/I20)</f>
        <v>0</v>
      </c>
      <c r="P20" s="142">
        <f>M20/M$22</f>
        <v>0</v>
      </c>
      <c r="Q20" s="143">
        <f>P20-J20</f>
        <v>0</v>
      </c>
      <c r="R20" s="143"/>
    </row>
    <row r="21" spans="1:20" x14ac:dyDescent="0.25">
      <c r="A21" s="32">
        <f>A20+1</f>
        <v>15</v>
      </c>
      <c r="D21" s="2" t="s">
        <v>50</v>
      </c>
      <c r="E21" s="140">
        <v>318963</v>
      </c>
      <c r="F21" s="129">
        <v>4.7809999999999998E-2</v>
      </c>
      <c r="G21" s="141">
        <f t="shared" ref="G21" si="9">F21*E21</f>
        <v>15249.62103</v>
      </c>
      <c r="H21" s="130">
        <v>4.6199999999999998E-2</v>
      </c>
      <c r="I21" s="141">
        <f t="shared" ref="I21" si="10">H21*E21</f>
        <v>14736.0906</v>
      </c>
      <c r="J21" s="142">
        <f>I21/I22</f>
        <v>1</v>
      </c>
      <c r="K21" s="142"/>
      <c r="L21" s="144">
        <f>ROUND(H21*S22,5)</f>
        <v>4.8180000000000001E-2</v>
      </c>
      <c r="M21" s="141">
        <f t="shared" ref="M21" si="11">L21*E21</f>
        <v>15367.637339999999</v>
      </c>
      <c r="N21" s="141">
        <f t="shared" ref="N21" si="12">M21-I21</f>
        <v>631.54673999999977</v>
      </c>
      <c r="O21" s="142">
        <f t="shared" ref="O21" si="13">IF(I21=0,0,N21/I21)</f>
        <v>4.2857142857142844E-2</v>
      </c>
      <c r="P21" s="142">
        <f>M21/M$22</f>
        <v>1</v>
      </c>
      <c r="Q21" s="143">
        <f t="shared" ref="Q21" si="14">P21-J21</f>
        <v>0</v>
      </c>
      <c r="R21" s="143"/>
      <c r="T21" s="4">
        <f>L21/H21-1</f>
        <v>4.2857142857142927E-2</v>
      </c>
    </row>
    <row r="22" spans="1:20" s="5" customFormat="1" ht="20.399999999999999" customHeight="1" x14ac:dyDescent="0.3">
      <c r="A22" s="32">
        <f t="shared" ref="A22:A85" si="15">A21+1</f>
        <v>16</v>
      </c>
      <c r="C22" s="14"/>
      <c r="D22" s="16" t="s">
        <v>6</v>
      </c>
      <c r="E22" s="145"/>
      <c r="F22" s="145"/>
      <c r="G22" s="17">
        <f>SUM(G20:G21)</f>
        <v>15249.62103</v>
      </c>
      <c r="H22" s="145"/>
      <c r="I22" s="17">
        <f>SUM(I20:I21)</f>
        <v>14736.0906</v>
      </c>
      <c r="J22" s="146">
        <f>SUM(J20:J21)</f>
        <v>1</v>
      </c>
      <c r="K22" s="147">
        <f>I22+Summary!I9</f>
        <v>15368.070599999999</v>
      </c>
      <c r="L22" s="145"/>
      <c r="M22" s="17">
        <f>SUM(M20:M21)</f>
        <v>15367.637339999999</v>
      </c>
      <c r="N22" s="17">
        <f>SUM(N20:N21)</f>
        <v>631.54673999999977</v>
      </c>
      <c r="O22" s="146">
        <f t="shared" ref="O22" si="16">N22/I22</f>
        <v>4.2857142857142844E-2</v>
      </c>
      <c r="P22" s="146">
        <f>SUM(P20:P21)</f>
        <v>1</v>
      </c>
      <c r="Q22" s="148">
        <f t="shared" ref="Q22" si="17">P22-J22</f>
        <v>0</v>
      </c>
      <c r="R22" s="149">
        <f>M22-K22</f>
        <v>-0.43325999999979103</v>
      </c>
      <c r="S22" s="5">
        <f>K22/I22</f>
        <v>1.0428865441421757</v>
      </c>
    </row>
    <row r="23" spans="1:20" x14ac:dyDescent="0.25">
      <c r="A23" s="32">
        <f t="shared" si="15"/>
        <v>17</v>
      </c>
      <c r="D23" s="2" t="s">
        <v>29</v>
      </c>
      <c r="G23" s="141">
        <v>-1229.7</v>
      </c>
      <c r="I23" s="150">
        <f>G23+(0.00161*E21)</f>
        <v>-716.16957000000002</v>
      </c>
      <c r="K23" s="150"/>
      <c r="M23" s="141">
        <f>I23</f>
        <v>-716.16957000000002</v>
      </c>
      <c r="N23" s="141">
        <f t="shared" ref="N23:N28" si="18">M23-I23</f>
        <v>0</v>
      </c>
      <c r="O23" s="128">
        <v>0</v>
      </c>
    </row>
    <row r="24" spans="1:20" x14ac:dyDescent="0.25">
      <c r="A24" s="32">
        <f t="shared" si="15"/>
        <v>18</v>
      </c>
      <c r="D24" s="2" t="s">
        <v>30</v>
      </c>
      <c r="G24" s="141">
        <v>2859.01</v>
      </c>
      <c r="I24" s="150">
        <f t="shared" ref="I24:I26" si="19">G24</f>
        <v>2859.01</v>
      </c>
      <c r="M24" s="141">
        <f t="shared" ref="M24:M26" si="20">I24</f>
        <v>2859.01</v>
      </c>
      <c r="N24" s="141">
        <f t="shared" si="18"/>
        <v>0</v>
      </c>
      <c r="O24" s="128">
        <v>0</v>
      </c>
    </row>
    <row r="25" spans="1:20" x14ac:dyDescent="0.25">
      <c r="A25" s="32">
        <f t="shared" si="15"/>
        <v>19</v>
      </c>
      <c r="D25" s="2" t="s">
        <v>32</v>
      </c>
      <c r="G25" s="141">
        <v>0</v>
      </c>
      <c r="I25" s="150">
        <f t="shared" si="19"/>
        <v>0</v>
      </c>
      <c r="M25" s="141">
        <f t="shared" si="20"/>
        <v>0</v>
      </c>
      <c r="N25" s="141">
        <f t="shared" si="18"/>
        <v>0</v>
      </c>
      <c r="O25" s="128">
        <v>0</v>
      </c>
    </row>
    <row r="26" spans="1:20" x14ac:dyDescent="0.25">
      <c r="A26" s="32">
        <f t="shared" si="15"/>
        <v>20</v>
      </c>
      <c r="D26" s="2" t="s">
        <v>42</v>
      </c>
      <c r="G26" s="141">
        <v>0</v>
      </c>
      <c r="I26" s="150">
        <f t="shared" si="19"/>
        <v>0</v>
      </c>
      <c r="M26" s="141">
        <f t="shared" si="20"/>
        <v>0</v>
      </c>
      <c r="N26" s="141"/>
      <c r="O26" s="128"/>
    </row>
    <row r="27" spans="1:20" x14ac:dyDescent="0.25">
      <c r="A27" s="32">
        <f t="shared" si="15"/>
        <v>21</v>
      </c>
      <c r="D27" s="12" t="s">
        <v>8</v>
      </c>
      <c r="E27" s="152"/>
      <c r="F27" s="152"/>
      <c r="G27" s="153">
        <f>SUM(G23:G26)</f>
        <v>1629.3100000000002</v>
      </c>
      <c r="H27" s="152"/>
      <c r="I27" s="153">
        <f>SUM(I23:I26)</f>
        <v>2142.8404300000002</v>
      </c>
      <c r="J27" s="152"/>
      <c r="K27" s="152"/>
      <c r="L27" s="152"/>
      <c r="M27" s="153">
        <f>SUM(M23:M26)</f>
        <v>2142.8404300000002</v>
      </c>
      <c r="N27" s="153">
        <f t="shared" si="18"/>
        <v>0</v>
      </c>
      <c r="O27" s="154">
        <f t="shared" ref="O27" si="21">N27-J27</f>
        <v>0</v>
      </c>
    </row>
    <row r="28" spans="1:20" s="5" customFormat="1" ht="26.4" customHeight="1" thickBot="1" x14ac:dyDescent="0.3">
      <c r="A28" s="32">
        <f t="shared" si="15"/>
        <v>22</v>
      </c>
      <c r="C28" s="14"/>
      <c r="D28" s="6" t="s">
        <v>19</v>
      </c>
      <c r="E28" s="155"/>
      <c r="F28" s="155"/>
      <c r="G28" s="156">
        <f>G22+G27</f>
        <v>16878.93103</v>
      </c>
      <c r="H28" s="155"/>
      <c r="I28" s="157">
        <f>I27+I22</f>
        <v>16878.93103</v>
      </c>
      <c r="J28" s="155"/>
      <c r="K28" s="155"/>
      <c r="L28" s="155"/>
      <c r="M28" s="156">
        <f>M27+M22</f>
        <v>17510.477769999998</v>
      </c>
      <c r="N28" s="156">
        <f t="shared" si="18"/>
        <v>631.54673999999795</v>
      </c>
      <c r="O28" s="158">
        <f>N28/I28</f>
        <v>3.7416275881304903E-2</v>
      </c>
      <c r="P28" s="127"/>
      <c r="Q28" s="127"/>
      <c r="R28" s="127"/>
    </row>
    <row r="29" spans="1:20" ht="13.8" thickTop="1" x14ac:dyDescent="0.25">
      <c r="A29" s="32">
        <f t="shared" si="15"/>
        <v>23</v>
      </c>
      <c r="D29" s="2" t="s">
        <v>18</v>
      </c>
      <c r="E29" s="128">
        <f>E21/E20</f>
        <v>1368.9399141630902</v>
      </c>
      <c r="G29" s="159">
        <f>G28/E20</f>
        <v>72.441764077253211</v>
      </c>
      <c r="I29" s="159">
        <f>I28/E20</f>
        <v>72.441764077253211</v>
      </c>
      <c r="M29" s="159">
        <f>M28/E20</f>
        <v>75.152265107296131</v>
      </c>
      <c r="N29" s="159">
        <f>M29-I29</f>
        <v>2.71050103004292</v>
      </c>
      <c r="O29" s="142">
        <f>N29/I29</f>
        <v>3.7416275881305049E-2</v>
      </c>
    </row>
    <row r="30" spans="1:20" ht="13.8" thickBot="1" x14ac:dyDescent="0.3">
      <c r="A30" s="32">
        <f t="shared" si="15"/>
        <v>24</v>
      </c>
    </row>
    <row r="31" spans="1:20" x14ac:dyDescent="0.25">
      <c r="A31" s="32">
        <f t="shared" si="15"/>
        <v>25</v>
      </c>
      <c r="B31" s="168" t="s">
        <v>73</v>
      </c>
      <c r="C31" s="23" t="s">
        <v>72</v>
      </c>
      <c r="D31" s="22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</row>
    <row r="32" spans="1:20" x14ac:dyDescent="0.25">
      <c r="A32" s="32">
        <f t="shared" si="15"/>
        <v>26</v>
      </c>
      <c r="B32" s="169"/>
      <c r="C32" s="2"/>
      <c r="D32" s="2" t="s">
        <v>17</v>
      </c>
      <c r="E32" s="140">
        <v>34517</v>
      </c>
      <c r="F32" s="128">
        <v>10</v>
      </c>
      <c r="G32" s="141">
        <f>F32*E32</f>
        <v>345170</v>
      </c>
      <c r="H32" s="128">
        <v>10</v>
      </c>
      <c r="I32" s="141">
        <f>H32*E32</f>
        <v>345170</v>
      </c>
      <c r="J32" s="142">
        <f>I32/I34</f>
        <v>9.9487554887185164E-2</v>
      </c>
      <c r="K32" s="142"/>
      <c r="L32" s="128">
        <f>ROUND(H32*S34,2)</f>
        <v>10.43</v>
      </c>
      <c r="M32" s="141">
        <f>L32*E32</f>
        <v>360012.31</v>
      </c>
      <c r="N32" s="141">
        <f>M32-I32</f>
        <v>14842.309999999998</v>
      </c>
      <c r="O32" s="142">
        <f>IF(I32=0,0,N32/I32)</f>
        <v>4.2999999999999997E-2</v>
      </c>
      <c r="P32" s="142">
        <f>M32/M$34</f>
        <v>9.9492297850626313E-2</v>
      </c>
      <c r="Q32" s="143">
        <f>P32-J32</f>
        <v>4.742963441148329E-6</v>
      </c>
      <c r="R32" s="143"/>
      <c r="T32" s="4">
        <f>L32/H32-1</f>
        <v>4.2999999999999927E-2</v>
      </c>
    </row>
    <row r="33" spans="1:20" x14ac:dyDescent="0.25">
      <c r="A33" s="32">
        <f t="shared" si="15"/>
        <v>27</v>
      </c>
      <c r="D33" s="2" t="s">
        <v>50</v>
      </c>
      <c r="E33" s="140">
        <v>39932377</v>
      </c>
      <c r="F33" s="130">
        <v>7.9850000000000004E-2</v>
      </c>
      <c r="G33" s="141">
        <f t="shared" ref="G33" si="22">F33*E33</f>
        <v>3188600.30345</v>
      </c>
      <c r="H33" s="130">
        <v>7.8240000000000004E-2</v>
      </c>
      <c r="I33" s="141">
        <f t="shared" ref="I33" si="23">H33*E33</f>
        <v>3124309.1764800004</v>
      </c>
      <c r="J33" s="142">
        <f>I33/I34</f>
        <v>0.90051244511281481</v>
      </c>
      <c r="K33" s="142"/>
      <c r="L33" s="144">
        <f>ROUND(H33*S34,5)</f>
        <v>8.1600000000000006E-2</v>
      </c>
      <c r="M33" s="141">
        <f t="shared" ref="M33" si="24">L33*E33</f>
        <v>3258481.9632000001</v>
      </c>
      <c r="N33" s="141">
        <f t="shared" ref="N33" si="25">M33-I33</f>
        <v>134172.78671999974</v>
      </c>
      <c r="O33" s="142">
        <f t="shared" ref="O33" si="26">IF(I33=0,0,N33/I33)</f>
        <v>4.2944785276073531E-2</v>
      </c>
      <c r="P33" s="142">
        <f>M33/M$34</f>
        <v>0.9005077021493737</v>
      </c>
      <c r="Q33" s="143">
        <f t="shared" ref="Q33" si="27">P33-J33</f>
        <v>-4.7429634411066957E-6</v>
      </c>
      <c r="R33" s="143"/>
      <c r="T33" s="4">
        <f>L33/H33-1</f>
        <v>4.2944785276073594E-2</v>
      </c>
    </row>
    <row r="34" spans="1:20" s="5" customFormat="1" ht="20.399999999999999" customHeight="1" x14ac:dyDescent="0.3">
      <c r="A34" s="32">
        <f t="shared" si="15"/>
        <v>28</v>
      </c>
      <c r="C34" s="14"/>
      <c r="D34" s="16" t="s">
        <v>6</v>
      </c>
      <c r="E34" s="145"/>
      <c r="F34" s="145"/>
      <c r="G34" s="17">
        <f>SUM(G32:G33)</f>
        <v>3533770.30345</v>
      </c>
      <c r="H34" s="145"/>
      <c r="I34" s="17">
        <f>SUM(I32:I33)</f>
        <v>3469479.1764800004</v>
      </c>
      <c r="J34" s="146">
        <f>SUM(J32:J33)</f>
        <v>1</v>
      </c>
      <c r="K34" s="147">
        <f>I34+Summary!I10</f>
        <v>3618273.4664800004</v>
      </c>
      <c r="L34" s="145"/>
      <c r="M34" s="17">
        <f>SUM(M32:M33)</f>
        <v>3618494.2732000002</v>
      </c>
      <c r="N34" s="17">
        <f>SUM(N32:N33)</f>
        <v>149015.09671999974</v>
      </c>
      <c r="O34" s="146">
        <f t="shared" ref="O34" si="28">N34/I34</f>
        <v>4.2950278453950747E-2</v>
      </c>
      <c r="P34" s="146">
        <f>SUM(P32:P33)</f>
        <v>1</v>
      </c>
      <c r="Q34" s="148">
        <f t="shared" ref="Q34" si="29">P34-J34</f>
        <v>0</v>
      </c>
      <c r="R34" s="149">
        <f>M34-K34</f>
        <v>220.80671999976039</v>
      </c>
      <c r="S34" s="5">
        <f>K34/I34</f>
        <v>1.0428866358411066</v>
      </c>
    </row>
    <row r="35" spans="1:20" x14ac:dyDescent="0.25">
      <c r="A35" s="32">
        <f t="shared" si="15"/>
        <v>29</v>
      </c>
      <c r="D35" s="2" t="s">
        <v>29</v>
      </c>
      <c r="G35" s="141">
        <v>-164069.29999999999</v>
      </c>
      <c r="I35" s="150">
        <f>G35+(0.00161*(E33))</f>
        <v>-99778.173029999976</v>
      </c>
      <c r="K35" s="150"/>
      <c r="M35" s="141">
        <f>I35</f>
        <v>-99778.173029999976</v>
      </c>
      <c r="N35" s="141">
        <f t="shared" ref="N35:N41" si="30">M35-I35</f>
        <v>0</v>
      </c>
      <c r="O35" s="128">
        <v>0</v>
      </c>
    </row>
    <row r="36" spans="1:20" x14ac:dyDescent="0.25">
      <c r="A36" s="32">
        <f t="shared" si="15"/>
        <v>30</v>
      </c>
      <c r="D36" s="2" t="s">
        <v>30</v>
      </c>
      <c r="G36" s="141">
        <v>408202.69</v>
      </c>
      <c r="I36" s="150">
        <f t="shared" ref="I36:I38" si="31">G36</f>
        <v>408202.69</v>
      </c>
      <c r="M36" s="141">
        <f t="shared" ref="M36:M38" si="32">I36</f>
        <v>408202.69</v>
      </c>
      <c r="N36" s="141">
        <f t="shared" si="30"/>
        <v>0</v>
      </c>
      <c r="O36" s="128">
        <v>0</v>
      </c>
    </row>
    <row r="37" spans="1:20" x14ac:dyDescent="0.25">
      <c r="A37" s="32">
        <f t="shared" si="15"/>
        <v>31</v>
      </c>
      <c r="D37" s="2" t="s">
        <v>32</v>
      </c>
      <c r="G37" s="141">
        <v>0</v>
      </c>
      <c r="I37" s="150">
        <f t="shared" si="31"/>
        <v>0</v>
      </c>
      <c r="M37" s="141">
        <f t="shared" si="32"/>
        <v>0</v>
      </c>
      <c r="N37" s="141">
        <f t="shared" si="30"/>
        <v>0</v>
      </c>
      <c r="O37" s="128">
        <v>0</v>
      </c>
    </row>
    <row r="38" spans="1:20" x14ac:dyDescent="0.25">
      <c r="A38" s="32">
        <f t="shared" si="15"/>
        <v>32</v>
      </c>
      <c r="D38" s="2" t="s">
        <v>42</v>
      </c>
      <c r="G38" s="141">
        <v>0</v>
      </c>
      <c r="I38" s="150">
        <f t="shared" si="31"/>
        <v>0</v>
      </c>
      <c r="M38" s="141">
        <f t="shared" si="32"/>
        <v>0</v>
      </c>
      <c r="N38" s="141"/>
      <c r="O38" s="128"/>
    </row>
    <row r="39" spans="1:20" x14ac:dyDescent="0.25">
      <c r="A39" s="32">
        <f t="shared" si="15"/>
        <v>33</v>
      </c>
      <c r="D39" s="12" t="s">
        <v>8</v>
      </c>
      <c r="E39" s="152"/>
      <c r="F39" s="152"/>
      <c r="G39" s="153">
        <f>SUM(G35:G38)</f>
        <v>244133.39</v>
      </c>
      <c r="H39" s="152"/>
      <c r="I39" s="153">
        <f>SUM(I35:I38)</f>
        <v>308424.51697</v>
      </c>
      <c r="J39" s="152"/>
      <c r="K39" s="152"/>
      <c r="L39" s="152"/>
      <c r="M39" s="153">
        <f>SUM(M35:M38)</f>
        <v>308424.51697</v>
      </c>
      <c r="N39" s="153">
        <f t="shared" si="30"/>
        <v>0</v>
      </c>
      <c r="O39" s="154">
        <f t="shared" ref="O39" si="33">N39-J39</f>
        <v>0</v>
      </c>
    </row>
    <row r="40" spans="1:20" s="5" customFormat="1" ht="26.4" customHeight="1" thickBot="1" x14ac:dyDescent="0.3">
      <c r="A40" s="32">
        <f t="shared" si="15"/>
        <v>34</v>
      </c>
      <c r="C40" s="14"/>
      <c r="D40" s="6" t="s">
        <v>19</v>
      </c>
      <c r="E40" s="155"/>
      <c r="F40" s="155"/>
      <c r="G40" s="156">
        <f>G34+G39</f>
        <v>3777903.6934500001</v>
      </c>
      <c r="H40" s="155"/>
      <c r="I40" s="157">
        <f>I39+I34</f>
        <v>3777903.6934500001</v>
      </c>
      <c r="J40" s="155"/>
      <c r="K40" s="155"/>
      <c r="L40" s="155"/>
      <c r="M40" s="156">
        <f>M39+M34</f>
        <v>3926918.7901699999</v>
      </c>
      <c r="N40" s="156">
        <f t="shared" si="30"/>
        <v>149015.0967199998</v>
      </c>
      <c r="O40" s="158">
        <f>N40/I40</f>
        <v>3.9443857972969787E-2</v>
      </c>
      <c r="P40" s="127"/>
      <c r="Q40" s="127"/>
      <c r="R40" s="127"/>
    </row>
    <row r="41" spans="1:20" ht="13.8" thickTop="1" x14ac:dyDescent="0.25">
      <c r="A41" s="32">
        <f t="shared" si="15"/>
        <v>35</v>
      </c>
      <c r="D41" s="2" t="s">
        <v>18</v>
      </c>
      <c r="E41" s="128">
        <f>E33/E32</f>
        <v>1156.8901410898977</v>
      </c>
      <c r="G41" s="159">
        <f>G40/E32</f>
        <v>109.45052274096822</v>
      </c>
      <c r="I41" s="159">
        <f>I40/E32</f>
        <v>109.45052274096822</v>
      </c>
      <c r="M41" s="159">
        <f>M40/E32</f>
        <v>113.76767361503028</v>
      </c>
      <c r="N41" s="159">
        <f t="shared" si="30"/>
        <v>4.317150874062051</v>
      </c>
      <c r="O41" s="142">
        <f>N41/I41</f>
        <v>3.9443857972969794E-2</v>
      </c>
    </row>
    <row r="42" spans="1:20" ht="13.8" thickBot="1" x14ac:dyDescent="0.3">
      <c r="A42" s="32">
        <f t="shared" si="15"/>
        <v>36</v>
      </c>
    </row>
    <row r="43" spans="1:20" x14ac:dyDescent="0.25">
      <c r="A43" s="32">
        <f t="shared" si="15"/>
        <v>37</v>
      </c>
      <c r="B43" s="168" t="s">
        <v>74</v>
      </c>
      <c r="C43" s="23" t="s">
        <v>68</v>
      </c>
      <c r="D43" s="22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</row>
    <row r="44" spans="1:20" x14ac:dyDescent="0.25">
      <c r="A44" s="32">
        <f t="shared" si="15"/>
        <v>38</v>
      </c>
      <c r="B44" s="169"/>
      <c r="C44" s="2"/>
      <c r="D44" s="2" t="s">
        <v>17</v>
      </c>
      <c r="E44" s="140">
        <v>3997</v>
      </c>
      <c r="F44" s="128">
        <v>49.78</v>
      </c>
      <c r="G44" s="141">
        <f>F44*E44</f>
        <v>198970.66</v>
      </c>
      <c r="H44" s="128">
        <v>49.78</v>
      </c>
      <c r="I44" s="141">
        <f>H44*E44</f>
        <v>198970.66</v>
      </c>
      <c r="J44" s="142">
        <f>I44/I47</f>
        <v>2.7338148064657647E-2</v>
      </c>
      <c r="K44" s="142"/>
      <c r="L44" s="128">
        <f>ROUND(H44*S47,2)</f>
        <v>51.91</v>
      </c>
      <c r="M44" s="141">
        <f>L44*E44</f>
        <v>207484.27</v>
      </c>
      <c r="N44" s="141">
        <f>M44-I44</f>
        <v>8513.609999999986</v>
      </c>
      <c r="O44" s="142">
        <f>IF(I44=0,0,N44/I44)</f>
        <v>4.278826838087578E-2</v>
      </c>
      <c r="P44" s="142">
        <f>M44/M$47</f>
        <v>2.7332539841997124E-2</v>
      </c>
      <c r="Q44" s="143">
        <f>P44-J44</f>
        <v>-5.6082226605226604E-6</v>
      </c>
      <c r="R44" s="143"/>
    </row>
    <row r="45" spans="1:20" x14ac:dyDescent="0.25">
      <c r="A45" s="32">
        <f t="shared" si="15"/>
        <v>39</v>
      </c>
      <c r="C45" s="2"/>
      <c r="D45" s="2" t="s">
        <v>51</v>
      </c>
      <c r="E45" s="140">
        <v>347250</v>
      </c>
      <c r="F45" s="129">
        <v>5.32</v>
      </c>
      <c r="G45" s="141">
        <f t="shared" ref="G45" si="34">F45*E45</f>
        <v>1847370</v>
      </c>
      <c r="H45" s="128">
        <v>5.32</v>
      </c>
      <c r="I45" s="141">
        <f t="shared" ref="I45" si="35">H45*E45</f>
        <v>1847370</v>
      </c>
      <c r="J45" s="142">
        <f>I45/I47</f>
        <v>0.25382473270283468</v>
      </c>
      <c r="K45" s="142"/>
      <c r="L45" s="128">
        <f>ROUND(H45*S47,2)</f>
        <v>5.55</v>
      </c>
      <c r="M45" s="141">
        <f t="shared" ref="M45" si="36">L45*E45</f>
        <v>1927237.5</v>
      </c>
      <c r="N45" s="141">
        <f t="shared" ref="N45" si="37">M45-I45</f>
        <v>79867.5</v>
      </c>
      <c r="O45" s="142">
        <f t="shared" ref="O45" si="38">IF(I45=0,0,N45/I45)</f>
        <v>4.3233082706766915E-2</v>
      </c>
      <c r="P45" s="142">
        <f>M45/M$47</f>
        <v>0.25388091229152426</v>
      </c>
      <c r="Q45" s="143">
        <f t="shared" ref="Q45" si="39">P45-J45</f>
        <v>5.6179588689586613E-5</v>
      </c>
      <c r="R45" s="143"/>
      <c r="T45" s="4">
        <f>L45/H45-1</f>
        <v>4.3233082706766846E-2</v>
      </c>
    </row>
    <row r="46" spans="1:20" x14ac:dyDescent="0.25">
      <c r="A46" s="32">
        <f t="shared" si="15"/>
        <v>40</v>
      </c>
      <c r="D46" s="2" t="s">
        <v>50</v>
      </c>
      <c r="E46" s="140">
        <v>90562432</v>
      </c>
      <c r="F46" s="129">
        <v>5.9380000000000002E-2</v>
      </c>
      <c r="G46" s="141">
        <f t="shared" ref="G46" si="40">F46*E46</f>
        <v>5377597.2121600006</v>
      </c>
      <c r="H46" s="130">
        <v>5.7770000000000002E-2</v>
      </c>
      <c r="I46" s="141">
        <f t="shared" ref="I46" si="41">H46*E46</f>
        <v>5231791.6966399997</v>
      </c>
      <c r="J46" s="142">
        <f>I46/I47</f>
        <v>0.7188371192325077</v>
      </c>
      <c r="K46" s="142"/>
      <c r="L46" s="144">
        <f>ROUND(H46*S47,5)</f>
        <v>6.0249999999999998E-2</v>
      </c>
      <c r="M46" s="141">
        <f t="shared" ref="M46" si="42">L46*E46</f>
        <v>5456386.5279999999</v>
      </c>
      <c r="N46" s="141">
        <f t="shared" ref="N46" si="43">M46-I46</f>
        <v>224594.83136000019</v>
      </c>
      <c r="O46" s="142">
        <f t="shared" ref="O46" si="44">IF(I46=0,0,N46/I46)</f>
        <v>4.2928855807512586E-2</v>
      </c>
      <c r="P46" s="142">
        <f>M46/M$47</f>
        <v>0.71878654786647855</v>
      </c>
      <c r="Q46" s="143">
        <f t="shared" ref="Q46" si="45">P46-J46</f>
        <v>-5.0571366029150688E-5</v>
      </c>
      <c r="R46" s="143"/>
      <c r="T46" s="4">
        <f>L46/H46-1</f>
        <v>4.2928855807512489E-2</v>
      </c>
    </row>
    <row r="47" spans="1:20" s="5" customFormat="1" ht="20.399999999999999" customHeight="1" x14ac:dyDescent="0.3">
      <c r="A47" s="32">
        <f t="shared" si="15"/>
        <v>41</v>
      </c>
      <c r="C47" s="14"/>
      <c r="D47" s="16" t="s">
        <v>6</v>
      </c>
      <c r="E47" s="145"/>
      <c r="F47" s="145"/>
      <c r="G47" s="17">
        <f>SUM(G44:G46)</f>
        <v>7423937.8721600007</v>
      </c>
      <c r="H47" s="145"/>
      <c r="I47" s="17">
        <f>SUM(I44:I46)</f>
        <v>7278132.3566399999</v>
      </c>
      <c r="J47" s="146">
        <f>SUM(J44:J46)</f>
        <v>1</v>
      </c>
      <c r="K47" s="147">
        <f>I47+Summary!I11</f>
        <v>7590266.97664</v>
      </c>
      <c r="L47" s="145"/>
      <c r="M47" s="17">
        <f>SUM(M44:M46)</f>
        <v>7591108.2980000004</v>
      </c>
      <c r="N47" s="17">
        <f>SUM(N44:N46)</f>
        <v>312975.94136000017</v>
      </c>
      <c r="O47" s="146">
        <f t="shared" ref="O47" si="46">N47/I47</f>
        <v>4.30022327190114E-2</v>
      </c>
      <c r="P47" s="146">
        <f>SUM(P44:P46)</f>
        <v>1</v>
      </c>
      <c r="Q47" s="148">
        <f t="shared" ref="Q47" si="47">P47-J47</f>
        <v>0</v>
      </c>
      <c r="R47" s="149">
        <f>M47-K47</f>
        <v>841.32136000040919</v>
      </c>
      <c r="S47" s="5">
        <f>K47/I47</f>
        <v>1.0428866369426812</v>
      </c>
    </row>
    <row r="48" spans="1:20" x14ac:dyDescent="0.25">
      <c r="A48" s="32">
        <f t="shared" si="15"/>
        <v>42</v>
      </c>
      <c r="D48" s="2" t="s">
        <v>29</v>
      </c>
      <c r="G48" s="141">
        <v>-379414.37</v>
      </c>
      <c r="I48" s="150">
        <f>G48+(0.00161*E46)</f>
        <v>-233608.85447999998</v>
      </c>
      <c r="K48" s="150"/>
      <c r="M48" s="141">
        <f>I48</f>
        <v>-233608.85447999998</v>
      </c>
      <c r="N48" s="141">
        <f t="shared" ref="N48:N54" si="48">M48-I48</f>
        <v>0</v>
      </c>
      <c r="O48" s="128">
        <v>0</v>
      </c>
    </row>
    <row r="49" spans="1:20" x14ac:dyDescent="0.25">
      <c r="A49" s="32">
        <f t="shared" si="15"/>
        <v>43</v>
      </c>
      <c r="D49" s="2" t="s">
        <v>30</v>
      </c>
      <c r="G49" s="141">
        <v>834214.1</v>
      </c>
      <c r="I49" s="150">
        <f t="shared" ref="I49:I51" si="49">G49</f>
        <v>834214.1</v>
      </c>
      <c r="M49" s="141">
        <f t="shared" ref="M49:M51" si="50">I49</f>
        <v>834214.1</v>
      </c>
      <c r="N49" s="141">
        <f t="shared" si="48"/>
        <v>0</v>
      </c>
      <c r="O49" s="128">
        <v>0</v>
      </c>
    </row>
    <row r="50" spans="1:20" x14ac:dyDescent="0.25">
      <c r="A50" s="32">
        <f t="shared" si="15"/>
        <v>44</v>
      </c>
      <c r="D50" s="2" t="s">
        <v>32</v>
      </c>
      <c r="G50" s="141">
        <v>0</v>
      </c>
      <c r="I50" s="150">
        <f t="shared" si="49"/>
        <v>0</v>
      </c>
      <c r="M50" s="141">
        <f t="shared" si="50"/>
        <v>0</v>
      </c>
      <c r="N50" s="141">
        <f t="shared" si="48"/>
        <v>0</v>
      </c>
      <c r="O50" s="128">
        <v>0</v>
      </c>
    </row>
    <row r="51" spans="1:20" x14ac:dyDescent="0.25">
      <c r="A51" s="32">
        <f t="shared" si="15"/>
        <v>45</v>
      </c>
      <c r="D51" s="2" t="s">
        <v>42</v>
      </c>
      <c r="G51" s="141">
        <v>0</v>
      </c>
      <c r="I51" s="150">
        <f t="shared" si="49"/>
        <v>0</v>
      </c>
      <c r="M51" s="141">
        <f t="shared" si="50"/>
        <v>0</v>
      </c>
      <c r="N51" s="141"/>
      <c r="O51" s="128"/>
    </row>
    <row r="52" spans="1:20" x14ac:dyDescent="0.25">
      <c r="A52" s="32">
        <f t="shared" si="15"/>
        <v>46</v>
      </c>
      <c r="D52" s="12" t="s">
        <v>8</v>
      </c>
      <c r="E52" s="152"/>
      <c r="F52" s="152"/>
      <c r="G52" s="153">
        <f>SUM(G48:G51)</f>
        <v>454799.73</v>
      </c>
      <c r="H52" s="152"/>
      <c r="I52" s="153">
        <f>SUM(I48:I51)</f>
        <v>600605.24552</v>
      </c>
      <c r="J52" s="152"/>
      <c r="K52" s="152"/>
      <c r="L52" s="152"/>
      <c r="M52" s="153">
        <f>SUM(M48:M51)</f>
        <v>600605.24552</v>
      </c>
      <c r="N52" s="153">
        <f t="shared" si="48"/>
        <v>0</v>
      </c>
      <c r="O52" s="154">
        <f t="shared" ref="O52" si="51">N52-J52</f>
        <v>0</v>
      </c>
    </row>
    <row r="53" spans="1:20" s="5" customFormat="1" ht="26.4" customHeight="1" thickBot="1" x14ac:dyDescent="0.3">
      <c r="A53" s="32">
        <f t="shared" si="15"/>
        <v>47</v>
      </c>
      <c r="C53" s="14"/>
      <c r="D53" s="6" t="s">
        <v>19</v>
      </c>
      <c r="E53" s="155"/>
      <c r="F53" s="155"/>
      <c r="G53" s="156">
        <f>G47+G52</f>
        <v>7878737.6021600012</v>
      </c>
      <c r="H53" s="155"/>
      <c r="I53" s="157">
        <f>I52+I47</f>
        <v>7878737.6021600002</v>
      </c>
      <c r="J53" s="155"/>
      <c r="K53" s="155"/>
      <c r="L53" s="155"/>
      <c r="M53" s="156">
        <f>M52+M47</f>
        <v>8191713.5435200008</v>
      </c>
      <c r="N53" s="156">
        <f t="shared" si="48"/>
        <v>312975.94136000052</v>
      </c>
      <c r="O53" s="158">
        <f>N53/I53</f>
        <v>3.9724122970435823E-2</v>
      </c>
      <c r="P53" s="127"/>
      <c r="Q53" s="127"/>
      <c r="R53" s="127"/>
    </row>
    <row r="54" spans="1:20" ht="13.8" thickTop="1" x14ac:dyDescent="0.25">
      <c r="A54" s="32">
        <f t="shared" si="15"/>
        <v>48</v>
      </c>
      <c r="D54" s="2" t="s">
        <v>18</v>
      </c>
      <c r="E54" s="128">
        <f>E46/E44</f>
        <v>22657.601200900677</v>
      </c>
      <c r="G54" s="159">
        <f>G53/E44</f>
        <v>1971.1627726194649</v>
      </c>
      <c r="I54" s="159">
        <f>I53/E44</f>
        <v>1971.1627726194647</v>
      </c>
      <c r="M54" s="159">
        <f>M53/E44</f>
        <v>2049.4654849937456</v>
      </c>
      <c r="N54" s="159">
        <f t="shared" si="48"/>
        <v>78.302712374280873</v>
      </c>
      <c r="O54" s="142">
        <f>N54/I54</f>
        <v>3.9724122970435836E-2</v>
      </c>
    </row>
    <row r="55" spans="1:20" ht="13.8" thickBot="1" x14ac:dyDescent="0.3">
      <c r="A55" s="32">
        <f t="shared" si="15"/>
        <v>49</v>
      </c>
    </row>
    <row r="56" spans="1:20" x14ac:dyDescent="0.25">
      <c r="A56" s="32">
        <f t="shared" si="15"/>
        <v>50</v>
      </c>
      <c r="B56" s="22" t="s">
        <v>52</v>
      </c>
      <c r="C56" s="23" t="s">
        <v>75</v>
      </c>
      <c r="D56" s="22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</row>
    <row r="57" spans="1:20" x14ac:dyDescent="0.25">
      <c r="A57" s="32">
        <f t="shared" si="15"/>
        <v>51</v>
      </c>
      <c r="C57" s="2"/>
      <c r="D57" s="2" t="s">
        <v>17</v>
      </c>
      <c r="E57" s="140">
        <v>36</v>
      </c>
      <c r="F57" s="128">
        <v>1225.55</v>
      </c>
      <c r="G57" s="141">
        <f>F57*E57</f>
        <v>44119.799999999996</v>
      </c>
      <c r="H57" s="128">
        <v>1225.55</v>
      </c>
      <c r="I57" s="141">
        <f>H57*E57</f>
        <v>44119.799999999996</v>
      </c>
      <c r="J57" s="142">
        <f>I57/I61</f>
        <v>4.8422175088055512E-2</v>
      </c>
      <c r="K57" s="142"/>
      <c r="L57" s="128">
        <f>ROUND(H57*S61,2)</f>
        <v>1278.1099999999999</v>
      </c>
      <c r="M57" s="141">
        <f>L57*E57</f>
        <v>46011.96</v>
      </c>
      <c r="N57" s="141">
        <f>M57-I57</f>
        <v>1892.1600000000035</v>
      </c>
      <c r="O57" s="142">
        <f>IF(I57=0,0,N57/I57)</f>
        <v>4.2886867120884582E-2</v>
      </c>
      <c r="P57" s="142">
        <f>M57/M$61</f>
        <v>4.8416391863661999E-2</v>
      </c>
      <c r="Q57" s="143">
        <f>P57-J57</f>
        <v>-5.7832243935129757E-6</v>
      </c>
      <c r="R57" s="143"/>
      <c r="T57" s="4"/>
    </row>
    <row r="58" spans="1:20" x14ac:dyDescent="0.25">
      <c r="A58" s="32">
        <f t="shared" si="15"/>
        <v>52</v>
      </c>
      <c r="C58" s="2"/>
      <c r="D58" s="2" t="s">
        <v>77</v>
      </c>
      <c r="E58" s="140">
        <v>26820</v>
      </c>
      <c r="F58" s="128">
        <v>6.18</v>
      </c>
      <c r="G58" s="141">
        <f t="shared" ref="G58" si="52">F58*E58</f>
        <v>165747.6</v>
      </c>
      <c r="H58" s="128">
        <v>6.18</v>
      </c>
      <c r="I58" s="141">
        <f t="shared" ref="I58" si="53">H58*E58</f>
        <v>165747.6</v>
      </c>
      <c r="J58" s="142">
        <f>I58/I61</f>
        <v>0.18191060040220017</v>
      </c>
      <c r="K58" s="142"/>
      <c r="L58" s="128">
        <f>ROUND(H58*S61,2)</f>
        <v>6.45</v>
      </c>
      <c r="M58" s="141">
        <f t="shared" ref="M58" si="54">L58*E58</f>
        <v>172989</v>
      </c>
      <c r="N58" s="141">
        <f t="shared" ref="N58" si="55">M58-I58</f>
        <v>7241.3999999999942</v>
      </c>
      <c r="O58" s="142">
        <f t="shared" ref="O58" si="56">IF(I58=0,0,N58/I58)</f>
        <v>4.3689320388349481E-2</v>
      </c>
      <c r="P58" s="142">
        <f>M58/M$61</f>
        <v>0.18202882928923317</v>
      </c>
      <c r="Q58" s="143">
        <f t="shared" ref="Q58" si="57">P58-J58</f>
        <v>1.1822888703300061E-4</v>
      </c>
      <c r="R58" s="143"/>
      <c r="T58" s="4">
        <f>L58/H58-1</f>
        <v>4.3689320388349495E-2</v>
      </c>
    </row>
    <row r="59" spans="1:20" x14ac:dyDescent="0.25">
      <c r="A59" s="32">
        <f t="shared" si="15"/>
        <v>53</v>
      </c>
      <c r="C59" s="2"/>
      <c r="D59" s="2" t="s">
        <v>76</v>
      </c>
      <c r="E59" s="140">
        <v>5381</v>
      </c>
      <c r="F59" s="128">
        <v>8.9600000000000009</v>
      </c>
      <c r="G59" s="141">
        <f t="shared" ref="G59" si="58">F59*E59</f>
        <v>48213.760000000002</v>
      </c>
      <c r="H59" s="128">
        <v>8.9600000000000009</v>
      </c>
      <c r="I59" s="141">
        <f t="shared" ref="I59" si="59">H59*E59</f>
        <v>48213.760000000002</v>
      </c>
      <c r="J59" s="142">
        <f>I59/I61</f>
        <v>5.2915360640199811E-2</v>
      </c>
      <c r="K59" s="142"/>
      <c r="L59" s="128">
        <f>ROUND(H59*S61,2)</f>
        <v>9.34</v>
      </c>
      <c r="M59" s="141">
        <f t="shared" ref="M59" si="60">L59*E59</f>
        <v>50258.54</v>
      </c>
      <c r="N59" s="141">
        <f t="shared" ref="N59" si="61">M59-I59</f>
        <v>2044.7799999999988</v>
      </c>
      <c r="O59" s="142">
        <f t="shared" ref="O59" si="62">IF(I59=0,0,N59/I59)</f>
        <v>4.241071428571426E-2</v>
      </c>
      <c r="P59" s="142">
        <f>M59/M$61</f>
        <v>5.2884883998324153E-2</v>
      </c>
      <c r="Q59" s="143">
        <f t="shared" ref="Q59" si="63">P59-J59</f>
        <v>-3.0476641875658295E-5</v>
      </c>
      <c r="R59" s="143"/>
      <c r="T59" s="4">
        <f>L59/H59-1</f>
        <v>4.2410714285714191E-2</v>
      </c>
    </row>
    <row r="60" spans="1:20" x14ac:dyDescent="0.25">
      <c r="A60" s="32">
        <f t="shared" si="15"/>
        <v>54</v>
      </c>
      <c r="C60" s="2"/>
      <c r="D60" s="2" t="s">
        <v>50</v>
      </c>
      <c r="E60" s="140">
        <v>13338797</v>
      </c>
      <c r="F60" s="129">
        <v>5.0569999999999997E-2</v>
      </c>
      <c r="G60" s="141">
        <f t="shared" ref="G60" si="64">F60*E60</f>
        <v>674542.96428999992</v>
      </c>
      <c r="H60" s="130">
        <v>4.8959999999999997E-2</v>
      </c>
      <c r="I60" s="141">
        <f t="shared" ref="I60" si="65">H60*E60</f>
        <v>653067.50111999991</v>
      </c>
      <c r="J60" s="142">
        <f>I60/I61</f>
        <v>0.71675186386954448</v>
      </c>
      <c r="K60" s="142"/>
      <c r="L60" s="144">
        <f>ROUND(H60*S61,5)</f>
        <v>5.1060000000000001E-2</v>
      </c>
      <c r="M60" s="141">
        <f t="shared" ref="M60" si="66">L60*E60</f>
        <v>681078.97482</v>
      </c>
      <c r="N60" s="141">
        <f t="shared" ref="N60" si="67">M60-I60</f>
        <v>28011.47370000009</v>
      </c>
      <c r="O60" s="142">
        <f t="shared" ref="O60" si="68">IF(I60=0,0,N60/I60)</f>
        <v>4.2892156862745244E-2</v>
      </c>
      <c r="P60" s="142">
        <f>M60/M$61</f>
        <v>0.71666989484878063</v>
      </c>
      <c r="Q60" s="143">
        <f t="shared" ref="Q60" si="69">P60-J60</f>
        <v>-8.1969020763850153E-5</v>
      </c>
      <c r="R60" s="143"/>
      <c r="T60" s="4">
        <f>L60/H60-1</f>
        <v>4.2892156862745168E-2</v>
      </c>
    </row>
    <row r="61" spans="1:20" s="5" customFormat="1" ht="20.399999999999999" customHeight="1" x14ac:dyDescent="0.3">
      <c r="A61" s="32">
        <f t="shared" si="15"/>
        <v>55</v>
      </c>
      <c r="C61" s="14"/>
      <c r="D61" s="16" t="s">
        <v>6</v>
      </c>
      <c r="E61" s="145"/>
      <c r="F61" s="145"/>
      <c r="G61" s="17">
        <f>SUM(G57:G60)</f>
        <v>932624.12428999995</v>
      </c>
      <c r="H61" s="145"/>
      <c r="I61" s="17">
        <f>SUM(I57:I60)</f>
        <v>911148.66111999995</v>
      </c>
      <c r="J61" s="146">
        <f>SUM(J57:J60)</f>
        <v>1</v>
      </c>
      <c r="K61" s="147">
        <f>I61+Summary!I12</f>
        <v>950224.76111999992</v>
      </c>
      <c r="L61" s="145"/>
      <c r="M61" s="17">
        <f>SUM(M57:M60)</f>
        <v>950338.47482</v>
      </c>
      <c r="N61" s="17">
        <f>SUM(N57:N60)</f>
        <v>39189.813700000086</v>
      </c>
      <c r="O61" s="146">
        <f t="shared" ref="O61" si="70">N61/I61</f>
        <v>4.3011437509908955E-2</v>
      </c>
      <c r="P61" s="146">
        <f>SUM(P57:P60)</f>
        <v>1</v>
      </c>
      <c r="Q61" s="148">
        <f t="shared" ref="Q61" si="71">P61-J61</f>
        <v>0</v>
      </c>
      <c r="R61" s="149">
        <f>M61-K61</f>
        <v>113.71370000008028</v>
      </c>
      <c r="S61" s="5">
        <f>K61/I61</f>
        <v>1.0428866349339381</v>
      </c>
    </row>
    <row r="62" spans="1:20" x14ac:dyDescent="0.25">
      <c r="A62" s="32">
        <f t="shared" si="15"/>
        <v>56</v>
      </c>
      <c r="D62" s="2" t="s">
        <v>29</v>
      </c>
      <c r="G62" s="141">
        <v>-55165.36</v>
      </c>
      <c r="I62" s="150">
        <f>G62+(0.00161*(E60))</f>
        <v>-33689.896829999998</v>
      </c>
      <c r="K62" s="150"/>
      <c r="M62" s="141">
        <f>I62</f>
        <v>-33689.896829999998</v>
      </c>
      <c r="N62" s="141">
        <f t="shared" ref="N62:N68" si="72">M62-I62</f>
        <v>0</v>
      </c>
      <c r="O62" s="128">
        <v>0</v>
      </c>
    </row>
    <row r="63" spans="1:20" x14ac:dyDescent="0.25">
      <c r="A63" s="32">
        <f t="shared" si="15"/>
        <v>57</v>
      </c>
      <c r="D63" s="2" t="s">
        <v>30</v>
      </c>
      <c r="G63" s="141">
        <v>102947.91</v>
      </c>
      <c r="I63" s="150">
        <f t="shared" ref="I63:I65" si="73">G63</f>
        <v>102947.91</v>
      </c>
      <c r="M63" s="141">
        <f t="shared" ref="M63:M65" si="74">I63</f>
        <v>102947.91</v>
      </c>
      <c r="N63" s="141">
        <f t="shared" si="72"/>
        <v>0</v>
      </c>
      <c r="O63" s="128">
        <v>0</v>
      </c>
    </row>
    <row r="64" spans="1:20" x14ac:dyDescent="0.25">
      <c r="A64" s="32">
        <f t="shared" si="15"/>
        <v>58</v>
      </c>
      <c r="D64" s="2" t="s">
        <v>32</v>
      </c>
      <c r="G64" s="141">
        <v>0</v>
      </c>
      <c r="I64" s="150">
        <f t="shared" si="73"/>
        <v>0</v>
      </c>
      <c r="M64" s="141">
        <f t="shared" si="74"/>
        <v>0</v>
      </c>
      <c r="N64" s="141">
        <f t="shared" si="72"/>
        <v>0</v>
      </c>
      <c r="O64" s="128">
        <v>0</v>
      </c>
    </row>
    <row r="65" spans="1:20" x14ac:dyDescent="0.25">
      <c r="A65" s="32">
        <f t="shared" si="15"/>
        <v>59</v>
      </c>
      <c r="D65" s="2" t="s">
        <v>42</v>
      </c>
      <c r="G65" s="141">
        <v>0</v>
      </c>
      <c r="I65" s="150">
        <f t="shared" si="73"/>
        <v>0</v>
      </c>
      <c r="M65" s="141">
        <f t="shared" si="74"/>
        <v>0</v>
      </c>
      <c r="N65" s="141"/>
      <c r="O65" s="128"/>
    </row>
    <row r="66" spans="1:20" x14ac:dyDescent="0.25">
      <c r="A66" s="32">
        <f t="shared" si="15"/>
        <v>60</v>
      </c>
      <c r="D66" s="12" t="s">
        <v>8</v>
      </c>
      <c r="E66" s="152"/>
      <c r="F66" s="152"/>
      <c r="G66" s="153">
        <f>SUM(G62:G65)</f>
        <v>47782.55</v>
      </c>
      <c r="H66" s="152"/>
      <c r="I66" s="153">
        <f>SUM(I62:I65)</f>
        <v>69258.013170000006</v>
      </c>
      <c r="J66" s="152"/>
      <c r="K66" s="152"/>
      <c r="L66" s="152"/>
      <c r="M66" s="153">
        <f>SUM(M62:M65)</f>
        <v>69258.013170000006</v>
      </c>
      <c r="N66" s="153">
        <f t="shared" si="72"/>
        <v>0</v>
      </c>
      <c r="O66" s="154">
        <f t="shared" ref="O66" si="75">N66-J66</f>
        <v>0</v>
      </c>
    </row>
    <row r="67" spans="1:20" s="5" customFormat="1" ht="26.4" customHeight="1" thickBot="1" x14ac:dyDescent="0.3">
      <c r="A67" s="32">
        <f t="shared" si="15"/>
        <v>61</v>
      </c>
      <c r="C67" s="14"/>
      <c r="D67" s="6" t="s">
        <v>19</v>
      </c>
      <c r="E67" s="155"/>
      <c r="F67" s="155"/>
      <c r="G67" s="156">
        <f>G61+G66</f>
        <v>980406.67429</v>
      </c>
      <c r="H67" s="155"/>
      <c r="I67" s="157">
        <f>I66+I61</f>
        <v>980406.67429</v>
      </c>
      <c r="J67" s="155"/>
      <c r="K67" s="155"/>
      <c r="L67" s="155"/>
      <c r="M67" s="156">
        <f>M66+M61</f>
        <v>1019596.4879900001</v>
      </c>
      <c r="N67" s="156">
        <f t="shared" si="72"/>
        <v>39189.813700000057</v>
      </c>
      <c r="O67" s="158">
        <f>N67/I67</f>
        <v>3.9973018062510537E-2</v>
      </c>
      <c r="P67" s="127"/>
      <c r="Q67" s="127"/>
      <c r="R67" s="127"/>
    </row>
    <row r="68" spans="1:20" ht="13.8" thickTop="1" x14ac:dyDescent="0.25">
      <c r="A68" s="32">
        <f t="shared" si="15"/>
        <v>62</v>
      </c>
      <c r="D68" s="2" t="s">
        <v>18</v>
      </c>
      <c r="E68" s="128">
        <f>E60/E57</f>
        <v>370522.13888888888</v>
      </c>
      <c r="G68" s="159">
        <f>G67/E57</f>
        <v>27233.518730277778</v>
      </c>
      <c r="I68" s="159">
        <f>I67/E57</f>
        <v>27233.518730277778</v>
      </c>
      <c r="M68" s="159">
        <f>M67/E57</f>
        <v>28322.124666388889</v>
      </c>
      <c r="N68" s="159">
        <f t="shared" si="72"/>
        <v>1088.6059361111111</v>
      </c>
      <c r="O68" s="142">
        <f>N68/I68</f>
        <v>3.9973018062510482E-2</v>
      </c>
    </row>
    <row r="69" spans="1:20" ht="13.8" thickBot="1" x14ac:dyDescent="0.3">
      <c r="A69" s="32">
        <f t="shared" si="15"/>
        <v>63</v>
      </c>
      <c r="B69" s="25"/>
      <c r="C69" s="27"/>
      <c r="D69" s="25"/>
    </row>
    <row r="70" spans="1:20" x14ac:dyDescent="0.25">
      <c r="A70" s="32">
        <f t="shared" si="15"/>
        <v>64</v>
      </c>
      <c r="B70" s="22" t="s">
        <v>78</v>
      </c>
      <c r="C70" s="23" t="s">
        <v>79</v>
      </c>
      <c r="D70" s="22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</row>
    <row r="71" spans="1:20" x14ac:dyDescent="0.25">
      <c r="A71" s="32">
        <f t="shared" si="15"/>
        <v>65</v>
      </c>
      <c r="C71" s="25"/>
      <c r="D71" s="2" t="s">
        <v>17</v>
      </c>
      <c r="E71" s="140">
        <v>12</v>
      </c>
      <c r="F71" s="128">
        <v>1225.55</v>
      </c>
      <c r="G71" s="141">
        <f>F71*E71</f>
        <v>14706.599999999999</v>
      </c>
      <c r="H71" s="128">
        <v>1225.55</v>
      </c>
      <c r="I71" s="141">
        <f>H71*E71</f>
        <v>14706.599999999999</v>
      </c>
      <c r="J71" s="142">
        <f>I71/I74</f>
        <v>2.3702594679127206E-2</v>
      </c>
      <c r="K71" s="142"/>
      <c r="L71" s="128">
        <f>ROUND(H71*S74,2)</f>
        <v>1278.1099999999999</v>
      </c>
      <c r="M71" s="141">
        <f>L71*E71</f>
        <v>15337.32</v>
      </c>
      <c r="N71" s="141">
        <f>M71-I71</f>
        <v>630.72000000000116</v>
      </c>
      <c r="O71" s="142">
        <f>IF(I71=0,0,N71/I71)</f>
        <v>4.2886867120884582E-2</v>
      </c>
      <c r="P71" s="142">
        <f>M71/M$74</f>
        <v>2.369624379199458E-2</v>
      </c>
      <c r="Q71" s="143">
        <f>P71-J71</f>
        <v>-6.3508871326264926E-6</v>
      </c>
      <c r="R71" s="143"/>
      <c r="T71" s="4">
        <f>L71/H71-1</f>
        <v>4.2886867120884409E-2</v>
      </c>
    </row>
    <row r="72" spans="1:20" x14ac:dyDescent="0.25">
      <c r="A72" s="32">
        <f t="shared" si="15"/>
        <v>66</v>
      </c>
      <c r="C72" s="27"/>
      <c r="D72" s="2" t="s">
        <v>51</v>
      </c>
      <c r="E72" s="140">
        <v>34552</v>
      </c>
      <c r="F72" s="128">
        <v>6.18</v>
      </c>
      <c r="G72" s="141">
        <f t="shared" ref="G72" si="76">F72*E72</f>
        <v>213531.36</v>
      </c>
      <c r="H72" s="128">
        <v>6.18</v>
      </c>
      <c r="I72" s="141">
        <f t="shared" ref="I72" si="77">H72*E72</f>
        <v>213531.36</v>
      </c>
      <c r="J72" s="142">
        <f>I72/I74</f>
        <v>0.34414802043727283</v>
      </c>
      <c r="K72" s="142"/>
      <c r="L72" s="128">
        <f>ROUND(H72*S74,2)</f>
        <v>6.45</v>
      </c>
      <c r="M72" s="141">
        <f t="shared" ref="M72" si="78">L72*E72</f>
        <v>222860.4</v>
      </c>
      <c r="N72" s="141">
        <f t="shared" ref="N72" si="79">M72-I72</f>
        <v>9329.0400000000081</v>
      </c>
      <c r="O72" s="142">
        <f t="shared" ref="O72" si="80">IF(I72=0,0,N72/I72)</f>
        <v>4.3689320388349558E-2</v>
      </c>
      <c r="P72" s="142">
        <f>M72/M$74</f>
        <v>0.34432054426597536</v>
      </c>
      <c r="Q72" s="143">
        <f t="shared" ref="Q72" si="81">P72-J72</f>
        <v>1.7252382870253102E-4</v>
      </c>
      <c r="R72" s="143"/>
      <c r="T72" s="4">
        <f>L72/H72-1</f>
        <v>4.3689320388349495E-2</v>
      </c>
    </row>
    <row r="73" spans="1:20" x14ac:dyDescent="0.25">
      <c r="A73" s="32">
        <f t="shared" si="15"/>
        <v>67</v>
      </c>
      <c r="C73" s="27"/>
      <c r="D73" s="2" t="s">
        <v>50</v>
      </c>
      <c r="E73" s="140">
        <v>8011147</v>
      </c>
      <c r="F73" s="130">
        <v>5.0569999999999997E-2</v>
      </c>
      <c r="G73" s="141">
        <f t="shared" ref="G73" si="82">F73*E73</f>
        <v>405123.70379</v>
      </c>
      <c r="H73" s="130">
        <v>4.8959999999999997E-2</v>
      </c>
      <c r="I73" s="141">
        <f t="shared" ref="I73" si="83">H73*E73</f>
        <v>392225.75711999997</v>
      </c>
      <c r="J73" s="142">
        <f>I73/I74</f>
        <v>0.63214938488360006</v>
      </c>
      <c r="K73" s="142"/>
      <c r="L73" s="144">
        <f>ROUND(H73*S74,5)</f>
        <v>5.1060000000000001E-2</v>
      </c>
      <c r="M73" s="141">
        <f t="shared" ref="M73" si="84">L73*E73</f>
        <v>409049.16581999999</v>
      </c>
      <c r="N73" s="141">
        <f t="shared" ref="N73" si="85">M73-I73</f>
        <v>16823.408700000029</v>
      </c>
      <c r="O73" s="142">
        <f t="shared" ref="O73" si="86">IF(I73=0,0,N73/I73)</f>
        <v>4.2892156862745175E-2</v>
      </c>
      <c r="P73" s="142">
        <f>M73/M$74</f>
        <v>0.63198321194203011</v>
      </c>
      <c r="Q73" s="143">
        <f t="shared" ref="Q73" si="87">P73-J73</f>
        <v>-1.661729415699531E-4</v>
      </c>
      <c r="R73" s="143"/>
      <c r="T73" s="4">
        <f>L73/H73-1</f>
        <v>4.2892156862745168E-2</v>
      </c>
    </row>
    <row r="74" spans="1:20" s="5" customFormat="1" ht="20.399999999999999" customHeight="1" x14ac:dyDescent="0.3">
      <c r="A74" s="32">
        <f t="shared" si="15"/>
        <v>68</v>
      </c>
      <c r="C74" s="14"/>
      <c r="D74" s="16" t="s">
        <v>6</v>
      </c>
      <c r="E74" s="145"/>
      <c r="F74" s="145"/>
      <c r="G74" s="17">
        <f>SUM(G71:G73)</f>
        <v>633361.66379000002</v>
      </c>
      <c r="H74" s="145"/>
      <c r="I74" s="17">
        <f>SUM(I71:I73)</f>
        <v>620463.71711999993</v>
      </c>
      <c r="J74" s="146">
        <f>SUM(J71:J73)</f>
        <v>1</v>
      </c>
      <c r="K74" s="147">
        <f>I74+Summary!I13</f>
        <v>647073.31711999991</v>
      </c>
      <c r="L74" s="145"/>
      <c r="M74" s="17">
        <f>SUM(M71:M73)</f>
        <v>647246.88581999997</v>
      </c>
      <c r="N74" s="17">
        <f>SUM(N71:N73)</f>
        <v>26783.168700000038</v>
      </c>
      <c r="O74" s="146">
        <f t="shared" ref="O74" si="88">N74/I74</f>
        <v>4.3166373731439445E-2</v>
      </c>
      <c r="P74" s="146">
        <f>SUM(P71:P73)</f>
        <v>1</v>
      </c>
      <c r="Q74" s="148">
        <f t="shared" ref="Q74" si="89">P74-J74</f>
        <v>0</v>
      </c>
      <c r="R74" s="149">
        <f>M74-K74</f>
        <v>173.56870000006165</v>
      </c>
      <c r="S74" s="5">
        <f>K74/I74</f>
        <v>1.0428866334416997</v>
      </c>
    </row>
    <row r="75" spans="1:20" x14ac:dyDescent="0.25">
      <c r="A75" s="32">
        <f t="shared" si="15"/>
        <v>69</v>
      </c>
      <c r="D75" s="2" t="s">
        <v>29</v>
      </c>
      <c r="G75" s="141">
        <v>-33284.559999999998</v>
      </c>
      <c r="I75" s="150">
        <f>G75+(0.00161*(E73))</f>
        <v>-20386.613329999996</v>
      </c>
      <c r="K75" s="150"/>
      <c r="M75" s="141">
        <f>I75</f>
        <v>-20386.613329999996</v>
      </c>
      <c r="N75" s="141">
        <f t="shared" ref="N75:N77" si="90">M75-I75</f>
        <v>0</v>
      </c>
      <c r="O75" s="128">
        <v>0</v>
      </c>
    </row>
    <row r="76" spans="1:20" x14ac:dyDescent="0.25">
      <c r="A76" s="32">
        <f t="shared" si="15"/>
        <v>70</v>
      </c>
      <c r="D76" s="2" t="s">
        <v>30</v>
      </c>
      <c r="G76" s="141">
        <v>68625.91</v>
      </c>
      <c r="I76" s="150">
        <f t="shared" ref="I76:I78" si="91">G76</f>
        <v>68625.91</v>
      </c>
      <c r="M76" s="141">
        <f t="shared" ref="M76:M78" si="92">I76</f>
        <v>68625.91</v>
      </c>
      <c r="N76" s="141">
        <f t="shared" si="90"/>
        <v>0</v>
      </c>
      <c r="O76" s="128">
        <v>0</v>
      </c>
    </row>
    <row r="77" spans="1:20" x14ac:dyDescent="0.25">
      <c r="A77" s="32">
        <f t="shared" si="15"/>
        <v>71</v>
      </c>
      <c r="D77" s="2" t="s">
        <v>32</v>
      </c>
      <c r="G77" s="141">
        <v>0</v>
      </c>
      <c r="I77" s="150">
        <f t="shared" si="91"/>
        <v>0</v>
      </c>
      <c r="M77" s="141">
        <f t="shared" si="92"/>
        <v>0</v>
      </c>
      <c r="N77" s="141">
        <f t="shared" si="90"/>
        <v>0</v>
      </c>
      <c r="O77" s="128">
        <v>0</v>
      </c>
    </row>
    <row r="78" spans="1:20" x14ac:dyDescent="0.25">
      <c r="A78" s="32">
        <f t="shared" si="15"/>
        <v>72</v>
      </c>
      <c r="D78" s="2" t="s">
        <v>42</v>
      </c>
      <c r="G78" s="141">
        <v>0</v>
      </c>
      <c r="I78" s="150">
        <f t="shared" si="91"/>
        <v>0</v>
      </c>
      <c r="M78" s="141">
        <f t="shared" si="92"/>
        <v>0</v>
      </c>
      <c r="N78" s="141"/>
      <c r="O78" s="128"/>
    </row>
    <row r="79" spans="1:20" x14ac:dyDescent="0.25">
      <c r="A79" s="32">
        <f t="shared" si="15"/>
        <v>73</v>
      </c>
      <c r="D79" s="12" t="s">
        <v>8</v>
      </c>
      <c r="E79" s="152"/>
      <c r="F79" s="152"/>
      <c r="G79" s="153">
        <f>SUM(G75:G78)</f>
        <v>35341.350000000006</v>
      </c>
      <c r="H79" s="152"/>
      <c r="I79" s="153">
        <f>SUM(I75:I78)</f>
        <v>48239.296670000011</v>
      </c>
      <c r="J79" s="152"/>
      <c r="K79" s="152"/>
      <c r="L79" s="152"/>
      <c r="M79" s="153">
        <f>SUM(M75:M78)</f>
        <v>48239.296670000011</v>
      </c>
      <c r="N79" s="153">
        <f t="shared" ref="N79:N81" si="93">M79-I79</f>
        <v>0</v>
      </c>
      <c r="O79" s="154">
        <f t="shared" ref="O79" si="94">N79-J79</f>
        <v>0</v>
      </c>
    </row>
    <row r="80" spans="1:20" s="5" customFormat="1" ht="26.4" customHeight="1" thickBot="1" x14ac:dyDescent="0.3">
      <c r="A80" s="32">
        <f t="shared" si="15"/>
        <v>74</v>
      </c>
      <c r="C80" s="14"/>
      <c r="D80" s="6" t="s">
        <v>19</v>
      </c>
      <c r="E80" s="155"/>
      <c r="F80" s="155"/>
      <c r="G80" s="156">
        <f>G74+G79</f>
        <v>668703.01379</v>
      </c>
      <c r="H80" s="155"/>
      <c r="I80" s="157">
        <f>I79+I74</f>
        <v>668703.01379</v>
      </c>
      <c r="J80" s="155"/>
      <c r="K80" s="155"/>
      <c r="L80" s="155"/>
      <c r="M80" s="156">
        <f>M79+M74</f>
        <v>695486.18249000004</v>
      </c>
      <c r="N80" s="156">
        <f t="shared" si="93"/>
        <v>26783.168700000038</v>
      </c>
      <c r="O80" s="158">
        <f>N80/I80</f>
        <v>4.0052412128668891E-2</v>
      </c>
      <c r="P80" s="127"/>
      <c r="Q80" s="127"/>
      <c r="R80" s="127"/>
    </row>
    <row r="81" spans="1:20" ht="13.8" thickTop="1" x14ac:dyDescent="0.25">
      <c r="A81" s="32">
        <f t="shared" si="15"/>
        <v>75</v>
      </c>
      <c r="D81" s="2" t="s">
        <v>18</v>
      </c>
      <c r="E81" s="128">
        <f>E73/E71</f>
        <v>667595.58333333337</v>
      </c>
      <c r="G81" s="159">
        <f>G80/E71</f>
        <v>55725.251149166666</v>
      </c>
      <c r="I81" s="159">
        <f>I80/E71</f>
        <v>55725.251149166666</v>
      </c>
      <c r="M81" s="159">
        <f>M80/E71</f>
        <v>57957.181874166672</v>
      </c>
      <c r="N81" s="159">
        <f t="shared" si="93"/>
        <v>2231.9307250000056</v>
      </c>
      <c r="O81" s="142">
        <f>N81/I81</f>
        <v>4.0052412128668939E-2</v>
      </c>
    </row>
    <row r="82" spans="1:20" ht="13.8" thickBot="1" x14ac:dyDescent="0.3">
      <c r="A82" s="32">
        <f t="shared" si="15"/>
        <v>76</v>
      </c>
    </row>
    <row r="83" spans="1:20" x14ac:dyDescent="0.25">
      <c r="A83" s="32">
        <f t="shared" si="15"/>
        <v>77</v>
      </c>
      <c r="B83" s="168" t="s">
        <v>81</v>
      </c>
      <c r="C83" s="23" t="s">
        <v>80</v>
      </c>
      <c r="D83" s="22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</row>
    <row r="84" spans="1:20" x14ac:dyDescent="0.25">
      <c r="A84" s="32">
        <f t="shared" si="15"/>
        <v>78</v>
      </c>
      <c r="B84" s="169"/>
      <c r="C84" s="2"/>
      <c r="D84" s="2" t="s">
        <v>17</v>
      </c>
      <c r="E84" s="140"/>
      <c r="F84" s="160" t="str">
        <f>H84</f>
        <v>$2/MWH</v>
      </c>
      <c r="G84" s="141"/>
      <c r="H84" s="161" t="s">
        <v>82</v>
      </c>
      <c r="I84" s="141">
        <f>2*E86/1000</f>
        <v>176408.21599999999</v>
      </c>
      <c r="J84" s="142"/>
      <c r="K84" s="142"/>
      <c r="L84" s="162" t="str">
        <f t="shared" ref="L84:M86" si="95">H84</f>
        <v>$2/MWH</v>
      </c>
      <c r="M84" s="141">
        <f t="shared" si="95"/>
        <v>176408.21599999999</v>
      </c>
      <c r="N84" s="141"/>
      <c r="O84" s="142"/>
      <c r="P84" s="142"/>
      <c r="Q84" s="143"/>
      <c r="R84" s="143"/>
      <c r="T84" s="4"/>
    </row>
    <row r="85" spans="1:20" x14ac:dyDescent="0.25">
      <c r="A85" s="32">
        <f t="shared" si="15"/>
        <v>79</v>
      </c>
      <c r="D85" s="2" t="s">
        <v>51</v>
      </c>
      <c r="E85" s="140">
        <v>158439</v>
      </c>
      <c r="F85" s="129">
        <f>H85</f>
        <v>1.75</v>
      </c>
      <c r="G85" s="141">
        <f t="shared" ref="G85" si="96">F85*E85</f>
        <v>277268.25</v>
      </c>
      <c r="H85" s="128">
        <v>1.75</v>
      </c>
      <c r="I85" s="141">
        <f t="shared" ref="I85" si="97">H85*E85</f>
        <v>277268.25</v>
      </c>
      <c r="J85" s="142">
        <f>IF(I86=0,0,I85/I86)</f>
        <v>8.3647805789222832E-2</v>
      </c>
      <c r="K85" s="142"/>
      <c r="L85" s="161">
        <f t="shared" si="95"/>
        <v>1.75</v>
      </c>
      <c r="M85" s="141">
        <f t="shared" si="95"/>
        <v>277268.25</v>
      </c>
      <c r="N85" s="141">
        <f t="shared" ref="N85" si="98">M85-I85</f>
        <v>0</v>
      </c>
      <c r="O85" s="142">
        <f t="shared" ref="O85" si="99">IF(I85=0,0,N85/I85)</f>
        <v>0</v>
      </c>
      <c r="P85" s="142">
        <f>IF(M86=0,0,M85/M86)</f>
        <v>8.3647805789222832E-2</v>
      </c>
      <c r="Q85" s="143">
        <f t="shared" ref="Q85" si="100">P85-J85</f>
        <v>0</v>
      </c>
      <c r="R85" s="143"/>
      <c r="T85" s="4">
        <f>L85/H85-1</f>
        <v>0</v>
      </c>
    </row>
    <row r="86" spans="1:20" x14ac:dyDescent="0.25">
      <c r="A86" s="32">
        <f t="shared" ref="A86:A130" si="101">A85+1</f>
        <v>80</v>
      </c>
      <c r="D86" s="2" t="s">
        <v>50</v>
      </c>
      <c r="E86" s="140">
        <v>88204108</v>
      </c>
      <c r="F86" s="129">
        <f>H86</f>
        <v>3.7580000000000002E-2</v>
      </c>
      <c r="G86" s="141">
        <f t="shared" ref="G86" si="102">F86*E86</f>
        <v>3314710.3786400002</v>
      </c>
      <c r="H86" s="130">
        <v>3.7580000000000002E-2</v>
      </c>
      <c r="I86" s="141">
        <f t="shared" ref="I86" si="103">H86*E86</f>
        <v>3314710.3786400002</v>
      </c>
      <c r="J86" s="142">
        <f>IF(I87=0,0,I86/I87)</f>
        <v>0.87960990081331725</v>
      </c>
      <c r="K86" s="142"/>
      <c r="L86" s="162">
        <f t="shared" si="95"/>
        <v>3.7580000000000002E-2</v>
      </c>
      <c r="M86" s="141">
        <f t="shared" si="95"/>
        <v>3314710.3786400002</v>
      </c>
      <c r="N86" s="141">
        <f t="shared" ref="N86" si="104">M86-I86</f>
        <v>0</v>
      </c>
      <c r="O86" s="142">
        <f t="shared" ref="O86" si="105">IF(I86=0,0,N86/I86)</f>
        <v>0</v>
      </c>
      <c r="P86" s="142">
        <f>IF(M87=0,0,M86/M87)</f>
        <v>0.87960990081331725</v>
      </c>
      <c r="Q86" s="143">
        <f t="shared" ref="Q86" si="106">P86-J86</f>
        <v>0</v>
      </c>
      <c r="R86" s="143"/>
      <c r="T86" s="4">
        <f>L86/H86-1</f>
        <v>0</v>
      </c>
    </row>
    <row r="87" spans="1:20" s="5" customFormat="1" ht="20.399999999999999" customHeight="1" x14ac:dyDescent="0.3">
      <c r="A87" s="32">
        <f t="shared" si="101"/>
        <v>81</v>
      </c>
      <c r="C87" s="14"/>
      <c r="D87" s="16" t="s">
        <v>6</v>
      </c>
      <c r="E87" s="145"/>
      <c r="F87" s="145"/>
      <c r="G87" s="17">
        <f>SUM(G84:G86)</f>
        <v>3591978.6286400002</v>
      </c>
      <c r="H87" s="145"/>
      <c r="I87" s="17">
        <f>SUM(I84:I86)</f>
        <v>3768386.8446400003</v>
      </c>
      <c r="J87" s="146">
        <f>SUM(J84:J86)</f>
        <v>0.96325770660254006</v>
      </c>
      <c r="K87" s="147">
        <f>I87+Summary!I14</f>
        <v>3768386.8446400003</v>
      </c>
      <c r="L87" s="145"/>
      <c r="M87" s="17">
        <f>SUM(M84:M86)</f>
        <v>3768386.8446400003</v>
      </c>
      <c r="N87" s="17">
        <f>SUM(N84:N86)</f>
        <v>0</v>
      </c>
      <c r="O87" s="146">
        <f>IF(I87=0,0,N87/I87)</f>
        <v>0</v>
      </c>
      <c r="P87" s="146">
        <f>SUM(P84:P86)</f>
        <v>0.96325770660254006</v>
      </c>
      <c r="Q87" s="148">
        <f t="shared" ref="Q87" si="107">P87-J87</f>
        <v>0</v>
      </c>
      <c r="R87" s="149">
        <f>M87-K87</f>
        <v>0</v>
      </c>
      <c r="S87" s="118">
        <v>1</v>
      </c>
    </row>
    <row r="88" spans="1:20" x14ac:dyDescent="0.25">
      <c r="A88" s="32">
        <f t="shared" si="101"/>
        <v>82</v>
      </c>
      <c r="D88" s="2" t="s">
        <v>29</v>
      </c>
      <c r="G88" s="141">
        <v>0</v>
      </c>
      <c r="I88" s="150">
        <v>0</v>
      </c>
      <c r="K88" s="150"/>
      <c r="M88" s="141">
        <f>I88</f>
        <v>0</v>
      </c>
      <c r="N88" s="141">
        <f t="shared" ref="N88:N93" si="108">M88-I88</f>
        <v>0</v>
      </c>
      <c r="O88" s="128">
        <v>0</v>
      </c>
    </row>
    <row r="89" spans="1:20" x14ac:dyDescent="0.25">
      <c r="A89" s="32">
        <f t="shared" si="101"/>
        <v>83</v>
      </c>
      <c r="D89" s="2" t="s">
        <v>30</v>
      </c>
      <c r="G89" s="141">
        <v>237922</v>
      </c>
      <c r="I89" s="150">
        <f t="shared" ref="I89:I91" si="109">G89</f>
        <v>237922</v>
      </c>
      <c r="M89" s="141">
        <f t="shared" ref="M89:M91" si="110">I89</f>
        <v>237922</v>
      </c>
      <c r="N89" s="141">
        <f t="shared" si="108"/>
        <v>0</v>
      </c>
      <c r="O89" s="128">
        <v>0</v>
      </c>
    </row>
    <row r="90" spans="1:20" x14ac:dyDescent="0.25">
      <c r="A90" s="32">
        <f t="shared" si="101"/>
        <v>84</v>
      </c>
      <c r="D90" s="2" t="s">
        <v>32</v>
      </c>
      <c r="F90" s="128"/>
      <c r="G90" s="141">
        <f>F90*E90</f>
        <v>0</v>
      </c>
      <c r="I90" s="150">
        <f t="shared" si="109"/>
        <v>0</v>
      </c>
      <c r="M90" s="141">
        <f t="shared" si="110"/>
        <v>0</v>
      </c>
      <c r="N90" s="141">
        <f t="shared" si="108"/>
        <v>0</v>
      </c>
      <c r="O90" s="128">
        <v>0</v>
      </c>
    </row>
    <row r="91" spans="1:20" x14ac:dyDescent="0.25">
      <c r="A91" s="32">
        <f t="shared" si="101"/>
        <v>85</v>
      </c>
      <c r="D91" s="2" t="s">
        <v>42</v>
      </c>
      <c r="G91" s="141">
        <v>0</v>
      </c>
      <c r="I91" s="150">
        <f t="shared" si="109"/>
        <v>0</v>
      </c>
      <c r="M91" s="141">
        <f t="shared" si="110"/>
        <v>0</v>
      </c>
      <c r="N91" s="141"/>
      <c r="O91" s="128"/>
    </row>
    <row r="92" spans="1:20" x14ac:dyDescent="0.25">
      <c r="A92" s="32">
        <f t="shared" si="101"/>
        <v>86</v>
      </c>
      <c r="D92" s="12" t="s">
        <v>8</v>
      </c>
      <c r="E92" s="152"/>
      <c r="F92" s="152"/>
      <c r="G92" s="153">
        <f>SUM(G88:G91)</f>
        <v>237922</v>
      </c>
      <c r="H92" s="152"/>
      <c r="I92" s="153">
        <f>SUM(I88:I91)</f>
        <v>237922</v>
      </c>
      <c r="J92" s="152"/>
      <c r="K92" s="152"/>
      <c r="L92" s="152"/>
      <c r="M92" s="153">
        <f>SUM(M88:M91)</f>
        <v>237922</v>
      </c>
      <c r="N92" s="153">
        <f t="shared" si="108"/>
        <v>0</v>
      </c>
      <c r="O92" s="154">
        <f t="shared" ref="O92" si="111">N92-J92</f>
        <v>0</v>
      </c>
    </row>
    <row r="93" spans="1:20" s="5" customFormat="1" ht="26.4" customHeight="1" thickBot="1" x14ac:dyDescent="0.3">
      <c r="A93" s="32">
        <f t="shared" si="101"/>
        <v>87</v>
      </c>
      <c r="C93" s="14"/>
      <c r="D93" s="6" t="s">
        <v>19</v>
      </c>
      <c r="E93" s="155"/>
      <c r="F93" s="155"/>
      <c r="G93" s="156">
        <f>G87+G92</f>
        <v>3829900.6286400002</v>
      </c>
      <c r="H93" s="155"/>
      <c r="I93" s="157">
        <f>I92+I87</f>
        <v>4006308.8446400003</v>
      </c>
      <c r="J93" s="155"/>
      <c r="K93" s="155"/>
      <c r="L93" s="155"/>
      <c r="M93" s="156">
        <f>M92+M87</f>
        <v>4006308.8446400003</v>
      </c>
      <c r="N93" s="156">
        <f t="shared" si="108"/>
        <v>0</v>
      </c>
      <c r="O93" s="158">
        <f>IF(I93=0,0,N93/I93)</f>
        <v>0</v>
      </c>
      <c r="P93" s="127"/>
      <c r="Q93" s="127"/>
      <c r="R93" s="127"/>
    </row>
    <row r="94" spans="1:20" ht="13.8" thickTop="1" x14ac:dyDescent="0.25">
      <c r="A94" s="32">
        <f t="shared" si="101"/>
        <v>88</v>
      </c>
      <c r="D94" s="2" t="s">
        <v>18</v>
      </c>
      <c r="E94" s="127" t="s">
        <v>65</v>
      </c>
      <c r="G94" s="159"/>
      <c r="I94" s="159"/>
      <c r="M94" s="159"/>
      <c r="N94" s="159">
        <f>M94-I94</f>
        <v>0</v>
      </c>
      <c r="O94" s="142"/>
    </row>
    <row r="95" spans="1:20" ht="13.8" thickBot="1" x14ac:dyDescent="0.3">
      <c r="A95" s="32">
        <f t="shared" si="101"/>
        <v>89</v>
      </c>
    </row>
    <row r="96" spans="1:20" x14ac:dyDescent="0.25">
      <c r="A96" s="32">
        <f t="shared" si="101"/>
        <v>90</v>
      </c>
      <c r="B96" s="22" t="s">
        <v>33</v>
      </c>
      <c r="C96" s="23" t="s">
        <v>95</v>
      </c>
      <c r="D96" s="22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</row>
    <row r="97" spans="1:20" x14ac:dyDescent="0.25">
      <c r="A97" s="32">
        <f t="shared" si="101"/>
        <v>91</v>
      </c>
      <c r="B97" s="29"/>
      <c r="C97" s="26"/>
      <c r="D97" s="113" t="s">
        <v>83</v>
      </c>
      <c r="E97" s="140">
        <v>38738</v>
      </c>
      <c r="F97" s="128">
        <v>2.84</v>
      </c>
      <c r="G97" s="141">
        <f t="shared" ref="G97" si="112">F97*E97</f>
        <v>110015.92</v>
      </c>
      <c r="H97" s="128">
        <v>2.84</v>
      </c>
      <c r="I97" s="141">
        <f t="shared" ref="I97" si="113">H97*E97</f>
        <v>110015.92</v>
      </c>
      <c r="J97" s="142">
        <f t="shared" ref="J97:J108" si="114">I97/I$109</f>
        <v>0.35394223005901354</v>
      </c>
      <c r="K97" s="142"/>
      <c r="L97" s="128">
        <f t="shared" ref="L97:L108" si="115">ROUND(H97*S$109,2)</f>
        <v>2.96</v>
      </c>
      <c r="M97" s="141">
        <f t="shared" ref="M97" si="116">L97*E97</f>
        <v>114664.48</v>
      </c>
      <c r="N97" s="141">
        <f t="shared" ref="N97" si="117">M97-I97</f>
        <v>4648.5599999999977</v>
      </c>
      <c r="O97" s="142">
        <f t="shared" ref="O97" si="118">IF(I97=0,0,N97/I97)</f>
        <v>4.2253521126760542E-2</v>
      </c>
      <c r="P97" s="142">
        <f t="shared" ref="P97:P108" si="119">M97/M$109</f>
        <v>0.35381627130852844</v>
      </c>
      <c r="Q97" s="143">
        <f t="shared" ref="Q97" si="120">P97-J97</f>
        <v>-1.2595875048510008E-4</v>
      </c>
      <c r="R97" s="143"/>
      <c r="T97" s="4">
        <f>L97/H97-1</f>
        <v>4.2253521126760507E-2</v>
      </c>
    </row>
    <row r="98" spans="1:20" x14ac:dyDescent="0.25">
      <c r="A98" s="32">
        <f t="shared" si="101"/>
        <v>92</v>
      </c>
      <c r="B98" s="29"/>
      <c r="C98" s="26"/>
      <c r="D98" s="113" t="s">
        <v>84</v>
      </c>
      <c r="E98" s="140">
        <v>12</v>
      </c>
      <c r="F98" s="128">
        <v>3.41</v>
      </c>
      <c r="G98" s="141">
        <f t="shared" ref="G98:G101" si="121">F98*E98</f>
        <v>40.92</v>
      </c>
      <c r="H98" s="128">
        <v>3.41</v>
      </c>
      <c r="I98" s="141">
        <f t="shared" ref="I98:I101" si="122">H98*E98</f>
        <v>40.92</v>
      </c>
      <c r="J98" s="142">
        <f t="shared" si="114"/>
        <v>1.3164745660459719E-4</v>
      </c>
      <c r="K98" s="142"/>
      <c r="L98" s="128">
        <f t="shared" si="115"/>
        <v>3.56</v>
      </c>
      <c r="M98" s="141">
        <f t="shared" ref="M98:M101" si="123">L98*E98</f>
        <v>42.72</v>
      </c>
      <c r="N98" s="141">
        <f t="shared" ref="N98:N101" si="124">M98-I98</f>
        <v>1.7999999999999972</v>
      </c>
      <c r="O98" s="142">
        <f t="shared" ref="O98:O101" si="125">IF(I98=0,0,N98/I98)</f>
        <v>4.3988269794721334E-2</v>
      </c>
      <c r="P98" s="142">
        <f t="shared" si="119"/>
        <v>1.3181964554585986E-4</v>
      </c>
      <c r="Q98" s="143">
        <f t="shared" ref="Q98:Q101" si="126">P98-J98</f>
        <v>1.7218894126267109E-7</v>
      </c>
      <c r="R98" s="143"/>
      <c r="T98" s="4">
        <f t="shared" ref="T98:T108" si="127">L98/H98-1</f>
        <v>4.3988269794721369E-2</v>
      </c>
    </row>
    <row r="99" spans="1:20" x14ac:dyDescent="0.25">
      <c r="A99" s="32">
        <f t="shared" si="101"/>
        <v>93</v>
      </c>
      <c r="B99" s="29"/>
      <c r="C99" s="26"/>
      <c r="D99" s="113" t="s">
        <v>85</v>
      </c>
      <c r="E99" s="140">
        <v>1305</v>
      </c>
      <c r="F99" s="128">
        <v>4.5199999999999996</v>
      </c>
      <c r="G99" s="141">
        <f t="shared" si="121"/>
        <v>5898.5999999999995</v>
      </c>
      <c r="H99" s="128">
        <v>4.5199999999999996</v>
      </c>
      <c r="I99" s="141">
        <f t="shared" si="122"/>
        <v>5898.5999999999995</v>
      </c>
      <c r="J99" s="142">
        <f t="shared" si="114"/>
        <v>1.897692296011429E-2</v>
      </c>
      <c r="K99" s="142"/>
      <c r="L99" s="128">
        <f t="shared" si="115"/>
        <v>4.71</v>
      </c>
      <c r="M99" s="141">
        <f t="shared" si="123"/>
        <v>6146.55</v>
      </c>
      <c r="N99" s="141">
        <f t="shared" si="124"/>
        <v>247.95000000000073</v>
      </c>
      <c r="O99" s="142">
        <f t="shared" si="125"/>
        <v>4.2035398230088623E-2</v>
      </c>
      <c r="P99" s="142">
        <f t="shared" si="119"/>
        <v>1.8966199492741219E-2</v>
      </c>
      <c r="Q99" s="143">
        <f t="shared" si="126"/>
        <v>-1.0723467373071477E-5</v>
      </c>
      <c r="R99" s="143"/>
      <c r="T99" s="4">
        <f t="shared" si="127"/>
        <v>4.2035398230088505E-2</v>
      </c>
    </row>
    <row r="100" spans="1:20" x14ac:dyDescent="0.25">
      <c r="A100" s="32">
        <f t="shared" si="101"/>
        <v>94</v>
      </c>
      <c r="B100" s="29"/>
      <c r="C100" s="26"/>
      <c r="D100" s="113" t="s">
        <v>86</v>
      </c>
      <c r="E100" s="140">
        <v>27654</v>
      </c>
      <c r="F100" s="128">
        <v>3.25</v>
      </c>
      <c r="G100" s="141">
        <f t="shared" si="121"/>
        <v>89875.5</v>
      </c>
      <c r="H100" s="128">
        <v>3.25</v>
      </c>
      <c r="I100" s="141">
        <f t="shared" si="122"/>
        <v>89875.5</v>
      </c>
      <c r="J100" s="142">
        <f t="shared" si="114"/>
        <v>0.28914665166340353</v>
      </c>
      <c r="K100" s="142"/>
      <c r="L100" s="128">
        <f t="shared" si="115"/>
        <v>3.39</v>
      </c>
      <c r="M100" s="141">
        <f t="shared" si="123"/>
        <v>93747.06</v>
      </c>
      <c r="N100" s="141">
        <f t="shared" si="124"/>
        <v>3871.5599999999977</v>
      </c>
      <c r="O100" s="142">
        <f t="shared" si="125"/>
        <v>4.3076923076923054E-2</v>
      </c>
      <c r="P100" s="142">
        <f t="shared" si="119"/>
        <v>0.28927210253198632</v>
      </c>
      <c r="Q100" s="143">
        <f t="shared" si="126"/>
        <v>1.254508685827882E-4</v>
      </c>
      <c r="R100" s="143"/>
      <c r="T100" s="4">
        <f t="shared" si="127"/>
        <v>4.3076923076923013E-2</v>
      </c>
    </row>
    <row r="101" spans="1:20" x14ac:dyDescent="0.25">
      <c r="A101" s="32">
        <f t="shared" si="101"/>
        <v>95</v>
      </c>
      <c r="B101" s="29"/>
      <c r="C101" s="26"/>
      <c r="D101" s="113" t="s">
        <v>87</v>
      </c>
      <c r="E101" s="140">
        <v>9915</v>
      </c>
      <c r="F101" s="128">
        <v>5</v>
      </c>
      <c r="G101" s="141">
        <f t="shared" si="121"/>
        <v>49575</v>
      </c>
      <c r="H101" s="128">
        <v>5</v>
      </c>
      <c r="I101" s="141">
        <f t="shared" si="122"/>
        <v>49575</v>
      </c>
      <c r="J101" s="142">
        <f t="shared" si="114"/>
        <v>0.15949224489669855</v>
      </c>
      <c r="K101" s="142"/>
      <c r="L101" s="128">
        <f t="shared" si="115"/>
        <v>5.21</v>
      </c>
      <c r="M101" s="141">
        <f t="shared" si="123"/>
        <v>51657.15</v>
      </c>
      <c r="N101" s="141">
        <f t="shared" si="124"/>
        <v>2082.1500000000015</v>
      </c>
      <c r="O101" s="142">
        <f t="shared" si="125"/>
        <v>4.200000000000003E-2</v>
      </c>
      <c r="P101" s="142">
        <f t="shared" si="119"/>
        <v>0.15939670418795213</v>
      </c>
      <c r="Q101" s="143">
        <f t="shared" si="126"/>
        <v>-9.5540708746427727E-5</v>
      </c>
      <c r="R101" s="143"/>
      <c r="T101" s="4">
        <f t="shared" si="127"/>
        <v>4.2000000000000037E-2</v>
      </c>
    </row>
    <row r="102" spans="1:20" x14ac:dyDescent="0.25">
      <c r="A102" s="32">
        <f t="shared" si="101"/>
        <v>96</v>
      </c>
      <c r="B102" s="29"/>
      <c r="C102" s="26"/>
      <c r="D102" s="113" t="s">
        <v>88</v>
      </c>
      <c r="E102" s="140">
        <v>186</v>
      </c>
      <c r="F102" s="128">
        <v>2.84</v>
      </c>
      <c r="G102" s="141">
        <f t="shared" ref="G102:G108" si="128">F102*E102</f>
        <v>528.24</v>
      </c>
      <c r="H102" s="128">
        <v>2.84</v>
      </c>
      <c r="I102" s="141">
        <f t="shared" ref="I102:I108" si="129">H102*E102</f>
        <v>528.24</v>
      </c>
      <c r="J102" s="142">
        <f t="shared" si="114"/>
        <v>1.6994489852593454E-3</v>
      </c>
      <c r="K102" s="142"/>
      <c r="L102" s="128">
        <f t="shared" si="115"/>
        <v>2.96</v>
      </c>
      <c r="M102" s="141">
        <f t="shared" ref="M102:M108" si="130">L102*E102</f>
        <v>550.55999999999995</v>
      </c>
      <c r="N102" s="141">
        <f t="shared" ref="N102:N108" si="131">M102-I102</f>
        <v>22.319999999999936</v>
      </c>
      <c r="O102" s="142">
        <f t="shared" ref="O102:O108" si="132">IF(I102=0,0,N102/I102)</f>
        <v>4.2253521126760445E-2</v>
      </c>
      <c r="P102" s="142">
        <f t="shared" si="119"/>
        <v>1.6988441959674297E-3</v>
      </c>
      <c r="Q102" s="143">
        <f t="shared" ref="Q102:Q108" si="133">P102-J102</f>
        <v>-6.0478929191564931E-7</v>
      </c>
      <c r="R102" s="143"/>
      <c r="T102" s="4">
        <f t="shared" si="127"/>
        <v>4.2253521126760507E-2</v>
      </c>
    </row>
    <row r="103" spans="1:20" x14ac:dyDescent="0.25">
      <c r="A103" s="32">
        <f t="shared" si="101"/>
        <v>97</v>
      </c>
      <c r="B103" s="29"/>
      <c r="C103" s="26"/>
      <c r="D103" s="113" t="s">
        <v>89</v>
      </c>
      <c r="E103" s="140">
        <v>24</v>
      </c>
      <c r="F103" s="128">
        <v>4.5199999999999996</v>
      </c>
      <c r="G103" s="141">
        <f t="shared" si="128"/>
        <v>108.47999999999999</v>
      </c>
      <c r="H103" s="128">
        <v>4.5199999999999996</v>
      </c>
      <c r="I103" s="141">
        <f t="shared" si="129"/>
        <v>108.47999999999999</v>
      </c>
      <c r="J103" s="142">
        <f t="shared" si="114"/>
        <v>3.4900088202509042E-4</v>
      </c>
      <c r="K103" s="142"/>
      <c r="L103" s="128">
        <f t="shared" si="115"/>
        <v>4.71</v>
      </c>
      <c r="M103" s="141">
        <f t="shared" si="130"/>
        <v>113.03999999999999</v>
      </c>
      <c r="N103" s="141">
        <f t="shared" si="131"/>
        <v>4.5600000000000023</v>
      </c>
      <c r="O103" s="142">
        <f t="shared" si="132"/>
        <v>4.2035398230088519E-2</v>
      </c>
      <c r="P103" s="142">
        <f t="shared" si="119"/>
        <v>3.4880366883202239E-4</v>
      </c>
      <c r="Q103" s="143">
        <f t="shared" si="133"/>
        <v>-1.9721319306802891E-7</v>
      </c>
      <c r="R103" s="143"/>
      <c r="T103" s="4">
        <f t="shared" si="127"/>
        <v>4.2035398230088505E-2</v>
      </c>
    </row>
    <row r="104" spans="1:20" x14ac:dyDescent="0.25">
      <c r="A104" s="32">
        <f t="shared" si="101"/>
        <v>98</v>
      </c>
      <c r="B104" s="29"/>
      <c r="C104" s="26"/>
      <c r="D104" s="113" t="s">
        <v>90</v>
      </c>
      <c r="E104" s="140">
        <v>75</v>
      </c>
      <c r="F104" s="128">
        <v>5</v>
      </c>
      <c r="G104" s="141">
        <f t="shared" si="128"/>
        <v>375</v>
      </c>
      <c r="H104" s="128">
        <v>5</v>
      </c>
      <c r="I104" s="141">
        <f t="shared" si="129"/>
        <v>375</v>
      </c>
      <c r="J104" s="142">
        <f t="shared" si="114"/>
        <v>1.2064466331066456E-3</v>
      </c>
      <c r="K104" s="142"/>
      <c r="L104" s="128">
        <f t="shared" si="115"/>
        <v>5.21</v>
      </c>
      <c r="M104" s="141">
        <f t="shared" si="130"/>
        <v>390.75</v>
      </c>
      <c r="N104" s="141">
        <f t="shared" si="131"/>
        <v>15.75</v>
      </c>
      <c r="O104" s="142">
        <f t="shared" si="132"/>
        <v>4.2000000000000003E-2</v>
      </c>
      <c r="P104" s="142">
        <f t="shared" si="119"/>
        <v>1.2057239348559161E-3</v>
      </c>
      <c r="Q104" s="143">
        <f t="shared" si="133"/>
        <v>-7.2269825072946402E-7</v>
      </c>
      <c r="R104" s="143"/>
      <c r="T104" s="4">
        <f t="shared" si="127"/>
        <v>4.2000000000000037E-2</v>
      </c>
    </row>
    <row r="105" spans="1:20" x14ac:dyDescent="0.25">
      <c r="A105" s="32">
        <f t="shared" si="101"/>
        <v>99</v>
      </c>
      <c r="B105" s="29"/>
      <c r="C105" s="26"/>
      <c r="D105" s="113" t="s">
        <v>91</v>
      </c>
      <c r="E105" s="140">
        <v>4673</v>
      </c>
      <c r="F105" s="128">
        <v>9.4600000000000009</v>
      </c>
      <c r="G105" s="141">
        <f t="shared" si="128"/>
        <v>44206.58</v>
      </c>
      <c r="H105" s="128">
        <v>9.4600000000000009</v>
      </c>
      <c r="I105" s="141">
        <f t="shared" si="129"/>
        <v>44206.58</v>
      </c>
      <c r="J105" s="142">
        <f t="shared" si="114"/>
        <v>0.14222101227242556</v>
      </c>
      <c r="K105" s="142"/>
      <c r="L105" s="128">
        <f t="shared" si="115"/>
        <v>9.8699999999999992</v>
      </c>
      <c r="M105" s="141">
        <f t="shared" si="130"/>
        <v>46122.509999999995</v>
      </c>
      <c r="N105" s="141">
        <f t="shared" si="131"/>
        <v>1915.929999999993</v>
      </c>
      <c r="O105" s="142">
        <f t="shared" si="132"/>
        <v>4.3340380549682714E-2</v>
      </c>
      <c r="P105" s="142">
        <f t="shared" si="119"/>
        <v>0.14231865449169886</v>
      </c>
      <c r="Q105" s="143">
        <f t="shared" si="133"/>
        <v>9.7642219273302855E-5</v>
      </c>
      <c r="R105" s="143"/>
      <c r="T105" s="4">
        <f t="shared" si="127"/>
        <v>4.3340380549682589E-2</v>
      </c>
    </row>
    <row r="106" spans="1:20" x14ac:dyDescent="0.25">
      <c r="A106" s="32">
        <f t="shared" si="101"/>
        <v>100</v>
      </c>
      <c r="B106" s="29"/>
      <c r="C106" s="26"/>
      <c r="D106" s="113" t="s">
        <v>92</v>
      </c>
      <c r="E106" s="140">
        <v>399</v>
      </c>
      <c r="F106" s="128">
        <v>12.48</v>
      </c>
      <c r="G106" s="141">
        <f t="shared" si="128"/>
        <v>4979.5200000000004</v>
      </c>
      <c r="H106" s="128">
        <v>12.48</v>
      </c>
      <c r="I106" s="141">
        <f t="shared" si="129"/>
        <v>4979.5200000000004</v>
      </c>
      <c r="J106" s="142">
        <f t="shared" si="114"/>
        <v>1.6020067035965879E-2</v>
      </c>
      <c r="K106" s="142"/>
      <c r="L106" s="128">
        <f t="shared" si="115"/>
        <v>13.02</v>
      </c>
      <c r="M106" s="141">
        <f t="shared" si="130"/>
        <v>5194.9799999999996</v>
      </c>
      <c r="N106" s="141">
        <f t="shared" si="131"/>
        <v>215.45999999999913</v>
      </c>
      <c r="O106" s="142">
        <f t="shared" si="132"/>
        <v>4.3269230769230588E-2</v>
      </c>
      <c r="P106" s="142">
        <f t="shared" si="119"/>
        <v>1.6029972430192673E-2</v>
      </c>
      <c r="Q106" s="143">
        <f t="shared" si="133"/>
        <v>9.9053942267945949E-6</v>
      </c>
      <c r="R106" s="143"/>
      <c r="T106" s="4">
        <f t="shared" si="127"/>
        <v>4.3269230769230616E-2</v>
      </c>
    </row>
    <row r="107" spans="1:20" x14ac:dyDescent="0.25">
      <c r="A107" s="32">
        <f t="shared" si="101"/>
        <v>101</v>
      </c>
      <c r="B107" s="29"/>
      <c r="C107" s="26"/>
      <c r="D107" s="113" t="s">
        <v>93</v>
      </c>
      <c r="E107" s="140">
        <v>305</v>
      </c>
      <c r="F107" s="128">
        <v>16.88</v>
      </c>
      <c r="G107" s="141">
        <f t="shared" si="128"/>
        <v>5148.3999999999996</v>
      </c>
      <c r="H107" s="128">
        <v>16.88</v>
      </c>
      <c r="I107" s="141">
        <f t="shared" si="129"/>
        <v>5148.3999999999996</v>
      </c>
      <c r="J107" s="142">
        <f t="shared" si="114"/>
        <v>1.6563386255696678E-2</v>
      </c>
      <c r="K107" s="142"/>
      <c r="L107" s="128">
        <f t="shared" si="115"/>
        <v>17.600000000000001</v>
      </c>
      <c r="M107" s="141">
        <f t="shared" si="130"/>
        <v>5368</v>
      </c>
      <c r="N107" s="141">
        <f t="shared" si="131"/>
        <v>219.60000000000036</v>
      </c>
      <c r="O107" s="142">
        <f t="shared" si="132"/>
        <v>4.265402843601903E-2</v>
      </c>
      <c r="P107" s="142">
        <f t="shared" si="119"/>
        <v>1.6563854337316847E-2</v>
      </c>
      <c r="Q107" s="143">
        <f t="shared" si="133"/>
        <v>4.6808162016895305E-7</v>
      </c>
      <c r="R107" s="143"/>
      <c r="T107" s="4">
        <f t="shared" si="127"/>
        <v>4.2654028436019065E-2</v>
      </c>
    </row>
    <row r="108" spans="1:20" x14ac:dyDescent="0.25">
      <c r="A108" s="32">
        <f t="shared" si="101"/>
        <v>102</v>
      </c>
      <c r="B108" s="29"/>
      <c r="C108" s="26"/>
      <c r="D108" s="113" t="s">
        <v>94</v>
      </c>
      <c r="E108" s="140">
        <v>24</v>
      </c>
      <c r="F108" s="128">
        <v>3.25</v>
      </c>
      <c r="G108" s="141">
        <f t="shared" si="128"/>
        <v>78</v>
      </c>
      <c r="H108" s="128">
        <v>3.25</v>
      </c>
      <c r="I108" s="141">
        <f t="shared" si="129"/>
        <v>78</v>
      </c>
      <c r="J108" s="142">
        <f t="shared" si="114"/>
        <v>2.5094089968618228E-4</v>
      </c>
      <c r="K108" s="142"/>
      <c r="L108" s="128">
        <f t="shared" si="115"/>
        <v>3.39</v>
      </c>
      <c r="M108" s="141">
        <f t="shared" si="130"/>
        <v>81.36</v>
      </c>
      <c r="N108" s="141">
        <f t="shared" si="131"/>
        <v>3.3599999999999994</v>
      </c>
      <c r="O108" s="142">
        <f t="shared" si="132"/>
        <v>4.3076923076923068E-2</v>
      </c>
      <c r="P108" s="142">
        <f t="shared" si="119"/>
        <v>2.5104977438228365E-4</v>
      </c>
      <c r="Q108" s="143">
        <f t="shared" si="133"/>
        <v>1.0887469610137675E-7</v>
      </c>
      <c r="R108" s="143"/>
      <c r="T108" s="4">
        <f t="shared" si="127"/>
        <v>4.3076923076923013E-2</v>
      </c>
    </row>
    <row r="109" spans="1:20" s="5" customFormat="1" ht="24.6" customHeight="1" x14ac:dyDescent="0.3">
      <c r="A109" s="32">
        <f t="shared" si="101"/>
        <v>103</v>
      </c>
      <c r="C109" s="14"/>
      <c r="D109" s="16" t="s">
        <v>6</v>
      </c>
      <c r="E109" s="145"/>
      <c r="F109" s="145"/>
      <c r="G109" s="17">
        <f>SUM(G97:G108)</f>
        <v>310830.16000000003</v>
      </c>
      <c r="H109" s="145"/>
      <c r="I109" s="17">
        <f>SUM(I97:I108)</f>
        <v>310830.16000000003</v>
      </c>
      <c r="J109" s="146">
        <f>SUM(J97:J108)</f>
        <v>0.99999999999999978</v>
      </c>
      <c r="K109" s="147">
        <f>I109+Summary!I15</f>
        <v>324160.62000000005</v>
      </c>
      <c r="L109" s="145"/>
      <c r="M109" s="17">
        <f>SUM(M97:M108)</f>
        <v>324079.15999999997</v>
      </c>
      <c r="N109" s="17">
        <f>SUM(N97:N108)</f>
        <v>13248.999999999989</v>
      </c>
      <c r="O109" s="146">
        <f t="shared" ref="O109" si="134">N109/I109</f>
        <v>4.262456384541316E-2</v>
      </c>
      <c r="P109" s="146">
        <f>SUM(P97:P108)</f>
        <v>1.0000000000000002</v>
      </c>
      <c r="Q109" s="148">
        <f t="shared" ref="Q109" si="135">P109-J109</f>
        <v>0</v>
      </c>
      <c r="R109" s="149">
        <f>M109-K109</f>
        <v>-81.460000000079162</v>
      </c>
      <c r="S109" s="5">
        <f>K109/I109</f>
        <v>1.0428866362260343</v>
      </c>
    </row>
    <row r="110" spans="1:20" x14ac:dyDescent="0.25">
      <c r="A110" s="32">
        <f t="shared" si="101"/>
        <v>104</v>
      </c>
      <c r="D110" s="2" t="s">
        <v>29</v>
      </c>
      <c r="G110" s="141">
        <v>0</v>
      </c>
      <c r="I110" s="150">
        <v>0</v>
      </c>
      <c r="K110" s="150"/>
      <c r="M110" s="141">
        <f>I110</f>
        <v>0</v>
      </c>
      <c r="N110" s="141">
        <f>M110-I110</f>
        <v>0</v>
      </c>
      <c r="O110" s="128">
        <v>0</v>
      </c>
    </row>
    <row r="111" spans="1:20" x14ac:dyDescent="0.25">
      <c r="A111" s="32">
        <f t="shared" si="101"/>
        <v>105</v>
      </c>
      <c r="D111" s="2" t="s">
        <v>30</v>
      </c>
      <c r="G111" s="141">
        <v>0</v>
      </c>
      <c r="I111" s="150">
        <v>0</v>
      </c>
      <c r="M111" s="141">
        <f t="shared" ref="M111:M112" si="136">I111</f>
        <v>0</v>
      </c>
      <c r="N111" s="141">
        <f>M111-I111</f>
        <v>0</v>
      </c>
      <c r="O111" s="128">
        <v>0</v>
      </c>
    </row>
    <row r="112" spans="1:20" x14ac:dyDescent="0.25">
      <c r="A112" s="32">
        <f t="shared" si="101"/>
        <v>106</v>
      </c>
      <c r="D112" s="2" t="s">
        <v>32</v>
      </c>
      <c r="G112" s="141">
        <v>0</v>
      </c>
      <c r="I112" s="150">
        <v>0</v>
      </c>
      <c r="M112" s="141">
        <f t="shared" si="136"/>
        <v>0</v>
      </c>
      <c r="N112" s="141">
        <f>M112-I112</f>
        <v>0</v>
      </c>
      <c r="O112" s="128">
        <v>0</v>
      </c>
    </row>
    <row r="113" spans="1:18" x14ac:dyDescent="0.25">
      <c r="A113" s="32">
        <f t="shared" si="101"/>
        <v>107</v>
      </c>
      <c r="D113" s="2" t="s">
        <v>42</v>
      </c>
      <c r="G113" s="141"/>
      <c r="I113" s="150"/>
      <c r="M113" s="141"/>
      <c r="N113" s="141"/>
      <c r="O113" s="128"/>
    </row>
    <row r="114" spans="1:18" x14ac:dyDescent="0.25">
      <c r="A114" s="32">
        <f t="shared" si="101"/>
        <v>108</v>
      </c>
      <c r="D114" s="12" t="s">
        <v>8</v>
      </c>
      <c r="E114" s="152"/>
      <c r="F114" s="152"/>
      <c r="G114" s="153">
        <f>SUM(G110:G112)</f>
        <v>0</v>
      </c>
      <c r="H114" s="152"/>
      <c r="I114" s="153">
        <f>SUM(I110:I112)</f>
        <v>0</v>
      </c>
      <c r="J114" s="152"/>
      <c r="K114" s="152"/>
      <c r="L114" s="152"/>
      <c r="M114" s="153">
        <f>SUM(M110:M112)</f>
        <v>0</v>
      </c>
      <c r="N114" s="153">
        <f>M114-I114</f>
        <v>0</v>
      </c>
      <c r="O114" s="154">
        <f>N114-J114</f>
        <v>0</v>
      </c>
    </row>
    <row r="115" spans="1:18" s="5" customFormat="1" ht="26.4" customHeight="1" thickBot="1" x14ac:dyDescent="0.3">
      <c r="A115" s="32">
        <f t="shared" si="101"/>
        <v>109</v>
      </c>
      <c r="C115" s="14"/>
      <c r="D115" s="6" t="s">
        <v>19</v>
      </c>
      <c r="E115" s="155"/>
      <c r="F115" s="155"/>
      <c r="G115" s="156">
        <f>G109+G114</f>
        <v>310830.16000000003</v>
      </c>
      <c r="H115" s="155"/>
      <c r="I115" s="157">
        <f>I114+I109</f>
        <v>310830.16000000003</v>
      </c>
      <c r="J115" s="155"/>
      <c r="K115" s="155"/>
      <c r="L115" s="155"/>
      <c r="M115" s="156">
        <f>M114+M109</f>
        <v>324079.15999999997</v>
      </c>
      <c r="N115" s="156">
        <f>M115-I115</f>
        <v>13248.999999999942</v>
      </c>
      <c r="O115" s="158">
        <f>N115/I115</f>
        <v>4.2624563845413008E-2</v>
      </c>
      <c r="P115" s="127"/>
      <c r="Q115" s="127"/>
      <c r="R115" s="127"/>
    </row>
    <row r="116" spans="1:18" ht="13.8" thickTop="1" x14ac:dyDescent="0.25">
      <c r="A116" s="32">
        <f t="shared" si="101"/>
        <v>110</v>
      </c>
      <c r="G116" s="159"/>
      <c r="I116" s="159"/>
      <c r="M116" s="159"/>
      <c r="N116" s="159"/>
      <c r="O116" s="142"/>
    </row>
    <row r="117" spans="1:18" x14ac:dyDescent="0.25">
      <c r="A117" s="32">
        <f t="shared" si="101"/>
        <v>111</v>
      </c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x14ac:dyDescent="0.25">
      <c r="A118" s="32">
        <f t="shared" si="101"/>
        <v>112</v>
      </c>
    </row>
    <row r="119" spans="1:18" s="5" customFormat="1" ht="19.95" customHeight="1" x14ac:dyDescent="0.3">
      <c r="A119" s="32">
        <f t="shared" si="101"/>
        <v>113</v>
      </c>
      <c r="B119" s="5" t="s">
        <v>31</v>
      </c>
      <c r="C119" s="33"/>
      <c r="D119" s="16" t="s">
        <v>6</v>
      </c>
      <c r="E119" s="145"/>
      <c r="F119" s="145"/>
      <c r="G119" s="163">
        <f>G10+G22+G34+G47+G87+G61+G109+G74</f>
        <v>43422297.512559995</v>
      </c>
      <c r="H119" s="163"/>
      <c r="I119" s="163">
        <f>I10+I22+I34+I47+I87+I61+I109+I74</f>
        <v>42864224.684899993</v>
      </c>
      <c r="J119" s="145"/>
      <c r="K119" s="145"/>
      <c r="L119" s="145"/>
      <c r="M119" s="163">
        <f>M10+M22+M34+M47+M87+M61+M109+M74</f>
        <v>44542418.973620012</v>
      </c>
      <c r="N119" s="163">
        <f>N10+N22+N34+N47+N87+N61+N109+N74</f>
        <v>1678194.2887200019</v>
      </c>
      <c r="O119" s="146">
        <f>N119/I119</f>
        <v>3.9151397256257575E-2</v>
      </c>
      <c r="P119" s="164"/>
      <c r="Q119" s="164"/>
      <c r="R119" s="164"/>
    </row>
    <row r="120" spans="1:18" x14ac:dyDescent="0.25">
      <c r="A120" s="32">
        <f t="shared" si="101"/>
        <v>114</v>
      </c>
      <c r="C120" s="27"/>
      <c r="D120" s="2" t="s">
        <v>29</v>
      </c>
      <c r="G120" s="150">
        <f t="shared" ref="G120:I124" si="137">G11+G23+G35+G48+G88+G62+G110+G75</f>
        <v>-1840749.11</v>
      </c>
      <c r="H120" s="150"/>
      <c r="I120" s="150">
        <f t="shared" si="137"/>
        <v>-1106268.0663399999</v>
      </c>
      <c r="M120" s="150">
        <f t="shared" ref="M120:N120" si="138">M11+M23+M35+M48+M88+M62+M110+M75</f>
        <v>-1106268.0663399999</v>
      </c>
      <c r="N120" s="150">
        <f t="shared" si="138"/>
        <v>0</v>
      </c>
    </row>
    <row r="121" spans="1:18" x14ac:dyDescent="0.25">
      <c r="A121" s="32">
        <f t="shared" si="101"/>
        <v>115</v>
      </c>
      <c r="C121" s="27"/>
      <c r="D121" s="2" t="s">
        <v>30</v>
      </c>
      <c r="G121" s="150">
        <f t="shared" si="137"/>
        <v>4708578.37</v>
      </c>
      <c r="H121" s="150"/>
      <c r="I121" s="150">
        <f t="shared" si="137"/>
        <v>4708578.37</v>
      </c>
      <c r="M121" s="150">
        <f t="shared" ref="M121:N121" si="139">M12+M24+M36+M49+M89+M63+M111+M76</f>
        <v>4708578.37</v>
      </c>
      <c r="N121" s="150">
        <f t="shared" si="139"/>
        <v>0</v>
      </c>
    </row>
    <row r="122" spans="1:18" x14ac:dyDescent="0.25">
      <c r="A122" s="32">
        <f t="shared" si="101"/>
        <v>116</v>
      </c>
      <c r="C122" s="27"/>
      <c r="D122" s="2" t="s">
        <v>32</v>
      </c>
      <c r="G122" s="150">
        <f t="shared" si="137"/>
        <v>0</v>
      </c>
      <c r="H122" s="150"/>
      <c r="I122" s="150">
        <f t="shared" si="137"/>
        <v>0</v>
      </c>
      <c r="M122" s="150">
        <f t="shared" ref="M122:N122" si="140">M13+M25+M37+M50+M90+M64+M112+M77</f>
        <v>0</v>
      </c>
      <c r="N122" s="150">
        <f t="shared" si="140"/>
        <v>0</v>
      </c>
    </row>
    <row r="123" spans="1:18" x14ac:dyDescent="0.25">
      <c r="A123" s="32">
        <f t="shared" si="101"/>
        <v>117</v>
      </c>
      <c r="C123" s="27"/>
      <c r="D123" s="2" t="s">
        <v>42</v>
      </c>
      <c r="G123" s="150">
        <f t="shared" si="137"/>
        <v>0</v>
      </c>
      <c r="I123" s="150">
        <f t="shared" si="137"/>
        <v>0</v>
      </c>
      <c r="M123" s="150">
        <f t="shared" ref="M123:N123" si="141">M14+M26+M38+M51+M91+M65+M113+M78</f>
        <v>0</v>
      </c>
      <c r="N123" s="150">
        <f t="shared" si="141"/>
        <v>0</v>
      </c>
      <c r="O123" s="128"/>
    </row>
    <row r="124" spans="1:18" x14ac:dyDescent="0.25">
      <c r="A124" s="32">
        <f t="shared" si="101"/>
        <v>118</v>
      </c>
      <c r="C124" s="27"/>
      <c r="D124" s="12" t="s">
        <v>8</v>
      </c>
      <c r="E124" s="152"/>
      <c r="F124" s="152"/>
      <c r="G124" s="165">
        <f t="shared" si="137"/>
        <v>2867829.26</v>
      </c>
      <c r="H124" s="165"/>
      <c r="I124" s="165">
        <f t="shared" si="137"/>
        <v>3602310.3036600002</v>
      </c>
      <c r="J124" s="152"/>
      <c r="K124" s="152"/>
      <c r="L124" s="152"/>
      <c r="M124" s="165">
        <f t="shared" ref="M124:N124" si="142">M15+M27+M39+M52+M92+M66+M114+M79</f>
        <v>3602310.3036600002</v>
      </c>
      <c r="N124" s="165">
        <f t="shared" si="142"/>
        <v>0</v>
      </c>
      <c r="O124" s="152"/>
    </row>
    <row r="125" spans="1:18" s="5" customFormat="1" ht="21" customHeight="1" thickBot="1" x14ac:dyDescent="0.35">
      <c r="A125" s="32">
        <f t="shared" si="101"/>
        <v>119</v>
      </c>
      <c r="C125" s="33"/>
      <c r="D125" s="6" t="s">
        <v>19</v>
      </c>
      <c r="E125" s="155"/>
      <c r="F125" s="155"/>
      <c r="G125" s="157">
        <f>G124+G119</f>
        <v>46290126.772559993</v>
      </c>
      <c r="H125" s="157"/>
      <c r="I125" s="157">
        <f>I124+I119</f>
        <v>46466534.988559991</v>
      </c>
      <c r="J125" s="155"/>
      <c r="K125" s="155"/>
      <c r="L125" s="155"/>
      <c r="M125" s="157">
        <f>M124+M119</f>
        <v>48144729.27728001</v>
      </c>
      <c r="N125" s="157">
        <f>N124+N119</f>
        <v>1678194.2887200019</v>
      </c>
      <c r="O125" s="158">
        <f>N125/I125</f>
        <v>3.6116191773997601E-2</v>
      </c>
      <c r="P125" s="164"/>
      <c r="Q125" s="164"/>
      <c r="R125" s="164"/>
    </row>
    <row r="126" spans="1:18" ht="13.8" thickTop="1" x14ac:dyDescent="0.25">
      <c r="A126" s="32">
        <f t="shared" si="101"/>
        <v>120</v>
      </c>
      <c r="C126" s="27"/>
    </row>
    <row r="127" spans="1:18" x14ac:dyDescent="0.25">
      <c r="A127" s="32">
        <f t="shared" si="101"/>
        <v>121</v>
      </c>
      <c r="D127" s="2" t="s">
        <v>40</v>
      </c>
      <c r="N127" s="150">
        <f>N125-Summary!L4</f>
        <v>1505.2887200019322</v>
      </c>
    </row>
    <row r="128" spans="1:18" x14ac:dyDescent="0.25">
      <c r="A128" s="32">
        <f t="shared" si="101"/>
        <v>122</v>
      </c>
      <c r="N128" s="150"/>
    </row>
    <row r="129" spans="1:20" x14ac:dyDescent="0.25">
      <c r="A129" s="32">
        <f t="shared" si="101"/>
        <v>123</v>
      </c>
      <c r="B129" s="1" t="s">
        <v>96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20" ht="13.8" thickBot="1" x14ac:dyDescent="0.3">
      <c r="A130" s="32">
        <f t="shared" si="101"/>
        <v>124</v>
      </c>
      <c r="D130" s="13"/>
      <c r="E130" s="166"/>
      <c r="F130" s="166"/>
      <c r="G130" s="166"/>
    </row>
    <row r="131" spans="1:20" x14ac:dyDescent="0.25">
      <c r="A131" s="32">
        <f t="shared" ref="A131:A148" si="143">A130+1</f>
        <v>125</v>
      </c>
      <c r="B131" s="22" t="s">
        <v>78</v>
      </c>
      <c r="C131" s="23" t="s">
        <v>103</v>
      </c>
      <c r="D131" s="22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</row>
    <row r="132" spans="1:20" ht="12.6" customHeight="1" x14ac:dyDescent="0.25">
      <c r="A132" s="32">
        <f t="shared" si="143"/>
        <v>126</v>
      </c>
      <c r="D132" s="2" t="s">
        <v>97</v>
      </c>
      <c r="E132" s="140"/>
      <c r="F132" s="128"/>
      <c r="G132" s="141"/>
      <c r="H132" s="128">
        <v>2863.82</v>
      </c>
      <c r="I132" s="141"/>
      <c r="J132" s="142"/>
      <c r="K132" s="142"/>
      <c r="L132" s="128">
        <f>H132*S132</f>
        <v>2975.9425544904157</v>
      </c>
      <c r="M132" s="141"/>
      <c r="N132" s="141"/>
      <c r="O132" s="142"/>
      <c r="P132" s="142"/>
      <c r="Q132" s="143"/>
      <c r="R132" s="143"/>
      <c r="S132" s="120">
        <f>1+$O$119</f>
        <v>1.0391513972562576</v>
      </c>
      <c r="T132" s="4">
        <f t="shared" ref="T132:T134" si="144">L132/H132-1</f>
        <v>3.9151397256257603E-2</v>
      </c>
    </row>
    <row r="133" spans="1:20" x14ac:dyDescent="0.25">
      <c r="A133" s="32">
        <f t="shared" si="143"/>
        <v>127</v>
      </c>
      <c r="D133" s="2" t="s">
        <v>51</v>
      </c>
      <c r="E133" s="140"/>
      <c r="F133" s="144"/>
      <c r="G133" s="141"/>
      <c r="H133" s="128">
        <v>6.18</v>
      </c>
      <c r="I133" s="141"/>
      <c r="J133" s="142"/>
      <c r="K133" s="142"/>
      <c r="L133" s="128">
        <f>L72</f>
        <v>6.45</v>
      </c>
      <c r="M133" s="141"/>
      <c r="N133" s="141"/>
      <c r="O133" s="142"/>
      <c r="P133" s="142"/>
      <c r="Q133" s="143"/>
      <c r="R133" s="143"/>
      <c r="S133" s="120">
        <f t="shared" ref="S133:S148" si="145">1+$O$119</f>
        <v>1.0391513972562576</v>
      </c>
      <c r="T133" s="4">
        <f t="shared" si="144"/>
        <v>4.3689320388349495E-2</v>
      </c>
    </row>
    <row r="134" spans="1:20" ht="13.8" thickBot="1" x14ac:dyDescent="0.3">
      <c r="A134" s="32">
        <f t="shared" si="143"/>
        <v>128</v>
      </c>
      <c r="D134" s="2" t="s">
        <v>50</v>
      </c>
      <c r="E134" s="140"/>
      <c r="F134" s="144"/>
      <c r="G134" s="141"/>
      <c r="H134" s="144">
        <v>4.3229999999999998E-2</v>
      </c>
      <c r="I134" s="141"/>
      <c r="J134" s="142"/>
      <c r="K134" s="142"/>
      <c r="L134" s="144">
        <f t="shared" ref="L134:L148" si="146">H134*S134</f>
        <v>4.4922514903388014E-2</v>
      </c>
      <c r="M134" s="141"/>
      <c r="N134" s="141"/>
      <c r="O134" s="142"/>
      <c r="P134" s="142"/>
      <c r="Q134" s="143"/>
      <c r="R134" s="143"/>
      <c r="S134" s="120">
        <f t="shared" si="145"/>
        <v>1.0391513972562576</v>
      </c>
      <c r="T134" s="4">
        <f t="shared" si="144"/>
        <v>3.9151397256257603E-2</v>
      </c>
    </row>
    <row r="135" spans="1:20" x14ac:dyDescent="0.25">
      <c r="A135" s="32">
        <f t="shared" si="143"/>
        <v>129</v>
      </c>
      <c r="B135" s="22" t="s">
        <v>52</v>
      </c>
      <c r="C135" s="23" t="s">
        <v>98</v>
      </c>
      <c r="D135" s="22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20"/>
    </row>
    <row r="136" spans="1:20" ht="12.6" customHeight="1" x14ac:dyDescent="0.25">
      <c r="A136" s="32">
        <f t="shared" si="143"/>
        <v>130</v>
      </c>
      <c r="D136" s="2" t="s">
        <v>17</v>
      </c>
      <c r="E136" s="140"/>
      <c r="F136" s="128"/>
      <c r="G136" s="141"/>
      <c r="H136" s="128">
        <v>3416.4</v>
      </c>
      <c r="I136" s="141"/>
      <c r="J136" s="142"/>
      <c r="K136" s="142"/>
      <c r="L136" s="128">
        <f t="shared" si="146"/>
        <v>3550.1568335862785</v>
      </c>
      <c r="M136" s="141"/>
      <c r="N136" s="141"/>
      <c r="O136" s="142"/>
      <c r="P136" s="142"/>
      <c r="Q136" s="143"/>
      <c r="R136" s="143"/>
      <c r="S136" s="120">
        <f t="shared" si="145"/>
        <v>1.0391513972562576</v>
      </c>
      <c r="T136" s="4">
        <f t="shared" ref="T136:T138" si="147">L136/H136-1</f>
        <v>3.9151397256257603E-2</v>
      </c>
    </row>
    <row r="137" spans="1:20" x14ac:dyDescent="0.25">
      <c r="A137" s="32">
        <f t="shared" si="143"/>
        <v>131</v>
      </c>
      <c r="D137" s="2" t="s">
        <v>51</v>
      </c>
      <c r="E137" s="140"/>
      <c r="F137" s="144"/>
      <c r="G137" s="141"/>
      <c r="H137" s="128">
        <v>6.18</v>
      </c>
      <c r="I137" s="141"/>
      <c r="J137" s="142"/>
      <c r="K137" s="142"/>
      <c r="L137" s="128">
        <f>L133</f>
        <v>6.45</v>
      </c>
      <c r="M137" s="141"/>
      <c r="N137" s="141"/>
      <c r="O137" s="142"/>
      <c r="P137" s="142"/>
      <c r="Q137" s="143"/>
      <c r="R137" s="143"/>
      <c r="S137" s="120">
        <f t="shared" si="145"/>
        <v>1.0391513972562576</v>
      </c>
      <c r="T137" s="4">
        <f t="shared" si="147"/>
        <v>4.3689320388349495E-2</v>
      </c>
    </row>
    <row r="138" spans="1:20" ht="13.8" thickBot="1" x14ac:dyDescent="0.3">
      <c r="A138" s="32">
        <f t="shared" si="143"/>
        <v>132</v>
      </c>
      <c r="D138" s="2" t="s">
        <v>50</v>
      </c>
      <c r="E138" s="140"/>
      <c r="F138" s="144"/>
      <c r="G138" s="141"/>
      <c r="H138" s="167">
        <v>4.2090000000000002E-2</v>
      </c>
      <c r="I138" s="141"/>
      <c r="J138" s="142"/>
      <c r="K138" s="142"/>
      <c r="L138" s="167">
        <f t="shared" si="146"/>
        <v>4.3737882310515883E-2</v>
      </c>
      <c r="M138" s="141"/>
      <c r="N138" s="141"/>
      <c r="O138" s="142"/>
      <c r="P138" s="142"/>
      <c r="Q138" s="143"/>
      <c r="R138" s="143"/>
      <c r="S138" s="120">
        <f t="shared" si="145"/>
        <v>1.0391513972562576</v>
      </c>
      <c r="T138" s="4">
        <f t="shared" si="147"/>
        <v>3.9151397256257603E-2</v>
      </c>
    </row>
    <row r="139" spans="1:20" x14ac:dyDescent="0.25">
      <c r="A139" s="32">
        <f t="shared" si="143"/>
        <v>133</v>
      </c>
      <c r="B139" s="22" t="s">
        <v>52</v>
      </c>
      <c r="C139" s="23" t="s">
        <v>101</v>
      </c>
      <c r="D139" s="22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20"/>
    </row>
    <row r="140" spans="1:20" ht="12.6" customHeight="1" x14ac:dyDescent="0.25">
      <c r="A140" s="32">
        <f t="shared" si="143"/>
        <v>134</v>
      </c>
      <c r="D140" s="2" t="s">
        <v>17</v>
      </c>
      <c r="E140" s="140"/>
      <c r="F140" s="128"/>
      <c r="G140" s="141"/>
      <c r="H140" s="128">
        <v>2863.82</v>
      </c>
      <c r="I140" s="141"/>
      <c r="J140" s="142"/>
      <c r="K140" s="142"/>
      <c r="L140" s="128">
        <f t="shared" si="146"/>
        <v>2975.9425544904157</v>
      </c>
      <c r="M140" s="141"/>
      <c r="N140" s="141"/>
      <c r="O140" s="142"/>
      <c r="P140" s="142"/>
      <c r="Q140" s="143"/>
      <c r="R140" s="143"/>
      <c r="S140" s="120">
        <f t="shared" si="145"/>
        <v>1.0391513972562576</v>
      </c>
      <c r="T140" s="4">
        <f t="shared" ref="T140:T143" si="148">L140/H140-1</f>
        <v>3.9151397256257603E-2</v>
      </c>
    </row>
    <row r="141" spans="1:20" x14ac:dyDescent="0.25">
      <c r="A141" s="32">
        <f t="shared" si="143"/>
        <v>135</v>
      </c>
      <c r="D141" s="2" t="s">
        <v>99</v>
      </c>
      <c r="E141" s="140"/>
      <c r="F141" s="144"/>
      <c r="G141" s="141"/>
      <c r="H141" s="128">
        <v>6.18</v>
      </c>
      <c r="I141" s="141"/>
      <c r="J141" s="142"/>
      <c r="K141" s="142"/>
      <c r="L141" s="128">
        <f>L58</f>
        <v>6.45</v>
      </c>
      <c r="M141" s="141"/>
      <c r="N141" s="141"/>
      <c r="O141" s="142"/>
      <c r="P141" s="142"/>
      <c r="Q141" s="143"/>
      <c r="R141" s="143"/>
      <c r="S141" s="120">
        <f t="shared" si="145"/>
        <v>1.0391513972562576</v>
      </c>
      <c r="T141" s="4">
        <f t="shared" ref="T141" si="149">L141/H141-1</f>
        <v>4.3689320388349495E-2</v>
      </c>
    </row>
    <row r="142" spans="1:20" x14ac:dyDescent="0.25">
      <c r="A142" s="32">
        <f t="shared" si="143"/>
        <v>136</v>
      </c>
      <c r="D142" s="2" t="s">
        <v>100</v>
      </c>
      <c r="E142" s="140"/>
      <c r="F142" s="144"/>
      <c r="G142" s="141"/>
      <c r="H142" s="128">
        <v>8.9600000000000009</v>
      </c>
      <c r="I142" s="141"/>
      <c r="J142" s="142"/>
      <c r="K142" s="142"/>
      <c r="L142" s="128">
        <f>L59</f>
        <v>9.34</v>
      </c>
      <c r="M142" s="141"/>
      <c r="N142" s="141"/>
      <c r="O142" s="142"/>
      <c r="P142" s="142"/>
      <c r="Q142" s="143"/>
      <c r="R142" s="143"/>
      <c r="S142" s="120">
        <f t="shared" si="145"/>
        <v>1.0391513972562576</v>
      </c>
      <c r="T142" s="4">
        <f t="shared" si="148"/>
        <v>4.2410714285714191E-2</v>
      </c>
    </row>
    <row r="143" spans="1:20" ht="13.8" thickBot="1" x14ac:dyDescent="0.3">
      <c r="A143" s="32">
        <f t="shared" si="143"/>
        <v>137</v>
      </c>
      <c r="D143" s="2" t="s">
        <v>50</v>
      </c>
      <c r="E143" s="140"/>
      <c r="F143" s="144"/>
      <c r="G143" s="141"/>
      <c r="H143" s="167">
        <v>4.3229999999999998E-2</v>
      </c>
      <c r="I143" s="141"/>
      <c r="J143" s="142"/>
      <c r="K143" s="142"/>
      <c r="L143" s="167">
        <f t="shared" si="146"/>
        <v>4.4922514903388014E-2</v>
      </c>
      <c r="M143" s="141"/>
      <c r="N143" s="141"/>
      <c r="O143" s="142"/>
      <c r="P143" s="142"/>
      <c r="Q143" s="143"/>
      <c r="R143" s="143"/>
      <c r="S143" s="120">
        <f t="shared" si="145"/>
        <v>1.0391513972562576</v>
      </c>
      <c r="T143" s="4">
        <f t="shared" si="148"/>
        <v>3.9151397256257603E-2</v>
      </c>
    </row>
    <row r="144" spans="1:20" x14ac:dyDescent="0.25">
      <c r="A144" s="32">
        <f t="shared" si="143"/>
        <v>138</v>
      </c>
      <c r="B144" s="22" t="s">
        <v>52</v>
      </c>
      <c r="C144" s="23" t="s">
        <v>102</v>
      </c>
      <c r="D144" s="22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20"/>
    </row>
    <row r="145" spans="1:20" ht="12.6" customHeight="1" x14ac:dyDescent="0.25">
      <c r="A145" s="32">
        <f t="shared" si="143"/>
        <v>139</v>
      </c>
      <c r="D145" s="2" t="s">
        <v>17</v>
      </c>
      <c r="E145" s="140"/>
      <c r="F145" s="128"/>
      <c r="G145" s="141"/>
      <c r="H145" s="128">
        <v>3416.4</v>
      </c>
      <c r="I145" s="141"/>
      <c r="J145" s="142"/>
      <c r="K145" s="142"/>
      <c r="L145" s="128">
        <f t="shared" si="146"/>
        <v>3550.1568335862785</v>
      </c>
      <c r="M145" s="141"/>
      <c r="N145" s="141"/>
      <c r="O145" s="142"/>
      <c r="P145" s="142"/>
      <c r="Q145" s="143"/>
      <c r="R145" s="143"/>
      <c r="S145" s="120">
        <f t="shared" si="145"/>
        <v>1.0391513972562576</v>
      </c>
      <c r="T145" s="4">
        <f t="shared" ref="T145:T148" si="150">L145/H145-1</f>
        <v>3.9151397256257603E-2</v>
      </c>
    </row>
    <row r="146" spans="1:20" x14ac:dyDescent="0.25">
      <c r="A146" s="32">
        <f t="shared" si="143"/>
        <v>140</v>
      </c>
      <c r="D146" s="2" t="s">
        <v>99</v>
      </c>
      <c r="E146" s="140"/>
      <c r="F146" s="144"/>
      <c r="G146" s="141"/>
      <c r="H146" s="128">
        <v>6.18</v>
      </c>
      <c r="I146" s="141"/>
      <c r="J146" s="142"/>
      <c r="K146" s="142"/>
      <c r="L146" s="128">
        <f>L141</f>
        <v>6.45</v>
      </c>
      <c r="M146" s="141"/>
      <c r="N146" s="141"/>
      <c r="O146" s="142"/>
      <c r="P146" s="142"/>
      <c r="Q146" s="143"/>
      <c r="R146" s="143"/>
      <c r="S146" s="120">
        <f t="shared" si="145"/>
        <v>1.0391513972562576</v>
      </c>
      <c r="T146" s="4">
        <f t="shared" si="150"/>
        <v>4.3689320388349495E-2</v>
      </c>
    </row>
    <row r="147" spans="1:20" x14ac:dyDescent="0.25">
      <c r="A147" s="32">
        <f t="shared" si="143"/>
        <v>141</v>
      </c>
      <c r="D147" s="2" t="s">
        <v>100</v>
      </c>
      <c r="E147" s="140"/>
      <c r="F147" s="144"/>
      <c r="G147" s="141"/>
      <c r="H147" s="128">
        <v>8.9600000000000009</v>
      </c>
      <c r="I147" s="141"/>
      <c r="J147" s="142"/>
      <c r="K147" s="142"/>
      <c r="L147" s="128">
        <f>L142</f>
        <v>9.34</v>
      </c>
      <c r="M147" s="141"/>
      <c r="N147" s="141"/>
      <c r="O147" s="142"/>
      <c r="P147" s="142"/>
      <c r="Q147" s="143"/>
      <c r="R147" s="143"/>
      <c r="S147" s="120">
        <f t="shared" si="145"/>
        <v>1.0391513972562576</v>
      </c>
      <c r="T147" s="4">
        <f t="shared" si="150"/>
        <v>4.2410714285714191E-2</v>
      </c>
    </row>
    <row r="148" spans="1:20" x14ac:dyDescent="0.25">
      <c r="A148" s="32">
        <f t="shared" si="143"/>
        <v>142</v>
      </c>
      <c r="D148" s="2" t="s">
        <v>50</v>
      </c>
      <c r="E148" s="140"/>
      <c r="F148" s="144"/>
      <c r="G148" s="141"/>
      <c r="H148" s="167">
        <v>4.2090000000000002E-2</v>
      </c>
      <c r="I148" s="141"/>
      <c r="J148" s="142"/>
      <c r="K148" s="142"/>
      <c r="L148" s="167">
        <f t="shared" si="146"/>
        <v>4.3737882310515883E-2</v>
      </c>
      <c r="M148" s="141"/>
      <c r="N148" s="141"/>
      <c r="O148" s="142"/>
      <c r="P148" s="142"/>
      <c r="Q148" s="143"/>
      <c r="R148" s="143"/>
      <c r="S148" s="120">
        <f t="shared" si="145"/>
        <v>1.0391513972562576</v>
      </c>
      <c r="T148" s="4">
        <f t="shared" si="150"/>
        <v>3.9151397256257603E-2</v>
      </c>
    </row>
  </sheetData>
  <mergeCells count="4">
    <mergeCell ref="B43:B44"/>
    <mergeCell ref="B31:B32"/>
    <mergeCell ref="B83:B84"/>
    <mergeCell ref="B7:B8"/>
  </mergeCells>
  <phoneticPr fontId="8" type="noConversion"/>
  <printOptions horizontalCentered="1"/>
  <pageMargins left="0.7" right="0.7" top="0.75" bottom="0.75" header="0.3" footer="0.3"/>
  <pageSetup scale="58" fitToHeight="7" orientation="landscape" r:id="rId1"/>
  <headerFooter>
    <oddHeader>&amp;R&amp;"Arial,Bold"&amp;10Exhibit 3
Page &amp;P of &amp;N</oddHeader>
  </headerFooter>
  <rowBreaks count="2" manualBreakCount="2">
    <brk id="55" max="17" man="1"/>
    <brk id="95" max="17" man="1"/>
  </rowBreaks>
  <ignoredErrors>
    <ignoredError sqref="M10 N10:N116 L133:L146 O47:O116 O10:O46 M87 N118:N124 O118:O1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83"/>
  <sheetViews>
    <sheetView topLeftCell="A64" zoomScale="85" zoomScaleNormal="85" workbookViewId="0">
      <selection activeCell="F6" sqref="F6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3" customWidth="1"/>
    <col min="4" max="4" width="28.6640625" style="13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TAYLOR COUNTY RECC</v>
      </c>
    </row>
    <row r="2" spans="1:10" x14ac:dyDescent="0.25">
      <c r="A2" s="1" t="s">
        <v>105</v>
      </c>
    </row>
    <row r="4" spans="1:10" x14ac:dyDescent="0.25">
      <c r="C4" s="66" t="s">
        <v>66</v>
      </c>
      <c r="D4" s="65"/>
      <c r="E4" s="65" t="s">
        <v>2</v>
      </c>
      <c r="F4" s="69" t="s">
        <v>48</v>
      </c>
      <c r="G4" s="69" t="s">
        <v>49</v>
      </c>
    </row>
    <row r="5" spans="1:10" x14ac:dyDescent="0.25">
      <c r="C5" s="13" t="str">
        <f>'Billing Detail'!C7</f>
        <v>A</v>
      </c>
      <c r="D5" s="103" t="str">
        <f>'Billing Detail'!B7</f>
        <v>Residential Farm and Home</v>
      </c>
    </row>
    <row r="6" spans="1:10" x14ac:dyDescent="0.25">
      <c r="D6" s="103"/>
      <c r="E6" s="2" t="str">
        <f>'Billing Detail'!D8</f>
        <v>Customer Charge</v>
      </c>
      <c r="F6" s="67">
        <f>'Billing Detail'!H8</f>
        <v>9.82</v>
      </c>
      <c r="G6" s="67">
        <f>'Billing Detail'!L8</f>
        <v>10.24</v>
      </c>
      <c r="J6" s="4">
        <f>G6/F6-1</f>
        <v>4.2769857433808456E-2</v>
      </c>
    </row>
    <row r="7" spans="1:10" x14ac:dyDescent="0.25">
      <c r="D7" s="103"/>
      <c r="E7" s="2" t="str">
        <f>'Billing Detail'!D9</f>
        <v>Energy Charge per kWh</v>
      </c>
      <c r="F7" s="68">
        <f>'Billing Detail'!H9</f>
        <v>7.8070000000000001E-2</v>
      </c>
      <c r="G7" s="68">
        <f>'Billing Detail'!L9</f>
        <v>8.1420000000000006E-2</v>
      </c>
      <c r="J7" s="4">
        <f t="shared" ref="J7:J56" si="0">G7/F7-1</f>
        <v>4.2910208786986148E-2</v>
      </c>
    </row>
    <row r="8" spans="1:10" x14ac:dyDescent="0.25">
      <c r="C8" s="13" t="str">
        <f>'Billing Detail'!C19</f>
        <v>ETS</v>
      </c>
      <c r="D8" s="103" t="str">
        <f>'Billing Detail'!B19</f>
        <v>Residential ETS</v>
      </c>
      <c r="F8" s="67"/>
      <c r="G8" s="67"/>
      <c r="J8" s="4"/>
    </row>
    <row r="9" spans="1:10" x14ac:dyDescent="0.25">
      <c r="D9" s="103"/>
      <c r="E9" s="2" t="str">
        <f>'Billing Detail'!D21</f>
        <v>Energy Charge per kWh</v>
      </c>
      <c r="F9" s="68">
        <f>'Billing Detail'!H21</f>
        <v>4.6199999999999998E-2</v>
      </c>
      <c r="G9" s="68">
        <f>'Billing Detail'!L21</f>
        <v>4.8180000000000001E-2</v>
      </c>
      <c r="J9" s="4">
        <f t="shared" si="0"/>
        <v>4.2857142857142927E-2</v>
      </c>
    </row>
    <row r="10" spans="1:10" x14ac:dyDescent="0.25">
      <c r="C10" s="13" t="str">
        <f>'Billing Detail'!C31</f>
        <v>GP1</v>
      </c>
      <c r="D10" s="103" t="str">
        <f>'Billing Detail'!B31</f>
        <v>Small Commercial Part 1 &lt; 50 KVA</v>
      </c>
      <c r="F10" s="68"/>
      <c r="G10" s="68"/>
      <c r="J10" s="4"/>
    </row>
    <row r="11" spans="1:10" x14ac:dyDescent="0.25">
      <c r="D11" s="103"/>
      <c r="E11" s="2" t="str">
        <f>'Billing Detail'!D32</f>
        <v>Customer Charge</v>
      </c>
      <c r="F11" s="67">
        <f>'Billing Detail'!H32</f>
        <v>10</v>
      </c>
      <c r="G11" s="67">
        <f>'Billing Detail'!L32</f>
        <v>10.43</v>
      </c>
      <c r="J11" s="4">
        <f t="shared" si="0"/>
        <v>4.2999999999999927E-2</v>
      </c>
    </row>
    <row r="12" spans="1:10" x14ac:dyDescent="0.25">
      <c r="D12" s="103"/>
      <c r="E12" s="2" t="str">
        <f>'Billing Detail'!D33</f>
        <v>Energy Charge per kWh</v>
      </c>
      <c r="F12" s="68">
        <f>'Billing Detail'!H33</f>
        <v>7.8240000000000004E-2</v>
      </c>
      <c r="G12" s="68">
        <f>'Billing Detail'!L33</f>
        <v>8.1600000000000006E-2</v>
      </c>
      <c r="J12" s="4">
        <f t="shared" si="0"/>
        <v>4.2944785276073594E-2</v>
      </c>
    </row>
    <row r="13" spans="1:10" x14ac:dyDescent="0.25">
      <c r="C13" s="13" t="str">
        <f>'Billing Detail'!C43</f>
        <v>GP2</v>
      </c>
      <c r="D13" s="103" t="str">
        <f>'Billing Detail'!B43</f>
        <v>Small Commercial Part 2 &gt; 50 KVA</v>
      </c>
      <c r="F13" s="67"/>
      <c r="G13" s="67"/>
      <c r="J13" s="4"/>
    </row>
    <row r="14" spans="1:10" x14ac:dyDescent="0.25">
      <c r="D14" s="103"/>
      <c r="E14" s="2" t="str">
        <f>'Billing Detail'!D44</f>
        <v>Customer Charge</v>
      </c>
      <c r="F14" s="67">
        <f>'Billing Detail'!H44</f>
        <v>49.78</v>
      </c>
      <c r="G14" s="67">
        <f>'Billing Detail'!L44</f>
        <v>51.91</v>
      </c>
      <c r="J14" s="4">
        <f t="shared" si="0"/>
        <v>4.2788268380875794E-2</v>
      </c>
    </row>
    <row r="15" spans="1:10" x14ac:dyDescent="0.25">
      <c r="D15" s="103"/>
      <c r="E15" s="2" t="str">
        <f>'Billing Detail'!D45</f>
        <v>Demand Charge per kW</v>
      </c>
      <c r="F15" s="67">
        <f>'Billing Detail'!H45</f>
        <v>5.32</v>
      </c>
      <c r="G15" s="67">
        <f>'Billing Detail'!L45</f>
        <v>5.55</v>
      </c>
      <c r="J15" s="4">
        <f t="shared" ref="J15:J16" si="1">G15/F15-1</f>
        <v>4.3233082706766846E-2</v>
      </c>
    </row>
    <row r="16" spans="1:10" x14ac:dyDescent="0.25">
      <c r="D16" s="103"/>
      <c r="E16" s="2" t="str">
        <f>'Billing Detail'!D46</f>
        <v>Energy Charge per kWh</v>
      </c>
      <c r="F16" s="68">
        <f>'Billing Detail'!H46</f>
        <v>5.7770000000000002E-2</v>
      </c>
      <c r="G16" s="68">
        <f>'Billing Detail'!L46</f>
        <v>6.0249999999999998E-2</v>
      </c>
      <c r="J16" s="4">
        <f t="shared" si="1"/>
        <v>4.2928855807512489E-2</v>
      </c>
    </row>
    <row r="17" spans="3:10" x14ac:dyDescent="0.25">
      <c r="C17" s="13" t="str">
        <f>'Billing Detail'!C56</f>
        <v>B1</v>
      </c>
      <c r="D17" s="103" t="str">
        <f>'Billing Detail'!B56</f>
        <v>Large Industrial</v>
      </c>
      <c r="F17" s="68"/>
      <c r="G17" s="68"/>
      <c r="J17" s="4"/>
    </row>
    <row r="18" spans="3:10" x14ac:dyDescent="0.25">
      <c r="D18" s="103"/>
      <c r="E18" s="2" t="str">
        <f>'Billing Detail'!D57</f>
        <v>Customer Charge</v>
      </c>
      <c r="F18" s="119">
        <f>'Billing Detail'!H57</f>
        <v>1225.55</v>
      </c>
      <c r="G18" s="119">
        <f>'Billing Detail'!L57</f>
        <v>1278.1099999999999</v>
      </c>
      <c r="J18" s="4">
        <f t="shared" si="0"/>
        <v>4.2886867120884409E-2</v>
      </c>
    </row>
    <row r="19" spans="3:10" x14ac:dyDescent="0.25">
      <c r="D19" s="103"/>
      <c r="E19" s="2" t="str">
        <f>'Billing Detail'!D58</f>
        <v>Demand Charge Contract per kW</v>
      </c>
      <c r="F19" s="119">
        <f>'Billing Detail'!H58</f>
        <v>6.18</v>
      </c>
      <c r="G19" s="119">
        <f>'Billing Detail'!L58</f>
        <v>6.45</v>
      </c>
      <c r="J19" s="4">
        <f t="shared" si="0"/>
        <v>4.3689320388349495E-2</v>
      </c>
    </row>
    <row r="20" spans="3:10" x14ac:dyDescent="0.25">
      <c r="D20" s="103"/>
      <c r="E20" s="2" t="str">
        <f>'Billing Detail'!D59</f>
        <v>Demand Charge Excess per kW</v>
      </c>
      <c r="F20" s="119">
        <f>'Billing Detail'!H59</f>
        <v>8.9600000000000009</v>
      </c>
      <c r="G20" s="119">
        <f>'Billing Detail'!L59</f>
        <v>9.34</v>
      </c>
      <c r="J20" s="4">
        <f t="shared" si="0"/>
        <v>4.2410714285714191E-2</v>
      </c>
    </row>
    <row r="21" spans="3:10" x14ac:dyDescent="0.25">
      <c r="D21" s="103"/>
      <c r="E21" s="2" t="str">
        <f>'Billing Detail'!D60</f>
        <v>Energy Charge per kWh</v>
      </c>
      <c r="F21" s="68">
        <f>'Billing Detail'!H60</f>
        <v>4.8959999999999997E-2</v>
      </c>
      <c r="G21" s="68">
        <f>'Billing Detail'!L60</f>
        <v>5.1060000000000001E-2</v>
      </c>
      <c r="J21" s="4">
        <f t="shared" ref="J21" si="2">G21/F21-1</f>
        <v>4.2892156862745168E-2</v>
      </c>
    </row>
    <row r="22" spans="3:10" x14ac:dyDescent="0.25">
      <c r="C22" s="13" t="str">
        <f>'Billing Detail'!C70</f>
        <v>C1</v>
      </c>
      <c r="D22" s="103" t="str">
        <f>'Billing Detail'!B70</f>
        <v xml:space="preserve">Large Industrial </v>
      </c>
      <c r="F22" s="67"/>
      <c r="G22" s="67"/>
      <c r="J22" s="4"/>
    </row>
    <row r="23" spans="3:10" x14ac:dyDescent="0.25">
      <c r="D23" s="103"/>
      <c r="E23" s="2" t="str">
        <f>'Billing Detail'!D71</f>
        <v>Customer Charge</v>
      </c>
      <c r="F23" s="67">
        <f>'Billing Detail'!H71</f>
        <v>1225.55</v>
      </c>
      <c r="G23" s="67">
        <f>'Billing Detail'!L71</f>
        <v>1278.1099999999999</v>
      </c>
      <c r="J23" s="4">
        <f t="shared" si="0"/>
        <v>4.2886867120884409E-2</v>
      </c>
    </row>
    <row r="24" spans="3:10" x14ac:dyDescent="0.25">
      <c r="D24" s="103"/>
      <c r="E24" s="2" t="str">
        <f>'Billing Detail'!D72</f>
        <v>Demand Charge per kW</v>
      </c>
      <c r="F24" s="67">
        <f>'Billing Detail'!H72</f>
        <v>6.18</v>
      </c>
      <c r="G24" s="67">
        <f>'Billing Detail'!L72</f>
        <v>6.45</v>
      </c>
      <c r="J24" s="4">
        <f t="shared" si="0"/>
        <v>4.3689320388349495E-2</v>
      </c>
    </row>
    <row r="25" spans="3:10" x14ac:dyDescent="0.25">
      <c r="D25" s="103"/>
      <c r="E25" s="2" t="str">
        <f>'Billing Detail'!D73</f>
        <v>Energy Charge per kWh</v>
      </c>
      <c r="F25" s="68">
        <f>'Billing Detail'!H73</f>
        <v>4.8959999999999997E-2</v>
      </c>
      <c r="G25" s="68">
        <f>'Billing Detail'!L73</f>
        <v>5.1060000000000001E-2</v>
      </c>
      <c r="J25" s="4">
        <f t="shared" si="0"/>
        <v>4.2892156862745168E-2</v>
      </c>
    </row>
    <row r="26" spans="3:10" x14ac:dyDescent="0.25">
      <c r="C26" s="13" t="str">
        <f>'Billing Detail'!C96</f>
        <v>SL</v>
      </c>
      <c r="D26" s="103" t="str">
        <f>'Billing Detail'!B96</f>
        <v>Lighting</v>
      </c>
      <c r="F26" s="67"/>
      <c r="G26" s="67"/>
      <c r="J26" s="4"/>
    </row>
    <row r="27" spans="3:10" x14ac:dyDescent="0.25">
      <c r="D27" s="103"/>
      <c r="E27" s="2" t="str">
        <f>'Billing Detail'!D97</f>
        <v>175 Watt Mercury Vapor</v>
      </c>
      <c r="F27" s="67">
        <f>'Billing Detail'!H97</f>
        <v>2.84</v>
      </c>
      <c r="G27" s="67">
        <f>'Billing Detail'!L97</f>
        <v>2.96</v>
      </c>
      <c r="J27" s="4">
        <f t="shared" si="0"/>
        <v>4.2253521126760507E-2</v>
      </c>
    </row>
    <row r="28" spans="3:10" x14ac:dyDescent="0.25">
      <c r="D28" s="2"/>
      <c r="E28" s="2" t="str">
        <f>'Billing Detail'!D98</f>
        <v>250 Watt Mercury Vapor</v>
      </c>
      <c r="F28" s="67">
        <f>'Billing Detail'!H98</f>
        <v>3.41</v>
      </c>
      <c r="G28" s="67">
        <f>'Billing Detail'!L98</f>
        <v>3.56</v>
      </c>
      <c r="J28" s="4">
        <f t="shared" si="0"/>
        <v>4.3988269794721369E-2</v>
      </c>
    </row>
    <row r="29" spans="3:10" x14ac:dyDescent="0.25">
      <c r="D29" s="2"/>
      <c r="E29" s="2" t="str">
        <f>'Billing Detail'!D99</f>
        <v>400 Watt Mercury Vapor</v>
      </c>
      <c r="F29" s="67">
        <f>'Billing Detail'!H99</f>
        <v>4.5199999999999996</v>
      </c>
      <c r="G29" s="67">
        <f>'Billing Detail'!L99</f>
        <v>4.71</v>
      </c>
      <c r="J29" s="4">
        <f t="shared" si="0"/>
        <v>4.2035398230088505E-2</v>
      </c>
    </row>
    <row r="30" spans="3:10" x14ac:dyDescent="0.25">
      <c r="D30" s="2"/>
      <c r="E30" s="2" t="str">
        <f>'Billing Detail'!D100</f>
        <v>100 Watt HPSodium</v>
      </c>
      <c r="F30" s="67">
        <f>'Billing Detail'!H100</f>
        <v>3.25</v>
      </c>
      <c r="G30" s="67">
        <f>'Billing Detail'!L100</f>
        <v>3.39</v>
      </c>
      <c r="J30" s="4">
        <f t="shared" si="0"/>
        <v>4.3076923076923013E-2</v>
      </c>
    </row>
    <row r="31" spans="3:10" x14ac:dyDescent="0.25">
      <c r="D31" s="2"/>
      <c r="E31" s="2" t="str">
        <f>'Billing Detail'!D101</f>
        <v>250 Watt HPSodium</v>
      </c>
      <c r="F31" s="67">
        <f>'Billing Detail'!H101</f>
        <v>5</v>
      </c>
      <c r="G31" s="67">
        <f>'Billing Detail'!L101</f>
        <v>5.21</v>
      </c>
      <c r="J31" s="4">
        <f t="shared" si="0"/>
        <v>4.2000000000000037E-2</v>
      </c>
    </row>
    <row r="32" spans="3:10" x14ac:dyDescent="0.25">
      <c r="D32" s="2"/>
      <c r="E32" s="2" t="str">
        <f>'Billing Detail'!D102</f>
        <v>175 Watt Mercury Metered</v>
      </c>
      <c r="F32" s="67">
        <f>'Billing Detail'!H102</f>
        <v>2.84</v>
      </c>
      <c r="G32" s="67">
        <f>'Billing Detail'!L102</f>
        <v>2.96</v>
      </c>
      <c r="J32" s="4">
        <f t="shared" si="0"/>
        <v>4.2253521126760507E-2</v>
      </c>
    </row>
    <row r="33" spans="3:10" x14ac:dyDescent="0.25">
      <c r="D33" s="2"/>
      <c r="E33" s="2" t="str">
        <f>'Billing Detail'!D103</f>
        <v>400 Watt Mercury Metered</v>
      </c>
      <c r="F33" s="67">
        <f>'Billing Detail'!H103</f>
        <v>4.5199999999999996</v>
      </c>
      <c r="G33" s="67">
        <f>'Billing Detail'!L103</f>
        <v>4.71</v>
      </c>
      <c r="J33" s="4">
        <f t="shared" si="0"/>
        <v>4.2035398230088505E-2</v>
      </c>
    </row>
    <row r="34" spans="3:10" x14ac:dyDescent="0.25">
      <c r="D34" s="2"/>
      <c r="E34" s="2" t="str">
        <f>'Billing Detail'!D104</f>
        <v>250 Watt HPS Con Metered</v>
      </c>
      <c r="F34" s="67">
        <f>'Billing Detail'!H104</f>
        <v>5</v>
      </c>
      <c r="G34" s="67">
        <f>'Billing Detail'!L104</f>
        <v>5.21</v>
      </c>
      <c r="J34" s="4">
        <f t="shared" si="0"/>
        <v>4.2000000000000037E-2</v>
      </c>
    </row>
    <row r="35" spans="3:10" x14ac:dyDescent="0.25">
      <c r="D35" s="2"/>
      <c r="E35" s="2" t="str">
        <f>'Billing Detail'!D105</f>
        <v>LED Security Light</v>
      </c>
      <c r="F35" s="67">
        <f>'Billing Detail'!H105</f>
        <v>9.4600000000000009</v>
      </c>
      <c r="G35" s="67">
        <f>'Billing Detail'!L105</f>
        <v>9.8699999999999992</v>
      </c>
      <c r="J35" s="4">
        <f t="shared" si="0"/>
        <v>4.3340380549682589E-2</v>
      </c>
    </row>
    <row r="36" spans="3:10" x14ac:dyDescent="0.25">
      <c r="D36" s="2"/>
      <c r="E36" s="2" t="str">
        <f>'Billing Detail'!D106</f>
        <v>LED Cobra Head Light</v>
      </c>
      <c r="F36" s="67">
        <f>'Billing Detail'!H106</f>
        <v>12.48</v>
      </c>
      <c r="G36" s="67">
        <f>'Billing Detail'!L106</f>
        <v>13.02</v>
      </c>
      <c r="J36" s="4">
        <f t="shared" si="0"/>
        <v>4.3269230769230616E-2</v>
      </c>
    </row>
    <row r="37" spans="3:10" x14ac:dyDescent="0.25">
      <c r="D37" s="2"/>
      <c r="E37" s="2" t="str">
        <f>'Billing Detail'!D107</f>
        <v>LED Directional Light</v>
      </c>
      <c r="F37" s="67">
        <f>'Billing Detail'!H107</f>
        <v>16.88</v>
      </c>
      <c r="G37" s="67">
        <f>'Billing Detail'!L107</f>
        <v>17.600000000000001</v>
      </c>
      <c r="J37" s="4">
        <f t="shared" si="0"/>
        <v>4.2654028436019065E-2</v>
      </c>
    </row>
    <row r="38" spans="3:10" x14ac:dyDescent="0.25">
      <c r="D38" s="2"/>
      <c r="E38" s="2" t="str">
        <f>'Billing Detail'!D108</f>
        <v>100 Watt HPS Metered</v>
      </c>
      <c r="F38" s="67">
        <f>'Billing Detail'!H108</f>
        <v>3.25</v>
      </c>
      <c r="G38" s="67">
        <f>'Billing Detail'!L108</f>
        <v>3.39</v>
      </c>
      <c r="J38" s="4">
        <f t="shared" si="0"/>
        <v>4.3076923076923013E-2</v>
      </c>
    </row>
    <row r="39" spans="3:10" x14ac:dyDescent="0.25">
      <c r="C39" s="13" t="str">
        <f>'Billing Detail'!C131</f>
        <v>C2</v>
      </c>
      <c r="D39" s="123" t="str">
        <f>'Billing Detail'!B131</f>
        <v xml:space="preserve">Large Industrial </v>
      </c>
      <c r="J39" s="4"/>
    </row>
    <row r="40" spans="3:10" x14ac:dyDescent="0.25">
      <c r="D40" s="123"/>
      <c r="E40" s="2" t="str">
        <f>'Billing Detail'!D132</f>
        <v>Consumer Charge</v>
      </c>
      <c r="F40" s="121">
        <f>'Billing Detail'!H132</f>
        <v>2863.82</v>
      </c>
      <c r="G40" s="121">
        <f>'Billing Detail'!L132</f>
        <v>2975.9425544904157</v>
      </c>
      <c r="J40" s="4">
        <f t="shared" si="0"/>
        <v>3.9151397256257603E-2</v>
      </c>
    </row>
    <row r="41" spans="3:10" x14ac:dyDescent="0.25">
      <c r="D41" s="123"/>
      <c r="E41" s="2" t="str">
        <f>'Billing Detail'!D133</f>
        <v>Demand Charge per kW</v>
      </c>
      <c r="F41" s="121">
        <f>'Billing Detail'!H133</f>
        <v>6.18</v>
      </c>
      <c r="G41" s="121">
        <f>'Billing Detail'!L133</f>
        <v>6.45</v>
      </c>
      <c r="J41" s="4">
        <f t="shared" si="0"/>
        <v>4.3689320388349495E-2</v>
      </c>
    </row>
    <row r="42" spans="3:10" x14ac:dyDescent="0.25">
      <c r="D42" s="123"/>
      <c r="E42" s="2" t="str">
        <f>'Billing Detail'!D134</f>
        <v>Energy Charge per kWh</v>
      </c>
      <c r="F42" s="114">
        <f>'Billing Detail'!H134</f>
        <v>4.3229999999999998E-2</v>
      </c>
      <c r="G42" s="114">
        <f>'Billing Detail'!L134</f>
        <v>4.4922514903388014E-2</v>
      </c>
      <c r="J42" s="4">
        <f t="shared" si="0"/>
        <v>3.9151397256257603E-2</v>
      </c>
    </row>
    <row r="43" spans="3:10" x14ac:dyDescent="0.25">
      <c r="C43" s="13" t="str">
        <f>'Billing Detail'!C135</f>
        <v>C3</v>
      </c>
      <c r="D43" s="123" t="str">
        <f>'Billing Detail'!B135</f>
        <v>Large Industrial</v>
      </c>
      <c r="F43" s="121"/>
      <c r="G43" s="121"/>
      <c r="J43" s="4"/>
    </row>
    <row r="44" spans="3:10" x14ac:dyDescent="0.25">
      <c r="D44" s="123"/>
      <c r="E44" s="2" t="str">
        <f>'Billing Detail'!D136</f>
        <v>Customer Charge</v>
      </c>
      <c r="F44" s="121">
        <f>'Billing Detail'!H136</f>
        <v>3416.4</v>
      </c>
      <c r="G44" s="121">
        <f>'Billing Detail'!L136</f>
        <v>3550.1568335862785</v>
      </c>
      <c r="J44" s="4">
        <f t="shared" si="0"/>
        <v>3.9151397256257603E-2</v>
      </c>
    </row>
    <row r="45" spans="3:10" x14ac:dyDescent="0.25">
      <c r="D45" s="123"/>
      <c r="E45" s="2" t="str">
        <f>'Billing Detail'!D137</f>
        <v>Demand Charge per kW</v>
      </c>
      <c r="F45" s="121">
        <f>'Billing Detail'!H137</f>
        <v>6.18</v>
      </c>
      <c r="G45" s="121">
        <f>'Billing Detail'!L137</f>
        <v>6.45</v>
      </c>
      <c r="J45" s="4">
        <f t="shared" si="0"/>
        <v>4.3689320388349495E-2</v>
      </c>
    </row>
    <row r="46" spans="3:10" x14ac:dyDescent="0.25">
      <c r="D46" s="123"/>
      <c r="E46" s="2" t="str">
        <f>'Billing Detail'!D138</f>
        <v>Energy Charge per kWh</v>
      </c>
      <c r="F46" s="114">
        <f>'Billing Detail'!H138</f>
        <v>4.2090000000000002E-2</v>
      </c>
      <c r="G46" s="114">
        <f>'Billing Detail'!L138</f>
        <v>4.3737882310515883E-2</v>
      </c>
      <c r="J46" s="4">
        <f t="shared" si="0"/>
        <v>3.9151397256257603E-2</v>
      </c>
    </row>
    <row r="47" spans="3:10" x14ac:dyDescent="0.25">
      <c r="C47" s="13" t="str">
        <f>'Billing Detail'!C139</f>
        <v>B2</v>
      </c>
      <c r="D47" s="123" t="str">
        <f>'Billing Detail'!B139</f>
        <v>Large Industrial</v>
      </c>
      <c r="F47" s="121"/>
      <c r="G47" s="121"/>
      <c r="J47" s="4"/>
    </row>
    <row r="48" spans="3:10" x14ac:dyDescent="0.25">
      <c r="D48" s="123"/>
      <c r="E48" s="2" t="str">
        <f>'Billing Detail'!D140</f>
        <v>Customer Charge</v>
      </c>
      <c r="F48" s="121">
        <f>'Billing Detail'!H140</f>
        <v>2863.82</v>
      </c>
      <c r="G48" s="121">
        <f>'Billing Detail'!L140</f>
        <v>2975.9425544904157</v>
      </c>
      <c r="J48" s="4">
        <f t="shared" si="0"/>
        <v>3.9151397256257603E-2</v>
      </c>
    </row>
    <row r="49" spans="3:10" x14ac:dyDescent="0.25">
      <c r="D49" s="123"/>
      <c r="E49" s="2" t="str">
        <f>'Billing Detail'!D141</f>
        <v>Demand Charge -Contract per kW</v>
      </c>
      <c r="F49" s="121">
        <f>'Billing Detail'!H141</f>
        <v>6.18</v>
      </c>
      <c r="G49" s="121">
        <f>'Billing Detail'!L141</f>
        <v>6.45</v>
      </c>
      <c r="J49" s="4">
        <f t="shared" si="0"/>
        <v>4.3689320388349495E-2</v>
      </c>
    </row>
    <row r="50" spans="3:10" x14ac:dyDescent="0.25">
      <c r="D50" s="123"/>
      <c r="E50" s="2" t="str">
        <f>'Billing Detail'!D142</f>
        <v>Demand Charge -Excess per kW</v>
      </c>
      <c r="F50" s="121">
        <f>'Billing Detail'!H142</f>
        <v>8.9600000000000009</v>
      </c>
      <c r="G50" s="121">
        <f>'Billing Detail'!L142</f>
        <v>9.34</v>
      </c>
      <c r="J50" s="4">
        <f t="shared" si="0"/>
        <v>4.2410714285714191E-2</v>
      </c>
    </row>
    <row r="51" spans="3:10" x14ac:dyDescent="0.25">
      <c r="D51" s="123"/>
      <c r="E51" s="2" t="str">
        <f>'Billing Detail'!D143</f>
        <v>Energy Charge per kWh</v>
      </c>
      <c r="F51" s="114">
        <f>'Billing Detail'!H143</f>
        <v>4.3229999999999998E-2</v>
      </c>
      <c r="G51" s="114">
        <f>'Billing Detail'!L143</f>
        <v>4.4922514903388014E-2</v>
      </c>
      <c r="J51" s="4">
        <f t="shared" si="0"/>
        <v>3.9151397256257603E-2</v>
      </c>
    </row>
    <row r="52" spans="3:10" x14ac:dyDescent="0.25">
      <c r="C52" s="13" t="str">
        <f>'Billing Detail'!C144</f>
        <v>B3</v>
      </c>
      <c r="D52" s="123" t="str">
        <f>'Billing Detail'!B144</f>
        <v>Large Industrial</v>
      </c>
      <c r="F52" s="121"/>
      <c r="G52" s="121"/>
      <c r="J52" s="4"/>
    </row>
    <row r="53" spans="3:10" x14ac:dyDescent="0.25">
      <c r="D53" s="122"/>
      <c r="E53" s="2" t="str">
        <f>'Billing Detail'!D145</f>
        <v>Customer Charge</v>
      </c>
      <c r="F53" s="121">
        <f>'Billing Detail'!H145</f>
        <v>3416.4</v>
      </c>
      <c r="G53" s="121">
        <f>'Billing Detail'!L145</f>
        <v>3550.1568335862785</v>
      </c>
      <c r="J53" s="4">
        <f t="shared" si="0"/>
        <v>3.9151397256257603E-2</v>
      </c>
    </row>
    <row r="54" spans="3:10" x14ac:dyDescent="0.25">
      <c r="E54" s="2" t="str">
        <f>'Billing Detail'!D146</f>
        <v>Demand Charge -Contract per kW</v>
      </c>
      <c r="F54" s="121">
        <f>'Billing Detail'!H146</f>
        <v>6.18</v>
      </c>
      <c r="G54" s="121">
        <f>'Billing Detail'!L146</f>
        <v>6.45</v>
      </c>
      <c r="J54" s="4">
        <f t="shared" si="0"/>
        <v>4.3689320388349495E-2</v>
      </c>
    </row>
    <row r="55" spans="3:10" x14ac:dyDescent="0.25">
      <c r="E55" s="2" t="str">
        <f>'Billing Detail'!D147</f>
        <v>Demand Charge -Excess per kW</v>
      </c>
      <c r="F55" s="121">
        <f>'Billing Detail'!H147</f>
        <v>8.9600000000000009</v>
      </c>
      <c r="G55" s="121">
        <f>'Billing Detail'!L147</f>
        <v>9.34</v>
      </c>
      <c r="J55" s="4">
        <f t="shared" si="0"/>
        <v>4.2410714285714191E-2</v>
      </c>
    </row>
    <row r="56" spans="3:10" x14ac:dyDescent="0.25">
      <c r="E56" s="2" t="str">
        <f>'Billing Detail'!D148</f>
        <v>Energy Charge per kWh</v>
      </c>
      <c r="F56" s="114">
        <f>'Billing Detail'!H148</f>
        <v>4.2090000000000002E-2</v>
      </c>
      <c r="G56" s="114">
        <f>'Billing Detail'!L148</f>
        <v>4.3737882310515883E-2</v>
      </c>
      <c r="J56" s="4">
        <f t="shared" si="0"/>
        <v>3.9151397256257603E-2</v>
      </c>
    </row>
    <row r="57" spans="3:10" x14ac:dyDescent="0.25">
      <c r="F57" s="121"/>
      <c r="G57" s="121"/>
    </row>
    <row r="58" spans="3:10" x14ac:dyDescent="0.25">
      <c r="F58" s="67"/>
      <c r="G58" s="67"/>
    </row>
    <row r="59" spans="3:10" ht="41.4" customHeight="1" x14ac:dyDescent="0.25">
      <c r="C59" s="170" t="s">
        <v>57</v>
      </c>
      <c r="D59" s="170"/>
      <c r="E59" s="170"/>
      <c r="F59" s="170"/>
      <c r="G59" s="170"/>
    </row>
    <row r="60" spans="3:10" x14ac:dyDescent="0.25">
      <c r="D60" s="2"/>
      <c r="F60" s="171" t="s">
        <v>58</v>
      </c>
      <c r="G60" s="171"/>
    </row>
    <row r="61" spans="3:10" x14ac:dyDescent="0.25">
      <c r="C61" s="99" t="s">
        <v>59</v>
      </c>
      <c r="D61" s="88"/>
      <c r="E61" s="89"/>
      <c r="F61" s="90" t="s">
        <v>60</v>
      </c>
      <c r="G61" s="90" t="s">
        <v>61</v>
      </c>
    </row>
    <row r="62" spans="3:10" x14ac:dyDescent="0.25">
      <c r="C62" s="100" t="str">
        <f>Summary!C8</f>
        <v>A</v>
      </c>
      <c r="D62" s="3" t="str">
        <f>Summary!B8</f>
        <v>Residential Farm and Home</v>
      </c>
      <c r="F62" s="91">
        <f>Summary!L8</f>
        <v>1136349.7215000018</v>
      </c>
      <c r="G62" s="92">
        <f>Summary!N8</f>
        <v>3.9419951539903617E-2</v>
      </c>
    </row>
    <row r="63" spans="3:10" x14ac:dyDescent="0.25">
      <c r="C63" s="100" t="str">
        <f>Summary!C9</f>
        <v>ETS</v>
      </c>
      <c r="D63" s="3" t="str">
        <f>Summary!B9</f>
        <v>Residential ETS</v>
      </c>
      <c r="F63" s="91">
        <f>Summary!L9</f>
        <v>631.54673999999977</v>
      </c>
      <c r="G63" s="92">
        <f>Summary!N9</f>
        <v>3.7416275881304903E-2</v>
      </c>
      <c r="H63" s="1"/>
    </row>
    <row r="64" spans="3:10" x14ac:dyDescent="0.25">
      <c r="C64" s="100" t="str">
        <f>Summary!C10</f>
        <v>GP1</v>
      </c>
      <c r="D64" s="3" t="str">
        <f>Summary!B10</f>
        <v>Small Commercial Part 1 &lt; 50 KVA</v>
      </c>
      <c r="F64" s="91">
        <f>Summary!L10</f>
        <v>149015.09671999974</v>
      </c>
      <c r="G64" s="92">
        <f>Summary!N10</f>
        <v>3.9443857972969787E-2</v>
      </c>
      <c r="H64" s="1"/>
    </row>
    <row r="65" spans="3:8" x14ac:dyDescent="0.25">
      <c r="C65" s="100" t="str">
        <f>Summary!C11</f>
        <v>GP2</v>
      </c>
      <c r="D65" s="3" t="str">
        <f>Summary!B11</f>
        <v>Small Commercial Part 2 &gt; 50 KVA</v>
      </c>
      <c r="F65" s="91">
        <f>Summary!L11</f>
        <v>312975.94136000017</v>
      </c>
      <c r="G65" s="92">
        <f>Summary!N11</f>
        <v>3.9724122970435823E-2</v>
      </c>
      <c r="H65" s="1"/>
    </row>
    <row r="66" spans="3:8" x14ac:dyDescent="0.25">
      <c r="C66" s="100" t="str">
        <f>Summary!C12</f>
        <v>B1</v>
      </c>
      <c r="D66" s="3" t="str">
        <f>Summary!B12</f>
        <v>Large Industrial</v>
      </c>
      <c r="F66" s="91">
        <f>Summary!L12</f>
        <v>39189.813700000086</v>
      </c>
      <c r="G66" s="92">
        <f>Summary!N12</f>
        <v>3.9973018062510537E-2</v>
      </c>
      <c r="H66" s="1"/>
    </row>
    <row r="67" spans="3:8" x14ac:dyDescent="0.25">
      <c r="C67" s="100" t="str">
        <f>Summary!C13</f>
        <v>C1</v>
      </c>
      <c r="D67" s="3" t="str">
        <f>Summary!B13</f>
        <v xml:space="preserve">Large Industrial </v>
      </c>
      <c r="F67" s="91">
        <f>Summary!L13</f>
        <v>26783.168700000038</v>
      </c>
      <c r="G67" s="92">
        <f>Summary!N13</f>
        <v>4.0052412128668891E-2</v>
      </c>
      <c r="H67" s="1"/>
    </row>
    <row r="68" spans="3:8" x14ac:dyDescent="0.25">
      <c r="C68" s="100" t="str">
        <f>Summary!C14</f>
        <v>Special</v>
      </c>
      <c r="D68" s="3" t="str">
        <f>Summary!B14</f>
        <v>Tennessee Gas / Kinder Morgan</v>
      </c>
      <c r="F68" s="91">
        <f>Summary!L14</f>
        <v>0</v>
      </c>
      <c r="G68" s="92">
        <f>Summary!N14</f>
        <v>0</v>
      </c>
      <c r="H68" s="1"/>
    </row>
    <row r="69" spans="3:8" x14ac:dyDescent="0.25">
      <c r="C69" s="100" t="str">
        <f>Summary!C15</f>
        <v>SL</v>
      </c>
      <c r="D69" s="3" t="str">
        <f>Summary!B15</f>
        <v>Lighting</v>
      </c>
      <c r="F69" s="91">
        <f>Summary!L15</f>
        <v>13248.999999999942</v>
      </c>
      <c r="G69" s="92">
        <f>Summary!N15</f>
        <v>4.2624563845413008E-2</v>
      </c>
      <c r="H69" s="1"/>
    </row>
    <row r="70" spans="3:8" x14ac:dyDescent="0.25">
      <c r="C70" s="104" t="s">
        <v>62</v>
      </c>
      <c r="D70" s="93"/>
      <c r="E70" s="93"/>
      <c r="F70" s="94">
        <f>Summary!L27</f>
        <v>1678194.2887200192</v>
      </c>
      <c r="G70" s="95">
        <f>Summary!N27</f>
        <v>3.6116191773997969E-2</v>
      </c>
    </row>
    <row r="71" spans="3:8" x14ac:dyDescent="0.25">
      <c r="C71" s="100"/>
      <c r="D71" s="2"/>
      <c r="F71" s="96"/>
      <c r="G71" s="97"/>
    </row>
    <row r="72" spans="3:8" x14ac:dyDescent="0.25">
      <c r="D72" s="2"/>
    </row>
    <row r="73" spans="3:8" ht="40.200000000000003" customHeight="1" x14ac:dyDescent="0.25">
      <c r="C73" s="170" t="s">
        <v>63</v>
      </c>
      <c r="D73" s="170"/>
      <c r="E73" s="170"/>
      <c r="F73" s="170"/>
      <c r="G73" s="170"/>
      <c r="H73" s="170"/>
    </row>
    <row r="74" spans="3:8" x14ac:dyDescent="0.25">
      <c r="D74" s="2"/>
      <c r="E74" s="98" t="s">
        <v>18</v>
      </c>
      <c r="F74" s="171" t="s">
        <v>58</v>
      </c>
      <c r="G74" s="171"/>
    </row>
    <row r="75" spans="3:8" x14ac:dyDescent="0.25">
      <c r="C75" s="99" t="s">
        <v>59</v>
      </c>
      <c r="D75" s="89"/>
      <c r="E75" s="99" t="s">
        <v>64</v>
      </c>
      <c r="F75" s="90" t="s">
        <v>60</v>
      </c>
      <c r="G75" s="90" t="s">
        <v>61</v>
      </c>
    </row>
    <row r="76" spans="3:8" x14ac:dyDescent="0.25">
      <c r="C76" s="13" t="str">
        <f>Summary!C8</f>
        <v>A</v>
      </c>
      <c r="D76" s="117" t="str">
        <f>Summary!B8</f>
        <v>Residential Farm and Home</v>
      </c>
      <c r="E76" s="101">
        <f>'Billing Detail'!E17</f>
        <v>1083.7207536678216</v>
      </c>
      <c r="F76" s="67">
        <f>'Billing Detail'!N17</f>
        <v>4.050464524787202</v>
      </c>
      <c r="G76" s="4">
        <f>Summary!N8</f>
        <v>3.9419951539903617E-2</v>
      </c>
    </row>
    <row r="77" spans="3:8" x14ac:dyDescent="0.25">
      <c r="C77" s="13" t="str">
        <f>Summary!C9</f>
        <v>ETS</v>
      </c>
      <c r="D77" s="117" t="str">
        <f>Summary!B9</f>
        <v>Residential ETS</v>
      </c>
      <c r="E77" s="102" t="s">
        <v>65</v>
      </c>
      <c r="F77" s="67">
        <v>0</v>
      </c>
      <c r="G77" s="4">
        <f>Summary!N9</f>
        <v>3.7416275881304903E-2</v>
      </c>
    </row>
    <row r="78" spans="3:8" x14ac:dyDescent="0.25">
      <c r="C78" s="13" t="str">
        <f>Summary!C10</f>
        <v>GP1</v>
      </c>
      <c r="D78" s="117" t="str">
        <f>Summary!B10</f>
        <v>Small Commercial Part 1 &lt; 50 KVA</v>
      </c>
      <c r="E78" s="101">
        <f>'Billing Detail'!E41</f>
        <v>1156.8901410898977</v>
      </c>
      <c r="F78" s="67">
        <f>'Billing Detail'!N41</f>
        <v>4.317150874062051</v>
      </c>
      <c r="G78" s="4">
        <f>Summary!N10</f>
        <v>3.9443857972969787E-2</v>
      </c>
    </row>
    <row r="79" spans="3:8" x14ac:dyDescent="0.25">
      <c r="C79" s="13" t="str">
        <f>Summary!C11</f>
        <v>GP2</v>
      </c>
      <c r="D79" s="117" t="str">
        <f>Summary!B11</f>
        <v>Small Commercial Part 2 &gt; 50 KVA</v>
      </c>
      <c r="E79" s="101">
        <f>'Billing Detail'!E54</f>
        <v>22657.601200900677</v>
      </c>
      <c r="F79" s="67">
        <f>'Billing Detail'!N54</f>
        <v>78.302712374280873</v>
      </c>
      <c r="G79" s="4">
        <f>Summary!N11</f>
        <v>3.9724122970435823E-2</v>
      </c>
    </row>
    <row r="80" spans="3:8" x14ac:dyDescent="0.25">
      <c r="C80" s="13" t="str">
        <f>Summary!C12</f>
        <v>B1</v>
      </c>
      <c r="D80" s="117" t="str">
        <f>Summary!B12</f>
        <v>Large Industrial</v>
      </c>
      <c r="E80" s="101">
        <f>'Billing Detail'!E68</f>
        <v>370522.13888888888</v>
      </c>
      <c r="F80" s="67">
        <f>'Billing Detail'!N68</f>
        <v>1088.6059361111111</v>
      </c>
      <c r="G80" s="4">
        <f>Summary!N12</f>
        <v>3.9973018062510537E-2</v>
      </c>
    </row>
    <row r="81" spans="3:7" x14ac:dyDescent="0.25">
      <c r="C81" s="13" t="str">
        <f>Summary!C13</f>
        <v>C1</v>
      </c>
      <c r="D81" s="117" t="str">
        <f>Summary!B13</f>
        <v xml:space="preserve">Large Industrial </v>
      </c>
      <c r="E81" s="101">
        <f>'Billing Detail'!E81</f>
        <v>667595.58333333337</v>
      </c>
      <c r="F81" s="67">
        <f>'Billing Detail'!N81</f>
        <v>2231.9307250000056</v>
      </c>
      <c r="G81" s="4">
        <f>Summary!N13</f>
        <v>4.0052412128668891E-2</v>
      </c>
    </row>
    <row r="82" spans="3:7" x14ac:dyDescent="0.25">
      <c r="C82" s="13" t="str">
        <f>Summary!C14</f>
        <v>Special</v>
      </c>
      <c r="D82" s="117" t="str">
        <f>Summary!B14</f>
        <v>Tennessee Gas / Kinder Morgan</v>
      </c>
      <c r="E82" s="101">
        <v>0</v>
      </c>
      <c r="F82" s="67">
        <f>'Billing Detail'!N94</f>
        <v>0</v>
      </c>
      <c r="G82" s="4">
        <f>Summary!N14</f>
        <v>0</v>
      </c>
    </row>
    <row r="83" spans="3:7" x14ac:dyDescent="0.25">
      <c r="C83" s="13" t="str">
        <f>Summary!C15</f>
        <v>SL</v>
      </c>
      <c r="D83" s="117" t="str">
        <f>Summary!B15</f>
        <v>Lighting</v>
      </c>
      <c r="E83" s="112" t="s">
        <v>65</v>
      </c>
      <c r="F83" s="111" t="s">
        <v>65</v>
      </c>
      <c r="G83" s="4">
        <f>Summary!N15</f>
        <v>4.2624563845413008E-2</v>
      </c>
    </row>
  </sheetData>
  <mergeCells count="4">
    <mergeCell ref="C59:G59"/>
    <mergeCell ref="F60:G60"/>
    <mergeCell ref="C73:H73"/>
    <mergeCell ref="F74:G74"/>
  </mergeCells>
  <printOptions horizontalCentered="1"/>
  <pageMargins left="0.7" right="0.7" top="0.75" bottom="0.75" header="0.3" footer="0.3"/>
  <pageSetup paperSize="9" scale="86" orientation="portrait" r:id="rId1"/>
  <headerFooter>
    <oddHeader>&amp;R&amp;"Arial,Bold"&amp;10Exhibit 2
Page &amp;Pof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2021-03-24T19:29:18Z</cp:lastPrinted>
  <dcterms:created xsi:type="dcterms:W3CDTF">2021-02-09T02:13:44Z</dcterms:created>
  <dcterms:modified xsi:type="dcterms:W3CDTF">2021-07-27T14:19:24Z</dcterms:modified>
</cp:coreProperties>
</file>